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125" windowHeight="11445" tabRatio="944" firstSheet="3" activeTab="4"/>
  </bookViews>
  <sheets>
    <sheet name="@kbtasto@she3#" sheetId="3" state="hidden" r:id="rId1"/>
    <sheet name="交接表" sheetId="8" state="hidden" r:id="rId2"/>
    <sheet name="Sheet1" sheetId="10" state="hidden" r:id="rId3"/>
    <sheet name="免漆" sheetId="22" r:id="rId4"/>
    <sheet name="免漆门板单" sheetId="20" r:id="rId5"/>
    <sheet name="免漆料单" sheetId="21"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s>
  <definedNames>
    <definedName name="buxudong" localSheetId="3">[1]下料单2!#REF!</definedName>
    <definedName name="buxudong" localSheetId="6">[1]下料单2!#REF!</definedName>
    <definedName name="buxudong" localSheetId="9">[2]下料单2!#REF!</definedName>
    <definedName name="buxudong" localSheetId="12">[3]下料单2!#REF!</definedName>
    <definedName name="buxudong">[4]下料单2!#REF!</definedName>
    <definedName name="EV浅橡_直_N23_H">#REF!</definedName>
    <definedName name="HY" localSheetId="3">#REF!</definedName>
    <definedName name="HY" localSheetId="6">#REF!</definedName>
    <definedName name="HY" localSheetId="9">#REF!</definedName>
    <definedName name="HY" localSheetId="12">#REF!</definedName>
    <definedName name="HY">#REF!</definedName>
    <definedName name="MQ" localSheetId="3">#REF!</definedName>
    <definedName name="MQ" localSheetId="6">#REF!</definedName>
    <definedName name="MQ" localSheetId="9">#REF!</definedName>
    <definedName name="MQ" localSheetId="12">#REF!</definedName>
    <definedName name="MQ">#REF!</definedName>
    <definedName name="MS" localSheetId="3">#REF!</definedName>
    <definedName name="MS" localSheetId="6">#REF!</definedName>
    <definedName name="MS" localSheetId="9">#REF!</definedName>
    <definedName name="MS" localSheetId="12">#REF!</definedName>
    <definedName name="MS">#REF!</definedName>
    <definedName name="MT" localSheetId="3">#REF!</definedName>
    <definedName name="MT" localSheetId="6">#REF!</definedName>
    <definedName name="MT" localSheetId="9">#REF!</definedName>
    <definedName name="MT" localSheetId="12">#REF!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3">免漆!#REF!</definedName>
    <definedName name="_xlnm.Print_Area" localSheetId="6">'免漆 (2)'!$A$1:$I$47</definedName>
    <definedName name="_xlnm.Print_Area" localSheetId="5">免漆料单!$A$1:$F$28</definedName>
    <definedName name="_xlnm.Print_Area" localSheetId="8">'免漆料单 (2)'!$A$1:$R$22</definedName>
    <definedName name="_xlnm.Print_Area" localSheetId="4">免漆门板单!$A$1:$M$49</definedName>
    <definedName name="_xlnm.Print_Area" localSheetId="7">'免漆门板单 (2)'!$A$1:$K$43</definedName>
    <definedName name="_xlnm.Print_Area" localSheetId="12">实木!$A$1:$I$47</definedName>
    <definedName name="_xlnm.Print_Area" localSheetId="18">外阜包装!$A$1:$L$93</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44525"/>
</workbook>
</file>

<file path=xl/comments1.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comments2.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sharedStrings.xml><?xml version="1.0" encoding="utf-8"?>
<sst xmlns="http://schemas.openxmlformats.org/spreadsheetml/2006/main" count="945">
  <si>
    <t>意德法家木业生产线工序交接单</t>
  </si>
  <si>
    <t>柜体</t>
  </si>
  <si>
    <t>图纸编号:</t>
  </si>
  <si>
    <t>客户姓名</t>
  </si>
  <si>
    <t>销售点</t>
  </si>
  <si>
    <t>设计师</t>
  </si>
  <si>
    <t>下单日期</t>
  </si>
  <si>
    <t>应完成日期</t>
  </si>
  <si>
    <t>实际完成日期</t>
  </si>
  <si>
    <t>产品系列</t>
  </si>
  <si>
    <t>实木</t>
  </si>
  <si>
    <t>烤漆</t>
  </si>
  <si>
    <t>吸塑</t>
  </si>
  <si>
    <t>烤漆玻璃</t>
  </si>
  <si>
    <t>三聚氢氨</t>
  </si>
  <si>
    <t>金属封边</t>
  </si>
  <si>
    <t>镶嵌拉手</t>
  </si>
  <si>
    <t>标准地柜(件)</t>
  </si>
  <si>
    <t>标准吊柜(件)</t>
  </si>
  <si>
    <t>顶线</t>
  </si>
  <si>
    <t>开槽(件)</t>
  </si>
  <si>
    <t>单管防撞条</t>
  </si>
  <si>
    <t>灯线</t>
  </si>
  <si>
    <t>序号</t>
  </si>
  <si>
    <t>工序名称</t>
  </si>
  <si>
    <t>成品数量</t>
  </si>
  <si>
    <t>完成日期</t>
  </si>
  <si>
    <t>接料日期</t>
  </si>
  <si>
    <t>主机手</t>
  </si>
  <si>
    <t>质检</t>
  </si>
  <si>
    <t>备注</t>
  </si>
  <si>
    <t>下料</t>
  </si>
  <si>
    <t>封边</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</si>
  <si>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</si>
  <si>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</si>
  <si>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</si>
  <si>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</si>
  <si>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</si>
  <si>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</si>
  <si>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</si>
  <si>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</si>
  <si>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</si>
  <si>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</si>
  <si>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</si>
  <si>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</si>
  <si>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</si>
  <si>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</si>
  <si>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</si>
  <si>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</si>
  <si>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</si>
  <si>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</si>
  <si>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</si>
  <si>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</si>
  <si>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</si>
  <si>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</si>
  <si>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</si>
  <si>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</si>
  <si>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</si>
  <si>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</si>
  <si>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订单编号</t>
  </si>
  <si>
    <t>客户名称</t>
  </si>
  <si>
    <t>下单时间</t>
  </si>
  <si>
    <t>产品款式</t>
  </si>
  <si>
    <t>设计名称</t>
  </si>
  <si>
    <t>安装时间</t>
  </si>
  <si>
    <t>图   例</t>
  </si>
  <si>
    <t>物料描述</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</si>
  <si>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</si>
  <si>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</si>
  <si>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</si>
  <si>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</si>
  <si>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</si>
  <si>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</si>
  <si>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</si>
  <si>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</si>
  <si>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</si>
  <si>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</si>
  <si>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</si>
  <si>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</si>
  <si>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</si>
  <si>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</si>
  <si>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</si>
  <si>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</si>
  <si>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数量</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</si>
  <si>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</si>
  <si>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</si>
  <si>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</si>
  <si>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</si>
  <si>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</si>
  <si>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</si>
  <si>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</si>
  <si>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</si>
  <si>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</si>
  <si>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</si>
  <si>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</si>
  <si>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</si>
  <si>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</si>
  <si>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</si>
  <si>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</si>
  <si>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</si>
  <si>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</si>
  <si>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</si>
  <si>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</si>
  <si>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</si>
  <si>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</si>
  <si>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</si>
  <si>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</si>
  <si>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</si>
  <si>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</si>
  <si>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</si>
  <si>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</si>
  <si>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</si>
  <si>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</si>
  <si>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</si>
  <si>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</si>
  <si>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</si>
  <si>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</si>
  <si>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</si>
  <si>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</si>
  <si>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</si>
  <si>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</si>
  <si>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</si>
  <si>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</si>
  <si>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</si>
  <si>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</si>
  <si>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</si>
  <si>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</si>
  <si>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</si>
  <si>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</si>
  <si>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</si>
  <si>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</si>
  <si>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</si>
  <si>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</si>
  <si>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</si>
  <si>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</si>
  <si>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</si>
  <si>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</si>
  <si>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</si>
  <si>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</si>
  <si>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</si>
  <si>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</si>
  <si>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</si>
  <si>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</si>
  <si>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</si>
  <si>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</si>
  <si>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</si>
  <si>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</si>
  <si>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</si>
  <si>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</si>
  <si>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</si>
  <si>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</si>
  <si>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</si>
  <si>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</si>
  <si>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</si>
  <si>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</si>
  <si>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</si>
  <si>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</si>
  <si>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</si>
  <si>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</si>
  <si>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</si>
  <si>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</si>
  <si>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</si>
  <si>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</si>
  <si>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</si>
  <si>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</si>
  <si>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</si>
  <si>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</si>
  <si>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</si>
  <si>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</si>
  <si>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</si>
  <si>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</si>
  <si>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</si>
  <si>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</si>
  <si>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</si>
  <si>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</si>
  <si>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</si>
  <si>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</si>
  <si>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</si>
  <si>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</si>
  <si>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</si>
  <si>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</si>
  <si>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</si>
  <si>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</si>
  <si>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</si>
  <si>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</si>
  <si>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</si>
  <si>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</si>
  <si>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</si>
  <si>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</si>
  <si>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</si>
  <si>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</si>
  <si>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</si>
  <si>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</si>
  <si>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</si>
  <si>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</si>
  <si>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</si>
  <si>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</si>
  <si>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</si>
  <si>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</si>
  <si>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</si>
  <si>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</si>
  <si>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</si>
  <si>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</si>
  <si>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</si>
  <si>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</si>
  <si>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</si>
  <si>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</si>
  <si>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</si>
  <si>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</si>
  <si>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</si>
  <si>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</si>
  <si>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</si>
  <si>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</si>
  <si>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</si>
  <si>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</si>
  <si>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</si>
  <si>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</si>
  <si>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</si>
  <si>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</si>
  <si>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</si>
  <si>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</si>
  <si>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</si>
  <si>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</si>
  <si>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</si>
  <si>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</si>
  <si>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</si>
  <si>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</si>
  <si>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</si>
  <si>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</si>
  <si>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</si>
  <si>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</si>
  <si>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</si>
  <si>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</si>
  <si>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</si>
  <si>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</si>
  <si>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</si>
  <si>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</si>
  <si>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</si>
  <si>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</si>
  <si>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</si>
  <si>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</si>
  <si>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</si>
  <si>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</si>
  <si>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</si>
  <si>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</si>
  <si>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</si>
  <si>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</si>
  <si>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</si>
  <si>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</si>
  <si>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</si>
  <si>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</si>
  <si>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</si>
  <si>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</si>
  <si>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</si>
  <si>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</si>
  <si>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</si>
  <si>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</si>
  <si>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</si>
  <si>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</si>
  <si>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</si>
  <si>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</si>
  <si>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</si>
  <si>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</si>
  <si>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</si>
  <si>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</si>
  <si>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</si>
  <si>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</si>
  <si>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</si>
  <si>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</si>
  <si>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</si>
  <si>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</si>
  <si>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</si>
  <si>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</si>
  <si>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</si>
  <si>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</si>
  <si>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</si>
  <si>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</si>
  <si>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</si>
  <si>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</si>
  <si>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</si>
  <si>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</si>
  <si>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</si>
  <si>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</si>
  <si>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</si>
  <si>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</si>
  <si>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</si>
  <si>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</si>
  <si>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</si>
  <si>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</si>
  <si>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</si>
  <si>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</si>
  <si>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</si>
  <si>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</si>
  <si>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</si>
  <si>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</si>
  <si>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</si>
  <si>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</si>
  <si>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</si>
  <si>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</si>
  <si>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家具班组转序交接表</t>
  </si>
  <si>
    <t>接单日期</t>
  </si>
  <si>
    <t>款式名称</t>
  </si>
  <si>
    <t>材质/色号</t>
  </si>
  <si>
    <t>版本型号录号</t>
  </si>
  <si>
    <t>混油</t>
  </si>
  <si>
    <t>清油</t>
  </si>
  <si>
    <t>免漆</t>
  </si>
  <si>
    <t>铝框</t>
  </si>
  <si>
    <t>产品类型</t>
  </si>
  <si>
    <t>厨浴柜</t>
  </si>
  <si>
    <t>标准地柜</t>
  </si>
  <si>
    <t>标准吊柜</t>
  </si>
  <si>
    <t>生产周期</t>
  </si>
  <si>
    <t>工段班组</t>
  </si>
  <si>
    <t>单位</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</si>
  <si>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</si>
  <si>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</si>
  <si>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</si>
  <si>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</si>
  <si>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</si>
  <si>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</si>
  <si>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</si>
  <si>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</si>
  <si>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</si>
  <si>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</si>
  <si>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</si>
  <si>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</si>
  <si>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</si>
  <si>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</si>
  <si>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</si>
  <si>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</si>
  <si>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</si>
  <si>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</si>
  <si>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</si>
  <si>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</si>
  <si>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</si>
  <si>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</si>
  <si>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</si>
  <si>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</si>
  <si>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</si>
  <si>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</si>
  <si>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</si>
  <si>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</si>
  <si>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</si>
  <si>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</si>
  <si>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</si>
  <si>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</si>
  <si>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t>门板生产作业单</t>
  </si>
  <si>
    <t>门板纹理</t>
  </si>
  <si>
    <t>厨柜</t>
  </si>
  <si>
    <t>门板封边</t>
  </si>
  <si>
    <t>2.0*22同色PVC</t>
  </si>
  <si>
    <t>版本型录号</t>
  </si>
  <si>
    <t>拉手类型</t>
  </si>
  <si>
    <t>LC-003拉手</t>
  </si>
  <si>
    <t>饰面</t>
  </si>
  <si>
    <t>款式</t>
  </si>
  <si>
    <t>总数量</t>
  </si>
  <si>
    <t>备注：T型铝封边不可使用通长铝拉手</t>
  </si>
  <si>
    <t>门板描述</t>
  </si>
  <si>
    <t>M07艺术胡桃(横纹)</t>
  </si>
  <si>
    <t>说明</t>
  </si>
  <si>
    <t>成型尺寸</t>
  </si>
  <si>
    <t>下料尺寸</t>
  </si>
  <si>
    <t>所有下料纹理方向均为高度方向</t>
  </si>
  <si>
    <t>M01-01触感浅橡(横纹)</t>
  </si>
  <si>
    <t>横纹</t>
  </si>
  <si>
    <t>触感浅橡双贴三聚氰胺E0级刨花板18*1220*2440</t>
  </si>
  <si>
    <t>浅橡PVC封边条2.0*22</t>
  </si>
  <si>
    <t>箱体序号</t>
  </si>
  <si>
    <t>宽度</t>
  </si>
  <si>
    <t>高度</t>
  </si>
  <si>
    <t>名称</t>
  </si>
  <si>
    <t>厚度</t>
  </si>
  <si>
    <t>加工备注</t>
  </si>
  <si>
    <t>材质备注</t>
  </si>
  <si>
    <t>门板四边
同色PVC封边</t>
  </si>
  <si>
    <t>T型铝封边板件
小于80时同色PVC</t>
  </si>
  <si>
    <t>LC-001铝材</t>
  </si>
  <si>
    <t>门板平米</t>
  </si>
  <si>
    <t>门板张数 
（未加出材率）</t>
  </si>
  <si>
    <t>通长铝拉手
门板封边</t>
  </si>
  <si>
    <t>通长铝拉手</t>
  </si>
  <si>
    <t>小于100板件封边</t>
  </si>
  <si>
    <t>M03-01触感红樱桃(横纹)</t>
  </si>
  <si>
    <t>触感红樱桃双贴三聚氰胺E0级刨花板18*1220*2440</t>
  </si>
  <si>
    <t>红樱桃PVC封边条2.0*22</t>
  </si>
  <si>
    <t>04A82220-19C</t>
  </si>
  <si>
    <t>门板</t>
  </si>
  <si>
    <t>M06-01触感深橡(横纹)</t>
  </si>
  <si>
    <t>触感深橡双贴三聚氰胺E0级刨花板18*1220*2440</t>
  </si>
  <si>
    <t>深橡PVC封边条2.0*22</t>
  </si>
  <si>
    <t>艺术胡桃横纹双贴三聚氰胺E0级刨花板18*1220*2440</t>
  </si>
  <si>
    <t>艺术胡桃PVC封边条2.0*22</t>
  </si>
  <si>
    <t>M54白漆木(横纹)</t>
  </si>
  <si>
    <t>白漆木双贴三聚氰胺E0级刨花板18*1220*2440</t>
  </si>
  <si>
    <t>白漆木PVC封边条2.0*22</t>
  </si>
  <si>
    <t>M55腊木(横纹)</t>
  </si>
  <si>
    <t>腊木双贴三聚氰胺E0级刨花板18*1220*2440</t>
  </si>
  <si>
    <t>腊木PVC封边条2.0*22</t>
  </si>
  <si>
    <t>M28白蜡木(横纹)</t>
  </si>
  <si>
    <t>白蜡木双贴三聚氰胺E0级刨花板18*1220*2440</t>
  </si>
  <si>
    <t>白蜡木PVC封边条2.0*22</t>
  </si>
  <si>
    <t>M29-深胡桃(横纹)</t>
  </si>
  <si>
    <t>深胡桃双贴三聚氰胺E0级刨花板18*1220*2440</t>
  </si>
  <si>
    <t>深胡桃PVC封边条2.0*22</t>
  </si>
  <si>
    <t>M30柚木(横纹)</t>
  </si>
  <si>
    <t>柚木双贴三聚氰胺E0级刨花板18*1220*2440</t>
  </si>
  <si>
    <t>柚木PVC封边条2.0*22</t>
  </si>
  <si>
    <t>M01-2浮雕浅橡(横纹)</t>
  </si>
  <si>
    <t>浅橡浮雕双贴三聚氰胺E0级刨花板18*1220*2440</t>
  </si>
  <si>
    <t>浅橡浮雕PVC封边条2.0*22</t>
  </si>
  <si>
    <t>M57横纹锯齿(横纹)</t>
  </si>
  <si>
    <t>横纹锯齿双贴三聚氰胺E0级刨花板18*1220*2440</t>
  </si>
  <si>
    <t>横纹锯齿PVC封边条2.0*22</t>
  </si>
  <si>
    <t>M56锯纹橡木(横纹)</t>
  </si>
  <si>
    <t>锯纹橡木双贴三聚氰胺E0级刨花板18*1220*2440</t>
  </si>
  <si>
    <t>锯纹橡木PVC封边条2.0*22</t>
  </si>
  <si>
    <t>M45黑檀高光(横纹)</t>
  </si>
  <si>
    <t>黑檀单面高光三聚氰胺E1级中密度板18*1220*2440</t>
  </si>
  <si>
    <t>黑檀高光PVC封边条2.0*22</t>
  </si>
  <si>
    <t>M01-01触感浅橡(竖纹)</t>
  </si>
  <si>
    <t>竖纹</t>
  </si>
  <si>
    <t>M03-01触感红樱桃(竖纹)</t>
  </si>
  <si>
    <t>M06-01触感深橡(竖纹)</t>
  </si>
  <si>
    <t>M07艺术胡桃(竖纹)</t>
  </si>
  <si>
    <t>艺术胡桃竖纹双贴三聚氰胺E0级刨花板18*1220*2440</t>
  </si>
  <si>
    <t>M54白漆木(竖纹)</t>
  </si>
  <si>
    <t>装饰板（无拉手装饰板）</t>
  </si>
  <si>
    <t>M55腊木(竖纹)</t>
  </si>
  <si>
    <t>侧板</t>
  </si>
  <si>
    <t>M28白蜡木(竖纹)</t>
  </si>
  <si>
    <t>顶底板</t>
  </si>
  <si>
    <t>M29-深胡桃(竖纹)</t>
  </si>
  <si>
    <t>固层板</t>
  </si>
  <si>
    <t>M30柚木(竖纹)</t>
  </si>
  <si>
    <t>背板</t>
  </si>
  <si>
    <t>M01-2浮雕浅橡(竖纹)</t>
  </si>
  <si>
    <t>M57横纹锯齿(竖纹)</t>
  </si>
  <si>
    <t>M56锯纹橡木(竖纹)</t>
  </si>
  <si>
    <t>M45黑檀高光(竖纹)</t>
  </si>
  <si>
    <t>M51柠檬黄</t>
  </si>
  <si>
    <t>纯色</t>
  </si>
  <si>
    <t>柠檬黄双贴三聚氰胺E0级刨花板18*1220*2440</t>
  </si>
  <si>
    <t>柠檬黄PVC封边条2.0*22</t>
  </si>
  <si>
    <t>前后挡板</t>
  </si>
  <si>
    <t>M50柠檬绿</t>
  </si>
  <si>
    <t>柠檬绿双贴三聚氰胺E0级刨花板18*1220*2440</t>
  </si>
  <si>
    <t>柠檬绿PVC封边条2.0*22</t>
  </si>
  <si>
    <t>M13荷花白</t>
  </si>
  <si>
    <t>荷花白双贴三聚氰胺E0级刨花板18*1220*2440</t>
  </si>
  <si>
    <t>荷花白PVC封边条2.0*22</t>
  </si>
  <si>
    <t>固定竖纹门板</t>
  </si>
  <si>
    <t>M42纯白高光</t>
  </si>
  <si>
    <t>纯白单面高光三聚氰胺E1级中密度板18*1220*2440</t>
  </si>
  <si>
    <t>纯白高光PVC封边条2.0*22</t>
  </si>
  <si>
    <t>M16触感铁灰</t>
  </si>
  <si>
    <t>触感铁灰双贴三聚氰胺E0级刨花板18*1220*2440</t>
  </si>
  <si>
    <t>铁灰PVC封边条2.0*22</t>
  </si>
  <si>
    <t>M11暖白</t>
  </si>
  <si>
    <t>暖白双贴三聚氰胺E0级刨花板18*1220*2440</t>
  </si>
  <si>
    <t>暖白PVC封边条2.0*22</t>
  </si>
  <si>
    <t>M12米黄</t>
  </si>
  <si>
    <t>米黄麻双贴三聚氰胺E0级刨花板18*1220*2440</t>
  </si>
  <si>
    <t>米黄麻PVC封边条2.0*22</t>
  </si>
  <si>
    <t>M44卡布奇诺高光</t>
  </si>
  <si>
    <t>卡布奇诺单面高光三聚氰胺E1级中密度板18*1220*2440</t>
  </si>
  <si>
    <t>卡布奇诺高光PVC封边条2.0*22</t>
  </si>
  <si>
    <t>拆解人</t>
  </si>
  <si>
    <t>同色PVC
封边总和</t>
  </si>
  <si>
    <t>如有材质、颜色、尺寸不明请和工艺组联系并确认！</t>
  </si>
  <si>
    <t>订单减尺</t>
  </si>
  <si>
    <t>减尺规则</t>
  </si>
  <si>
    <t>制单人：</t>
  </si>
  <si>
    <t>纯色，竖纹</t>
  </si>
  <si>
    <t>外置拉手</t>
  </si>
  <si>
    <t>备注：</t>
  </si>
  <si>
    <t>当使用通长铝拉手时，无拉手装饰板添加在装饰板位置，有拉手的同门板</t>
  </si>
  <si>
    <t>豪美丽367</t>
  </si>
  <si>
    <t>豪美丽773</t>
  </si>
  <si>
    <t>领料单——</t>
  </si>
  <si>
    <t>材料名称</t>
  </si>
  <si>
    <t>型号、规格</t>
  </si>
  <si>
    <t>项目</t>
  </si>
  <si>
    <t>装箱确认</t>
  </si>
  <si>
    <t>张</t>
  </si>
  <si>
    <t>米</t>
  </si>
  <si>
    <t>热熔胶（8803A）25公斤/袋</t>
  </si>
  <si>
    <t>克</t>
  </si>
  <si>
    <t>铝封边（氧化铝LR4115）LC-001（3米/支）</t>
  </si>
  <si>
    <t>拉手</t>
  </si>
  <si>
    <t>铝拉手（氧化铝XY-156）LC-003（3米/支）</t>
  </si>
  <si>
    <t>普施宝免钉胶（300ml/支）</t>
  </si>
  <si>
    <t>支</t>
  </si>
  <si>
    <t>外协</t>
  </si>
  <si>
    <t>配料：</t>
  </si>
  <si>
    <t>配料日期</t>
  </si>
  <si>
    <t>审核</t>
  </si>
  <si>
    <t>审核日期</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</si>
  <si>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</si>
  <si>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</si>
  <si>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</si>
  <si>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</si>
  <si>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</si>
  <si>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</si>
  <si>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</si>
  <si>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</si>
  <si>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</si>
  <si>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</si>
  <si>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</si>
  <si>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</si>
  <si>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</si>
  <si>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</si>
  <si>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</si>
  <si>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</si>
  <si>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</si>
  <si>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</si>
  <si>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</si>
  <si>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</si>
  <si>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</si>
  <si>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</si>
  <si>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</si>
  <si>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</si>
  <si>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</si>
  <si>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</si>
  <si>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</si>
  <si>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</si>
  <si>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拉篮</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</si>
  <si>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</si>
  <si>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</si>
  <si>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</si>
  <si>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</si>
  <si>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</si>
  <si>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</si>
  <si>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</si>
  <si>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</si>
  <si>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</si>
  <si>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</si>
  <si>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</si>
  <si>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</si>
  <si>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左岸都市II</t>
  </si>
  <si>
    <t>PVC</t>
  </si>
  <si>
    <t>3+1</t>
  </si>
  <si>
    <t>简爱I</t>
  </si>
  <si>
    <t>简爱II</t>
  </si>
  <si>
    <t>门板颜色</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</si>
  <si>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</si>
  <si>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</si>
  <si>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</si>
  <si>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</si>
  <si>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</si>
  <si>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</si>
  <si>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</si>
  <si>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</si>
  <si>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</si>
  <si>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</si>
  <si>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</si>
  <si>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</si>
  <si>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</si>
  <si>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</si>
  <si>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</si>
  <si>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</si>
  <si>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荷花白双贴三聚氰胺E0级刨花板</t>
  </si>
  <si>
    <r>
      <rPr>
        <sz val="12"/>
        <rFont val="宋体"/>
        <charset val="134"/>
      </rPr>
      <t>2.0*22荷花白</t>
    </r>
    <r>
      <rPr>
        <sz val="12"/>
        <rFont val="宋体"/>
        <charset val="134"/>
      </rPr>
      <t>PVC</t>
    </r>
  </si>
  <si>
    <t>M16触感铁灰+2.0*22铁灰PVC</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</si>
  <si>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</si>
  <si>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</si>
  <si>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</si>
  <si>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</si>
  <si>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</si>
  <si>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</si>
  <si>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</si>
  <si>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</si>
  <si>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</si>
  <si>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</si>
  <si>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</si>
  <si>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</si>
  <si>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</si>
  <si>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</si>
  <si>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</si>
  <si>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</si>
  <si>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</si>
  <si>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</si>
  <si>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</si>
  <si>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</si>
  <si>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</si>
  <si>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</si>
  <si>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</si>
  <si>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</si>
  <si>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</si>
  <si>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</si>
  <si>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</si>
  <si>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</si>
  <si>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</si>
  <si>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</si>
  <si>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</si>
  <si>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</si>
  <si>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</si>
  <si>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</si>
  <si>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</si>
  <si>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</si>
  <si>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</si>
  <si>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</si>
  <si>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</si>
  <si>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</si>
  <si>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</si>
  <si>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</si>
  <si>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对纹</t>
  </si>
  <si>
    <t>木业有限公司工艺材料单(门板)</t>
  </si>
  <si>
    <t>款式：</t>
  </si>
  <si>
    <t>安装日期：</t>
  </si>
  <si>
    <t>型号.规格.颜色</t>
  </si>
  <si>
    <t>门板顶线罗马柱</t>
  </si>
  <si>
    <t>18*4*8</t>
  </si>
  <si>
    <t>门板加工辅助材料</t>
  </si>
  <si>
    <r>
      <rPr>
        <sz val="12"/>
        <color indexed="10"/>
        <rFont val="宋体"/>
        <charset val="134"/>
      </rPr>
      <t>L</t>
    </r>
    <r>
      <rPr>
        <sz val="12"/>
        <color indexed="10"/>
        <rFont val="宋体"/>
        <charset val="134"/>
      </rPr>
      <t>C-003</t>
    </r>
  </si>
  <si>
    <t>普施宝免钉胶</t>
  </si>
  <si>
    <t>瓶</t>
  </si>
  <si>
    <t>配料日期：</t>
  </si>
  <si>
    <t>审核日期：</t>
  </si>
  <si>
    <t>木业生产线工序交接表（橱柜油漆门板）</t>
  </si>
  <si>
    <t>共</t>
  </si>
  <si>
    <t>套</t>
  </si>
  <si>
    <t>色诱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</si>
  <si>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</si>
  <si>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</si>
  <si>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</si>
  <si>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</si>
  <si>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</si>
  <si>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</si>
  <si>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</si>
  <si>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</si>
  <si>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</si>
  <si>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</si>
  <si>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</si>
  <si>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</si>
  <si>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</si>
  <si>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</si>
  <si>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</si>
  <si>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</si>
  <si>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</si>
  <si>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</si>
  <si>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</si>
  <si>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</si>
  <si>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色号</t>
  </si>
  <si>
    <t>加工工序</t>
  </si>
  <si>
    <t>加工方式</t>
  </si>
  <si>
    <t>单次定额
g/㎡</t>
  </si>
  <si>
    <t>次数</t>
  </si>
  <si>
    <t>材料型号</t>
  </si>
  <si>
    <t>配比</t>
  </si>
  <si>
    <t>用量</t>
  </si>
  <si>
    <t>主剂</t>
  </si>
  <si>
    <t>固化剂</t>
  </si>
  <si>
    <t>稀料（冬/夏）</t>
  </si>
  <si>
    <t>修色剂</t>
  </si>
  <si>
    <t>稀释剂</t>
  </si>
  <si>
    <t>规格</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</si>
  <si>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</si>
  <si>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</si>
  <si>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</si>
  <si>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</si>
  <si>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</si>
  <si>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</si>
  <si>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</si>
  <si>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</si>
  <si>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</si>
  <si>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</si>
  <si>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</si>
  <si>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</si>
  <si>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</si>
  <si>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</si>
  <si>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</si>
  <si>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</si>
  <si>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</si>
  <si>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</si>
  <si>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</si>
  <si>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</si>
  <si>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</si>
  <si>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</si>
  <si>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</si>
  <si>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</si>
  <si>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</si>
  <si>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</si>
  <si>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</si>
  <si>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</si>
  <si>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</si>
  <si>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</si>
  <si>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</si>
  <si>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</si>
  <si>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</si>
  <si>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</si>
  <si>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</si>
  <si>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</si>
  <si>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</si>
  <si>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</si>
  <si>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</si>
  <si>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</si>
  <si>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</si>
  <si>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</si>
  <si>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</si>
  <si>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</si>
  <si>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</si>
  <si>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</si>
  <si>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</si>
  <si>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</si>
  <si>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</si>
  <si>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</si>
  <si>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</si>
  <si>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</si>
  <si>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</si>
  <si>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</si>
  <si>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</si>
  <si>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</si>
  <si>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</si>
  <si>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</si>
  <si>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</si>
  <si>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</si>
  <si>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</si>
  <si>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</si>
  <si>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</si>
  <si>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</si>
  <si>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</si>
  <si>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</si>
  <si>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</si>
  <si>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</si>
  <si>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</si>
  <si>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</si>
  <si>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</si>
  <si>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</si>
  <si>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</si>
  <si>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</si>
  <si>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</si>
  <si>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</si>
  <si>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</si>
  <si>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</si>
  <si>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</si>
  <si>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</si>
  <si>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</si>
  <si>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</si>
  <si>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订单编号：</t>
  </si>
  <si>
    <t>安装日期</t>
  </si>
  <si>
    <t xml:space="preserve"> </t>
  </si>
  <si>
    <t>浅胡桃-山纹-N04-V</t>
  </si>
  <si>
    <t>双面实木贴皮：</t>
  </si>
  <si>
    <t>3分光</t>
  </si>
  <si>
    <t>左岸都市I</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</si>
  <si>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</si>
  <si>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</si>
  <si>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</si>
  <si>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</si>
  <si>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</si>
  <si>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</si>
  <si>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</si>
  <si>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</si>
  <si>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</si>
  <si>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</si>
  <si>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</si>
  <si>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</si>
  <si>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</si>
  <si>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</si>
  <si>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</si>
  <si>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</si>
  <si>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</si>
  <si>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橱柜款式：</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</si>
  <si>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</si>
  <si>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</si>
  <si>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</si>
  <si>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</si>
  <si>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</si>
  <si>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</si>
  <si>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</si>
  <si>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</si>
  <si>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</si>
  <si>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</si>
  <si>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</si>
  <si>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</si>
  <si>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</si>
  <si>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</si>
  <si>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</si>
  <si>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</si>
  <si>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</si>
  <si>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</si>
  <si>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</si>
  <si>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</si>
  <si>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</si>
  <si>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</si>
  <si>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</si>
  <si>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</si>
  <si>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</si>
  <si>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</si>
  <si>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</si>
  <si>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</si>
  <si>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</si>
  <si>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</si>
  <si>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</si>
  <si>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</si>
  <si>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</si>
  <si>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</si>
  <si>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</si>
  <si>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</si>
  <si>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</si>
  <si>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</si>
  <si>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</si>
  <si>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</si>
  <si>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</si>
  <si>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</si>
  <si>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</si>
  <si>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</si>
  <si>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</si>
  <si>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</si>
  <si>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</si>
  <si>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</si>
  <si>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</si>
  <si>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</si>
  <si>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</si>
  <si>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</si>
  <si>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</si>
  <si>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</si>
  <si>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</si>
  <si>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</si>
  <si>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</si>
  <si>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</si>
  <si>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</si>
  <si>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</si>
  <si>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</si>
  <si>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</si>
  <si>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</si>
  <si>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</si>
  <si>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</si>
  <si>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</si>
  <si>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</si>
  <si>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</si>
  <si>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</si>
  <si>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</si>
  <si>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</si>
  <si>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</si>
  <si>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</si>
  <si>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</si>
  <si>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</si>
  <si>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</si>
  <si>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</si>
  <si>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</si>
  <si>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</si>
  <si>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</si>
  <si>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</si>
  <si>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</si>
  <si>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</si>
  <si>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</si>
  <si>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</si>
  <si>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</si>
  <si>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</si>
  <si>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</si>
  <si>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</si>
  <si>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</si>
  <si>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</si>
  <si>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</si>
  <si>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</si>
  <si>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</si>
  <si>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</si>
  <si>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</si>
  <si>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</si>
  <si>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</si>
  <si>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</si>
  <si>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</si>
  <si>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</si>
  <si>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</si>
  <si>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</si>
  <si>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</si>
  <si>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</si>
  <si>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</si>
  <si>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</si>
  <si>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</si>
  <si>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城市：</t>
  </si>
  <si>
    <t>宽</t>
  </si>
  <si>
    <t>高</t>
  </si>
  <si>
    <t>柜型</t>
  </si>
  <si>
    <t>≤150</t>
  </si>
  <si>
    <t>地柜</t>
  </si>
  <si>
    <t>150宽柜体门板扣盖</t>
  </si>
  <si>
    <t>只</t>
  </si>
  <si>
    <t>2MM厚EPE保护膜（1150宽）</t>
  </si>
  <si>
    <t>151-450</t>
  </si>
  <si>
    <t>吊/地柜</t>
  </si>
  <si>
    <t>300-450宽柜体门板扣盖</t>
  </si>
  <si>
    <t>平板苯板（10mm厚苯板）2000*10*1000</t>
  </si>
  <si>
    <t>玻璃门板用</t>
  </si>
  <si>
    <t>451-600</t>
  </si>
  <si>
    <t>500-600宽柜体门板扣盖</t>
  </si>
  <si>
    <t>601-900</t>
  </si>
  <si>
    <t>800-900宽柜体门板扣盖</t>
  </si>
  <si>
    <t>901-1200</t>
  </si>
  <si>
    <t>1000-1200宽柜体门板扣盖</t>
  </si>
  <si>
    <t>半高柜</t>
  </si>
  <si>
    <t>450-600</t>
  </si>
  <si>
    <t>高柜</t>
  </si>
  <si>
    <t>600-2160宽柜体门板扣盖</t>
  </si>
  <si>
    <t>背板、层板、踢脚板、顶线、罗马柱、装饰板类</t>
  </si>
  <si>
    <t>图兰朵</t>
  </si>
  <si>
    <t>1--10个</t>
  </si>
  <si>
    <t>包装纸板1500mm*2400mm</t>
  </si>
  <si>
    <t>平板苯板（10mm厚苯板）1900*10*400</t>
  </si>
  <si>
    <t>本地衣帽间180高护角240*360</t>
  </si>
  <si>
    <t>个</t>
  </si>
  <si>
    <t>L型苯板护角（15mm厚）120*1000*120</t>
  </si>
  <si>
    <t>根</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</si>
  <si>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</si>
  <si>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</si>
  <si>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</si>
  <si>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</si>
  <si>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</si>
  <si>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</si>
  <si>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</si>
  <si>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</si>
  <si>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</si>
  <si>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</si>
  <si>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</si>
  <si>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</si>
  <si>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</si>
  <si>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</si>
  <si>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</si>
  <si>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</si>
  <si>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</si>
  <si>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吊柜</t>
  </si>
  <si>
    <t>600宽吊柜一片成型包装箱</t>
  </si>
  <si>
    <t>900宽吊柜一片成型包装箱</t>
  </si>
  <si>
    <t>1200宽地柜柜一片成型包装箱</t>
  </si>
  <si>
    <t>450    600</t>
  </si>
  <si>
    <t>含门板包装材料</t>
  </si>
  <si>
    <t>600*2160高柜一片成型包装箱</t>
  </si>
  <si>
    <t>外地整包包装（抽屉柜、拉篮柜）</t>
  </si>
  <si>
    <t>拉篮柜</t>
  </si>
  <si>
    <t>150宽拉篮柜对口包装箱</t>
  </si>
  <si>
    <t>大护角</t>
  </si>
  <si>
    <t>拉篮柜
抽屉柜</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</si>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</sst>
</file>

<file path=xl/styles.xml><?xml version="1.0" encoding="utf-8"?>
<styleSheet xmlns="http://schemas.openxmlformats.org/spreadsheetml/2006/main">
  <numFmts count="12">
    <numFmt numFmtId="41" formatCode="_ * #,##0_ ;_ * \-#,##0_ ;_ * &quot;-&quot;_ ;_ @_ "/>
    <numFmt numFmtId="176" formatCode="[$-F800]dddd\,\ mmmm\ dd\,\ yyyy"/>
    <numFmt numFmtId="177" formatCode="0.0_);[Red]\(0.0\)"/>
    <numFmt numFmtId="178" formatCode="yyyy&quot;年&quot;m&quot;月&quot;d&quot;日&quot;;@"/>
    <numFmt numFmtId="179" formatCode="0.00_ "/>
    <numFmt numFmtId="44" formatCode="_ &quot;￥&quot;* #,##0.00_ ;_ &quot;￥&quot;* \-#,##0.00_ ;_ &quot;￥&quot;* &quot;-&quot;??_ ;_ @_ "/>
    <numFmt numFmtId="42" formatCode="_ &quot;￥&quot;* #,##0_ ;_ &quot;￥&quot;* \-#,##0_ ;_ &quot;￥&quot;* &quot;-&quot;_ ;_ @_ "/>
    <numFmt numFmtId="180" formatCode="0.00_);[Red]\(0.00\)"/>
    <numFmt numFmtId="43" formatCode="_ * #,##0.00_ ;_ * \-#,##0.00_ ;_ * &quot;-&quot;??_ ;_ @_ "/>
    <numFmt numFmtId="181" formatCode="0.0"/>
    <numFmt numFmtId="182" formatCode="0_ "/>
    <numFmt numFmtId="183" formatCode="0.0_ "/>
  </numFmts>
  <fonts count="88">
    <font>
      <sz val="12"/>
      <name val="宋体"/>
      <charset val="134"/>
    </font>
    <font>
      <sz val="12"/>
      <name val="宋体"/>
      <charset val="134"/>
      <scheme val="minor"/>
    </font>
    <font>
      <sz val="10"/>
      <name val="宋体"/>
      <charset val="134"/>
      <scheme val="minor"/>
    </font>
    <font>
      <sz val="16"/>
      <name val="宋体"/>
      <charset val="134"/>
      <scheme val="minor"/>
    </font>
    <font>
      <sz val="10"/>
      <color theme="1"/>
      <name val="宋体"/>
      <charset val="134"/>
      <scheme val="minor"/>
    </font>
    <font>
      <sz val="10"/>
      <color rgb="FFFF0000"/>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9"/>
      <name val="微软雅黑"/>
      <charset val="134"/>
    </font>
    <font>
      <sz val="9"/>
      <color rgb="FFFF0000"/>
      <name val="微软雅黑"/>
      <charset val="134"/>
    </font>
    <font>
      <sz val="10"/>
      <color theme="1"/>
      <name val="宋体"/>
      <charset val="134"/>
    </font>
    <font>
      <sz val="10"/>
      <name val="Times New Roman"/>
      <charset val="134"/>
    </font>
    <font>
      <sz val="10"/>
      <color indexed="10"/>
      <name val="宋体"/>
      <charset val="134"/>
    </font>
    <font>
      <sz val="10"/>
      <name val="微软雅黑"/>
      <charset val="134"/>
    </font>
    <font>
      <b/>
      <sz val="12"/>
      <name val="微软雅黑"/>
      <charset val="134"/>
    </font>
    <font>
      <sz val="10"/>
      <color indexed="10"/>
      <name val="微软雅黑"/>
      <charset val="134"/>
    </font>
    <font>
      <b/>
      <i/>
      <sz val="10"/>
      <name val="微软雅黑"/>
      <charset val="134"/>
    </font>
    <font>
      <sz val="10"/>
      <color rgb="FFFF0000"/>
      <name val="微软雅黑"/>
      <charset val="134"/>
    </font>
    <font>
      <b/>
      <sz val="10"/>
      <color theme="1"/>
      <name val="宋体"/>
      <charset val="134"/>
      <scheme val="minor"/>
    </font>
    <font>
      <sz val="11"/>
      <color theme="1"/>
      <name val="宋体"/>
      <charset val="134"/>
      <scheme val="minor"/>
    </font>
    <font>
      <b/>
      <sz val="12"/>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b/>
      <sz val="11"/>
      <color theme="3"/>
      <name val="宋体"/>
      <charset val="134"/>
      <scheme val="minor"/>
    </font>
    <font>
      <sz val="11"/>
      <color rgb="FF3F3F76"/>
      <name val="宋体"/>
      <charset val="0"/>
      <scheme val="minor"/>
    </font>
    <font>
      <b/>
      <sz val="11"/>
      <color rgb="FF3F3F3F"/>
      <name val="宋体"/>
      <charset val="0"/>
      <scheme val="minor"/>
    </font>
    <font>
      <sz val="9"/>
      <color indexed="20"/>
      <name val="宋体"/>
      <charset val="134"/>
    </font>
    <font>
      <b/>
      <sz val="15"/>
      <color theme="3"/>
      <name val="宋体"/>
      <charset val="134"/>
      <scheme val="minor"/>
    </font>
    <font>
      <u/>
      <sz val="11"/>
      <color rgb="FF0000FF"/>
      <name val="宋体"/>
      <charset val="0"/>
      <scheme val="minor"/>
    </font>
    <font>
      <u/>
      <sz val="11"/>
      <color rgb="FF800080"/>
      <name val="宋体"/>
      <charset val="0"/>
      <scheme val="minor"/>
    </font>
    <font>
      <sz val="9"/>
      <color indexed="17"/>
      <name val="宋体"/>
      <charset val="134"/>
    </font>
    <font>
      <i/>
      <sz val="11"/>
      <color rgb="FF7F7F7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b/>
      <sz val="13"/>
      <color theme="3"/>
      <name val="宋体"/>
      <charset val="134"/>
      <scheme val="minor"/>
    </font>
    <font>
      <b/>
      <sz val="11"/>
      <color rgb="FFFFFFFF"/>
      <name val="宋体"/>
      <charset val="0"/>
      <scheme val="minor"/>
    </font>
    <font>
      <sz val="11"/>
      <color rgb="FF006100"/>
      <name val="宋体"/>
      <charset val="0"/>
      <scheme val="minor"/>
    </font>
    <font>
      <sz val="9"/>
      <color theme="1"/>
      <name val="宋体"/>
      <charset val="134"/>
    </font>
    <font>
      <sz val="8"/>
      <color indexed="8"/>
      <name val="微软雅黑"/>
      <charset val="134"/>
    </font>
    <font>
      <sz val="14"/>
      <name val="华文中宋"/>
      <charset val="134"/>
    </font>
    <font>
      <b/>
      <sz val="10"/>
      <color theme="1"/>
      <name val="宋体"/>
      <charset val="134"/>
    </font>
    <font>
      <b/>
      <vertAlign val="superscript"/>
      <sz val="10"/>
      <color indexed="8"/>
      <name val="宋体"/>
      <charset val="134"/>
    </font>
    <font>
      <b/>
      <sz val="10"/>
      <color indexed="8"/>
      <name val="宋体"/>
      <charset val="134"/>
    </font>
    <font>
      <sz val="10"/>
      <color indexed="8"/>
      <name val="宋体"/>
      <charset val="134"/>
    </font>
  </fonts>
  <fills count="48">
    <fill>
      <patternFill patternType="none"/>
    </fill>
    <fill>
      <patternFill patternType="gray125"/>
    </fill>
    <fill>
      <patternFill patternType="solid">
        <fgColor theme="8" tint="0.799981688894314"/>
        <bgColor indexed="64"/>
      </patternFill>
    </fill>
    <fill>
      <patternFill patternType="solid">
        <fgColor theme="9" tint="0.599993896298105"/>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rgb="FFF2F2F2"/>
        <bgColor indexed="64"/>
      </patternFill>
    </fill>
    <fill>
      <patternFill patternType="solid">
        <fgColor indexed="45"/>
        <bgColor indexed="64"/>
      </patternFill>
    </fill>
    <fill>
      <patternFill patternType="solid">
        <fgColor theme="8"/>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indexed="42"/>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7" tint="0.799981688894314"/>
        <bgColor indexed="64"/>
      </patternFill>
    </fill>
  </fills>
  <borders count="10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right style="thin">
        <color auto="1"/>
      </right>
      <top style="thin">
        <color auto="1"/>
      </top>
      <bottom style="hair">
        <color rgb="FF000000"/>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hair">
        <color auto="1"/>
      </left>
      <right/>
      <top/>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89">
    <xf numFmtId="0" fontId="0" fillId="0" borderId="0">
      <alignment vertical="center"/>
    </xf>
    <xf numFmtId="42" fontId="52" fillId="0" borderId="0" applyFont="0" applyFill="0" applyBorder="0" applyAlignment="0" applyProtection="0">
      <alignment vertical="center"/>
    </xf>
    <xf numFmtId="0" fontId="61" fillId="22" borderId="0" applyNumberFormat="0" applyBorder="0" applyAlignment="0" applyProtection="0">
      <alignment vertical="center"/>
    </xf>
    <xf numFmtId="0" fontId="66" fillId="28" borderId="99" applyNumberFormat="0" applyAlignment="0" applyProtection="0">
      <alignment vertical="center"/>
    </xf>
    <xf numFmtId="44" fontId="52" fillId="0" borderId="0" applyFont="0" applyFill="0" applyBorder="0" applyAlignment="0" applyProtection="0">
      <alignment vertical="center"/>
    </xf>
    <xf numFmtId="41" fontId="52" fillId="0" borderId="0" applyFont="0" applyFill="0" applyBorder="0" applyAlignment="0" applyProtection="0">
      <alignment vertical="center"/>
    </xf>
    <xf numFmtId="0" fontId="61" fillId="26" borderId="0" applyNumberFormat="0" applyBorder="0" applyAlignment="0" applyProtection="0">
      <alignment vertical="center"/>
    </xf>
    <xf numFmtId="0" fontId="62" fillId="19" borderId="0" applyNumberFormat="0" applyBorder="0" applyAlignment="0" applyProtection="0">
      <alignment vertical="center"/>
    </xf>
    <xf numFmtId="43" fontId="52" fillId="0" borderId="0" applyFont="0" applyFill="0" applyBorder="0" applyAlignment="0" applyProtection="0">
      <alignment vertical="center"/>
    </xf>
    <xf numFmtId="0" fontId="60" fillId="33" borderId="0" applyNumberFormat="0" applyBorder="0" applyAlignment="0" applyProtection="0">
      <alignment vertical="center"/>
    </xf>
    <xf numFmtId="0" fontId="70" fillId="0" borderId="0" applyNumberFormat="0" applyFill="0" applyBorder="0" applyAlignment="0" applyProtection="0">
      <alignment vertical="center"/>
    </xf>
    <xf numFmtId="9" fontId="52" fillId="0" borderId="0" applyFont="0" applyFill="0" applyBorder="0" applyAlignment="0" applyProtection="0">
      <alignment vertical="center"/>
    </xf>
    <xf numFmtId="0" fontId="71" fillId="0" borderId="0" applyNumberFormat="0" applyFill="0" applyBorder="0" applyAlignment="0" applyProtection="0">
      <alignment vertical="center"/>
    </xf>
    <xf numFmtId="0" fontId="52" fillId="21" borderId="97" applyNumberFormat="0" applyFont="0" applyAlignment="0" applyProtection="0">
      <alignment vertical="center"/>
    </xf>
    <xf numFmtId="0" fontId="52" fillId="0" borderId="0">
      <alignment vertical="center"/>
    </xf>
    <xf numFmtId="0" fontId="74" fillId="0" borderId="0" applyNumberFormat="0" applyFill="0" applyBorder="0" applyAlignment="0" applyProtection="0">
      <alignment vertical="center"/>
    </xf>
    <xf numFmtId="0" fontId="25" fillId="0" borderId="0">
      <alignment vertical="center"/>
    </xf>
    <xf numFmtId="0" fontId="60" fillId="35" borderId="0" applyNumberFormat="0" applyBorder="0" applyAlignment="0" applyProtection="0">
      <alignment vertical="center"/>
    </xf>
    <xf numFmtId="0" fontId="6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0" fillId="0" borderId="0">
      <alignment vertical="center"/>
    </xf>
    <xf numFmtId="0" fontId="0" fillId="0" borderId="0"/>
    <xf numFmtId="0" fontId="73" fillId="0" borderId="0" applyNumberFormat="0" applyFill="0" applyBorder="0" applyAlignment="0" applyProtection="0">
      <alignment vertical="center"/>
    </xf>
    <xf numFmtId="0" fontId="69" fillId="0" borderId="101" applyNumberFormat="0" applyFill="0" applyAlignment="0" applyProtection="0">
      <alignment vertical="center"/>
    </xf>
    <xf numFmtId="0" fontId="78" fillId="0" borderId="101" applyNumberFormat="0" applyFill="0" applyAlignment="0" applyProtection="0">
      <alignment vertical="center"/>
    </xf>
    <xf numFmtId="0" fontId="60" fillId="39" borderId="0" applyNumberFormat="0" applyBorder="0" applyAlignment="0" applyProtection="0">
      <alignment vertical="center"/>
    </xf>
    <xf numFmtId="0" fontId="65" fillId="0" borderId="102" applyNumberFormat="0" applyFill="0" applyAlignment="0" applyProtection="0">
      <alignment vertical="center"/>
    </xf>
    <xf numFmtId="0" fontId="60" fillId="25" borderId="0" applyNumberFormat="0" applyBorder="0" applyAlignment="0" applyProtection="0">
      <alignment vertical="center"/>
    </xf>
    <xf numFmtId="0" fontId="67" fillId="30" borderId="100" applyNumberFormat="0" applyAlignment="0" applyProtection="0">
      <alignment vertical="center"/>
    </xf>
    <xf numFmtId="0" fontId="75" fillId="30" borderId="99" applyNumberFormat="0" applyAlignment="0" applyProtection="0">
      <alignment vertical="center"/>
    </xf>
    <xf numFmtId="0" fontId="79" fillId="43" borderId="104" applyNumberFormat="0" applyAlignment="0" applyProtection="0">
      <alignment vertical="center"/>
    </xf>
    <xf numFmtId="0" fontId="61" fillId="40" borderId="0" applyNumberFormat="0" applyBorder="0" applyAlignment="0" applyProtection="0">
      <alignment vertical="center"/>
    </xf>
    <xf numFmtId="0" fontId="60" fillId="24" borderId="0" applyNumberFormat="0" applyBorder="0" applyAlignment="0" applyProtection="0">
      <alignment vertical="center"/>
    </xf>
    <xf numFmtId="0" fontId="64" fillId="0" borderId="98" applyNumberFormat="0" applyFill="0" applyAlignment="0" applyProtection="0">
      <alignment vertical="center"/>
    </xf>
    <xf numFmtId="0" fontId="77" fillId="0" borderId="103" applyNumberFormat="0" applyFill="0" applyAlignment="0" applyProtection="0">
      <alignment vertical="center"/>
    </xf>
    <xf numFmtId="0" fontId="80" fillId="46" borderId="0" applyNumberFormat="0" applyBorder="0" applyAlignment="0" applyProtection="0">
      <alignment vertical="center"/>
    </xf>
    <xf numFmtId="0" fontId="0" fillId="0" borderId="0"/>
    <xf numFmtId="0" fontId="63" fillId="20" borderId="0" applyNumberFormat="0" applyBorder="0" applyAlignment="0" applyProtection="0">
      <alignment vertical="center"/>
    </xf>
    <xf numFmtId="0" fontId="61" fillId="2" borderId="0" applyNumberFormat="0" applyBorder="0" applyAlignment="0" applyProtection="0">
      <alignment vertical="center"/>
    </xf>
    <xf numFmtId="0" fontId="60" fillId="23" borderId="0" applyNumberFormat="0" applyBorder="0" applyAlignment="0" applyProtection="0">
      <alignment vertical="center"/>
    </xf>
    <xf numFmtId="0" fontId="0" fillId="0" borderId="0"/>
    <xf numFmtId="0" fontId="61" fillId="34" borderId="0" applyNumberFormat="0" applyBorder="0" applyAlignment="0" applyProtection="0">
      <alignment vertical="center"/>
    </xf>
    <xf numFmtId="0" fontId="61" fillId="38" borderId="0" applyNumberFormat="0" applyBorder="0" applyAlignment="0" applyProtection="0">
      <alignment vertical="center"/>
    </xf>
    <xf numFmtId="0" fontId="61" fillId="10" borderId="0" applyNumberFormat="0" applyBorder="0" applyAlignment="0" applyProtection="0">
      <alignment vertical="center"/>
    </xf>
    <xf numFmtId="0" fontId="61" fillId="36" borderId="0" applyNumberFormat="0" applyBorder="0" applyAlignment="0" applyProtection="0">
      <alignment vertical="center"/>
    </xf>
    <xf numFmtId="0" fontId="60" fillId="18" borderId="0" applyNumberFormat="0" applyBorder="0" applyAlignment="0" applyProtection="0">
      <alignment vertical="center"/>
    </xf>
    <xf numFmtId="0" fontId="60" fillId="41" borderId="0" applyNumberFormat="0" applyBorder="0" applyAlignment="0" applyProtection="0">
      <alignment vertical="center"/>
    </xf>
    <xf numFmtId="0" fontId="61" fillId="47" borderId="0" applyNumberFormat="0" applyBorder="0" applyAlignment="0" applyProtection="0">
      <alignment vertical="center"/>
    </xf>
    <xf numFmtId="0" fontId="61" fillId="45" borderId="0" applyNumberFormat="0" applyBorder="0" applyAlignment="0" applyProtection="0">
      <alignment vertical="center"/>
    </xf>
    <xf numFmtId="0" fontId="60" fillId="32" borderId="0" applyNumberFormat="0" applyBorder="0" applyAlignment="0" applyProtection="0">
      <alignment vertical="center"/>
    </xf>
    <xf numFmtId="0" fontId="0" fillId="0" borderId="0">
      <alignment vertical="center"/>
    </xf>
    <xf numFmtId="0" fontId="61" fillId="29" borderId="0" applyNumberFormat="0" applyBorder="0" applyAlignment="0" applyProtection="0">
      <alignment vertical="center"/>
    </xf>
    <xf numFmtId="0" fontId="60" fillId="44" borderId="0" applyNumberFormat="0" applyBorder="0" applyAlignment="0" applyProtection="0">
      <alignment vertical="center"/>
    </xf>
    <xf numFmtId="0" fontId="60" fillId="42" borderId="0" applyNumberFormat="0" applyBorder="0" applyAlignment="0" applyProtection="0">
      <alignment vertical="center"/>
    </xf>
    <xf numFmtId="0" fontId="0" fillId="0" borderId="0">
      <alignment vertical="center"/>
    </xf>
    <xf numFmtId="0" fontId="0" fillId="0" borderId="0"/>
    <xf numFmtId="0" fontId="61" fillId="3" borderId="0" applyNumberFormat="0" applyBorder="0" applyAlignment="0" applyProtection="0">
      <alignment vertical="center"/>
    </xf>
    <xf numFmtId="0" fontId="0" fillId="0" borderId="0"/>
    <xf numFmtId="0" fontId="60" fillId="27" borderId="0" applyNumberFormat="0" applyBorder="0" applyAlignment="0" applyProtection="0">
      <alignment vertical="center"/>
    </xf>
    <xf numFmtId="0" fontId="52" fillId="0" borderId="0">
      <alignment vertical="center"/>
    </xf>
    <xf numFmtId="0" fontId="68" fillId="31" borderId="0" applyNumberFormat="0" applyBorder="0" applyAlignment="0" applyProtection="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0" fillId="0" borderId="0"/>
    <xf numFmtId="0" fontId="52" fillId="0" borderId="0">
      <alignment vertical="center"/>
    </xf>
    <xf numFmtId="0" fontId="81" fillId="0" borderId="0">
      <alignment vertical="center"/>
    </xf>
    <xf numFmtId="0" fontId="0" fillId="0" borderId="0"/>
    <xf numFmtId="0" fontId="81"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0" fillId="0" borderId="0"/>
    <xf numFmtId="0" fontId="52" fillId="0" borderId="0">
      <alignment vertical="center"/>
    </xf>
    <xf numFmtId="0" fontId="52" fillId="0" borderId="0">
      <alignment vertical="center"/>
    </xf>
    <xf numFmtId="0" fontId="52" fillId="0" borderId="0">
      <alignment vertical="center"/>
    </xf>
    <xf numFmtId="0" fontId="0" fillId="0" borderId="0"/>
    <xf numFmtId="0" fontId="0" fillId="0" borderId="0"/>
    <xf numFmtId="0" fontId="0" fillId="0" borderId="0"/>
    <xf numFmtId="0" fontId="0" fillId="0" borderId="0"/>
    <xf numFmtId="0" fontId="0" fillId="0" borderId="0"/>
    <xf numFmtId="0" fontId="25" fillId="0" borderId="0">
      <alignment vertical="center"/>
    </xf>
    <xf numFmtId="0" fontId="72" fillId="37" borderId="0" applyNumberFormat="0" applyBorder="0" applyAlignment="0" applyProtection="0">
      <alignment vertical="center"/>
    </xf>
    <xf numFmtId="0" fontId="72" fillId="37" borderId="0" applyNumberFormat="0" applyBorder="0" applyAlignment="0" applyProtection="0">
      <alignment vertical="center"/>
    </xf>
  </cellStyleXfs>
  <cellXfs count="908">
    <xf numFmtId="0" fontId="0" fillId="0" borderId="0" xfId="0">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178" fontId="2" fillId="2" borderId="1" xfId="0" applyNumberFormat="1" applyFont="1" applyFill="1" applyBorder="1" applyAlignment="1">
      <alignment horizontal="center" vertical="center"/>
    </xf>
    <xf numFmtId="176" fontId="2"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 fillId="3" borderId="7" xfId="0" applyFont="1" applyFill="1" applyBorder="1" applyAlignment="1">
      <alignment horizontal="left" vertical="center"/>
    </xf>
    <xf numFmtId="0" fontId="5" fillId="4"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78" fontId="2" fillId="2" borderId="0" xfId="0" applyNumberFormat="1" applyFont="1" applyFill="1" applyBorder="1" applyAlignment="1">
      <alignment horizontal="center" vertical="center"/>
    </xf>
    <xf numFmtId="0" fontId="4" fillId="0" borderId="1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lignment vertical="center"/>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58" fontId="1" fillId="0" borderId="1"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2" fillId="0" borderId="2" xfId="0" applyFont="1" applyFill="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2" fillId="0" borderId="5" xfId="0" applyFont="1" applyFill="1" applyBorder="1" applyAlignment="1">
      <alignment horizontal="center" vertical="center"/>
    </xf>
    <xf numFmtId="0" fontId="4" fillId="0" borderId="2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 fillId="3" borderId="21" xfId="0" applyFont="1" applyFill="1" applyBorder="1" applyAlignment="1">
      <alignment horizontal="left" vertical="center"/>
    </xf>
    <xf numFmtId="0" fontId="1" fillId="0" borderId="0" xfId="0" applyFont="1" applyFill="1" applyBorder="1" applyAlignment="1">
      <alignment horizontal="center" vertical="center"/>
    </xf>
    <xf numFmtId="0" fontId="1" fillId="3" borderId="0" xfId="0" applyFont="1" applyFill="1" applyBorder="1">
      <alignment vertical="center"/>
    </xf>
    <xf numFmtId="0" fontId="2" fillId="0" borderId="1" xfId="0" applyFont="1" applyFill="1" applyBorder="1" applyAlignment="1">
      <alignment horizontal="center" vertical="center" wrapText="1"/>
    </xf>
    <xf numFmtId="0" fontId="1" fillId="3" borderId="0" xfId="0" applyFont="1" applyFill="1" applyBorder="1" applyAlignment="1">
      <alignment horizontal="center" vertical="center"/>
    </xf>
    <xf numFmtId="0" fontId="7" fillId="0" borderId="0" xfId="55" applyFont="1"/>
    <xf numFmtId="0" fontId="0" fillId="0" borderId="0" xfId="55" applyFont="1"/>
    <xf numFmtId="0" fontId="0" fillId="0" borderId="0" xfId="55" applyFont="1" applyBorder="1"/>
    <xf numFmtId="0" fontId="0" fillId="0" borderId="16" xfId="55" applyFont="1" applyBorder="1"/>
    <xf numFmtId="0" fontId="8" fillId="0" borderId="0" xfId="55" applyFont="1" applyAlignment="1">
      <alignment horizontal="center"/>
    </xf>
    <xf numFmtId="0" fontId="9" fillId="0" borderId="0" xfId="55" applyFont="1" applyAlignment="1">
      <alignment horizontal="center"/>
    </xf>
    <xf numFmtId="0" fontId="10" fillId="0" borderId="0" xfId="55" applyFont="1" applyAlignment="1">
      <alignment horizontal="center"/>
    </xf>
    <xf numFmtId="0" fontId="11" fillId="0" borderId="0" xfId="55" applyFont="1"/>
    <xf numFmtId="0" fontId="0" fillId="0" borderId="16" xfId="55" applyFont="1" applyBorder="1" applyAlignment="1">
      <alignment horizontal="center"/>
    </xf>
    <xf numFmtId="0" fontId="0" fillId="0" borderId="0" xfId="55" applyFont="1" applyBorder="1" applyAlignment="1">
      <alignment horizontal="center"/>
    </xf>
    <xf numFmtId="0" fontId="11" fillId="0" borderId="16" xfId="55" applyFont="1" applyBorder="1" applyAlignment="1">
      <alignment horizontal="center"/>
    </xf>
    <xf numFmtId="178" fontId="12" fillId="0" borderId="16" xfId="55" applyNumberFormat="1" applyFont="1" applyBorder="1" applyAlignment="1">
      <alignment horizontal="center"/>
    </xf>
    <xf numFmtId="0" fontId="0" fillId="0" borderId="0" xfId="55" applyFont="1" applyBorder="1" applyAlignment="1">
      <alignment horizontal="left"/>
    </xf>
    <xf numFmtId="0" fontId="0" fillId="0" borderId="7" xfId="55" applyFont="1" applyBorder="1" applyAlignment="1">
      <alignment horizontal="center"/>
    </xf>
    <xf numFmtId="0" fontId="0" fillId="0" borderId="0" xfId="55" applyFont="1" applyAlignment="1">
      <alignment horizontal="center"/>
    </xf>
    <xf numFmtId="0" fontId="0" fillId="0" borderId="0" xfId="55" applyFont="1" applyBorder="1" applyAlignment="1"/>
    <xf numFmtId="0" fontId="12" fillId="0" borderId="7" xfId="55" applyFont="1" applyBorder="1" applyAlignment="1">
      <alignment horizontal="center"/>
    </xf>
    <xf numFmtId="0" fontId="0" fillId="0" borderId="16" xfId="55" applyFont="1" applyBorder="1" applyAlignment="1"/>
    <xf numFmtId="0" fontId="0" fillId="0" borderId="1" xfId="55" applyFont="1" applyBorder="1" applyAlignment="1">
      <alignment horizontal="center"/>
    </xf>
    <xf numFmtId="0" fontId="11" fillId="0" borderId="1" xfId="55" applyNumberFormat="1" applyFont="1" applyBorder="1"/>
    <xf numFmtId="0" fontId="11" fillId="0" borderId="1" xfId="55" applyFont="1" applyBorder="1" applyAlignment="1">
      <alignment horizontal="center"/>
    </xf>
    <xf numFmtId="0" fontId="0" fillId="0" borderId="22" xfId="55" applyFont="1" applyBorder="1" applyAlignment="1">
      <alignment horizontal="center"/>
    </xf>
    <xf numFmtId="0" fontId="0" fillId="0" borderId="21" xfId="55" applyFont="1" applyBorder="1" applyAlignment="1">
      <alignment horizontal="center"/>
    </xf>
    <xf numFmtId="0" fontId="11" fillId="0" borderId="5" xfId="55" applyFont="1" applyFill="1" applyBorder="1" applyAlignment="1">
      <alignment horizontal="center"/>
    </xf>
    <xf numFmtId="181" fontId="11" fillId="0" borderId="1" xfId="55" applyNumberFormat="1" applyFont="1" applyBorder="1"/>
    <xf numFmtId="0" fontId="0" fillId="0" borderId="1" xfId="55" applyFont="1" applyBorder="1"/>
    <xf numFmtId="0" fontId="0" fillId="0" borderId="1" xfId="55" applyNumberFormat="1" applyFont="1" applyBorder="1"/>
    <xf numFmtId="0" fontId="11" fillId="0" borderId="1" xfId="55" applyFont="1" applyBorder="1"/>
    <xf numFmtId="0" fontId="0" fillId="5" borderId="1" xfId="55" applyNumberFormat="1" applyFont="1" applyFill="1" applyBorder="1"/>
    <xf numFmtId="0" fontId="0" fillId="5" borderId="1" xfId="55" applyFont="1" applyFill="1" applyBorder="1" applyAlignment="1">
      <alignment horizontal="center"/>
    </xf>
    <xf numFmtId="0" fontId="11" fillId="5" borderId="1" xfId="55" applyFont="1" applyFill="1" applyBorder="1"/>
    <xf numFmtId="0" fontId="0" fillId="5" borderId="22" xfId="55" applyFont="1" applyFill="1" applyBorder="1" applyAlignment="1">
      <alignment horizontal="center"/>
    </xf>
    <xf numFmtId="0" fontId="0" fillId="5" borderId="21" xfId="55" applyFont="1" applyFill="1" applyBorder="1" applyAlignment="1">
      <alignment horizontal="center"/>
    </xf>
    <xf numFmtId="0" fontId="13" fillId="4" borderId="1" xfId="55" applyNumberFormat="1" applyFont="1" applyFill="1" applyBorder="1"/>
    <xf numFmtId="0" fontId="0" fillId="4" borderId="1" xfId="55" applyFont="1" applyFill="1" applyBorder="1" applyAlignment="1">
      <alignment horizontal="center"/>
    </xf>
    <xf numFmtId="0" fontId="12" fillId="0" borderId="22" xfId="55" applyFont="1" applyBorder="1" applyAlignment="1">
      <alignment horizontal="center"/>
    </xf>
    <xf numFmtId="0" fontId="12" fillId="4" borderId="1" xfId="55" applyNumberFormat="1" applyFont="1" applyFill="1" applyBorder="1" applyAlignment="1">
      <alignment wrapText="1"/>
    </xf>
    <xf numFmtId="0" fontId="11" fillId="4" borderId="1" xfId="55" applyFont="1" applyFill="1" applyBorder="1"/>
    <xf numFmtId="0" fontId="14" fillId="0" borderId="0" xfId="55" applyFont="1" applyBorder="1" applyAlignment="1">
      <alignment horizontal="center"/>
    </xf>
    <xf numFmtId="58" fontId="15" fillId="0" borderId="0" xfId="55" applyNumberFormat="1" applyFont="1" applyBorder="1"/>
    <xf numFmtId="0" fontId="16" fillId="0" borderId="0" xfId="55" applyFont="1"/>
    <xf numFmtId="0" fontId="7" fillId="0" borderId="0" xfId="55" applyFont="1" applyBorder="1" applyAlignment="1">
      <alignment horizontal="center"/>
    </xf>
    <xf numFmtId="0" fontId="15" fillId="0" borderId="0" xfId="55" applyFont="1" applyBorder="1" applyAlignment="1">
      <alignment horizontal="center"/>
    </xf>
    <xf numFmtId="0" fontId="0" fillId="0" borderId="0" xfId="55" applyNumberFormat="1" applyFont="1" applyBorder="1"/>
    <xf numFmtId="58" fontId="17" fillId="0" borderId="0" xfId="55" applyNumberFormat="1" applyFont="1" applyBorder="1"/>
    <xf numFmtId="178" fontId="18" fillId="0" borderId="0" xfId="55" applyNumberFormat="1" applyFont="1" applyBorder="1" applyAlignment="1">
      <alignment horizontal="center"/>
    </xf>
    <xf numFmtId="0" fontId="19" fillId="0" borderId="0" xfId="55" applyFont="1" applyBorder="1" applyAlignment="1">
      <alignment horizontal="center"/>
    </xf>
    <xf numFmtId="0" fontId="7" fillId="0" borderId="0" xfId="55" applyFont="1" applyBorder="1"/>
    <xf numFmtId="0" fontId="17" fillId="0" borderId="0" xfId="55" applyFont="1" applyBorder="1" applyAlignment="1">
      <alignment horizontal="center"/>
    </xf>
    <xf numFmtId="0" fontId="19" fillId="0" borderId="0" xfId="55" applyFont="1" applyBorder="1"/>
    <xf numFmtId="0" fontId="19" fillId="0" borderId="0" xfId="55" applyFont="1"/>
    <xf numFmtId="0" fontId="20" fillId="0" borderId="0" xfId="55" applyFont="1"/>
    <xf numFmtId="178" fontId="12" fillId="0" borderId="7" xfId="55" applyNumberFormat="1" applyFont="1" applyBorder="1" applyAlignment="1">
      <alignment horizontal="center"/>
    </xf>
    <xf numFmtId="0" fontId="12" fillId="0" borderId="21" xfId="55" applyFont="1" applyBorder="1" applyAlignment="1">
      <alignment horizontal="center"/>
    </xf>
    <xf numFmtId="0" fontId="7" fillId="0" borderId="0" xfId="21" applyFont="1"/>
    <xf numFmtId="0" fontId="0" fillId="0" borderId="0" xfId="21" applyFont="1"/>
    <xf numFmtId="0" fontId="0" fillId="0" borderId="0" xfId="21" applyFont="1" applyBorder="1"/>
    <xf numFmtId="0" fontId="0" fillId="0" borderId="16" xfId="21" applyFont="1" applyBorder="1"/>
    <xf numFmtId="0" fontId="8" fillId="0" borderId="0" xfId="21" applyFont="1" applyAlignment="1">
      <alignment horizontal="center"/>
    </xf>
    <xf numFmtId="0" fontId="9" fillId="0" borderId="0" xfId="21" applyFont="1" applyAlignment="1">
      <alignment horizontal="center"/>
    </xf>
    <xf numFmtId="0" fontId="10" fillId="0" borderId="0" xfId="21" applyFont="1" applyAlignment="1">
      <alignment horizontal="center"/>
    </xf>
    <xf numFmtId="0" fontId="11" fillId="0" borderId="0" xfId="21" applyFont="1"/>
    <xf numFmtId="0" fontId="0" fillId="0" borderId="16" xfId="21" applyFont="1" applyBorder="1" applyAlignment="1">
      <alignment horizontal="center"/>
    </xf>
    <xf numFmtId="0" fontId="0" fillId="0" borderId="0" xfId="21" applyFont="1" applyBorder="1" applyAlignment="1">
      <alignment horizontal="center"/>
    </xf>
    <xf numFmtId="0" fontId="11" fillId="0" borderId="16" xfId="21" applyFont="1" applyBorder="1" applyAlignment="1">
      <alignment horizontal="center"/>
    </xf>
    <xf numFmtId="178" fontId="12" fillId="0" borderId="16" xfId="21" applyNumberFormat="1" applyFont="1" applyBorder="1" applyAlignment="1">
      <alignment horizontal="center"/>
    </xf>
    <xf numFmtId="0" fontId="0" fillId="0" borderId="0" xfId="21" applyFont="1" applyBorder="1" applyAlignment="1">
      <alignment horizontal="left"/>
    </xf>
    <xf numFmtId="0" fontId="0" fillId="0" borderId="0" xfId="21" applyFont="1" applyAlignment="1">
      <alignment horizontal="center"/>
    </xf>
    <xf numFmtId="0" fontId="0" fillId="0" borderId="7" xfId="21" applyFont="1" applyBorder="1" applyAlignment="1">
      <alignment horizontal="center"/>
    </xf>
    <xf numFmtId="0" fontId="0" fillId="0" borderId="0" xfId="21" applyFont="1" applyBorder="1" applyAlignment="1"/>
    <xf numFmtId="0" fontId="0" fillId="0" borderId="1" xfId="21" applyFont="1" applyBorder="1" applyAlignment="1">
      <alignment horizontal="center"/>
    </xf>
    <xf numFmtId="0" fontId="15" fillId="0" borderId="1" xfId="21" applyNumberFormat="1" applyFont="1" applyBorder="1" applyAlignment="1">
      <alignment horizontal="center"/>
    </xf>
    <xf numFmtId="0" fontId="15" fillId="0" borderId="1" xfId="21" applyFont="1" applyBorder="1" applyAlignment="1">
      <alignment horizontal="center"/>
    </xf>
    <xf numFmtId="0" fontId="7" fillId="0" borderId="1" xfId="21" applyFont="1" applyBorder="1" applyAlignment="1">
      <alignment horizontal="center"/>
    </xf>
    <xf numFmtId="0" fontId="7" fillId="0" borderId="1" xfId="21" applyNumberFormat="1" applyFont="1" applyBorder="1" applyAlignment="1">
      <alignment horizontal="center"/>
    </xf>
    <xf numFmtId="0" fontId="7" fillId="0" borderId="1" xfId="21" applyNumberFormat="1" applyFont="1" applyBorder="1"/>
    <xf numFmtId="0" fontId="15" fillId="0" borderId="1" xfId="21" applyNumberFormat="1" applyFont="1" applyBorder="1"/>
    <xf numFmtId="0" fontId="0" fillId="6" borderId="1" xfId="21" applyNumberFormat="1" applyFont="1" applyFill="1" applyBorder="1"/>
    <xf numFmtId="0" fontId="7" fillId="6" borderId="1" xfId="21" applyFont="1" applyFill="1" applyBorder="1" applyAlignment="1">
      <alignment horizontal="center"/>
    </xf>
    <xf numFmtId="0" fontId="0" fillId="6" borderId="1" xfId="21" applyFont="1" applyFill="1" applyBorder="1" applyAlignment="1">
      <alignment horizontal="center"/>
    </xf>
    <xf numFmtId="0" fontId="15" fillId="6" borderId="1" xfId="21" applyFont="1" applyFill="1" applyBorder="1" applyAlignment="1">
      <alignment horizontal="center"/>
    </xf>
    <xf numFmtId="0" fontId="0" fillId="0" borderId="1" xfId="21" applyNumberFormat="1" applyFont="1" applyBorder="1"/>
    <xf numFmtId="0" fontId="11" fillId="0" borderId="1" xfId="21" applyFont="1" applyBorder="1" applyAlignment="1">
      <alignment horizontal="center"/>
    </xf>
    <xf numFmtId="0" fontId="12" fillId="4" borderId="1" xfId="21" applyNumberFormat="1" applyFont="1" applyFill="1" applyBorder="1"/>
    <xf numFmtId="0" fontId="0" fillId="4" borderId="1" xfId="21" applyFont="1" applyFill="1" applyBorder="1" applyAlignment="1">
      <alignment horizontal="center"/>
    </xf>
    <xf numFmtId="0" fontId="11" fillId="4" borderId="1" xfId="21" applyFont="1" applyFill="1" applyBorder="1" applyAlignment="1">
      <alignment horizontal="center"/>
    </xf>
    <xf numFmtId="0" fontId="21" fillId="7" borderId="14" xfId="21" applyNumberFormat="1" applyFont="1" applyFill="1" applyBorder="1" applyAlignment="1">
      <alignment horizontal="center"/>
    </xf>
    <xf numFmtId="0" fontId="0" fillId="7" borderId="14" xfId="21" applyNumberFormat="1" applyFont="1" applyFill="1" applyBorder="1" applyAlignment="1">
      <alignment horizontal="center"/>
    </xf>
    <xf numFmtId="0" fontId="0" fillId="7" borderId="0" xfId="21" applyNumberFormat="1" applyFont="1" applyFill="1" applyBorder="1" applyAlignment="1">
      <alignment horizontal="center"/>
    </xf>
    <xf numFmtId="0" fontId="14" fillId="0" borderId="0" xfId="21" applyFont="1" applyBorder="1" applyAlignment="1">
      <alignment horizontal="center"/>
    </xf>
    <xf numFmtId="58" fontId="15" fillId="0" borderId="0" xfId="21" applyNumberFormat="1" applyFont="1" applyBorder="1"/>
    <xf numFmtId="0" fontId="16" fillId="0" borderId="0" xfId="21" applyFont="1"/>
    <xf numFmtId="0" fontId="7" fillId="0" borderId="0" xfId="21" applyFont="1" applyBorder="1" applyAlignment="1">
      <alignment horizontal="center"/>
    </xf>
    <xf numFmtId="0" fontId="15" fillId="0" borderId="0" xfId="21" applyFont="1" applyBorder="1" applyAlignment="1">
      <alignment horizontal="center"/>
    </xf>
    <xf numFmtId="0" fontId="0" fillId="0" borderId="0" xfId="21" applyNumberFormat="1" applyFont="1" applyBorder="1"/>
    <xf numFmtId="58" fontId="17" fillId="0" borderId="0" xfId="21" applyNumberFormat="1" applyFont="1" applyBorder="1"/>
    <xf numFmtId="14" fontId="12" fillId="0" borderId="0" xfId="21" applyNumberFormat="1" applyFont="1" applyBorder="1" applyAlignment="1">
      <alignment horizontal="center"/>
    </xf>
    <xf numFmtId="0" fontId="12" fillId="0" borderId="0" xfId="21" applyFont="1" applyBorder="1" applyAlignment="1">
      <alignment horizontal="center"/>
    </xf>
    <xf numFmtId="0" fontId="19" fillId="0" borderId="0" xfId="21" applyFont="1" applyBorder="1" applyAlignment="1">
      <alignment horizontal="center"/>
    </xf>
    <xf numFmtId="0" fontId="7" fillId="0" borderId="0" xfId="21" applyFont="1" applyBorder="1"/>
    <xf numFmtId="0" fontId="17" fillId="0" borderId="0" xfId="21" applyFont="1" applyBorder="1" applyAlignment="1">
      <alignment horizontal="center"/>
    </xf>
    <xf numFmtId="0" fontId="19" fillId="0" borderId="0" xfId="21" applyFont="1" applyBorder="1"/>
    <xf numFmtId="0" fontId="19" fillId="0" borderId="0" xfId="21" applyFont="1"/>
    <xf numFmtId="0" fontId="20" fillId="0" borderId="0" xfId="21" applyFont="1"/>
    <xf numFmtId="178" fontId="0" fillId="0" borderId="7" xfId="21" applyNumberFormat="1" applyFont="1" applyBorder="1" applyAlignment="1">
      <alignment horizontal="center"/>
    </xf>
    <xf numFmtId="0" fontId="0" fillId="6" borderId="0" xfId="21" applyFont="1" applyFill="1" applyAlignment="1">
      <alignment horizontal="center"/>
    </xf>
    <xf numFmtId="180" fontId="0" fillId="0" borderId="0" xfId="55" applyNumberFormat="1" applyFont="1" applyBorder="1"/>
    <xf numFmtId="0" fontId="0" fillId="0" borderId="0" xfId="55" applyFont="1" applyBorder="1" applyAlignment="1">
      <alignment horizontal="center" vertical="center"/>
    </xf>
    <xf numFmtId="0" fontId="19" fillId="0" borderId="0" xfId="55" applyFont="1" applyAlignment="1">
      <alignment horizontal="center" vertical="center"/>
    </xf>
    <xf numFmtId="0" fontId="0" fillId="0" borderId="0" xfId="55" applyFont="1" applyFill="1" applyBorder="1" applyAlignment="1">
      <alignment horizontal="center" vertical="center"/>
    </xf>
    <xf numFmtId="0" fontId="0" fillId="0" borderId="23" xfId="55" applyFont="1" applyFill="1" applyBorder="1" applyAlignment="1">
      <alignment horizontal="center" vertical="center"/>
    </xf>
    <xf numFmtId="0" fontId="0" fillId="0" borderId="24" xfId="55" applyFont="1" applyFill="1" applyBorder="1" applyAlignment="1">
      <alignment horizontal="center" vertical="center"/>
    </xf>
    <xf numFmtId="0" fontId="0" fillId="0" borderId="25" xfId="55" applyFont="1" applyFill="1" applyBorder="1" applyAlignment="1">
      <alignment horizontal="center" vertical="center"/>
    </xf>
    <xf numFmtId="0" fontId="0" fillId="0" borderId="2" xfId="55" applyFont="1" applyFill="1" applyBorder="1" applyAlignment="1">
      <alignment horizontal="center" vertical="center"/>
    </xf>
    <xf numFmtId="180" fontId="0" fillId="0" borderId="26" xfId="55" applyNumberFormat="1" applyFont="1" applyFill="1" applyBorder="1" applyAlignment="1">
      <alignment horizontal="center" vertical="center"/>
    </xf>
    <xf numFmtId="0" fontId="12" fillId="8" borderId="27" xfId="55" applyFont="1" applyFill="1" applyBorder="1" applyAlignment="1">
      <alignment horizontal="center" vertical="center" wrapText="1"/>
    </xf>
    <xf numFmtId="0" fontId="12" fillId="8" borderId="1" xfId="55" applyFont="1" applyFill="1" applyBorder="1" applyAlignment="1">
      <alignment horizontal="center" vertical="center"/>
    </xf>
    <xf numFmtId="180" fontId="12" fillId="8" borderId="22" xfId="55" applyNumberFormat="1" applyFont="1" applyFill="1" applyBorder="1" applyAlignment="1">
      <alignment horizontal="center" vertical="center"/>
    </xf>
    <xf numFmtId="0" fontId="12" fillId="8" borderId="25" xfId="55" applyFont="1" applyFill="1" applyBorder="1" applyAlignment="1">
      <alignment horizontal="center" vertical="center" wrapText="1"/>
    </xf>
    <xf numFmtId="0" fontId="12" fillId="8" borderId="28" xfId="55" applyFont="1" applyFill="1" applyBorder="1" applyAlignment="1">
      <alignment horizontal="center" vertical="center" wrapText="1"/>
    </xf>
    <xf numFmtId="0" fontId="12" fillId="8" borderId="29" xfId="55" applyFont="1" applyFill="1" applyBorder="1" applyAlignment="1">
      <alignment horizontal="center" vertical="center" wrapText="1"/>
    </xf>
    <xf numFmtId="0" fontId="12" fillId="0" borderId="13" xfId="55" applyFont="1" applyFill="1" applyBorder="1" applyAlignment="1">
      <alignment horizontal="center" vertical="center"/>
    </xf>
    <xf numFmtId="0" fontId="12" fillId="0" borderId="17" xfId="55" applyFont="1" applyFill="1" applyBorder="1" applyAlignment="1">
      <alignment horizontal="center" vertical="center"/>
    </xf>
    <xf numFmtId="0" fontId="12" fillId="0" borderId="1" xfId="55" applyFont="1" applyFill="1" applyBorder="1" applyAlignment="1">
      <alignment horizontal="center" vertical="center"/>
    </xf>
    <xf numFmtId="180" fontId="12" fillId="0" borderId="22" xfId="55" applyNumberFormat="1" applyFont="1" applyFill="1" applyBorder="1" applyAlignment="1">
      <alignment horizontal="center" vertical="center"/>
    </xf>
    <xf numFmtId="0" fontId="12" fillId="0" borderId="18" xfId="55" applyFont="1" applyFill="1" applyBorder="1" applyAlignment="1">
      <alignment horizontal="center" vertical="center"/>
    </xf>
    <xf numFmtId="0" fontId="12" fillId="0" borderId="19" xfId="55" applyFont="1" applyFill="1" applyBorder="1" applyAlignment="1">
      <alignment horizontal="center" vertical="center"/>
    </xf>
    <xf numFmtId="0" fontId="12" fillId="0" borderId="15" xfId="55" applyFont="1" applyFill="1" applyBorder="1" applyAlignment="1">
      <alignment horizontal="center" vertical="center"/>
    </xf>
    <xf numFmtId="0" fontId="12" fillId="0" borderId="20" xfId="55" applyFont="1" applyFill="1" applyBorder="1" applyAlignment="1">
      <alignment horizontal="center" vertical="center"/>
    </xf>
    <xf numFmtId="0" fontId="12" fillId="8" borderId="13" xfId="55" applyFont="1" applyFill="1" applyBorder="1" applyAlignment="1">
      <alignment horizontal="center" vertical="center" wrapText="1"/>
    </xf>
    <xf numFmtId="0" fontId="12" fillId="8" borderId="17" xfId="55" applyFont="1" applyFill="1" applyBorder="1" applyAlignment="1">
      <alignment horizontal="center" vertical="center" wrapText="1"/>
    </xf>
    <xf numFmtId="0" fontId="12" fillId="8" borderId="22" xfId="55" applyFont="1" applyFill="1" applyBorder="1" applyAlignment="1">
      <alignment horizontal="center" vertical="center"/>
    </xf>
    <xf numFmtId="0" fontId="12" fillId="8" borderId="18" xfId="55" applyFont="1" applyFill="1" applyBorder="1" applyAlignment="1">
      <alignment horizontal="center" vertical="center" wrapText="1"/>
    </xf>
    <xf numFmtId="0" fontId="12" fillId="8" borderId="19" xfId="55" applyFont="1" applyFill="1" applyBorder="1" applyAlignment="1">
      <alignment horizontal="center" vertical="center" wrapText="1"/>
    </xf>
    <xf numFmtId="0" fontId="12" fillId="8" borderId="15" xfId="55" applyFont="1" applyFill="1" applyBorder="1" applyAlignment="1">
      <alignment horizontal="center" vertical="center" wrapText="1"/>
    </xf>
    <xf numFmtId="0" fontId="12" fillId="8" borderId="20" xfId="55" applyFont="1" applyFill="1" applyBorder="1" applyAlignment="1">
      <alignment horizontal="center" vertical="center" wrapText="1"/>
    </xf>
    <xf numFmtId="0" fontId="12" fillId="8" borderId="21" xfId="55" applyFont="1" applyFill="1" applyBorder="1" applyAlignment="1">
      <alignment horizontal="center" vertical="center"/>
    </xf>
    <xf numFmtId="0" fontId="12" fillId="8" borderId="1" xfId="55" applyFont="1" applyFill="1" applyBorder="1" applyAlignment="1">
      <alignment horizontal="center" vertical="center" wrapText="1"/>
    </xf>
    <xf numFmtId="0" fontId="12" fillId="8" borderId="30" xfId="55" applyFont="1" applyFill="1" applyBorder="1" applyAlignment="1">
      <alignment horizontal="center" vertical="center" wrapText="1"/>
    </xf>
    <xf numFmtId="0" fontId="12" fillId="8" borderId="31" xfId="55" applyFont="1" applyFill="1" applyBorder="1" applyAlignment="1">
      <alignment horizontal="center" vertical="center" wrapText="1"/>
    </xf>
    <xf numFmtId="0" fontId="12" fillId="8" borderId="32" xfId="55" applyFont="1" applyFill="1" applyBorder="1" applyAlignment="1">
      <alignment horizontal="center" vertical="center"/>
    </xf>
    <xf numFmtId="0" fontId="12" fillId="8" borderId="33" xfId="55" applyFont="1" applyFill="1" applyBorder="1" applyAlignment="1">
      <alignment horizontal="center" vertical="center"/>
    </xf>
    <xf numFmtId="180" fontId="12" fillId="8" borderId="31" xfId="55" applyNumberFormat="1" applyFont="1" applyFill="1" applyBorder="1" applyAlignment="1">
      <alignment horizontal="center" vertical="center"/>
    </xf>
    <xf numFmtId="0" fontId="12" fillId="8" borderId="31" xfId="55" applyFont="1" applyFill="1" applyBorder="1" applyAlignment="1">
      <alignment horizontal="center" vertical="center"/>
    </xf>
    <xf numFmtId="0" fontId="22" fillId="0" borderId="0" xfId="55" applyFont="1" applyFill="1"/>
    <xf numFmtId="180" fontId="22" fillId="0" borderId="0" xfId="55" applyNumberFormat="1" applyFont="1" applyFill="1"/>
    <xf numFmtId="0" fontId="22" fillId="0" borderId="0" xfId="55" applyFont="1" applyFill="1" applyAlignment="1">
      <alignment horizontal="center" vertical="center"/>
    </xf>
    <xf numFmtId="0" fontId="0" fillId="0" borderId="0" xfId="55" applyFont="1" applyFill="1" applyAlignment="1">
      <alignment horizontal="center" vertical="center"/>
    </xf>
    <xf numFmtId="0" fontId="0" fillId="0" borderId="16" xfId="55" applyFont="1" applyFill="1" applyBorder="1" applyAlignment="1">
      <alignment horizontal="center" vertical="center"/>
    </xf>
    <xf numFmtId="180" fontId="0" fillId="0" borderId="0" xfId="55" applyNumberFormat="1" applyFont="1" applyFill="1" applyAlignment="1">
      <alignment horizontal="center" vertical="center"/>
    </xf>
    <xf numFmtId="0" fontId="0" fillId="0" borderId="0" xfId="55" applyFont="1" applyFill="1" applyAlignment="1">
      <alignment vertical="center"/>
    </xf>
    <xf numFmtId="178" fontId="0" fillId="0" borderId="16" xfId="55" applyNumberFormat="1" applyFont="1" applyFill="1" applyBorder="1" applyAlignment="1">
      <alignment horizontal="center" vertical="center"/>
    </xf>
    <xf numFmtId="0" fontId="0" fillId="0" borderId="0" xfId="55" applyFont="1" applyFill="1" applyBorder="1"/>
    <xf numFmtId="180" fontId="0" fillId="0" borderId="0" xfId="55" applyNumberFormat="1" applyFont="1" applyFill="1" applyBorder="1"/>
    <xf numFmtId="0" fontId="0" fillId="6" borderId="0" xfId="55" applyFont="1" applyFill="1" applyBorder="1" applyAlignment="1">
      <alignment horizontal="center" vertical="center"/>
    </xf>
    <xf numFmtId="178" fontId="0" fillId="6" borderId="0" xfId="55" applyNumberFormat="1" applyFont="1" applyFill="1" applyBorder="1" applyAlignment="1">
      <alignment horizontal="center" vertical="center"/>
    </xf>
    <xf numFmtId="178" fontId="0" fillId="0" borderId="24" xfId="55" applyNumberFormat="1" applyFont="1" applyFill="1" applyBorder="1" applyAlignment="1">
      <alignment horizontal="center" vertical="center"/>
    </xf>
    <xf numFmtId="178" fontId="0" fillId="0" borderId="2" xfId="55" applyNumberFormat="1" applyFont="1" applyFill="1" applyBorder="1" applyAlignment="1">
      <alignment horizontal="center" vertical="center"/>
    </xf>
    <xf numFmtId="180" fontId="0" fillId="0" borderId="24" xfId="55" applyNumberFormat="1" applyFont="1" applyFill="1" applyBorder="1" applyAlignment="1">
      <alignment horizontal="center" vertical="center"/>
    </xf>
    <xf numFmtId="183" fontId="12" fillId="8" borderId="22" xfId="55" applyNumberFormat="1" applyFont="1" applyFill="1" applyBorder="1" applyAlignment="1">
      <alignment horizontal="center" vertical="center"/>
    </xf>
    <xf numFmtId="0" fontId="12" fillId="8" borderId="7" xfId="55" applyFont="1" applyFill="1" applyBorder="1" applyAlignment="1">
      <alignment horizontal="center" vertical="center"/>
    </xf>
    <xf numFmtId="180" fontId="12" fillId="8" borderId="1" xfId="55" applyNumberFormat="1" applyFont="1" applyFill="1" applyBorder="1" applyAlignment="1">
      <alignment horizontal="center"/>
    </xf>
    <xf numFmtId="180" fontId="12" fillId="8" borderId="1" xfId="55" applyNumberFormat="1" applyFont="1" applyFill="1" applyBorder="1" applyAlignment="1">
      <alignment horizontal="center" vertical="center"/>
    </xf>
    <xf numFmtId="0" fontId="12" fillId="8" borderId="21" xfId="55" applyFont="1" applyFill="1" applyBorder="1" applyAlignment="1">
      <alignment horizontal="center" vertical="center" wrapText="1"/>
    </xf>
    <xf numFmtId="0" fontId="23" fillId="8" borderId="13" xfId="55" applyFont="1" applyFill="1" applyBorder="1" applyAlignment="1">
      <alignment horizontal="center" vertical="center" wrapText="1"/>
    </xf>
    <xf numFmtId="0" fontId="23" fillId="8" borderId="14" xfId="55" applyFont="1" applyFill="1" applyBorder="1" applyAlignment="1">
      <alignment horizontal="center" vertical="center" wrapText="1"/>
    </xf>
    <xf numFmtId="0" fontId="23" fillId="8" borderId="17" xfId="55" applyFont="1" applyFill="1" applyBorder="1" applyAlignment="1">
      <alignment horizontal="center" vertical="center" wrapText="1"/>
    </xf>
    <xf numFmtId="0" fontId="23" fillId="8" borderId="18" xfId="55" applyFont="1" applyFill="1" applyBorder="1" applyAlignment="1">
      <alignment horizontal="center" vertical="center" wrapText="1"/>
    </xf>
    <xf numFmtId="0" fontId="23" fillId="8" borderId="0" xfId="55" applyFont="1" applyFill="1" applyBorder="1" applyAlignment="1">
      <alignment horizontal="center" vertical="center" wrapText="1"/>
    </xf>
    <xf numFmtId="0" fontId="23" fillId="8" borderId="19" xfId="55" applyFont="1" applyFill="1" applyBorder="1" applyAlignment="1">
      <alignment horizontal="center" vertical="center" wrapText="1"/>
    </xf>
    <xf numFmtId="0" fontId="23" fillId="8" borderId="15" xfId="55" applyFont="1" applyFill="1" applyBorder="1" applyAlignment="1">
      <alignment horizontal="center" vertical="center" wrapText="1"/>
    </xf>
    <xf numFmtId="0" fontId="23" fillId="8" borderId="16" xfId="55" applyFont="1" applyFill="1" applyBorder="1" applyAlignment="1">
      <alignment horizontal="center" vertical="center" wrapText="1"/>
    </xf>
    <xf numFmtId="0" fontId="23" fillId="8" borderId="20" xfId="55" applyFont="1" applyFill="1" applyBorder="1" applyAlignment="1">
      <alignment horizontal="center" vertical="center" wrapText="1"/>
    </xf>
    <xf numFmtId="0" fontId="12" fillId="8" borderId="22" xfId="55" applyFont="1" applyFill="1" applyBorder="1" applyAlignment="1">
      <alignment horizontal="center" vertical="center" wrapText="1"/>
    </xf>
    <xf numFmtId="0" fontId="22" fillId="0" borderId="0" xfId="55" applyFont="1" applyFill="1" applyBorder="1"/>
    <xf numFmtId="180" fontId="22" fillId="0" borderId="0" xfId="55" applyNumberFormat="1" applyFont="1" applyFill="1" applyBorder="1"/>
    <xf numFmtId="0" fontId="0" fillId="0" borderId="0" xfId="55" applyFont="1" applyFill="1"/>
    <xf numFmtId="0" fontId="0" fillId="0" borderId="0" xfId="55" applyFont="1" applyFill="1" applyAlignment="1">
      <alignment horizontal="right" vertical="center"/>
    </xf>
    <xf numFmtId="180" fontId="22" fillId="0" borderId="0" xfId="55" applyNumberFormat="1" applyFont="1" applyFill="1" applyBorder="1" applyAlignment="1">
      <alignment horizontal="center"/>
    </xf>
    <xf numFmtId="0" fontId="7" fillId="0" borderId="0" xfId="55" applyFont="1" applyAlignment="1">
      <alignment vertical="center"/>
    </xf>
    <xf numFmtId="0" fontId="24" fillId="0" borderId="0" xfId="86" applyFont="1" applyProtection="1">
      <alignment vertical="center"/>
      <protection locked="0"/>
    </xf>
    <xf numFmtId="0" fontId="25" fillId="0" borderId="0" xfId="86" applyFont="1" applyProtection="1">
      <alignment vertical="center"/>
      <protection locked="0"/>
    </xf>
    <xf numFmtId="0" fontId="0" fillId="0" borderId="34" xfId="55" applyFont="1" applyFill="1" applyBorder="1" applyAlignment="1">
      <alignment horizontal="center" vertical="center"/>
    </xf>
    <xf numFmtId="0" fontId="0" fillId="0" borderId="35" xfId="55" applyFont="1" applyFill="1" applyBorder="1" applyAlignment="1">
      <alignment horizontal="center" vertical="center"/>
    </xf>
    <xf numFmtId="0" fontId="12" fillId="0" borderId="0" xfId="55" applyFont="1" applyBorder="1" applyAlignment="1">
      <alignment vertical="center"/>
    </xf>
    <xf numFmtId="0" fontId="12" fillId="0" borderId="0" xfId="55" applyFont="1" applyBorder="1" applyAlignment="1">
      <alignment horizontal="center" vertical="center"/>
    </xf>
    <xf numFmtId="0" fontId="12" fillId="8" borderId="36" xfId="55" applyFont="1" applyFill="1" applyBorder="1" applyAlignment="1">
      <alignment horizontal="center" vertical="center"/>
    </xf>
    <xf numFmtId="0" fontId="0" fillId="9" borderId="22" xfId="55" applyFont="1" applyFill="1" applyBorder="1" applyAlignment="1">
      <alignment horizontal="center" vertical="center"/>
    </xf>
    <xf numFmtId="0" fontId="0" fillId="9" borderId="7" xfId="55" applyFont="1" applyFill="1" applyBorder="1" applyAlignment="1">
      <alignment horizontal="center" vertical="center"/>
    </xf>
    <xf numFmtId="0" fontId="26" fillId="9" borderId="2" xfId="55" applyFont="1" applyFill="1" applyBorder="1" applyAlignment="1">
      <alignment horizontal="center" vertical="center" wrapText="1"/>
    </xf>
    <xf numFmtId="0" fontId="26" fillId="9" borderId="1" xfId="55" applyFont="1" applyFill="1" applyBorder="1" applyAlignment="1">
      <alignment vertical="center" wrapText="1"/>
    </xf>
    <xf numFmtId="0" fontId="26" fillId="9" borderId="1" xfId="55" applyFont="1" applyFill="1" applyBorder="1" applyAlignment="1">
      <alignment horizontal="center" vertical="center"/>
    </xf>
    <xf numFmtId="0" fontId="26" fillId="9" borderId="5" xfId="55" applyFont="1" applyFill="1" applyBorder="1" applyAlignment="1">
      <alignment horizontal="center" vertical="center" wrapText="1"/>
    </xf>
    <xf numFmtId="0" fontId="26" fillId="9" borderId="6" xfId="55" applyFont="1" applyFill="1" applyBorder="1" applyAlignment="1">
      <alignment horizontal="center" vertical="center" wrapText="1"/>
    </xf>
    <xf numFmtId="0" fontId="0" fillId="9" borderId="5" xfId="55" applyFont="1" applyFill="1" applyBorder="1" applyAlignment="1">
      <alignment horizontal="center" vertical="center" wrapText="1"/>
    </xf>
    <xf numFmtId="0" fontId="0" fillId="9" borderId="1" xfId="55" applyFont="1" applyFill="1" applyBorder="1" applyAlignment="1">
      <alignment horizontal="center" vertical="center"/>
    </xf>
    <xf numFmtId="0" fontId="12" fillId="8" borderId="37" xfId="55" applyFont="1" applyFill="1" applyBorder="1" applyAlignment="1">
      <alignment horizontal="center" vertical="center"/>
    </xf>
    <xf numFmtId="0" fontId="26" fillId="10" borderId="2" xfId="55" applyFont="1" applyFill="1" applyBorder="1" applyAlignment="1">
      <alignment horizontal="center" vertical="center" wrapText="1"/>
    </xf>
    <xf numFmtId="0" fontId="26" fillId="10" borderId="1" xfId="55" applyFont="1" applyFill="1" applyBorder="1" applyAlignment="1">
      <alignment horizontal="center" vertical="center"/>
    </xf>
    <xf numFmtId="0" fontId="26" fillId="10" borderId="5" xfId="55" applyFont="1" applyFill="1" applyBorder="1" applyAlignment="1">
      <alignment horizontal="center" vertical="center" wrapText="1"/>
    </xf>
    <xf numFmtId="0" fontId="12" fillId="8" borderId="38" xfId="55" applyFont="1" applyFill="1" applyBorder="1" applyAlignment="1">
      <alignment horizontal="center" vertical="center"/>
    </xf>
    <xf numFmtId="0" fontId="26" fillId="10" borderId="6" xfId="55" applyFont="1" applyFill="1" applyBorder="1" applyAlignment="1">
      <alignment horizontal="center" vertical="center" wrapText="1"/>
    </xf>
    <xf numFmtId="0" fontId="26" fillId="10" borderId="1" xfId="55" applyFont="1" applyFill="1" applyBorder="1"/>
    <xf numFmtId="0" fontId="0" fillId="0" borderId="1" xfId="55" applyFont="1" applyBorder="1" applyAlignment="1">
      <alignment horizontal="center" vertical="center"/>
    </xf>
    <xf numFmtId="0" fontId="0" fillId="10" borderId="1"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0" fillId="11" borderId="0" xfId="55" applyFont="1" applyFill="1" applyAlignment="1">
      <alignment horizontal="center" vertical="center"/>
    </xf>
    <xf numFmtId="0" fontId="0" fillId="10" borderId="0" xfId="55" applyFont="1" applyFill="1" applyAlignment="1">
      <alignment horizontal="left" vertical="center"/>
    </xf>
    <xf numFmtId="0" fontId="0" fillId="11" borderId="1" xfId="55" applyFont="1" applyFill="1" applyBorder="1" applyAlignment="1">
      <alignment horizontal="left" vertical="center"/>
    </xf>
    <xf numFmtId="0" fontId="0" fillId="9" borderId="21" xfId="55" applyFont="1" applyFill="1" applyBorder="1" applyAlignment="1">
      <alignment horizontal="center" vertical="center"/>
    </xf>
    <xf numFmtId="0" fontId="26" fillId="9" borderId="1" xfId="55" applyFont="1" applyFill="1" applyBorder="1"/>
    <xf numFmtId="0" fontId="0" fillId="9" borderId="1" xfId="55" applyFont="1" applyFill="1" applyBorder="1"/>
    <xf numFmtId="0" fontId="0" fillId="10" borderId="1" xfId="55" applyFont="1" applyFill="1" applyBorder="1"/>
    <xf numFmtId="0" fontId="0" fillId="11" borderId="0" xfId="55" applyFont="1" applyFill="1" applyAlignment="1">
      <alignment horizontal="left" vertical="center"/>
    </xf>
    <xf numFmtId="0" fontId="27" fillId="10" borderId="0" xfId="55" applyFont="1" applyFill="1" applyAlignment="1">
      <alignment vertical="center"/>
    </xf>
    <xf numFmtId="0" fontId="27" fillId="10" borderId="0" xfId="55" applyFont="1" applyFill="1" applyAlignment="1">
      <alignment horizontal="center" vertical="center"/>
    </xf>
    <xf numFmtId="0" fontId="0" fillId="12" borderId="0" xfId="55" applyFont="1" applyFill="1" applyAlignment="1">
      <alignment vertical="center"/>
    </xf>
    <xf numFmtId="0" fontId="0" fillId="13" borderId="0" xfId="55" applyFont="1" applyFill="1" applyAlignment="1">
      <alignment vertical="center"/>
    </xf>
    <xf numFmtId="0" fontId="0" fillId="0" borderId="0" xfId="62" applyFont="1" applyAlignment="1">
      <alignment vertical="center"/>
    </xf>
    <xf numFmtId="0" fontId="7" fillId="0" borderId="0" xfId="62" applyFont="1" applyAlignment="1">
      <alignment vertical="center"/>
    </xf>
    <xf numFmtId="0" fontId="0" fillId="0" borderId="0" xfId="62" applyFont="1"/>
    <xf numFmtId="0" fontId="0" fillId="0" borderId="0" xfId="62" applyFont="1" applyBorder="1"/>
    <xf numFmtId="0" fontId="0" fillId="0" borderId="16" xfId="62" applyFont="1" applyBorder="1"/>
    <xf numFmtId="0" fontId="8" fillId="0" borderId="0" xfId="62" applyFont="1" applyAlignment="1">
      <alignment horizontal="right"/>
    </xf>
    <xf numFmtId="0" fontId="10" fillId="0" borderId="0" xfId="62" applyFont="1" applyAlignment="1">
      <alignment horizontal="center"/>
    </xf>
    <xf numFmtId="0" fontId="0" fillId="0" borderId="0" xfId="62" applyFont="1" applyBorder="1" applyAlignment="1">
      <alignment horizontal="center"/>
    </xf>
    <xf numFmtId="0" fontId="0" fillId="0" borderId="16" xfId="62" applyFont="1" applyBorder="1" applyAlignment="1">
      <alignment horizontal="center"/>
    </xf>
    <xf numFmtId="0" fontId="0" fillId="0" borderId="0" xfId="62" applyFont="1" applyAlignment="1">
      <alignment horizontal="center"/>
    </xf>
    <xf numFmtId="0" fontId="11" fillId="0" borderId="7" xfId="62" applyFont="1" applyBorder="1" applyAlignment="1">
      <alignment horizontal="center"/>
    </xf>
    <xf numFmtId="14" fontId="0" fillId="0" borderId="7" xfId="62" applyNumberFormat="1" applyFont="1" applyBorder="1" applyAlignment="1">
      <alignment horizontal="center"/>
    </xf>
    <xf numFmtId="0" fontId="0" fillId="0" borderId="7" xfId="62" applyFont="1" applyBorder="1" applyAlignment="1">
      <alignment horizontal="center"/>
    </xf>
    <xf numFmtId="0" fontId="11" fillId="4" borderId="16" xfId="62" applyFont="1" applyFill="1" applyBorder="1" applyAlignment="1">
      <alignment horizontal="center"/>
    </xf>
    <xf numFmtId="0" fontId="10" fillId="0" borderId="39" xfId="62" applyFont="1" applyBorder="1" applyAlignment="1">
      <alignment horizontal="center"/>
    </xf>
    <xf numFmtId="0" fontId="0" fillId="0" borderId="40" xfId="62" applyFont="1" applyBorder="1" applyAlignment="1">
      <alignment horizontal="center" vertical="center"/>
    </xf>
    <xf numFmtId="0" fontId="0" fillId="0" borderId="41" xfId="62" applyFont="1" applyBorder="1" applyAlignment="1">
      <alignment horizontal="center" vertical="center"/>
    </xf>
    <xf numFmtId="0" fontId="28" fillId="0" borderId="42" xfId="62" applyFont="1" applyBorder="1" applyAlignment="1">
      <alignment horizontal="center" vertical="center"/>
    </xf>
    <xf numFmtId="0" fontId="0" fillId="0" borderId="43" xfId="62" applyFont="1" applyBorder="1" applyAlignment="1">
      <alignment horizontal="center" vertical="center"/>
    </xf>
    <xf numFmtId="0" fontId="0" fillId="0" borderId="44" xfId="62" applyFont="1" applyBorder="1" applyAlignment="1">
      <alignment horizontal="center" vertical="center"/>
    </xf>
    <xf numFmtId="0" fontId="0" fillId="14" borderId="44" xfId="62" applyFont="1" applyFill="1" applyBorder="1" applyAlignment="1">
      <alignment horizontal="center" vertical="center"/>
    </xf>
    <xf numFmtId="0" fontId="0" fillId="0" borderId="45" xfId="62" applyFont="1" applyBorder="1" applyAlignment="1">
      <alignment horizontal="center" vertical="center"/>
    </xf>
    <xf numFmtId="0" fontId="11" fillId="0" borderId="43" xfId="62" applyNumberFormat="1" applyFont="1" applyBorder="1" applyAlignment="1">
      <alignment horizontal="center"/>
    </xf>
    <xf numFmtId="0" fontId="0" fillId="0" borderId="44" xfId="62" applyFont="1" applyBorder="1" applyAlignment="1">
      <alignment horizontal="center"/>
    </xf>
    <xf numFmtId="0" fontId="0" fillId="14" borderId="44" xfId="62" applyFont="1" applyFill="1" applyBorder="1" applyAlignment="1">
      <alignment horizontal="center"/>
    </xf>
    <xf numFmtId="0" fontId="12" fillId="0" borderId="45" xfId="62" applyFont="1" applyBorder="1" applyAlignment="1">
      <alignment horizontal="center" vertical="center"/>
    </xf>
    <xf numFmtId="0" fontId="0" fillId="0" borderId="43" xfId="62" applyNumberFormat="1" applyFont="1" applyBorder="1" applyAlignment="1">
      <alignment horizontal="center"/>
    </xf>
    <xf numFmtId="0" fontId="0" fillId="0" borderId="46" xfId="62" applyNumberFormat="1" applyFont="1" applyBorder="1" applyAlignment="1">
      <alignment horizontal="center"/>
    </xf>
    <xf numFmtId="0" fontId="11" fillId="0" borderId="47" xfId="62" applyFont="1" applyBorder="1" applyAlignment="1">
      <alignment horizontal="center"/>
    </xf>
    <xf numFmtId="0" fontId="0" fillId="0" borderId="47" xfId="62" applyFont="1" applyBorder="1" applyAlignment="1">
      <alignment horizontal="center"/>
    </xf>
    <xf numFmtId="0" fontId="0" fillId="0" borderId="48" xfId="62" applyNumberFormat="1" applyFont="1" applyBorder="1" applyAlignment="1">
      <alignment horizontal="center"/>
    </xf>
    <xf numFmtId="0" fontId="0" fillId="0" borderId="49" xfId="62" applyFont="1" applyBorder="1" applyAlignment="1">
      <alignment horizontal="center" vertical="center"/>
    </xf>
    <xf numFmtId="0" fontId="0" fillId="0" borderId="49" xfId="62" applyFont="1" applyBorder="1" applyAlignment="1">
      <alignment horizontal="center"/>
    </xf>
    <xf numFmtId="0" fontId="0" fillId="14" borderId="49" xfId="62" applyFont="1" applyFill="1" applyBorder="1" applyAlignment="1">
      <alignment horizontal="center"/>
    </xf>
    <xf numFmtId="0" fontId="0" fillId="0" borderId="50" xfId="62" applyFont="1" applyBorder="1" applyAlignment="1">
      <alignment horizontal="center" vertical="center"/>
    </xf>
    <xf numFmtId="0" fontId="29" fillId="0" borderId="0" xfId="62" applyFont="1" applyBorder="1" applyAlignment="1">
      <alignment horizontal="center" vertical="center"/>
    </xf>
    <xf numFmtId="0" fontId="0" fillId="0" borderId="0" xfId="62" applyNumberFormat="1" applyFont="1" applyBorder="1" applyAlignment="1">
      <alignment vertical="center"/>
    </xf>
    <xf numFmtId="0" fontId="0" fillId="0" borderId="0" xfId="62" applyFont="1" applyBorder="1" applyAlignment="1">
      <alignment horizontal="center" vertical="center"/>
    </xf>
    <xf numFmtId="0" fontId="14" fillId="0" borderId="0" xfId="62" applyFont="1" applyBorder="1" applyAlignment="1">
      <alignment horizontal="center"/>
    </xf>
    <xf numFmtId="58" fontId="15" fillId="0" borderId="0" xfId="62" applyNumberFormat="1" applyFont="1" applyBorder="1"/>
    <xf numFmtId="0" fontId="16" fillId="0" borderId="0" xfId="62" applyFont="1"/>
    <xf numFmtId="0" fontId="7" fillId="0" borderId="0" xfId="62" applyFont="1"/>
    <xf numFmtId="0" fontId="7" fillId="0" borderId="0" xfId="62" applyFont="1" applyBorder="1" applyAlignment="1">
      <alignment horizontal="center"/>
    </xf>
    <xf numFmtId="0" fontId="15" fillId="0" borderId="0" xfId="62" applyFont="1" applyBorder="1" applyAlignment="1">
      <alignment horizontal="center"/>
    </xf>
    <xf numFmtId="0" fontId="0" fillId="0" borderId="0" xfId="62" applyNumberFormat="1" applyFont="1" applyBorder="1"/>
    <xf numFmtId="0" fontId="19" fillId="0" borderId="0" xfId="62" applyFont="1"/>
    <xf numFmtId="0" fontId="28" fillId="0" borderId="16" xfId="62" applyFont="1" applyBorder="1" applyAlignment="1">
      <alignment horizontal="center"/>
    </xf>
    <xf numFmtId="178" fontId="0" fillId="0" borderId="7" xfId="62" applyNumberFormat="1" applyFont="1" applyBorder="1" applyAlignment="1">
      <alignment horizontal="center"/>
    </xf>
    <xf numFmtId="178" fontId="30" fillId="0" borderId="0" xfId="62" applyNumberFormat="1" applyFont="1" applyBorder="1" applyAlignment="1">
      <alignment horizontal="center"/>
    </xf>
    <xf numFmtId="178" fontId="0" fillId="0" borderId="0" xfId="62" applyNumberFormat="1" applyFont="1" applyBorder="1" applyAlignment="1">
      <alignment horizontal="center"/>
    </xf>
    <xf numFmtId="0" fontId="28" fillId="0" borderId="51" xfId="62" applyFont="1" applyBorder="1" applyAlignment="1">
      <alignment horizontal="center" vertical="center"/>
    </xf>
    <xf numFmtId="0" fontId="28" fillId="0" borderId="52" xfId="62" applyFont="1" applyBorder="1" applyAlignment="1">
      <alignment horizontal="center" vertical="center"/>
    </xf>
    <xf numFmtId="0" fontId="0" fillId="0" borderId="53" xfId="62" applyFont="1" applyBorder="1" applyAlignment="1">
      <alignment horizontal="center" vertical="center"/>
    </xf>
    <xf numFmtId="0" fontId="0" fillId="0" borderId="54" xfId="62" applyFont="1" applyBorder="1" applyAlignment="1">
      <alignment horizontal="center" vertical="center"/>
    </xf>
    <xf numFmtId="0" fontId="12" fillId="0" borderId="0" xfId="62" applyFont="1" applyFill="1" applyBorder="1" applyAlignment="1">
      <alignment horizontal="center"/>
    </xf>
    <xf numFmtId="0" fontId="18" fillId="0" borderId="0" xfId="62" applyFont="1" applyFill="1" applyBorder="1" applyAlignment="1">
      <alignment horizontal="center"/>
    </xf>
    <xf numFmtId="0" fontId="12" fillId="0" borderId="53" xfId="62" applyFont="1" applyBorder="1" applyAlignment="1">
      <alignment horizontal="center" vertical="center"/>
    </xf>
    <xf numFmtId="0" fontId="18" fillId="0" borderId="45" xfId="62" applyFont="1" applyBorder="1" applyAlignment="1">
      <alignment horizontal="center" vertical="center"/>
    </xf>
    <xf numFmtId="0" fontId="18" fillId="0" borderId="54" xfId="62" applyFont="1" applyBorder="1" applyAlignment="1">
      <alignment horizontal="center" vertical="center"/>
    </xf>
    <xf numFmtId="0" fontId="0" fillId="0" borderId="55" xfId="62" applyFont="1" applyBorder="1" applyAlignment="1">
      <alignment horizontal="center" vertical="center"/>
    </xf>
    <xf numFmtId="0" fontId="0" fillId="0" borderId="56" xfId="62" applyFont="1" applyBorder="1" applyAlignment="1">
      <alignment horizontal="center" vertical="center"/>
    </xf>
    <xf numFmtId="0" fontId="0" fillId="15" borderId="0" xfId="62" applyFont="1" applyFill="1" applyAlignment="1">
      <alignment vertical="center"/>
    </xf>
    <xf numFmtId="0" fontId="12" fillId="0" borderId="0" xfId="62" applyFont="1" applyBorder="1" applyAlignment="1">
      <alignment horizontal="center" vertical="center"/>
    </xf>
    <xf numFmtId="0" fontId="7" fillId="0" borderId="0" xfId="62" applyFont="1" applyBorder="1" applyAlignment="1">
      <alignment vertical="center"/>
    </xf>
    <xf numFmtId="0" fontId="7" fillId="15" borderId="0" xfId="62" applyFont="1" applyFill="1" applyAlignment="1">
      <alignment vertical="center"/>
    </xf>
    <xf numFmtId="0" fontId="7" fillId="0" borderId="0" xfId="62" applyFont="1" applyBorder="1"/>
    <xf numFmtId="0" fontId="2" fillId="0" borderId="0" xfId="66" applyFont="1"/>
    <xf numFmtId="0" fontId="31" fillId="0" borderId="0" xfId="66" applyFont="1" applyAlignment="1">
      <alignment horizontal="center"/>
    </xf>
    <xf numFmtId="0" fontId="2" fillId="0" borderId="0" xfId="66" applyFont="1" applyAlignment="1">
      <alignment horizontal="right"/>
    </xf>
    <xf numFmtId="0" fontId="2" fillId="0" borderId="0" xfId="66" applyFont="1" applyAlignment="1">
      <alignment horizontal="center" vertical="center"/>
    </xf>
    <xf numFmtId="0" fontId="2" fillId="0" borderId="1" xfId="50" applyFont="1" applyBorder="1" applyAlignment="1">
      <alignment horizontal="center" vertical="center"/>
    </xf>
    <xf numFmtId="14" fontId="2" fillId="0" borderId="1" xfId="50" applyNumberFormat="1" applyFont="1" applyBorder="1" applyAlignment="1">
      <alignment horizontal="center" vertical="center"/>
    </xf>
    <xf numFmtId="0" fontId="2" fillId="0" borderId="1" xfId="66" applyFont="1" applyBorder="1" applyAlignment="1">
      <alignment horizontal="center" vertical="center"/>
    </xf>
    <xf numFmtId="0" fontId="32" fillId="0" borderId="1" xfId="66" applyFont="1" applyBorder="1" applyAlignment="1">
      <alignment horizontal="center" vertical="center"/>
    </xf>
    <xf numFmtId="0" fontId="2" fillId="0" borderId="0" xfId="66" applyFont="1" applyBorder="1" applyAlignment="1">
      <alignment horizontal="center" vertical="center"/>
    </xf>
    <xf numFmtId="0" fontId="2" fillId="0" borderId="0" xfId="66" applyFont="1" applyAlignment="1">
      <alignment horizontal="center"/>
    </xf>
    <xf numFmtId="0" fontId="32" fillId="0" borderId="0" xfId="66" applyFont="1" applyAlignment="1"/>
    <xf numFmtId="0" fontId="2"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79" fontId="0" fillId="0" borderId="0" xfId="55" applyNumberFormat="1" applyFont="1" applyBorder="1"/>
    <xf numFmtId="58" fontId="0" fillId="0" borderId="24" xfId="55" applyNumberFormat="1" applyFont="1" applyFill="1" applyBorder="1" applyAlignment="1">
      <alignment horizontal="center" vertical="center"/>
    </xf>
    <xf numFmtId="0" fontId="0" fillId="0" borderId="27" xfId="55" applyFont="1" applyFill="1" applyBorder="1" applyAlignment="1">
      <alignment horizontal="center" vertical="center"/>
    </xf>
    <xf numFmtId="0" fontId="0" fillId="0" borderId="1" xfId="55" applyFont="1" applyFill="1" applyBorder="1" applyAlignment="1">
      <alignment horizontal="center" vertical="center"/>
    </xf>
    <xf numFmtId="180" fontId="0" fillId="0" borderId="1" xfId="55" applyNumberFormat="1" applyFont="1" applyFill="1" applyBorder="1" applyAlignment="1">
      <alignment horizontal="center" vertical="center"/>
    </xf>
    <xf numFmtId="0" fontId="0" fillId="0" borderId="1" xfId="55" applyNumberFormat="1" applyFont="1" applyFill="1" applyBorder="1" applyAlignment="1">
      <alignment horizontal="center" vertical="center"/>
    </xf>
    <xf numFmtId="0" fontId="0" fillId="0" borderId="1" xfId="55" applyFont="1" applyFill="1" applyBorder="1" applyAlignment="1">
      <alignment horizontal="center" vertical="center" wrapText="1"/>
    </xf>
    <xf numFmtId="0" fontId="12" fillId="0" borderId="27" xfId="55" applyFont="1" applyFill="1" applyBorder="1" applyAlignment="1">
      <alignment horizontal="center" vertical="center" wrapText="1"/>
    </xf>
    <xf numFmtId="0" fontId="12" fillId="0" borderId="1" xfId="55" applyFont="1" applyFill="1" applyBorder="1" applyAlignment="1">
      <alignment horizontal="center" vertical="center" wrapText="1"/>
    </xf>
    <xf numFmtId="177" fontId="22" fillId="0" borderId="1" xfId="55" applyNumberFormat="1" applyFont="1" applyFill="1" applyBorder="1" applyAlignment="1">
      <alignment horizontal="center" vertical="center"/>
    </xf>
    <xf numFmtId="0" fontId="33" fillId="0" borderId="1" xfId="55" applyFont="1" applyFill="1" applyBorder="1" applyAlignment="1">
      <alignment horizontal="center" vertical="center"/>
    </xf>
    <xf numFmtId="180" fontId="12" fillId="0" borderId="1" xfId="55" applyNumberFormat="1" applyFont="1" applyFill="1" applyBorder="1" applyAlignment="1">
      <alignment horizontal="center" vertical="center"/>
    </xf>
    <xf numFmtId="0" fontId="12" fillId="0" borderId="1" xfId="79" applyFont="1" applyFill="1" applyBorder="1" applyAlignment="1">
      <alignment horizontal="center" vertical="center"/>
    </xf>
    <xf numFmtId="0" fontId="22" fillId="0" borderId="1" xfId="55" applyFont="1" applyFill="1" applyBorder="1" applyAlignment="1">
      <alignment horizontal="center" vertical="center"/>
    </xf>
    <xf numFmtId="179" fontId="12" fillId="0" borderId="1" xfId="55" applyNumberFormat="1" applyFont="1" applyFill="1" applyBorder="1" applyAlignment="1">
      <alignment horizontal="center" vertical="center"/>
    </xf>
    <xf numFmtId="0" fontId="22" fillId="0" borderId="27" xfId="55" applyFont="1" applyFill="1" applyBorder="1" applyAlignment="1">
      <alignment horizontal="center" vertical="center"/>
    </xf>
    <xf numFmtId="0" fontId="22" fillId="0" borderId="57" xfId="55" applyFont="1" applyFill="1" applyBorder="1" applyAlignment="1">
      <alignment horizontal="center" vertical="center"/>
    </xf>
    <xf numFmtId="0" fontId="22" fillId="0" borderId="31" xfId="55" applyFont="1" applyFill="1" applyBorder="1" applyAlignment="1">
      <alignment horizontal="center" vertical="center"/>
    </xf>
    <xf numFmtId="180" fontId="22" fillId="0" borderId="31" xfId="55" applyNumberFormat="1" applyFont="1" applyFill="1" applyBorder="1" applyAlignment="1">
      <alignment horizontal="center" vertical="center"/>
    </xf>
    <xf numFmtId="180" fontId="0" fillId="0" borderId="0" xfId="55" applyNumberFormat="1" applyFont="1" applyFill="1"/>
    <xf numFmtId="0" fontId="0" fillId="16" borderId="23" xfId="55" applyFont="1" applyFill="1" applyBorder="1" applyAlignment="1">
      <alignment vertical="center"/>
    </xf>
    <xf numFmtId="0" fontId="34" fillId="17" borderId="24" xfId="63" applyFont="1" applyFill="1" applyBorder="1" applyAlignment="1">
      <alignment vertical="center" wrapText="1"/>
    </xf>
    <xf numFmtId="0" fontId="0" fillId="0" borderId="36" xfId="55" applyFont="1" applyFill="1" applyBorder="1" applyAlignment="1">
      <alignment horizontal="center" vertical="center"/>
    </xf>
    <xf numFmtId="0" fontId="0" fillId="16" borderId="27" xfId="55" applyFont="1" applyFill="1" applyBorder="1" applyAlignment="1">
      <alignment vertical="center"/>
    </xf>
    <xf numFmtId="0" fontId="34" fillId="17" borderId="1" xfId="63" applyFont="1" applyFill="1" applyBorder="1" applyAlignment="1">
      <alignment vertical="center" wrapText="1"/>
    </xf>
    <xf numFmtId="0" fontId="29" fillId="16" borderId="0" xfId="55" applyFont="1" applyFill="1" applyBorder="1" applyAlignment="1">
      <alignment horizontal="center" vertical="center"/>
    </xf>
    <xf numFmtId="0" fontId="0" fillId="16" borderId="27" xfId="55" applyFont="1" applyFill="1" applyBorder="1" applyAlignment="1">
      <alignment horizontal="center" vertical="center"/>
    </xf>
    <xf numFmtId="0" fontId="35" fillId="8" borderId="1" xfId="63" applyFont="1" applyFill="1" applyBorder="1" applyAlignment="1">
      <alignment vertical="center" wrapText="1"/>
    </xf>
    <xf numFmtId="0" fontId="35" fillId="8" borderId="1" xfId="63" applyFont="1" applyFill="1" applyBorder="1" applyAlignment="1">
      <alignment horizontal="center" vertical="center" wrapText="1"/>
    </xf>
    <xf numFmtId="0" fontId="33" fillId="0" borderId="36" xfId="55" applyFont="1" applyFill="1" applyBorder="1" applyAlignment="1">
      <alignment horizontal="center" vertical="center"/>
    </xf>
    <xf numFmtId="0" fontId="12" fillId="0" borderId="36" xfId="55" applyFont="1" applyFill="1" applyBorder="1" applyAlignment="1">
      <alignment horizontal="center" vertical="center"/>
    </xf>
    <xf numFmtId="0" fontId="22" fillId="0" borderId="36" xfId="55" applyFont="1" applyFill="1" applyBorder="1" applyAlignment="1">
      <alignment horizontal="center" vertical="center"/>
    </xf>
    <xf numFmtId="0" fontId="22" fillId="0" borderId="38" xfId="55" applyFont="1" applyFill="1" applyBorder="1" applyAlignment="1">
      <alignment horizontal="center" vertical="center"/>
    </xf>
    <xf numFmtId="0" fontId="0" fillId="16" borderId="57" xfId="55" applyFont="1" applyFill="1" applyBorder="1" applyAlignment="1">
      <alignment horizontal="center" vertical="center"/>
    </xf>
    <xf numFmtId="0" fontId="35" fillId="8" borderId="31" xfId="63" applyFont="1" applyFill="1" applyBorder="1" applyAlignment="1">
      <alignment vertical="center" wrapText="1"/>
    </xf>
    <xf numFmtId="0" fontId="35" fillId="8" borderId="31" xfId="63" applyFont="1" applyFill="1" applyBorder="1" applyAlignment="1">
      <alignment horizontal="center" vertical="center" wrapText="1"/>
    </xf>
    <xf numFmtId="0" fontId="0" fillId="16" borderId="23" xfId="55" applyFont="1" applyFill="1" applyBorder="1" applyAlignment="1">
      <alignment horizontal="center" vertical="center"/>
    </xf>
    <xf numFmtId="0" fontId="35" fillId="8" borderId="24" xfId="55" applyFont="1" applyFill="1" applyBorder="1" applyAlignment="1">
      <alignment vertical="center" wrapText="1"/>
    </xf>
    <xf numFmtId="0" fontId="35" fillId="8" borderId="24" xfId="55" applyFont="1" applyFill="1" applyBorder="1" applyAlignment="1">
      <alignment horizontal="center" vertical="center" wrapText="1"/>
    </xf>
    <xf numFmtId="0" fontId="35" fillId="8" borderId="1" xfId="55" applyFont="1" applyFill="1" applyBorder="1" applyAlignment="1">
      <alignment vertical="center" wrapText="1"/>
    </xf>
    <xf numFmtId="0" fontId="35" fillId="8" borderId="1" xfId="55" applyFont="1" applyFill="1" applyBorder="1" applyAlignment="1">
      <alignment horizontal="center" vertical="center" wrapText="1"/>
    </xf>
    <xf numFmtId="0" fontId="35" fillId="8" borderId="31" xfId="55" applyFont="1" applyFill="1" applyBorder="1" applyAlignment="1">
      <alignment vertical="center" wrapText="1"/>
    </xf>
    <xf numFmtId="0" fontId="35" fillId="8" borderId="31" xfId="55" applyFont="1" applyFill="1" applyBorder="1" applyAlignment="1">
      <alignment horizontal="center" vertical="center" wrapText="1"/>
    </xf>
    <xf numFmtId="0" fontId="34" fillId="17" borderId="24" xfId="55" applyFont="1" applyFill="1" applyBorder="1" applyAlignment="1">
      <alignment vertical="center" wrapText="1"/>
    </xf>
    <xf numFmtId="0" fontId="34" fillId="17" borderId="1" xfId="55" applyFont="1" applyFill="1" applyBorder="1" applyAlignment="1">
      <alignment vertical="center" wrapText="1"/>
    </xf>
    <xf numFmtId="0" fontId="34" fillId="17" borderId="1" xfId="63" applyFont="1" applyFill="1" applyBorder="1" applyAlignment="1">
      <alignment horizontal="center" vertical="center" wrapText="1"/>
    </xf>
    <xf numFmtId="0" fontId="35" fillId="8" borderId="24" xfId="55" applyFont="1" applyFill="1" applyBorder="1" applyAlignment="1">
      <alignment horizontal="center" vertical="center"/>
    </xf>
    <xf numFmtId="0" fontId="35" fillId="8" borderId="1" xfId="55" applyFont="1" applyFill="1" applyBorder="1" applyAlignment="1">
      <alignment horizontal="center" vertical="center"/>
    </xf>
    <xf numFmtId="0" fontId="35" fillId="8" borderId="31" xfId="55" applyFont="1" applyFill="1" applyBorder="1" applyAlignment="1">
      <alignment horizontal="center" vertical="center"/>
    </xf>
    <xf numFmtId="0" fontId="0" fillId="0" borderId="24" xfId="55" applyFont="1" applyBorder="1"/>
    <xf numFmtId="0" fontId="36" fillId="17" borderId="24" xfId="63" applyFont="1" applyFill="1" applyBorder="1" applyAlignment="1">
      <alignment horizontal="center" vertical="center" wrapText="1"/>
    </xf>
    <xf numFmtId="0" fontId="36" fillId="17" borderId="34" xfId="63" applyFont="1" applyFill="1" applyBorder="1" applyAlignment="1">
      <alignment horizontal="center" vertical="center" wrapText="1"/>
    </xf>
    <xf numFmtId="0" fontId="34" fillId="17" borderId="36" xfId="63" applyFont="1" applyFill="1" applyBorder="1" applyAlignment="1">
      <alignment horizontal="center" vertical="center" wrapText="1"/>
    </xf>
    <xf numFmtId="0" fontId="35" fillId="0" borderId="1" xfId="63" applyFont="1" applyFill="1" applyBorder="1" applyAlignment="1">
      <alignment horizontal="center" vertical="center" wrapText="1"/>
    </xf>
    <xf numFmtId="179" fontId="0" fillId="0" borderId="1" xfId="55" applyNumberFormat="1" applyFont="1" applyBorder="1"/>
    <xf numFmtId="179" fontId="0" fillId="0" borderId="36" xfId="55" applyNumberFormat="1" applyFont="1" applyBorder="1"/>
    <xf numFmtId="0" fontId="35" fillId="0" borderId="31" xfId="63" applyFont="1" applyFill="1" applyBorder="1" applyAlignment="1">
      <alignment horizontal="center" vertical="center" wrapText="1"/>
    </xf>
    <xf numFmtId="0" fontId="0" fillId="0" borderId="31" xfId="55" applyFont="1" applyBorder="1"/>
    <xf numFmtId="179" fontId="0" fillId="0" borderId="31" xfId="55" applyNumberFormat="1" applyFont="1" applyBorder="1"/>
    <xf numFmtId="179" fontId="0" fillId="0" borderId="38" xfId="55" applyNumberFormat="1" applyFont="1" applyBorder="1"/>
    <xf numFmtId="179" fontId="0" fillId="0" borderId="24" xfId="55" applyNumberFormat="1" applyFont="1" applyBorder="1"/>
    <xf numFmtId="179" fontId="0" fillId="0" borderId="34" xfId="55" applyNumberFormat="1" applyFont="1" applyBorder="1"/>
    <xf numFmtId="0" fontId="0" fillId="16" borderId="0" xfId="55" applyFont="1" applyFill="1"/>
    <xf numFmtId="179" fontId="0" fillId="16" borderId="0" xfId="55" applyNumberFormat="1" applyFont="1" applyFill="1" applyAlignment="1">
      <alignment vertical="center"/>
    </xf>
    <xf numFmtId="179" fontId="0" fillId="16" borderId="0" xfId="55" applyNumberFormat="1" applyFont="1" applyFill="1"/>
    <xf numFmtId="0" fontId="8" fillId="0" borderId="0" xfId="55" applyFont="1" applyAlignment="1">
      <alignment horizontal="right"/>
    </xf>
    <xf numFmtId="0" fontId="30" fillId="0" borderId="0" xfId="55" applyFont="1" applyAlignment="1">
      <alignment horizontal="center"/>
    </xf>
    <xf numFmtId="0" fontId="11" fillId="0" borderId="7" xfId="55" applyFont="1" applyBorder="1" applyAlignment="1">
      <alignment horizontal="center"/>
    </xf>
    <xf numFmtId="58" fontId="0" fillId="0" borderId="7" xfId="55" applyNumberFormat="1" applyFont="1" applyBorder="1" applyAlignment="1">
      <alignment horizontal="center"/>
    </xf>
    <xf numFmtId="0" fontId="37" fillId="0" borderId="16" xfId="55" applyFont="1" applyBorder="1" applyAlignment="1">
      <alignment horizontal="center"/>
    </xf>
    <xf numFmtId="0" fontId="29" fillId="0" borderId="39" xfId="55" applyFont="1" applyBorder="1" applyAlignment="1">
      <alignment horizontal="center" vertical="center"/>
    </xf>
    <xf numFmtId="0" fontId="0" fillId="0" borderId="40" xfId="55" applyFont="1" applyBorder="1" applyAlignment="1">
      <alignment horizontal="center" vertical="center"/>
    </xf>
    <xf numFmtId="0" fontId="0" fillId="0" borderId="41" xfId="55" applyFont="1" applyBorder="1" applyAlignment="1">
      <alignment horizontal="center" vertical="center"/>
    </xf>
    <xf numFmtId="0" fontId="0" fillId="0" borderId="42" xfId="55" applyFont="1" applyBorder="1" applyAlignment="1">
      <alignment horizontal="center" vertical="center"/>
    </xf>
    <xf numFmtId="0" fontId="28" fillId="0" borderId="24" xfId="55" applyFont="1" applyBorder="1" applyAlignment="1">
      <alignment horizontal="center" vertical="center"/>
    </xf>
    <xf numFmtId="0" fontId="22" fillId="0" borderId="43" xfId="55" applyFont="1" applyBorder="1" applyAlignment="1">
      <alignment horizontal="center" vertical="center"/>
    </xf>
    <xf numFmtId="0" fontId="0" fillId="0" borderId="44" xfId="55" applyFont="1" applyBorder="1" applyAlignment="1">
      <alignment horizontal="center" vertical="center"/>
    </xf>
    <xf numFmtId="0" fontId="0" fillId="0" borderId="58" xfId="55" applyFont="1" applyBorder="1" applyAlignment="1">
      <alignment horizontal="center" vertical="center"/>
    </xf>
    <xf numFmtId="0" fontId="11" fillId="0" borderId="43" xfId="55" applyNumberFormat="1" applyFont="1" applyBorder="1" applyAlignment="1">
      <alignment horizontal="center"/>
    </xf>
    <xf numFmtId="0" fontId="11" fillId="0" borderId="44" xfId="55" applyFont="1" applyBorder="1" applyAlignment="1">
      <alignment horizontal="center"/>
    </xf>
    <xf numFmtId="0" fontId="0" fillId="0" borderId="44" xfId="55" applyFont="1" applyBorder="1" applyAlignment="1">
      <alignment horizontal="center"/>
    </xf>
    <xf numFmtId="0" fontId="0" fillId="0" borderId="44" xfId="55" applyFont="1" applyFill="1" applyBorder="1" applyAlignment="1">
      <alignment horizontal="center"/>
    </xf>
    <xf numFmtId="179" fontId="12" fillId="0" borderId="45" xfId="55" applyNumberFormat="1" applyFont="1" applyBorder="1" applyAlignment="1">
      <alignment horizontal="center" vertical="center"/>
    </xf>
    <xf numFmtId="0" fontId="12" fillId="0" borderId="45" xfId="55" applyFont="1" applyBorder="1" applyAlignment="1">
      <alignment horizontal="center" vertical="center"/>
    </xf>
    <xf numFmtId="0" fontId="12" fillId="0" borderId="43" xfId="55" applyNumberFormat="1" applyFont="1" applyBorder="1" applyAlignment="1">
      <alignment horizontal="center"/>
    </xf>
    <xf numFmtId="0" fontId="0" fillId="0" borderId="43" xfId="55" applyNumberFormat="1" applyFont="1" applyBorder="1" applyAlignment="1">
      <alignment horizontal="center"/>
    </xf>
    <xf numFmtId="0" fontId="0" fillId="0" borderId="46" xfId="55" applyNumberFormat="1" applyFont="1" applyBorder="1" applyAlignment="1">
      <alignment horizontal="center"/>
    </xf>
    <xf numFmtId="0" fontId="11" fillId="0" borderId="47" xfId="55" applyFont="1" applyBorder="1" applyAlignment="1">
      <alignment horizontal="center"/>
    </xf>
    <xf numFmtId="0" fontId="0" fillId="0" borderId="47" xfId="55" applyFont="1" applyBorder="1" applyAlignment="1">
      <alignment horizontal="center"/>
    </xf>
    <xf numFmtId="182" fontId="18" fillId="0" borderId="43" xfId="55" applyNumberFormat="1" applyFont="1" applyBorder="1" applyAlignment="1">
      <alignment horizontal="center"/>
    </xf>
    <xf numFmtId="182" fontId="0" fillId="0" borderId="43" xfId="55" applyNumberFormat="1" applyFont="1" applyBorder="1" applyAlignment="1">
      <alignment horizontal="center"/>
    </xf>
    <xf numFmtId="0" fontId="0" fillId="0" borderId="48" xfId="55" applyNumberFormat="1" applyFont="1" applyBorder="1" applyAlignment="1">
      <alignment horizontal="center"/>
    </xf>
    <xf numFmtId="0" fontId="0" fillId="0" borderId="49" xfId="55" applyFont="1" applyBorder="1" applyAlignment="1">
      <alignment horizontal="center" vertical="center"/>
    </xf>
    <xf numFmtId="0" fontId="0" fillId="0" borderId="49" xfId="55" applyFont="1" applyBorder="1" applyAlignment="1">
      <alignment horizontal="center"/>
    </xf>
    <xf numFmtId="0" fontId="12" fillId="0" borderId="50" xfId="55" applyFont="1" applyBorder="1" applyAlignment="1">
      <alignment horizontal="right" vertical="center"/>
    </xf>
    <xf numFmtId="0" fontId="19" fillId="16" borderId="0" xfId="55" applyFont="1" applyFill="1"/>
    <xf numFmtId="0" fontId="28" fillId="0" borderId="16" xfId="55" applyFont="1" applyBorder="1" applyAlignment="1">
      <alignment horizontal="center"/>
    </xf>
    <xf numFmtId="178" fontId="12" fillId="8" borderId="7" xfId="55" applyNumberFormat="1" applyFont="1" applyFill="1" applyBorder="1" applyAlignment="1">
      <alignment horizontal="center"/>
    </xf>
    <xf numFmtId="178" fontId="28" fillId="0" borderId="0" xfId="55" applyNumberFormat="1" applyFont="1" applyBorder="1" applyAlignment="1">
      <alignment horizontal="center"/>
    </xf>
    <xf numFmtId="0" fontId="38" fillId="0" borderId="24" xfId="55" applyFont="1" applyBorder="1" applyAlignment="1">
      <alignment horizontal="center" vertical="center"/>
    </xf>
    <xf numFmtId="0" fontId="38" fillId="0" borderId="34" xfId="55" applyFont="1" applyBorder="1" applyAlignment="1">
      <alignment horizontal="center" vertical="center"/>
    </xf>
    <xf numFmtId="179" fontId="0" fillId="4" borderId="59" xfId="55" applyNumberFormat="1" applyFont="1" applyFill="1" applyBorder="1" applyAlignment="1">
      <alignment horizontal="center" vertical="center"/>
    </xf>
    <xf numFmtId="179" fontId="0" fillId="4" borderId="0" xfId="55" applyNumberFormat="1" applyFont="1" applyFill="1" applyBorder="1" applyAlignment="1">
      <alignment horizontal="center" vertical="center"/>
    </xf>
    <xf numFmtId="179" fontId="0" fillId="4" borderId="0" xfId="55" applyNumberFormat="1" applyFont="1" applyFill="1" applyAlignment="1">
      <alignment horizontal="center" vertical="center"/>
    </xf>
    <xf numFmtId="0" fontId="0" fillId="0" borderId="60" xfId="55" applyFont="1" applyBorder="1" applyAlignment="1">
      <alignment horizontal="center" vertical="center"/>
    </xf>
    <xf numFmtId="0" fontId="0" fillId="0" borderId="61" xfId="55" applyFont="1" applyBorder="1" applyAlignment="1">
      <alignment horizontal="center" vertical="center"/>
    </xf>
    <xf numFmtId="179" fontId="12" fillId="16" borderId="0" xfId="55" applyNumberFormat="1" applyFont="1" applyFill="1" applyBorder="1" applyAlignment="1">
      <alignment horizontal="center" vertical="center"/>
    </xf>
    <xf numFmtId="179" fontId="12" fillId="16" borderId="0" xfId="55" applyNumberFormat="1" applyFont="1" applyFill="1" applyBorder="1" applyAlignment="1">
      <alignment horizontal="center"/>
    </xf>
    <xf numFmtId="179" fontId="18" fillId="16" borderId="0" xfId="55" applyNumberFormat="1" applyFont="1" applyFill="1" applyBorder="1" applyAlignment="1">
      <alignment horizontal="center"/>
    </xf>
    <xf numFmtId="179" fontId="18" fillId="16" borderId="0" xfId="55" applyNumberFormat="1" applyFont="1" applyFill="1" applyAlignment="1">
      <alignment vertical="center" wrapText="1"/>
    </xf>
    <xf numFmtId="0" fontId="12" fillId="0" borderId="53" xfId="55" applyFont="1" applyBorder="1" applyAlignment="1">
      <alignment horizontal="center" vertical="center"/>
    </xf>
    <xf numFmtId="0" fontId="18" fillId="0" borderId="45" xfId="55" applyFont="1" applyBorder="1" applyAlignment="1">
      <alignment horizontal="center" vertical="center"/>
    </xf>
    <xf numFmtId="0" fontId="18" fillId="0" borderId="54" xfId="55" applyFont="1" applyBorder="1" applyAlignment="1">
      <alignment horizontal="center" vertical="center"/>
    </xf>
    <xf numFmtId="0" fontId="22" fillId="0" borderId="45" xfId="55" applyFont="1" applyBorder="1" applyAlignment="1">
      <alignment horizontal="center" vertical="center"/>
    </xf>
    <xf numFmtId="0" fontId="22" fillId="0" borderId="54" xfId="55" applyFont="1" applyBorder="1" applyAlignment="1">
      <alignment horizontal="center" vertical="center"/>
    </xf>
    <xf numFmtId="0" fontId="0" fillId="0" borderId="45" xfId="55" applyFont="1" applyBorder="1" applyAlignment="1">
      <alignment horizontal="center" vertical="center"/>
    </xf>
    <xf numFmtId="0" fontId="0" fillId="0" borderId="54" xfId="55" applyFont="1" applyBorder="1" applyAlignment="1">
      <alignment horizontal="center" vertical="center"/>
    </xf>
    <xf numFmtId="0" fontId="12" fillId="0" borderId="54" xfId="55" applyFont="1" applyBorder="1" applyAlignment="1">
      <alignment horizontal="center" vertical="center"/>
    </xf>
    <xf numFmtId="0" fontId="12" fillId="0" borderId="62" xfId="55" applyFont="1" applyBorder="1" applyAlignment="1">
      <alignment horizontal="right" vertical="center"/>
    </xf>
    <xf numFmtId="179" fontId="12" fillId="0" borderId="56" xfId="55" applyNumberFormat="1" applyFont="1" applyBorder="1" applyAlignment="1">
      <alignment horizontal="left" vertical="center"/>
    </xf>
    <xf numFmtId="179" fontId="0" fillId="16" borderId="0" xfId="55" applyNumberFormat="1" applyFont="1" applyFill="1" applyBorder="1" applyAlignment="1">
      <alignment horizontal="center" vertical="center"/>
    </xf>
    <xf numFmtId="179" fontId="12" fillId="16" borderId="0" xfId="55" applyNumberFormat="1" applyFont="1" applyFill="1" applyBorder="1" applyAlignment="1">
      <alignment horizontal="center" wrapText="1"/>
    </xf>
    <xf numFmtId="0" fontId="7" fillId="16" borderId="0" xfId="55" applyFont="1" applyFill="1"/>
    <xf numFmtId="0" fontId="2" fillId="0" borderId="0" xfId="36" applyFont="1"/>
    <xf numFmtId="0" fontId="31" fillId="0" borderId="0" xfId="36" applyFont="1" applyAlignment="1">
      <alignment horizontal="center"/>
    </xf>
    <xf numFmtId="0" fontId="2" fillId="0" borderId="0" xfId="36" applyFont="1" applyAlignment="1">
      <alignment horizontal="right"/>
    </xf>
    <xf numFmtId="0" fontId="2" fillId="0" borderId="1" xfId="63" applyFont="1" applyBorder="1" applyAlignment="1">
      <alignment horizontal="center" vertical="center"/>
    </xf>
    <xf numFmtId="14" fontId="2" fillId="0" borderId="1" xfId="63" applyNumberFormat="1" applyFont="1" applyBorder="1" applyAlignment="1">
      <alignment horizontal="center" vertical="center"/>
    </xf>
    <xf numFmtId="0" fontId="2" fillId="0" borderId="1" xfId="36" applyFont="1" applyBorder="1" applyAlignment="1">
      <alignment horizontal="center" vertical="center"/>
    </xf>
    <xf numFmtId="0" fontId="32" fillId="0" borderId="1" xfId="36" applyFont="1" applyBorder="1" applyAlignment="1">
      <alignment horizontal="center" vertical="center"/>
    </xf>
    <xf numFmtId="0" fontId="2" fillId="0" borderId="0" xfId="36" applyFont="1" applyBorder="1" applyAlignment="1">
      <alignment horizontal="center" vertical="center"/>
    </xf>
    <xf numFmtId="0" fontId="2" fillId="0" borderId="0" xfId="36" applyFont="1" applyAlignment="1"/>
    <xf numFmtId="0" fontId="32" fillId="0" borderId="0" xfId="36" applyFont="1" applyAlignment="1"/>
    <xf numFmtId="0" fontId="0" fillId="0" borderId="0" xfId="65" applyFont="1" applyBorder="1"/>
    <xf numFmtId="0" fontId="0" fillId="0" borderId="0" xfId="65" applyFont="1" applyBorder="1" applyAlignment="1">
      <alignment horizontal="center" vertical="center"/>
    </xf>
    <xf numFmtId="0" fontId="7" fillId="0" borderId="0" xfId="65" applyFont="1" applyAlignment="1">
      <alignment horizontal="center" vertical="center"/>
    </xf>
    <xf numFmtId="0" fontId="0" fillId="0" borderId="44" xfId="65" applyFont="1" applyFill="1" applyBorder="1" applyAlignment="1">
      <alignment vertical="center"/>
    </xf>
    <xf numFmtId="0" fontId="0" fillId="0" borderId="44" xfId="65" applyFont="1" applyFill="1" applyBorder="1" applyAlignment="1">
      <alignment horizontal="center" vertical="center"/>
    </xf>
    <xf numFmtId="0" fontId="0" fillId="0" borderId="44" xfId="65" applyFont="1" applyFill="1" applyBorder="1" applyAlignment="1">
      <alignment horizontal="center" vertical="center" wrapText="1"/>
    </xf>
    <xf numFmtId="183" fontId="0" fillId="0" borderId="44" xfId="65" applyNumberFormat="1" applyFont="1" applyFill="1" applyBorder="1" applyAlignment="1">
      <alignment horizontal="center" vertical="center"/>
    </xf>
    <xf numFmtId="0" fontId="22" fillId="0" borderId="0" xfId="65" applyFont="1" applyFill="1"/>
    <xf numFmtId="0" fontId="22" fillId="0" borderId="0" xfId="65" applyFont="1" applyFill="1" applyAlignment="1">
      <alignment horizontal="center" vertical="center"/>
    </xf>
    <xf numFmtId="0" fontId="0" fillId="0" borderId="0" xfId="65" applyFont="1" applyFill="1" applyAlignment="1">
      <alignment horizontal="center" vertical="center"/>
    </xf>
    <xf numFmtId="0" fontId="0" fillId="0" borderId="16" xfId="65" applyFont="1" applyFill="1" applyBorder="1" applyAlignment="1">
      <alignment horizontal="center" vertical="center"/>
    </xf>
    <xf numFmtId="0" fontId="0" fillId="0" borderId="0" xfId="65" applyFont="1" applyFill="1" applyAlignment="1">
      <alignment vertical="center"/>
    </xf>
    <xf numFmtId="178" fontId="0" fillId="0" borderId="16" xfId="65" applyNumberFormat="1" applyFont="1" applyFill="1" applyBorder="1" applyAlignment="1">
      <alignment horizontal="center" vertical="center"/>
    </xf>
    <xf numFmtId="0" fontId="0" fillId="0" borderId="0" xfId="65" applyFont="1" applyFill="1" applyBorder="1"/>
    <xf numFmtId="178" fontId="18" fillId="0" borderId="44" xfId="65" applyNumberFormat="1" applyFont="1" applyFill="1" applyBorder="1" applyAlignment="1">
      <alignment vertical="center"/>
    </xf>
    <xf numFmtId="178" fontId="18" fillId="0" borderId="44" xfId="65" applyNumberFormat="1" applyFont="1" applyFill="1" applyBorder="1" applyAlignment="1">
      <alignment horizontal="left" vertical="center"/>
    </xf>
    <xf numFmtId="0" fontId="12" fillId="0" borderId="44" xfId="65" applyFont="1" applyFill="1" applyBorder="1" applyAlignment="1">
      <alignment horizontal="center" vertical="center"/>
    </xf>
    <xf numFmtId="14" fontId="0" fillId="0" borderId="44" xfId="65" applyNumberFormat="1" applyFont="1" applyFill="1" applyBorder="1" applyAlignment="1">
      <alignment horizontal="center" vertical="center"/>
    </xf>
    <xf numFmtId="0" fontId="12" fillId="0" borderId="44" xfId="65" applyFont="1" applyFill="1" applyBorder="1" applyAlignment="1">
      <alignment vertical="center"/>
    </xf>
    <xf numFmtId="0" fontId="0" fillId="0" borderId="47" xfId="65" applyFont="1" applyFill="1" applyBorder="1" applyAlignment="1">
      <alignment horizontal="center" vertical="center" wrapText="1"/>
    </xf>
    <xf numFmtId="0" fontId="28" fillId="0" borderId="44" xfId="65" applyFont="1" applyFill="1" applyBorder="1" applyAlignment="1">
      <alignment horizontal="center" vertical="center" wrapText="1"/>
    </xf>
    <xf numFmtId="0" fontId="0" fillId="0" borderId="63" xfId="65" applyFont="1" applyFill="1" applyBorder="1" applyAlignment="1">
      <alignment horizontal="center" vertical="center" wrapText="1"/>
    </xf>
    <xf numFmtId="0" fontId="28" fillId="0" borderId="44" xfId="65" applyFont="1" applyFill="1" applyBorder="1" applyAlignment="1">
      <alignment horizontal="center" vertical="center"/>
    </xf>
    <xf numFmtId="0" fontId="0" fillId="0" borderId="45" xfId="65" applyFont="1" applyFill="1" applyBorder="1" applyAlignment="1">
      <alignment horizontal="center" vertical="center"/>
    </xf>
    <xf numFmtId="0" fontId="0" fillId="0" borderId="64" xfId="65" applyFont="1" applyFill="1" applyBorder="1" applyAlignment="1">
      <alignment horizontal="center" vertical="center"/>
    </xf>
    <xf numFmtId="0" fontId="0" fillId="0" borderId="53" xfId="65" applyFont="1" applyFill="1" applyBorder="1" applyAlignment="1">
      <alignment horizontal="center" vertical="center"/>
    </xf>
    <xf numFmtId="0" fontId="0" fillId="0" borderId="65" xfId="65" applyFont="1" applyFill="1" applyBorder="1" applyAlignment="1">
      <alignment horizontal="center" vertical="center" wrapText="1"/>
    </xf>
    <xf numFmtId="0" fontId="22" fillId="0" borderId="0" xfId="65" applyFont="1" applyFill="1" applyBorder="1"/>
    <xf numFmtId="0" fontId="0" fillId="0" borderId="0" xfId="65" applyFont="1" applyFill="1"/>
    <xf numFmtId="0" fontId="0" fillId="0" borderId="0" xfId="65" applyFont="1" applyFill="1" applyAlignment="1">
      <alignment horizontal="right" vertical="center"/>
    </xf>
    <xf numFmtId="0" fontId="0" fillId="0" borderId="0" xfId="65" applyFont="1" applyFill="1" applyBorder="1" applyAlignment="1">
      <alignment horizontal="center" vertical="center"/>
    </xf>
    <xf numFmtId="0" fontId="7" fillId="0" borderId="0" xfId="65" applyFont="1" applyAlignment="1">
      <alignment vertical="center"/>
    </xf>
    <xf numFmtId="0" fontId="12" fillId="0" borderId="0" xfId="65" applyFont="1" applyBorder="1" applyAlignment="1">
      <alignment vertical="center"/>
    </xf>
    <xf numFmtId="0" fontId="12" fillId="0" borderId="0" xfId="65" applyFont="1" applyBorder="1" applyAlignment="1">
      <alignment horizontal="center" vertical="center"/>
    </xf>
    <xf numFmtId="0" fontId="0" fillId="0" borderId="0" xfId="65" applyFont="1" applyBorder="1" applyAlignment="1">
      <alignment horizontal="center"/>
    </xf>
    <xf numFmtId="0" fontId="0" fillId="0" borderId="0" xfId="65" applyFont="1" applyAlignment="1">
      <alignment horizontal="center"/>
    </xf>
    <xf numFmtId="0" fontId="11" fillId="0" borderId="0" xfId="65" applyFont="1" applyBorder="1" applyAlignment="1">
      <alignment horizontal="center"/>
    </xf>
    <xf numFmtId="182" fontId="0" fillId="0" borderId="44" xfId="65" applyNumberFormat="1" applyFont="1" applyFill="1" applyBorder="1" applyAlignment="1">
      <alignment horizontal="center" vertical="center"/>
    </xf>
    <xf numFmtId="0" fontId="0" fillId="0" borderId="44" xfId="65" applyFont="1" applyFill="1" applyBorder="1"/>
    <xf numFmtId="0" fontId="28" fillId="0" borderId="0" xfId="65" applyFont="1" applyBorder="1" applyAlignment="1">
      <alignment horizontal="center"/>
    </xf>
    <xf numFmtId="178" fontId="12" fillId="0" borderId="0" xfId="65" applyNumberFormat="1" applyFont="1" applyBorder="1" applyAlignment="1">
      <alignment horizontal="center"/>
    </xf>
    <xf numFmtId="0" fontId="7" fillId="0" borderId="0" xfId="82" applyFont="1"/>
    <xf numFmtId="0" fontId="0" fillId="0" borderId="0" xfId="82" applyFont="1"/>
    <xf numFmtId="0" fontId="0" fillId="0" borderId="0" xfId="82" applyFont="1" applyFill="1"/>
    <xf numFmtId="0" fontId="0" fillId="14" borderId="0" xfId="82" applyFont="1" applyFill="1"/>
    <xf numFmtId="0" fontId="0" fillId="0" borderId="0" xfId="82" applyFont="1" applyBorder="1"/>
    <xf numFmtId="0" fontId="0" fillId="0" borderId="0" xfId="82" applyFont="1" applyFill="1" applyBorder="1"/>
    <xf numFmtId="0" fontId="0" fillId="8" borderId="0" xfId="82" applyFont="1" applyFill="1"/>
    <xf numFmtId="0" fontId="0" fillId="0" borderId="16" xfId="82" applyFont="1" applyBorder="1"/>
    <xf numFmtId="0" fontId="8" fillId="0" borderId="0" xfId="82" applyFont="1" applyAlignment="1">
      <alignment horizontal="right"/>
    </xf>
    <xf numFmtId="0" fontId="30" fillId="0" borderId="0" xfId="82" applyFont="1" applyAlignment="1">
      <alignment horizontal="center"/>
    </xf>
    <xf numFmtId="0" fontId="0" fillId="0" borderId="0" xfId="82" applyFont="1" applyBorder="1" applyAlignment="1">
      <alignment horizontal="center"/>
    </xf>
    <xf numFmtId="0" fontId="0" fillId="0" borderId="16" xfId="82" applyFont="1" applyBorder="1" applyAlignment="1">
      <alignment horizontal="center"/>
    </xf>
    <xf numFmtId="0" fontId="0" fillId="0" borderId="0" xfId="82" applyFont="1" applyAlignment="1">
      <alignment horizontal="center"/>
    </xf>
    <xf numFmtId="0" fontId="11" fillId="0" borderId="7" xfId="82" applyFont="1" applyBorder="1" applyAlignment="1">
      <alignment horizontal="center"/>
    </xf>
    <xf numFmtId="14" fontId="0" fillId="0" borderId="7" xfId="82" applyNumberFormat="1" applyFont="1" applyBorder="1" applyAlignment="1">
      <alignment horizontal="center"/>
    </xf>
    <xf numFmtId="0" fontId="39" fillId="0" borderId="16" xfId="82" applyFont="1" applyBorder="1" applyAlignment="1">
      <alignment horizontal="center"/>
    </xf>
    <xf numFmtId="0" fontId="11" fillId="0" borderId="0" xfId="82" applyFont="1" applyBorder="1" applyAlignment="1">
      <alignment horizontal="center"/>
    </xf>
    <xf numFmtId="0" fontId="11" fillId="0" borderId="0" xfId="82" applyFont="1" applyFill="1" applyBorder="1" applyAlignment="1">
      <alignment horizontal="center"/>
    </xf>
    <xf numFmtId="0" fontId="0" fillId="8" borderId="0" xfId="82" applyFont="1" applyFill="1" applyAlignment="1">
      <alignment horizontal="center"/>
    </xf>
    <xf numFmtId="0" fontId="0" fillId="0" borderId="40" xfId="82" applyFont="1" applyBorder="1" applyAlignment="1">
      <alignment horizontal="center" vertical="center"/>
    </xf>
    <xf numFmtId="0" fontId="0" fillId="0" borderId="41" xfId="82" applyFont="1" applyBorder="1" applyAlignment="1">
      <alignment horizontal="center" vertical="center"/>
    </xf>
    <xf numFmtId="0" fontId="28" fillId="0" borderId="42" xfId="82" applyFont="1" applyBorder="1" applyAlignment="1">
      <alignment horizontal="center" vertical="center"/>
    </xf>
    <xf numFmtId="0" fontId="22" fillId="0" borderId="43" xfId="82" applyFont="1" applyBorder="1" applyAlignment="1">
      <alignment horizontal="center" vertical="center"/>
    </xf>
    <xf numFmtId="0" fontId="0" fillId="0" borderId="44" xfId="82" applyFont="1" applyBorder="1" applyAlignment="1">
      <alignment horizontal="center" vertical="center"/>
    </xf>
    <xf numFmtId="0" fontId="0" fillId="0" borderId="44" xfId="82" applyFont="1" applyFill="1" applyBorder="1" applyAlignment="1">
      <alignment horizontal="center" vertical="center"/>
    </xf>
    <xf numFmtId="0" fontId="0" fillId="14" borderId="44" xfId="82" applyFont="1" applyFill="1" applyBorder="1" applyAlignment="1">
      <alignment horizontal="center" vertical="center"/>
    </xf>
    <xf numFmtId="0" fontId="0" fillId="0" borderId="45" xfId="82" applyFont="1" applyBorder="1" applyAlignment="1">
      <alignment horizontal="center" vertical="center"/>
    </xf>
    <xf numFmtId="0" fontId="11" fillId="0" borderId="43" xfId="82" applyNumberFormat="1" applyFont="1" applyBorder="1" applyAlignment="1">
      <alignment horizontal="center"/>
    </xf>
    <xf numFmtId="0" fontId="11" fillId="0" borderId="44" xfId="82" applyFont="1" applyBorder="1" applyAlignment="1">
      <alignment horizontal="center"/>
    </xf>
    <xf numFmtId="0" fontId="0" fillId="0" borderId="44" xfId="82" applyFont="1" applyBorder="1" applyAlignment="1">
      <alignment horizontal="center"/>
    </xf>
    <xf numFmtId="0" fontId="0" fillId="0" borderId="44" xfId="82" applyFont="1" applyFill="1" applyBorder="1" applyAlignment="1">
      <alignment horizontal="center"/>
    </xf>
    <xf numFmtId="0" fontId="0" fillId="14" borderId="44" xfId="82" applyFont="1" applyFill="1" applyBorder="1" applyAlignment="1">
      <alignment horizontal="center"/>
    </xf>
    <xf numFmtId="182" fontId="11" fillId="0" borderId="43" xfId="82" applyNumberFormat="1" applyFont="1" applyBorder="1" applyAlignment="1">
      <alignment horizontal="center"/>
    </xf>
    <xf numFmtId="0" fontId="0" fillId="0" borderId="43" xfId="82" applyNumberFormat="1" applyFont="1" applyBorder="1" applyAlignment="1">
      <alignment horizontal="center"/>
    </xf>
    <xf numFmtId="0" fontId="22" fillId="0" borderId="43" xfId="82" applyNumberFormat="1" applyFont="1" applyBorder="1" applyAlignment="1">
      <alignment horizontal="center"/>
    </xf>
    <xf numFmtId="0" fontId="0" fillId="0" borderId="46" xfId="82" applyNumberFormat="1" applyFont="1" applyBorder="1" applyAlignment="1">
      <alignment horizontal="center"/>
    </xf>
    <xf numFmtId="0" fontId="11" fillId="0" borderId="47" xfId="82" applyFont="1" applyBorder="1" applyAlignment="1">
      <alignment horizontal="center"/>
    </xf>
    <xf numFmtId="0" fontId="0" fillId="0" borderId="47" xfId="82" applyFont="1" applyBorder="1" applyAlignment="1">
      <alignment horizontal="center"/>
    </xf>
    <xf numFmtId="0" fontId="0" fillId="0" borderId="48" xfId="82" applyNumberFormat="1" applyFont="1" applyBorder="1" applyAlignment="1">
      <alignment horizontal="center"/>
    </xf>
    <xf numFmtId="0" fontId="0" fillId="0" borderId="49" xfId="82" applyFont="1" applyBorder="1" applyAlignment="1">
      <alignment horizontal="center" vertical="center"/>
    </xf>
    <xf numFmtId="0" fontId="0" fillId="0" borderId="49" xfId="82" applyFont="1" applyBorder="1" applyAlignment="1">
      <alignment horizontal="center"/>
    </xf>
    <xf numFmtId="0" fontId="0" fillId="0" borderId="50" xfId="82" applyFont="1" applyBorder="1" applyAlignment="1">
      <alignment horizontal="center" vertical="center"/>
    </xf>
    <xf numFmtId="0" fontId="14" fillId="0" borderId="0" xfId="82" applyFont="1" applyBorder="1" applyAlignment="1">
      <alignment horizontal="center"/>
    </xf>
    <xf numFmtId="0" fontId="0" fillId="0" borderId="0" xfId="82" applyNumberFormat="1" applyFont="1" applyBorder="1"/>
    <xf numFmtId="58" fontId="15" fillId="0" borderId="0" xfId="82" applyNumberFormat="1" applyFont="1" applyBorder="1"/>
    <xf numFmtId="0" fontId="16" fillId="0" borderId="0" xfId="82" applyFont="1"/>
    <xf numFmtId="0" fontId="7" fillId="0" borderId="0" xfId="82" applyFont="1" applyFill="1"/>
    <xf numFmtId="0" fontId="7" fillId="8" borderId="0" xfId="82" applyFont="1" applyFill="1" applyBorder="1" applyAlignment="1">
      <alignment horizontal="center"/>
    </xf>
    <xf numFmtId="0" fontId="15" fillId="8" borderId="0" xfId="82" applyFont="1" applyFill="1" applyBorder="1" applyAlignment="1">
      <alignment horizontal="center"/>
    </xf>
    <xf numFmtId="0" fontId="7" fillId="0" borderId="0" xfId="82" applyFont="1" applyBorder="1" applyAlignment="1">
      <alignment horizontal="center"/>
    </xf>
    <xf numFmtId="0" fontId="0" fillId="8" borderId="0" xfId="82" applyFont="1" applyFill="1" applyBorder="1" applyAlignment="1">
      <alignment horizontal="center"/>
    </xf>
    <xf numFmtId="58" fontId="17" fillId="0" borderId="0" xfId="82" applyNumberFormat="1" applyFont="1" applyBorder="1"/>
    <xf numFmtId="178" fontId="18" fillId="0" borderId="0" xfId="82" applyNumberFormat="1" applyFont="1" applyBorder="1" applyAlignment="1">
      <alignment horizontal="center"/>
    </xf>
    <xf numFmtId="0" fontId="19" fillId="0" borderId="0" xfId="82" applyFont="1" applyBorder="1" applyAlignment="1">
      <alignment horizontal="center"/>
    </xf>
    <xf numFmtId="0" fontId="7" fillId="0" borderId="0" xfId="82" applyFont="1" applyFill="1" applyBorder="1"/>
    <xf numFmtId="0" fontId="19" fillId="8" borderId="0" xfId="82" applyFont="1" applyFill="1" applyBorder="1" applyAlignment="1">
      <alignment horizontal="center"/>
    </xf>
    <xf numFmtId="0" fontId="17" fillId="8" borderId="0" xfId="82" applyFont="1" applyFill="1" applyBorder="1" applyAlignment="1">
      <alignment horizontal="center"/>
    </xf>
    <xf numFmtId="0" fontId="19" fillId="0" borderId="0" xfId="82" applyFont="1"/>
    <xf numFmtId="0" fontId="19" fillId="0" borderId="0" xfId="82" applyFont="1" applyFill="1"/>
    <xf numFmtId="0" fontId="19" fillId="8" borderId="0" xfId="82" applyFont="1" applyFill="1"/>
    <xf numFmtId="0" fontId="28" fillId="0" borderId="16" xfId="82" applyFont="1" applyBorder="1" applyAlignment="1">
      <alignment horizontal="center"/>
    </xf>
    <xf numFmtId="0" fontId="0" fillId="0" borderId="7" xfId="82" applyFont="1" applyBorder="1" applyAlignment="1">
      <alignment horizontal="center"/>
    </xf>
    <xf numFmtId="178" fontId="12" fillId="0" borderId="7" xfId="82" applyNumberFormat="1" applyFont="1" applyBorder="1" applyAlignment="1">
      <alignment horizontal="center"/>
    </xf>
    <xf numFmtId="0" fontId="0" fillId="0" borderId="7" xfId="82" applyFont="1" applyBorder="1"/>
    <xf numFmtId="178" fontId="12" fillId="0" borderId="0" xfId="82" applyNumberFormat="1" applyFont="1" applyBorder="1" applyAlignment="1">
      <alignment horizontal="center"/>
    </xf>
    <xf numFmtId="0" fontId="28" fillId="0" borderId="51" xfId="82" applyFont="1" applyBorder="1" applyAlignment="1">
      <alignment horizontal="center" vertical="center"/>
    </xf>
    <xf numFmtId="0" fontId="28" fillId="0" borderId="52" xfId="82" applyFont="1" applyBorder="1" applyAlignment="1">
      <alignment horizontal="center" vertical="center"/>
    </xf>
    <xf numFmtId="0" fontId="0" fillId="0" borderId="53" xfId="82" applyFont="1" applyBorder="1" applyAlignment="1">
      <alignment horizontal="center" vertical="center"/>
    </xf>
    <xf numFmtId="0" fontId="0" fillId="0" borderId="54" xfId="82" applyFont="1" applyBorder="1" applyAlignment="1">
      <alignment horizontal="center" vertical="center"/>
    </xf>
    <xf numFmtId="0" fontId="12" fillId="0" borderId="0" xfId="82" applyFont="1" applyFill="1" applyBorder="1" applyAlignment="1">
      <alignment horizontal="center"/>
    </xf>
    <xf numFmtId="0" fontId="18" fillId="0" borderId="0" xfId="82" applyFont="1" applyFill="1" applyBorder="1" applyAlignment="1">
      <alignment horizontal="center"/>
    </xf>
    <xf numFmtId="0" fontId="13" fillId="0" borderId="45" xfId="82" applyFont="1" applyBorder="1" applyAlignment="1">
      <alignment horizontal="center" vertical="center"/>
    </xf>
    <xf numFmtId="0" fontId="13" fillId="0" borderId="54" xfId="82" applyFont="1" applyBorder="1" applyAlignment="1">
      <alignment horizontal="center" vertical="center"/>
    </xf>
    <xf numFmtId="0" fontId="0" fillId="0" borderId="55" xfId="82" applyFont="1" applyBorder="1" applyAlignment="1">
      <alignment horizontal="center" vertical="center"/>
    </xf>
    <xf numFmtId="0" fontId="0" fillId="0" borderId="56" xfId="82" applyFont="1" applyBorder="1" applyAlignment="1">
      <alignment horizontal="center" vertical="center"/>
    </xf>
    <xf numFmtId="0" fontId="7" fillId="0" borderId="0" xfId="82" applyFont="1" applyBorder="1"/>
    <xf numFmtId="0" fontId="12" fillId="0" borderId="0" xfId="82" applyFont="1" applyAlignment="1">
      <alignment horizontal="center"/>
    </xf>
    <xf numFmtId="0" fontId="19" fillId="0" borderId="0" xfId="82" applyFont="1" applyBorder="1"/>
    <xf numFmtId="179" fontId="0" fillId="0" borderId="0" xfId="82" applyNumberFormat="1" applyFont="1"/>
    <xf numFmtId="0" fontId="19" fillId="14" borderId="0" xfId="82" applyFont="1" applyFill="1"/>
    <xf numFmtId="0" fontId="31" fillId="0" borderId="16" xfId="67" applyFont="1" applyFill="1" applyBorder="1" applyAlignment="1">
      <alignment horizontal="center" vertical="center"/>
    </xf>
    <xf numFmtId="0" fontId="2" fillId="0" borderId="1" xfId="54" applyFont="1" applyBorder="1" applyAlignment="1">
      <alignment horizontal="center" vertical="center"/>
    </xf>
    <xf numFmtId="0" fontId="40" fillId="4" borderId="1" xfId="54" applyFont="1" applyFill="1" applyBorder="1" applyAlignment="1">
      <alignment horizontal="center" vertical="center"/>
    </xf>
    <xf numFmtId="0" fontId="2" fillId="0" borderId="1" xfId="54" applyFont="1" applyFill="1" applyBorder="1" applyAlignment="1">
      <alignment horizontal="center" vertical="center"/>
    </xf>
    <xf numFmtId="14" fontId="2" fillId="0" borderId="1" xfId="54" applyNumberFormat="1" applyFont="1" applyBorder="1" applyAlignment="1">
      <alignment horizontal="center" vertical="center"/>
    </xf>
    <xf numFmtId="0" fontId="2" fillId="4" borderId="1" xfId="54" applyFont="1" applyFill="1" applyBorder="1" applyAlignment="1">
      <alignment horizontal="center" vertical="center"/>
    </xf>
    <xf numFmtId="0" fontId="2" fillId="0" borderId="22" xfId="67" applyFont="1" applyBorder="1" applyAlignment="1">
      <alignment horizontal="center"/>
    </xf>
    <xf numFmtId="0" fontId="31" fillId="4" borderId="16" xfId="67" applyFont="1" applyFill="1" applyBorder="1" applyAlignment="1">
      <alignment horizontal="center" vertical="center"/>
    </xf>
    <xf numFmtId="0" fontId="2" fillId="0" borderId="21" xfId="67" applyFont="1" applyBorder="1" applyAlignment="1">
      <alignment horizontal="center"/>
    </xf>
    <xf numFmtId="0" fontId="12" fillId="0" borderId="0" xfId="65" applyFont="1" applyBorder="1" applyAlignment="1" applyProtection="1">
      <alignment horizontal="center"/>
    </xf>
    <xf numFmtId="0" fontId="12" fillId="0" borderId="0" xfId="65" applyFont="1" applyBorder="1" applyProtection="1"/>
    <xf numFmtId="0" fontId="12" fillId="0" borderId="0" xfId="65" applyFont="1" applyBorder="1" applyAlignment="1" applyProtection="1">
      <alignment horizontal="center" vertical="center"/>
    </xf>
    <xf numFmtId="0" fontId="12" fillId="0" borderId="0" xfId="65" applyFont="1" applyAlignment="1" applyProtection="1">
      <alignment horizontal="center" vertical="center"/>
    </xf>
    <xf numFmtId="0" fontId="12" fillId="0" borderId="0" xfId="65" applyFont="1" applyAlignment="1" applyProtection="1">
      <alignment vertical="center"/>
    </xf>
    <xf numFmtId="0" fontId="41" fillId="0" borderId="22" xfId="0" applyFont="1" applyFill="1" applyBorder="1" applyAlignment="1">
      <alignment horizontal="center" vertical="center"/>
    </xf>
    <xf numFmtId="0" fontId="12" fillId="0" borderId="44" xfId="65" applyFont="1" applyBorder="1" applyAlignment="1" applyProtection="1">
      <alignment horizontal="center"/>
    </xf>
    <xf numFmtId="0" fontId="12" fillId="0" borderId="44" xfId="65" applyFont="1" applyFill="1" applyBorder="1" applyAlignment="1" applyProtection="1">
      <alignment horizontal="center" vertical="center"/>
    </xf>
    <xf numFmtId="0" fontId="41" fillId="0" borderId="44" xfId="0" applyFont="1" applyFill="1" applyBorder="1" applyAlignment="1">
      <alignment horizontal="center" vertical="center" wrapText="1"/>
    </xf>
    <xf numFmtId="0" fontId="42" fillId="0" borderId="22" xfId="0" applyFont="1" applyFill="1" applyBorder="1" applyAlignment="1">
      <alignment horizontal="center" vertical="center"/>
    </xf>
    <xf numFmtId="0" fontId="12" fillId="0" borderId="1" xfId="65" applyFont="1" applyBorder="1" applyAlignment="1" applyProtection="1">
      <alignment vertical="center"/>
    </xf>
    <xf numFmtId="0" fontId="12" fillId="0" borderId="44" xfId="65" applyFont="1" applyBorder="1" applyAlignment="1" applyProtection="1">
      <alignment horizontal="center" vertical="center"/>
    </xf>
    <xf numFmtId="0" fontId="12" fillId="0" borderId="0" xfId="65" applyFont="1" applyFill="1" applyBorder="1" applyAlignment="1" applyProtection="1">
      <alignment vertical="center"/>
    </xf>
    <xf numFmtId="0" fontId="12" fillId="0" borderId="44" xfId="65" applyFont="1" applyFill="1" applyBorder="1" applyAlignment="1" applyProtection="1">
      <alignment horizontal="center" vertical="center" wrapText="1"/>
    </xf>
    <xf numFmtId="183" fontId="12" fillId="0" borderId="44" xfId="65" applyNumberFormat="1" applyFont="1" applyFill="1" applyBorder="1" applyAlignment="1" applyProtection="1">
      <alignment horizontal="center" vertical="center"/>
    </xf>
    <xf numFmtId="0" fontId="12" fillId="0" borderId="64" xfId="65" applyFont="1" applyFill="1" applyBorder="1" applyAlignment="1" applyProtection="1">
      <alignment horizontal="center" vertical="center" wrapText="1"/>
    </xf>
    <xf numFmtId="0" fontId="12" fillId="0" borderId="1" xfId="65" applyFont="1" applyFill="1" applyBorder="1" applyAlignment="1" applyProtection="1">
      <alignment horizontal="center" vertical="center" wrapText="1"/>
    </xf>
    <xf numFmtId="0" fontId="43" fillId="0" borderId="44" xfId="65" applyFont="1" applyFill="1" applyBorder="1" applyAlignment="1" applyProtection="1">
      <alignment horizontal="center" vertical="center" wrapText="1"/>
    </xf>
    <xf numFmtId="0" fontId="12" fillId="0" borderId="1" xfId="65" applyFont="1" applyBorder="1" applyProtection="1"/>
    <xf numFmtId="182" fontId="12" fillId="0" borderId="44" xfId="65" applyNumberFormat="1" applyFont="1" applyFill="1" applyBorder="1" applyAlignment="1" applyProtection="1">
      <alignment horizontal="center" vertical="center"/>
    </xf>
    <xf numFmtId="0" fontId="43" fillId="0" borderId="44" xfId="65" applyFont="1" applyFill="1" applyBorder="1" applyAlignment="1" applyProtection="1">
      <alignment horizontal="center" vertical="center"/>
    </xf>
    <xf numFmtId="180" fontId="12" fillId="0" borderId="44" xfId="65" applyNumberFormat="1" applyFont="1" applyFill="1" applyBorder="1" applyAlignment="1" applyProtection="1">
      <alignment horizontal="center" vertical="center"/>
    </xf>
    <xf numFmtId="179" fontId="12" fillId="0" borderId="44" xfId="65" applyNumberFormat="1" applyFont="1" applyFill="1" applyBorder="1" applyAlignment="1" applyProtection="1">
      <alignment horizontal="center" vertical="center"/>
    </xf>
    <xf numFmtId="0" fontId="0" fillId="0" borderId="44" xfId="0" applyBorder="1" applyAlignment="1">
      <alignment horizontal="center" vertical="center"/>
    </xf>
    <xf numFmtId="0" fontId="0" fillId="0" borderId="0" xfId="0" applyBorder="1" applyAlignment="1">
      <alignment vertical="center"/>
    </xf>
    <xf numFmtId="0" fontId="12" fillId="0" borderId="0" xfId="65" applyFont="1" applyFill="1" applyBorder="1" applyAlignment="1" applyProtection="1">
      <alignment horizontal="center" vertical="center"/>
    </xf>
    <xf numFmtId="0" fontId="12" fillId="0" borderId="0" xfId="65" applyFont="1" applyFill="1" applyBorder="1" applyAlignment="1" applyProtection="1">
      <alignment horizontal="center" vertical="center" wrapText="1"/>
    </xf>
    <xf numFmtId="0" fontId="12" fillId="0" borderId="0" xfId="65" applyFont="1" applyFill="1" applyAlignment="1" applyProtection="1">
      <alignment horizontal="center"/>
    </xf>
    <xf numFmtId="0" fontId="12" fillId="0" borderId="0" xfId="65" applyFont="1" applyFill="1" applyProtection="1"/>
    <xf numFmtId="0" fontId="12" fillId="0" borderId="0" xfId="65" applyFont="1" applyFill="1" applyAlignment="1" applyProtection="1">
      <alignment horizontal="center" vertical="center"/>
    </xf>
    <xf numFmtId="0" fontId="12" fillId="0" borderId="0" xfId="65" applyFont="1" applyFill="1" applyBorder="1" applyAlignment="1" applyProtection="1">
      <alignment horizontal="center"/>
    </xf>
    <xf numFmtId="0" fontId="12" fillId="0" borderId="0" xfId="65" applyFont="1" applyFill="1" applyBorder="1" applyProtection="1"/>
    <xf numFmtId="0" fontId="41" fillId="0" borderId="21" xfId="0" applyFont="1" applyFill="1" applyBorder="1" applyAlignment="1">
      <alignment horizontal="center" vertical="center"/>
    </xf>
    <xf numFmtId="0" fontId="41" fillId="0" borderId="1" xfId="0" applyFont="1" applyFill="1" applyBorder="1" applyAlignment="1">
      <alignment horizontal="center" vertical="center"/>
    </xf>
    <xf numFmtId="0" fontId="42" fillId="0" borderId="21" xfId="0" applyFont="1" applyFill="1" applyBorder="1" applyAlignment="1">
      <alignment horizontal="center" vertical="center"/>
    </xf>
    <xf numFmtId="0" fontId="42" fillId="0" borderId="1" xfId="0" applyFont="1" applyFill="1" applyBorder="1" applyAlignment="1">
      <alignment horizontal="center" vertical="center"/>
    </xf>
    <xf numFmtId="0" fontId="12" fillId="0" borderId="1" xfId="65" applyFont="1" applyBorder="1" applyAlignment="1" applyProtection="1">
      <alignment horizontal="center" vertical="center"/>
    </xf>
    <xf numFmtId="0" fontId="12" fillId="0" borderId="1" xfId="65" applyFont="1" applyBorder="1" applyAlignment="1" applyProtection="1"/>
    <xf numFmtId="0" fontId="12" fillId="0" borderId="0" xfId="65" applyFont="1" applyBorder="1" applyAlignment="1" applyProtection="1"/>
    <xf numFmtId="0" fontId="12" fillId="0" borderId="0" xfId="65" applyFont="1" applyAlignment="1" applyProtection="1"/>
    <xf numFmtId="0" fontId="44" fillId="0" borderId="0" xfId="65" applyFont="1" applyBorder="1" applyAlignment="1" applyProtection="1">
      <alignment horizontal="center"/>
    </xf>
    <xf numFmtId="0" fontId="12" fillId="0" borderId="1" xfId="65" applyFont="1" applyBorder="1"/>
    <xf numFmtId="178" fontId="12" fillId="0" borderId="0" xfId="65" applyNumberFormat="1" applyFont="1" applyFill="1" applyBorder="1" applyAlignment="1" applyProtection="1">
      <alignment horizontal="center" vertical="center"/>
    </xf>
    <xf numFmtId="0" fontId="45" fillId="0" borderId="0" xfId="65" applyFont="1" applyBorder="1" applyAlignment="1" applyProtection="1">
      <alignment horizontal="center"/>
    </xf>
    <xf numFmtId="178" fontId="12" fillId="0" borderId="0" xfId="65" applyNumberFormat="1" applyFont="1" applyBorder="1" applyAlignment="1" applyProtection="1">
      <alignment horizontal="center"/>
    </xf>
    <xf numFmtId="0" fontId="12" fillId="0" borderId="0" xfId="65" applyFont="1" applyFill="1" applyBorder="1" applyAlignment="1" applyProtection="1">
      <alignment horizontal="right" vertical="center"/>
    </xf>
    <xf numFmtId="0" fontId="46" fillId="0" borderId="0" xfId="82" applyFont="1" applyAlignment="1">
      <alignment horizontal="center" vertical="center"/>
    </xf>
    <xf numFmtId="0" fontId="46" fillId="0" borderId="0" xfId="82" applyFont="1" applyFill="1" applyAlignment="1">
      <alignment horizontal="center" vertical="center"/>
    </xf>
    <xf numFmtId="0" fontId="46" fillId="14" borderId="0" xfId="82" applyFont="1" applyFill="1" applyAlignment="1">
      <alignment horizontal="center" vertical="center"/>
    </xf>
    <xf numFmtId="180" fontId="46" fillId="0" borderId="0" xfId="82" applyNumberFormat="1" applyFont="1" applyAlignment="1">
      <alignment horizontal="center" vertical="center"/>
    </xf>
    <xf numFmtId="0" fontId="47" fillId="0" borderId="22" xfId="82" applyFont="1" applyFill="1" applyBorder="1" applyAlignment="1">
      <alignment horizontal="center" vertical="center"/>
    </xf>
    <xf numFmtId="0" fontId="47" fillId="0" borderId="7" xfId="82" applyFont="1" applyFill="1" applyBorder="1" applyAlignment="1">
      <alignment horizontal="center" vertical="center"/>
    </xf>
    <xf numFmtId="0" fontId="46" fillId="0" borderId="1" xfId="82" applyFont="1" applyFill="1" applyBorder="1" applyAlignment="1">
      <alignment horizontal="center" vertical="center"/>
    </xf>
    <xf numFmtId="0" fontId="46" fillId="0" borderId="1" xfId="82" applyNumberFormat="1" applyFont="1" applyFill="1" applyBorder="1" applyAlignment="1">
      <alignment horizontal="center" vertical="center"/>
    </xf>
    <xf numFmtId="0" fontId="46" fillId="0" borderId="2" xfId="82" applyFont="1" applyFill="1" applyBorder="1" applyAlignment="1">
      <alignment horizontal="center" vertical="center"/>
    </xf>
    <xf numFmtId="0" fontId="46" fillId="0" borderId="22" xfId="82" applyFont="1" applyFill="1" applyBorder="1" applyAlignment="1">
      <alignment horizontal="center" vertical="center"/>
    </xf>
    <xf numFmtId="0" fontId="46" fillId="0" borderId="22" xfId="82" applyFont="1" applyFill="1" applyBorder="1" applyAlignment="1">
      <alignment horizontal="left" vertical="center"/>
    </xf>
    <xf numFmtId="0" fontId="46" fillId="0" borderId="7" xfId="82" applyFont="1" applyFill="1" applyBorder="1" applyAlignment="1">
      <alignment horizontal="center" vertical="center"/>
    </xf>
    <xf numFmtId="0" fontId="46" fillId="0" borderId="15" xfId="82" applyFont="1" applyFill="1" applyBorder="1" applyAlignment="1">
      <alignment horizontal="center" vertical="center"/>
    </xf>
    <xf numFmtId="0" fontId="46" fillId="0" borderId="16" xfId="82" applyFont="1" applyFill="1" applyBorder="1" applyAlignment="1">
      <alignment horizontal="center" vertical="center"/>
    </xf>
    <xf numFmtId="0" fontId="48" fillId="0" borderId="16" xfId="82" applyFont="1" applyFill="1" applyBorder="1" applyAlignment="1">
      <alignment horizontal="center" vertical="center"/>
    </xf>
    <xf numFmtId="0" fontId="46" fillId="0" borderId="6" xfId="82" applyFont="1" applyFill="1" applyBorder="1" applyAlignment="1">
      <alignment horizontal="center" vertical="center"/>
    </xf>
    <xf numFmtId="0" fontId="46" fillId="0" borderId="6" xfId="82" applyNumberFormat="1" applyFont="1" applyBorder="1" applyAlignment="1">
      <alignment horizontal="center"/>
    </xf>
    <xf numFmtId="0" fontId="46" fillId="0" borderId="1" xfId="83" applyFont="1" applyBorder="1" applyAlignment="1">
      <alignment horizontal="center"/>
    </xf>
    <xf numFmtId="0" fontId="46" fillId="0" borderId="1" xfId="83" applyFont="1" applyBorder="1" applyAlignment="1">
      <alignment horizontal="center" vertical="center"/>
    </xf>
    <xf numFmtId="182" fontId="46" fillId="0" borderId="1" xfId="82" applyNumberFormat="1" applyFont="1" applyFill="1" applyBorder="1" applyAlignment="1">
      <alignment horizontal="center" vertical="center"/>
    </xf>
    <xf numFmtId="182" fontId="46" fillId="0" borderId="2" xfId="82" applyNumberFormat="1" applyFont="1" applyFill="1" applyBorder="1" applyAlignment="1">
      <alignment horizontal="center" vertical="center"/>
    </xf>
    <xf numFmtId="182" fontId="36" fillId="0" borderId="22" xfId="82" applyNumberFormat="1" applyFont="1" applyFill="1" applyBorder="1" applyAlignment="1">
      <alignment horizontal="left" vertical="center"/>
    </xf>
    <xf numFmtId="182" fontId="46" fillId="0" borderId="7" xfId="82" applyNumberFormat="1" applyFont="1" applyFill="1" applyBorder="1" applyAlignment="1">
      <alignment horizontal="left" vertical="center"/>
    </xf>
    <xf numFmtId="0" fontId="46" fillId="0" borderId="7" xfId="82" applyFont="1" applyFill="1" applyBorder="1" applyAlignment="1">
      <alignment horizontal="left" vertical="center"/>
    </xf>
    <xf numFmtId="0" fontId="46" fillId="0" borderId="44" xfId="83" applyFont="1" applyBorder="1" applyAlignment="1">
      <alignment horizontal="center"/>
    </xf>
    <xf numFmtId="0" fontId="46" fillId="0" borderId="44" xfId="83" applyFont="1" applyBorder="1" applyAlignment="1">
      <alignment horizontal="center" vertical="center"/>
    </xf>
    <xf numFmtId="182" fontId="46" fillId="0" borderId="43" xfId="83" applyNumberFormat="1" applyFont="1" applyBorder="1" applyAlignment="1">
      <alignment horizontal="center"/>
    </xf>
    <xf numFmtId="0" fontId="46" fillId="0" borderId="43" xfId="83" applyNumberFormat="1" applyFont="1" applyBorder="1" applyAlignment="1">
      <alignment horizontal="center"/>
    </xf>
    <xf numFmtId="0" fontId="46" fillId="0" borderId="2" xfId="82" applyNumberFormat="1" applyFont="1" applyFill="1" applyBorder="1" applyAlignment="1">
      <alignment horizontal="center" vertical="center"/>
    </xf>
    <xf numFmtId="0" fontId="36" fillId="0" borderId="22" xfId="82" applyNumberFormat="1" applyFont="1" applyFill="1" applyBorder="1" applyAlignment="1">
      <alignment horizontal="left" vertical="center"/>
    </xf>
    <xf numFmtId="0" fontId="46" fillId="0" borderId="7" xfId="82" applyNumberFormat="1" applyFont="1" applyFill="1" applyBorder="1" applyAlignment="1">
      <alignment horizontal="left" vertical="center"/>
    </xf>
    <xf numFmtId="0" fontId="46" fillId="0" borderId="6" xfId="82" applyNumberFormat="1" applyFont="1" applyFill="1" applyBorder="1" applyAlignment="1">
      <alignment horizontal="center" vertical="center"/>
    </xf>
    <xf numFmtId="0" fontId="46" fillId="0" borderId="0" xfId="82" applyFont="1" applyBorder="1" applyAlignment="1">
      <alignment horizontal="center" vertical="center"/>
    </xf>
    <xf numFmtId="0" fontId="46" fillId="0" borderId="0" xfId="82" applyNumberFormat="1" applyFont="1" applyBorder="1" applyAlignment="1">
      <alignment vertical="center"/>
    </xf>
    <xf numFmtId="0" fontId="46" fillId="0" borderId="0" xfId="82" applyFont="1" applyBorder="1" applyAlignment="1">
      <alignment vertical="center"/>
    </xf>
    <xf numFmtId="58" fontId="46" fillId="0" borderId="0" xfId="82" applyNumberFormat="1" applyFont="1" applyBorder="1" applyAlignment="1">
      <alignment horizontal="center" vertical="center"/>
    </xf>
    <xf numFmtId="0" fontId="49" fillId="0" borderId="0" xfId="82" applyFont="1" applyAlignment="1">
      <alignment horizontal="center" vertical="center"/>
    </xf>
    <xf numFmtId="0" fontId="46" fillId="8" borderId="0" xfId="82" applyFont="1" applyFill="1" applyBorder="1" applyAlignment="1">
      <alignment horizontal="center" vertical="center"/>
    </xf>
    <xf numFmtId="0" fontId="46" fillId="0" borderId="0" xfId="82" applyNumberFormat="1" applyFont="1" applyBorder="1" applyAlignment="1">
      <alignment horizontal="center" vertical="center"/>
    </xf>
    <xf numFmtId="0" fontId="46" fillId="0" borderId="0" xfId="82" applyFont="1" applyFill="1" applyBorder="1" applyAlignment="1">
      <alignment horizontal="center" vertical="center"/>
    </xf>
    <xf numFmtId="178" fontId="46" fillId="0" borderId="0" xfId="82" applyNumberFormat="1" applyFont="1" applyBorder="1" applyAlignment="1">
      <alignment horizontal="center" vertical="center"/>
    </xf>
    <xf numFmtId="0" fontId="50" fillId="0" borderId="0" xfId="82" applyFont="1" applyAlignment="1">
      <alignment horizontal="center" vertical="center"/>
    </xf>
    <xf numFmtId="0" fontId="50" fillId="0" borderId="0" xfId="82" applyFont="1" applyAlignment="1">
      <alignment horizontal="left" vertical="center"/>
    </xf>
    <xf numFmtId="0" fontId="50" fillId="0" borderId="0" xfId="82" applyFont="1" applyFill="1" applyAlignment="1">
      <alignment horizontal="center" vertical="center"/>
    </xf>
    <xf numFmtId="0" fontId="46" fillId="0" borderId="0" xfId="82" applyFont="1" applyAlignment="1">
      <alignment horizontal="center" vertical="center" wrapText="1"/>
    </xf>
    <xf numFmtId="0" fontId="46" fillId="8" borderId="0" xfId="82" applyFont="1" applyFill="1" applyAlignment="1">
      <alignment horizontal="center" vertical="center"/>
    </xf>
    <xf numFmtId="0" fontId="47" fillId="0" borderId="21" xfId="82" applyFont="1" applyFill="1" applyBorder="1" applyAlignment="1">
      <alignment horizontal="center" vertical="center"/>
    </xf>
    <xf numFmtId="0" fontId="48" fillId="0" borderId="1" xfId="82" applyFont="1" applyFill="1" applyBorder="1" applyAlignment="1">
      <alignment horizontal="center" vertical="center"/>
    </xf>
    <xf numFmtId="0" fontId="48" fillId="0" borderId="2" xfId="82" applyFont="1" applyFill="1" applyBorder="1" applyAlignment="1">
      <alignment horizontal="center" vertical="center"/>
    </xf>
    <xf numFmtId="14" fontId="46" fillId="0" borderId="2" xfId="82" applyNumberFormat="1" applyFont="1" applyFill="1" applyBorder="1" applyAlignment="1">
      <alignment horizontal="center" vertical="center"/>
    </xf>
    <xf numFmtId="0" fontId="46" fillId="0" borderId="21" xfId="82" applyFont="1" applyFill="1" applyBorder="1" applyAlignment="1">
      <alignment horizontal="center" vertical="center"/>
    </xf>
    <xf numFmtId="0" fontId="48" fillId="0" borderId="20" xfId="82" applyFont="1" applyFill="1" applyBorder="1" applyAlignment="1">
      <alignment horizontal="center" vertical="center"/>
    </xf>
    <xf numFmtId="0" fontId="48" fillId="0" borderId="6" xfId="82" applyFont="1" applyFill="1" applyBorder="1" applyAlignment="1">
      <alignment horizontal="left" vertical="center"/>
    </xf>
    <xf numFmtId="0" fontId="46" fillId="0" borderId="1" xfId="82" applyFont="1" applyFill="1" applyBorder="1" applyAlignment="1">
      <alignment horizontal="center" vertical="center" wrapText="1"/>
    </xf>
    <xf numFmtId="0" fontId="46" fillId="0" borderId="1" xfId="82" applyFont="1" applyFill="1" applyBorder="1" applyAlignment="1">
      <alignment vertical="center"/>
    </xf>
    <xf numFmtId="0" fontId="46" fillId="0" borderId="2" xfId="82" applyFont="1" applyFill="1" applyBorder="1" applyAlignment="1">
      <alignment vertical="center"/>
    </xf>
    <xf numFmtId="182" fontId="46" fillId="0" borderId="21" xfId="82" applyNumberFormat="1" applyFont="1" applyFill="1" applyBorder="1" applyAlignment="1">
      <alignment horizontal="left" vertical="center"/>
    </xf>
    <xf numFmtId="0" fontId="46" fillId="0" borderId="6" xfId="82" applyFont="1" applyFill="1" applyBorder="1" applyAlignment="1">
      <alignment vertical="center"/>
    </xf>
    <xf numFmtId="0" fontId="46" fillId="0" borderId="21" xfId="82" applyNumberFormat="1" applyFont="1" applyFill="1" applyBorder="1" applyAlignment="1">
      <alignment horizontal="left" vertical="center"/>
    </xf>
    <xf numFmtId="0" fontId="46" fillId="6" borderId="0" xfId="82" applyFont="1" applyFill="1" applyAlignment="1">
      <alignment horizontal="center" vertical="center"/>
    </xf>
    <xf numFmtId="179" fontId="50" fillId="4" borderId="0" xfId="82" applyNumberFormat="1" applyFont="1" applyFill="1" applyAlignment="1">
      <alignment horizontal="center" vertical="center"/>
    </xf>
    <xf numFmtId="179" fontId="46" fillId="0" borderId="0" xfId="82" applyNumberFormat="1" applyFont="1" applyAlignment="1">
      <alignment horizontal="center" vertical="center"/>
    </xf>
    <xf numFmtId="179" fontId="46" fillId="0" borderId="0" xfId="82" applyNumberFormat="1" applyFont="1" applyAlignment="1">
      <alignment horizontal="center" vertical="center" wrapText="1"/>
    </xf>
    <xf numFmtId="180" fontId="50" fillId="0" borderId="66" xfId="82" applyNumberFormat="1" applyFont="1" applyFill="1" applyBorder="1" applyAlignment="1">
      <alignment horizontal="left" vertical="center"/>
    </xf>
    <xf numFmtId="180" fontId="50" fillId="0" borderId="0" xfId="82" applyNumberFormat="1" applyFont="1" applyFill="1" applyBorder="1" applyAlignment="1">
      <alignment horizontal="center" vertical="center"/>
    </xf>
    <xf numFmtId="180" fontId="46" fillId="0" borderId="1" xfId="82" applyNumberFormat="1" applyFont="1" applyFill="1" applyBorder="1" applyAlignment="1">
      <alignment horizontal="center" vertical="center" wrapText="1"/>
    </xf>
    <xf numFmtId="0" fontId="46" fillId="0" borderId="1" xfId="82" applyFont="1" applyBorder="1" applyAlignment="1">
      <alignment horizontal="center" vertical="center" wrapText="1"/>
    </xf>
    <xf numFmtId="180" fontId="50" fillId="4" borderId="0" xfId="82" applyNumberFormat="1" applyFont="1" applyFill="1" applyAlignment="1">
      <alignment horizontal="center" vertical="center"/>
    </xf>
    <xf numFmtId="0" fontId="50" fillId="4" borderId="0" xfId="82" applyFont="1" applyFill="1" applyAlignment="1">
      <alignment horizontal="center" vertical="center"/>
    </xf>
    <xf numFmtId="0" fontId="12" fillId="0" borderId="0" xfId="0" applyFont="1">
      <alignment vertical="center"/>
    </xf>
    <xf numFmtId="0" fontId="12" fillId="0" borderId="0" xfId="0" applyFont="1" applyAlignment="1">
      <alignment horizontal="center" vertical="center"/>
    </xf>
    <xf numFmtId="0" fontId="51" fillId="0" borderId="1" xfId="0" applyFont="1" applyBorder="1" applyAlignment="1">
      <alignment horizontal="center" vertical="center"/>
    </xf>
    <xf numFmtId="0" fontId="12"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52" fillId="0" borderId="5" xfId="0" applyFont="1" applyFill="1" applyBorder="1" applyAlignment="1">
      <alignment horizontal="center" vertical="center" wrapText="1"/>
    </xf>
    <xf numFmtId="0" fontId="52" fillId="0" borderId="1" xfId="0" applyFont="1" applyFill="1" applyBorder="1" applyAlignment="1">
      <alignment horizontal="center" vertical="center"/>
    </xf>
    <xf numFmtId="0" fontId="52" fillId="0" borderId="1" xfId="0" applyFont="1" applyBorder="1" applyAlignment="1">
      <alignment horizontal="center" vertical="center"/>
    </xf>
    <xf numFmtId="0" fontId="12" fillId="0" borderId="1" xfId="84"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applyAlignment="1">
      <alignment horizontal="center" wrapText="1"/>
    </xf>
    <xf numFmtId="0" fontId="12" fillId="0" borderId="0" xfId="84"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NumberFormat="1" applyFont="1" applyBorder="1" applyAlignment="1">
      <alignment horizontal="center" vertical="center" wrapText="1"/>
    </xf>
    <xf numFmtId="0" fontId="12" fillId="0" borderId="0" xfId="0" applyFont="1" applyBorder="1">
      <alignment vertical="center"/>
    </xf>
    <xf numFmtId="0" fontId="12" fillId="0" borderId="0" xfId="0" applyFont="1" applyBorder="1" applyAlignment="1">
      <alignment horizontal="center" vertical="center"/>
    </xf>
    <xf numFmtId="176" fontId="4" fillId="0" borderId="1" xfId="0" applyNumberFormat="1" applyFont="1" applyBorder="1" applyAlignment="1">
      <alignment horizontal="center" vertical="center"/>
    </xf>
    <xf numFmtId="0" fontId="4" fillId="0" borderId="1" xfId="0" applyFont="1" applyBorder="1">
      <alignment vertical="center"/>
    </xf>
    <xf numFmtId="0" fontId="4" fillId="0" borderId="0" xfId="0" applyFont="1" applyBorder="1">
      <alignment vertical="center"/>
    </xf>
    <xf numFmtId="0" fontId="4" fillId="0" borderId="0" xfId="59" applyFont="1" applyFill="1">
      <alignment vertical="center"/>
    </xf>
    <xf numFmtId="0" fontId="4" fillId="0" borderId="0" xfId="59" applyFont="1" applyFill="1" applyBorder="1" applyAlignment="1">
      <alignment horizontal="center" vertical="center"/>
    </xf>
    <xf numFmtId="0" fontId="4" fillId="0" borderId="0" xfId="0" applyFont="1">
      <alignment vertical="center"/>
    </xf>
    <xf numFmtId="0" fontId="52" fillId="0" borderId="0" xfId="59">
      <alignment vertical="center"/>
    </xf>
    <xf numFmtId="0" fontId="52" fillId="0" borderId="0" xfId="59" applyFill="1">
      <alignment vertical="center"/>
    </xf>
    <xf numFmtId="0" fontId="52" fillId="0" borderId="0" xfId="59" applyFill="1" applyAlignment="1">
      <alignment horizontal="center" vertical="center"/>
    </xf>
    <xf numFmtId="0" fontId="52" fillId="0" borderId="0" xfId="59" applyFill="1" applyAlignment="1">
      <alignment horizontal="center" vertical="center" wrapText="1"/>
    </xf>
    <xf numFmtId="0" fontId="52" fillId="0" borderId="0" xfId="59" applyFill="1" applyAlignment="1">
      <alignment vertical="center" wrapText="1"/>
    </xf>
    <xf numFmtId="0" fontId="53" fillId="0" borderId="0" xfId="59" applyFont="1" applyFill="1" applyBorder="1" applyAlignment="1">
      <alignment horizontal="center" vertical="center"/>
    </xf>
    <xf numFmtId="178" fontId="53" fillId="0" borderId="0" xfId="59" applyNumberFormat="1" applyFont="1" applyFill="1" applyBorder="1" applyAlignment="1">
      <alignment horizontal="center" vertical="center"/>
    </xf>
    <xf numFmtId="0" fontId="53" fillId="0" borderId="39" xfId="59" applyFont="1" applyFill="1" applyBorder="1" applyAlignment="1">
      <alignment horizontal="center" vertical="center"/>
    </xf>
    <xf numFmtId="0" fontId="51" fillId="0" borderId="40" xfId="59" applyFont="1" applyFill="1" applyBorder="1" applyAlignment="1">
      <alignment horizontal="center" vertical="center"/>
    </xf>
    <xf numFmtId="0" fontId="51" fillId="0" borderId="41" xfId="59" applyFont="1" applyFill="1" applyBorder="1" applyAlignment="1">
      <alignment horizontal="center" vertical="center" wrapText="1"/>
    </xf>
    <xf numFmtId="0" fontId="51" fillId="0" borderId="41" xfId="59" applyFont="1" applyFill="1" applyBorder="1" applyAlignment="1">
      <alignment horizontal="center" vertical="center"/>
    </xf>
    <xf numFmtId="179" fontId="51" fillId="0" borderId="41" xfId="59" applyNumberFormat="1" applyFont="1" applyFill="1" applyBorder="1" applyAlignment="1">
      <alignment horizontal="center" vertical="center" wrapText="1"/>
    </xf>
    <xf numFmtId="0" fontId="51" fillId="0" borderId="48" xfId="59" applyFont="1" applyFill="1" applyBorder="1" applyAlignment="1">
      <alignment horizontal="center" vertical="center"/>
    </xf>
    <xf numFmtId="0" fontId="51" fillId="0" borderId="49" xfId="59" applyFont="1" applyFill="1" applyBorder="1" applyAlignment="1">
      <alignment horizontal="center" vertical="center" wrapText="1"/>
    </xf>
    <xf numFmtId="0" fontId="51" fillId="0" borderId="49" xfId="59" applyFont="1" applyFill="1" applyBorder="1" applyAlignment="1">
      <alignment horizontal="center" vertical="center"/>
    </xf>
    <xf numFmtId="179" fontId="51" fillId="0" borderId="49" xfId="59" applyNumberFormat="1" applyFont="1" applyFill="1" applyBorder="1" applyAlignment="1">
      <alignment horizontal="center" vertical="center" wrapText="1"/>
    </xf>
    <xf numFmtId="0" fontId="51" fillId="0" borderId="67" xfId="59" applyFont="1" applyFill="1" applyBorder="1" applyAlignment="1">
      <alignment horizontal="center" vertical="center"/>
    </xf>
    <xf numFmtId="0" fontId="12" fillId="0" borderId="68" xfId="50" applyFont="1" applyFill="1" applyBorder="1" applyAlignment="1">
      <alignment horizontal="center" vertical="center" wrapText="1"/>
    </xf>
    <xf numFmtId="0" fontId="54" fillId="0" borderId="68" xfId="50" applyFont="1" applyFill="1" applyBorder="1" applyAlignment="1">
      <alignment horizontal="center" vertical="center"/>
    </xf>
    <xf numFmtId="0" fontId="4" fillId="0" borderId="68" xfId="0" applyFont="1" applyBorder="1" applyAlignment="1">
      <alignment horizontal="center" vertical="center"/>
    </xf>
    <xf numFmtId="0" fontId="4" fillId="0" borderId="41" xfId="0" applyFont="1" applyBorder="1" applyAlignment="1">
      <alignment horizontal="left" vertical="center"/>
    </xf>
    <xf numFmtId="0" fontId="51" fillId="0" borderId="69" xfId="59" applyFont="1" applyFill="1" applyBorder="1" applyAlignment="1">
      <alignment horizontal="center" vertical="center"/>
    </xf>
    <xf numFmtId="0" fontId="12" fillId="0" borderId="63" xfId="50" applyFont="1" applyFill="1" applyBorder="1" applyAlignment="1">
      <alignment horizontal="center" vertical="center" wrapText="1"/>
    </xf>
    <xf numFmtId="0" fontId="54" fillId="0" borderId="63" xfId="50" applyFont="1" applyFill="1" applyBorder="1" applyAlignment="1">
      <alignment horizontal="center" vertical="center"/>
    </xf>
    <xf numFmtId="0" fontId="4" fillId="0" borderId="63" xfId="0" applyFont="1" applyBorder="1" applyAlignment="1">
      <alignment horizontal="center" vertical="center"/>
    </xf>
    <xf numFmtId="0" fontId="4" fillId="0" borderId="44" xfId="0" applyFont="1" applyBorder="1" applyAlignment="1">
      <alignment horizontal="left" vertical="center"/>
    </xf>
    <xf numFmtId="0" fontId="54" fillId="0" borderId="70" xfId="50" applyFont="1" applyFill="1" applyBorder="1" applyAlignment="1">
      <alignment horizontal="center" vertical="center"/>
    </xf>
    <xf numFmtId="0" fontId="4" fillId="0" borderId="41" xfId="59" applyFont="1" applyFill="1" applyBorder="1" applyAlignment="1">
      <alignment horizontal="left" vertical="center"/>
    </xf>
    <xf numFmtId="0" fontId="4" fillId="0" borderId="44" xfId="59" applyFont="1" applyFill="1" applyBorder="1" applyAlignment="1">
      <alignment horizontal="left" vertical="center"/>
    </xf>
    <xf numFmtId="0" fontId="4" fillId="0" borderId="49" xfId="59" applyFont="1" applyFill="1" applyBorder="1" applyAlignment="1">
      <alignment horizontal="left" vertical="center"/>
    </xf>
    <xf numFmtId="0" fontId="54" fillId="0" borderId="68" xfId="59" applyFont="1" applyFill="1" applyBorder="1" applyAlignment="1">
      <alignment horizontal="center" vertical="center"/>
    </xf>
    <xf numFmtId="0" fontId="52" fillId="0" borderId="63" xfId="59" applyFill="1" applyBorder="1" applyAlignment="1">
      <alignment horizontal="center" vertical="center"/>
    </xf>
    <xf numFmtId="0" fontId="54" fillId="0" borderId="63" xfId="59" applyFont="1" applyFill="1" applyBorder="1" applyAlignment="1">
      <alignment horizontal="center" vertical="center"/>
    </xf>
    <xf numFmtId="0" fontId="51" fillId="0" borderId="71" xfId="59" applyFont="1" applyFill="1" applyBorder="1" applyAlignment="1">
      <alignment horizontal="center" vertical="center"/>
    </xf>
    <xf numFmtId="0" fontId="12" fillId="0" borderId="70" xfId="50" applyFont="1" applyFill="1" applyBorder="1" applyAlignment="1">
      <alignment horizontal="center" vertical="center" wrapText="1"/>
    </xf>
    <xf numFmtId="0" fontId="54" fillId="0" borderId="70" xfId="59" applyFont="1" applyFill="1" applyBorder="1" applyAlignment="1">
      <alignment horizontal="center" vertical="center"/>
    </xf>
    <xf numFmtId="0" fontId="4" fillId="0" borderId="40" xfId="59" applyFont="1" applyFill="1" applyBorder="1" applyAlignment="1">
      <alignment horizontal="center" vertical="center"/>
    </xf>
    <xf numFmtId="0" fontId="12" fillId="0" borderId="41" xfId="50" applyFont="1" applyFill="1" applyBorder="1" applyAlignment="1">
      <alignment horizontal="center" vertical="center" wrapText="1"/>
    </xf>
    <xf numFmtId="0" fontId="4" fillId="0" borderId="43" xfId="59" applyFont="1" applyFill="1" applyBorder="1" applyAlignment="1">
      <alignment horizontal="center" vertical="center"/>
    </xf>
    <xf numFmtId="0" fontId="12" fillId="0" borderId="44" xfId="50" applyFont="1" applyFill="1" applyBorder="1" applyAlignment="1">
      <alignment horizontal="center" vertical="center" wrapText="1"/>
    </xf>
    <xf numFmtId="0" fontId="4" fillId="0" borderId="65" xfId="59" applyFont="1" applyFill="1" applyBorder="1" applyAlignment="1">
      <alignment horizontal="left" vertical="center"/>
    </xf>
    <xf numFmtId="0" fontId="4" fillId="0" borderId="48" xfId="59" applyFont="1" applyFill="1" applyBorder="1" applyAlignment="1">
      <alignment horizontal="center" vertical="center"/>
    </xf>
    <xf numFmtId="0" fontId="12" fillId="0" borderId="49" xfId="50" applyFont="1" applyFill="1" applyBorder="1" applyAlignment="1">
      <alignment horizontal="center" vertical="center" wrapText="1"/>
    </xf>
    <xf numFmtId="0" fontId="52" fillId="0" borderId="68" xfId="59" applyFill="1" applyBorder="1" applyAlignment="1">
      <alignment horizontal="center" vertical="center"/>
    </xf>
    <xf numFmtId="0" fontId="52" fillId="0" borderId="70" xfId="59" applyFill="1" applyBorder="1" applyAlignment="1">
      <alignment horizontal="center" vertical="center"/>
    </xf>
    <xf numFmtId="0" fontId="4" fillId="0" borderId="49" xfId="0" applyFont="1" applyBorder="1" applyAlignment="1">
      <alignment horizontal="left" vertical="center"/>
    </xf>
    <xf numFmtId="0" fontId="4" fillId="0" borderId="67" xfId="59" applyFont="1" applyFill="1" applyBorder="1" applyAlignment="1">
      <alignment horizontal="center" vertical="center"/>
    </xf>
    <xf numFmtId="0" fontId="12" fillId="0" borderId="72" xfId="50" applyFont="1" applyFill="1" applyBorder="1" applyAlignment="1">
      <alignment horizontal="center" vertical="center" wrapText="1"/>
    </xf>
    <xf numFmtId="0" fontId="54" fillId="0" borderId="73" xfId="50" applyFont="1" applyFill="1" applyBorder="1" applyAlignment="1">
      <alignment horizontal="center" vertical="center"/>
    </xf>
    <xf numFmtId="0" fontId="4" fillId="0" borderId="69" xfId="59" applyFont="1" applyFill="1" applyBorder="1" applyAlignment="1">
      <alignment horizontal="center" vertical="center"/>
    </xf>
    <xf numFmtId="0" fontId="12" fillId="0" borderId="66" xfId="50" applyFont="1" applyFill="1" applyBorder="1" applyAlignment="1">
      <alignment horizontal="center" vertical="center" wrapText="1"/>
    </xf>
    <xf numFmtId="0" fontId="54" fillId="0" borderId="0" xfId="50" applyFont="1" applyFill="1" applyBorder="1" applyAlignment="1">
      <alignment horizontal="center" vertical="center"/>
    </xf>
    <xf numFmtId="0" fontId="4" fillId="0" borderId="71" xfId="59" applyFont="1" applyFill="1" applyBorder="1" applyAlignment="1">
      <alignment horizontal="center" vertical="center"/>
    </xf>
    <xf numFmtId="0" fontId="12" fillId="0" borderId="74" xfId="50" applyFont="1" applyFill="1" applyBorder="1" applyAlignment="1">
      <alignment horizontal="center" vertical="center" wrapText="1"/>
    </xf>
    <xf numFmtId="0" fontId="54" fillId="0" borderId="39" xfId="50" applyFont="1" applyFill="1" applyBorder="1" applyAlignment="1">
      <alignment horizontal="center" vertical="center"/>
    </xf>
    <xf numFmtId="0" fontId="5" fillId="4" borderId="1" xfId="59" applyFont="1" applyFill="1" applyBorder="1" applyAlignment="1">
      <alignment horizontal="left" vertical="center"/>
    </xf>
    <xf numFmtId="0" fontId="54" fillId="0" borderId="40" xfId="50" applyFont="1" applyFill="1" applyBorder="1" applyAlignment="1">
      <alignment horizontal="center" vertical="center"/>
    </xf>
    <xf numFmtId="0" fontId="54" fillId="0" borderId="41" xfId="50" applyFont="1" applyFill="1" applyBorder="1" applyAlignment="1">
      <alignment horizontal="center" vertical="center" wrapText="1"/>
    </xf>
    <xf numFmtId="0" fontId="54" fillId="0" borderId="43" xfId="50" applyFont="1" applyFill="1" applyBorder="1" applyAlignment="1">
      <alignment horizontal="center" vertical="center"/>
    </xf>
    <xf numFmtId="0" fontId="54" fillId="0" borderId="44" xfId="50" applyFont="1" applyFill="1" applyBorder="1" applyAlignment="1">
      <alignment horizontal="center" vertical="center" wrapText="1"/>
    </xf>
    <xf numFmtId="0" fontId="54" fillId="0" borderId="48" xfId="50" applyFont="1" applyFill="1" applyBorder="1" applyAlignment="1">
      <alignment horizontal="center" vertical="center"/>
    </xf>
    <xf numFmtId="0" fontId="54" fillId="0" borderId="49" xfId="50" applyFont="1" applyFill="1" applyBorder="1" applyAlignment="1">
      <alignment horizontal="center" vertical="center" wrapText="1"/>
    </xf>
    <xf numFmtId="0" fontId="54" fillId="0" borderId="67" xfId="50" applyFont="1" applyFill="1" applyBorder="1" applyAlignment="1">
      <alignment horizontal="center" vertical="center"/>
    </xf>
    <xf numFmtId="0" fontId="54" fillId="0" borderId="68" xfId="50" applyFont="1" applyFill="1" applyBorder="1" applyAlignment="1">
      <alignment horizontal="center" vertical="center" wrapText="1"/>
    </xf>
    <xf numFmtId="0" fontId="54" fillId="0" borderId="69" xfId="50" applyFont="1" applyFill="1" applyBorder="1" applyAlignment="1">
      <alignment horizontal="center" vertical="center"/>
    </xf>
    <xf numFmtId="0" fontId="54" fillId="0" borderId="63" xfId="50" applyFont="1" applyFill="1" applyBorder="1" applyAlignment="1">
      <alignment horizontal="center" vertical="center" wrapText="1"/>
    </xf>
    <xf numFmtId="0" fontId="54" fillId="0" borderId="71" xfId="50" applyFont="1" applyFill="1" applyBorder="1" applyAlignment="1">
      <alignment horizontal="center" vertical="center"/>
    </xf>
    <xf numFmtId="0" fontId="54" fillId="0" borderId="70" xfId="50" applyFont="1" applyFill="1" applyBorder="1" applyAlignment="1">
      <alignment horizontal="center" vertical="center" wrapText="1"/>
    </xf>
    <xf numFmtId="0" fontId="53" fillId="0" borderId="0" xfId="59" applyFont="1" applyFill="1" applyBorder="1" applyAlignment="1">
      <alignment vertical="center"/>
    </xf>
    <xf numFmtId="0" fontId="51" fillId="0" borderId="75" xfId="59" applyFont="1" applyFill="1" applyBorder="1" applyAlignment="1">
      <alignment horizontal="center" vertical="center"/>
    </xf>
    <xf numFmtId="0" fontId="51" fillId="0" borderId="76" xfId="59" applyFont="1" applyFill="1" applyBorder="1" applyAlignment="1">
      <alignment horizontal="center" vertical="center" wrapText="1"/>
    </xf>
    <xf numFmtId="0" fontId="51" fillId="0" borderId="77" xfId="59" applyFont="1" applyFill="1" applyBorder="1" applyAlignment="1">
      <alignment horizontal="center" vertical="center" wrapText="1"/>
    </xf>
    <xf numFmtId="0" fontId="51" fillId="0" borderId="53" xfId="59" applyFont="1" applyFill="1" applyBorder="1" applyAlignment="1">
      <alignment horizontal="center" vertical="center"/>
    </xf>
    <xf numFmtId="0" fontId="51" fillId="0" borderId="44" xfId="59" applyFont="1" applyFill="1" applyBorder="1" applyAlignment="1">
      <alignment horizontal="center" vertical="center"/>
    </xf>
    <xf numFmtId="0" fontId="51" fillId="0" borderId="78" xfId="59" applyFont="1" applyFill="1" applyBorder="1" applyAlignment="1">
      <alignment horizontal="center" vertical="center"/>
    </xf>
    <xf numFmtId="0" fontId="51" fillId="0" borderId="79" xfId="59" applyFont="1" applyFill="1" applyBorder="1" applyAlignment="1">
      <alignment horizontal="center" vertical="center" wrapText="1"/>
    </xf>
    <xf numFmtId="0" fontId="32" fillId="0" borderId="80" xfId="59" applyFont="1" applyFill="1" applyBorder="1" applyAlignment="1">
      <alignment horizontal="center" vertical="center" wrapText="1"/>
    </xf>
    <xf numFmtId="0" fontId="4" fillId="0" borderId="75"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left" vertical="center"/>
    </xf>
    <xf numFmtId="0" fontId="4" fillId="0" borderId="81" xfId="0" applyFont="1" applyBorder="1" applyAlignment="1">
      <alignment horizontal="center" vertical="center"/>
    </xf>
    <xf numFmtId="0" fontId="4" fillId="0" borderId="75" xfId="59" applyFont="1" applyFill="1" applyBorder="1" applyAlignment="1">
      <alignment horizontal="center" vertical="center"/>
    </xf>
    <xf numFmtId="0" fontId="4" fillId="0" borderId="82" xfId="59" applyFont="1" applyFill="1" applyBorder="1" applyAlignment="1">
      <alignment horizontal="center" vertical="center" wrapText="1"/>
    </xf>
    <xf numFmtId="0" fontId="4" fillId="0" borderId="83" xfId="59" applyFont="1" applyFill="1" applyBorder="1" applyAlignment="1">
      <alignment horizontal="center" vertical="center" wrapText="1"/>
    </xf>
    <xf numFmtId="0" fontId="4" fillId="0" borderId="53" xfId="59" applyFont="1" applyFill="1" applyBorder="1" applyAlignment="1">
      <alignment horizontal="left" vertical="center"/>
    </xf>
    <xf numFmtId="0" fontId="52" fillId="0" borderId="1" xfId="59" applyFill="1" applyBorder="1" applyAlignment="1">
      <alignment horizontal="center" vertical="center"/>
    </xf>
    <xf numFmtId="0" fontId="4" fillId="0" borderId="81" xfId="59" applyFont="1" applyFill="1" applyBorder="1" applyAlignment="1">
      <alignment horizontal="center" vertical="center"/>
    </xf>
    <xf numFmtId="0" fontId="4" fillId="0" borderId="84" xfId="59" applyFont="1" applyFill="1" applyBorder="1" applyAlignment="1">
      <alignment horizontal="center" vertical="center" wrapText="1"/>
    </xf>
    <xf numFmtId="0" fontId="4" fillId="0" borderId="78" xfId="59" applyFont="1" applyFill="1" applyBorder="1" applyAlignment="1">
      <alignment horizontal="center" vertical="center"/>
    </xf>
    <xf numFmtId="0" fontId="4" fillId="0" borderId="85" xfId="59" applyFont="1" applyFill="1" applyBorder="1" applyAlignment="1">
      <alignment horizontal="center" vertical="center" wrapText="1"/>
    </xf>
    <xf numFmtId="0" fontId="4" fillId="0" borderId="80" xfId="59" applyFont="1" applyFill="1" applyBorder="1" applyAlignment="1">
      <alignment horizontal="center" vertical="center" wrapText="1"/>
    </xf>
    <xf numFmtId="0" fontId="4" fillId="0" borderId="21" xfId="59" applyFont="1" applyBorder="1" applyAlignment="1">
      <alignment horizontal="center" vertical="center" wrapText="1"/>
    </xf>
    <xf numFmtId="0" fontId="0" fillId="0" borderId="1" xfId="0" applyBorder="1">
      <alignment vertical="center"/>
    </xf>
    <xf numFmtId="0" fontId="4" fillId="0" borderId="86" xfId="59" applyFont="1" applyFill="1" applyBorder="1" applyAlignment="1">
      <alignment horizontal="center" vertical="center" wrapText="1"/>
    </xf>
    <xf numFmtId="0" fontId="4" fillId="0" borderId="87" xfId="59" applyFont="1" applyFill="1" applyBorder="1" applyAlignment="1">
      <alignment horizontal="center" vertical="center"/>
    </xf>
    <xf numFmtId="0" fontId="4" fillId="0" borderId="78" xfId="0" applyFont="1" applyBorder="1" applyAlignment="1">
      <alignment horizontal="center" vertical="center"/>
    </xf>
    <xf numFmtId="0" fontId="5" fillId="0" borderId="1" xfId="59" applyFont="1" applyBorder="1" applyAlignment="1">
      <alignment horizontal="center" vertical="center" wrapText="1"/>
    </xf>
    <xf numFmtId="0" fontId="4" fillId="0" borderId="1" xfId="59" applyFont="1" applyBorder="1" applyAlignment="1">
      <alignment horizontal="left" vertical="center"/>
    </xf>
    <xf numFmtId="0" fontId="52" fillId="0" borderId="1" xfId="59" applyBorder="1">
      <alignment vertical="center"/>
    </xf>
    <xf numFmtId="0" fontId="4" fillId="0" borderId="21" xfId="0" applyFont="1" applyBorder="1" applyAlignment="1">
      <alignment horizontal="left" vertical="center"/>
    </xf>
    <xf numFmtId="0" fontId="4" fillId="0" borderId="53" xfId="0" applyFont="1" applyBorder="1" applyAlignment="1">
      <alignment horizontal="left" vertical="center"/>
    </xf>
    <xf numFmtId="0" fontId="4" fillId="0" borderId="0" xfId="59" applyFont="1" applyFill="1" applyAlignment="1">
      <alignment horizontal="center" vertical="center"/>
    </xf>
    <xf numFmtId="0" fontId="51" fillId="0" borderId="88" xfId="59" applyFont="1" applyFill="1" applyBorder="1" applyAlignment="1">
      <alignment horizontal="center" vertical="center" wrapText="1"/>
    </xf>
    <xf numFmtId="0" fontId="51" fillId="0" borderId="89" xfId="59" applyFont="1" applyFill="1" applyBorder="1" applyAlignment="1">
      <alignment horizontal="center" vertical="center" wrapText="1"/>
    </xf>
    <xf numFmtId="0" fontId="51" fillId="0" borderId="90" xfId="59" applyFont="1" applyFill="1" applyBorder="1" applyAlignment="1">
      <alignment horizontal="center" vertical="center" wrapText="1"/>
    </xf>
    <xf numFmtId="0" fontId="4" fillId="0" borderId="0" xfId="59" applyFont="1" applyFill="1" applyAlignment="1">
      <alignment horizontal="center" vertical="center" wrapText="1"/>
    </xf>
    <xf numFmtId="0" fontId="51" fillId="0" borderId="91" xfId="59" applyFont="1" applyFill="1" applyBorder="1" applyAlignment="1">
      <alignment horizontal="center" vertical="center" wrapText="1"/>
    </xf>
    <xf numFmtId="0" fontId="51" fillId="0" borderId="92" xfId="59" applyFont="1" applyFill="1" applyBorder="1" applyAlignment="1">
      <alignment horizontal="center" vertical="center" wrapText="1"/>
    </xf>
    <xf numFmtId="0" fontId="51" fillId="0" borderId="93" xfId="59" applyFont="1" applyFill="1" applyBorder="1" applyAlignment="1">
      <alignment horizontal="center" vertical="center" wrapText="1"/>
    </xf>
    <xf numFmtId="179" fontId="52" fillId="0" borderId="1" xfId="59" applyNumberFormat="1" applyBorder="1" applyAlignment="1">
      <alignment horizontal="center" vertical="center" wrapText="1"/>
    </xf>
    <xf numFmtId="0" fontId="52" fillId="0" borderId="22" xfId="59" applyFill="1" applyBorder="1" applyAlignment="1">
      <alignment horizontal="center" vertical="center"/>
    </xf>
    <xf numFmtId="179" fontId="52" fillId="0" borderId="94" xfId="59" applyNumberFormat="1" applyFill="1" applyBorder="1" applyAlignment="1">
      <alignment horizontal="right" vertical="center" wrapText="1"/>
    </xf>
    <xf numFmtId="179" fontId="52" fillId="0" borderId="95" xfId="59" applyNumberFormat="1" applyFill="1" applyBorder="1" applyAlignment="1">
      <alignment horizontal="right" vertical="center" wrapText="1"/>
    </xf>
    <xf numFmtId="179" fontId="52" fillId="0" borderId="86" xfId="59" applyNumberFormat="1" applyFill="1" applyBorder="1" applyAlignment="1">
      <alignment horizontal="center" vertical="center" wrapText="1"/>
    </xf>
    <xf numFmtId="179" fontId="52" fillId="0" borderId="77" xfId="59" applyNumberFormat="1" applyFill="1" applyBorder="1" applyAlignment="1">
      <alignment horizontal="right" vertical="center" wrapText="1"/>
    </xf>
    <xf numFmtId="179" fontId="52" fillId="0" borderId="84" xfId="59" applyNumberFormat="1" applyFill="1" applyBorder="1" applyAlignment="1">
      <alignment horizontal="center" vertical="center" wrapText="1"/>
    </xf>
    <xf numFmtId="0" fontId="52" fillId="0" borderId="0" xfId="59" applyFill="1" applyBorder="1" applyAlignment="1">
      <alignment horizontal="center" vertical="center"/>
    </xf>
    <xf numFmtId="179" fontId="52" fillId="0" borderId="85" xfId="59" applyNumberFormat="1" applyFill="1" applyBorder="1" applyAlignment="1">
      <alignment horizontal="center" vertical="center" wrapText="1"/>
    </xf>
    <xf numFmtId="0" fontId="52" fillId="0" borderId="0" xfId="59" applyAlignment="1">
      <alignment horizontal="center" vertical="center"/>
    </xf>
    <xf numFmtId="0" fontId="5" fillId="0" borderId="1" xfId="59" applyFont="1" applyBorder="1" applyAlignment="1">
      <alignment horizontal="center" vertical="center"/>
    </xf>
    <xf numFmtId="0" fontId="4" fillId="0" borderId="0" xfId="59" applyFo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63" xfId="0" applyBorder="1">
      <alignment vertical="center"/>
    </xf>
    <xf numFmtId="0" fontId="0" fillId="0" borderId="70" xfId="0" applyBorder="1">
      <alignment vertical="center"/>
    </xf>
    <xf numFmtId="0" fontId="4" fillId="0" borderId="96" xfId="59" applyFont="1" applyFill="1" applyBorder="1" applyAlignment="1">
      <alignment horizontal="center" vertical="center" wrapText="1"/>
    </xf>
    <xf numFmtId="0" fontId="4" fillId="0" borderId="82" xfId="59" applyFont="1" applyFill="1" applyBorder="1" applyAlignment="1">
      <alignment horizontal="left" vertical="center"/>
    </xf>
    <xf numFmtId="0" fontId="4" fillId="0" borderId="47" xfId="59" applyFont="1" applyFill="1" applyBorder="1" applyAlignment="1">
      <alignment horizontal="left" vertical="center"/>
    </xf>
    <xf numFmtId="0" fontId="4" fillId="0" borderId="21" xfId="0" applyFont="1" applyBorder="1" applyAlignment="1">
      <alignment vertical="center"/>
    </xf>
    <xf numFmtId="0" fontId="55" fillId="0" borderId="0" xfId="0" applyFont="1" applyAlignment="1">
      <alignment horizontal="center" vertical="center"/>
    </xf>
    <xf numFmtId="0" fontId="55" fillId="0" borderId="0" xfId="0" applyFont="1">
      <alignment vertical="center"/>
    </xf>
    <xf numFmtId="0" fontId="56" fillId="0" borderId="0" xfId="0" applyFont="1" applyFill="1" applyAlignment="1">
      <alignment horizontal="center" vertical="center"/>
    </xf>
    <xf numFmtId="0" fontId="57" fillId="0" borderId="0" xfId="0" applyFont="1" applyAlignment="1">
      <alignment horizontal="center" vertical="center"/>
    </xf>
    <xf numFmtId="0" fontId="55" fillId="0" borderId="16" xfId="0" applyFont="1" applyBorder="1" applyAlignment="1">
      <alignment horizontal="right" vertical="center"/>
    </xf>
    <xf numFmtId="0" fontId="55" fillId="0" borderId="16" xfId="0" applyFont="1" applyBorder="1" applyAlignment="1">
      <alignment horizontal="center" vertical="center"/>
    </xf>
    <xf numFmtId="0" fontId="0" fillId="0" borderId="1" xfId="0" applyFont="1" applyBorder="1" applyAlignment="1">
      <alignment horizontal="center" vertical="center"/>
    </xf>
    <xf numFmtId="0" fontId="58" fillId="0" borderId="22" xfId="0" applyFont="1" applyBorder="1" applyAlignment="1">
      <alignment horizontal="center" vertical="center"/>
    </xf>
    <xf numFmtId="0" fontId="58" fillId="0" borderId="21" xfId="0" applyFont="1" applyBorder="1" applyAlignment="1">
      <alignment horizontal="center" vertical="center"/>
    </xf>
    <xf numFmtId="0" fontId="58" fillId="0" borderId="1" xfId="0" applyFont="1" applyBorder="1" applyAlignment="1">
      <alignment horizontal="center" vertical="center"/>
    </xf>
    <xf numFmtId="14" fontId="58" fillId="0" borderId="22" xfId="0" applyNumberFormat="1" applyFont="1" applyBorder="1" applyAlignment="1">
      <alignment horizontal="center" vertical="center"/>
    </xf>
    <xf numFmtId="0" fontId="0" fillId="0" borderId="22" xfId="0" applyFont="1" applyBorder="1" applyAlignment="1">
      <alignment horizontal="center" vertical="center"/>
    </xf>
    <xf numFmtId="0" fontId="0" fillId="0" borderId="21" xfId="0" applyFont="1" applyBorder="1" applyAlignment="1">
      <alignment horizontal="center" vertical="center"/>
    </xf>
    <xf numFmtId="0" fontId="7" fillId="0" borderId="1" xfId="0" applyFont="1" applyBorder="1" applyAlignment="1">
      <alignment horizontal="center" vertical="center"/>
    </xf>
    <xf numFmtId="0" fontId="59" fillId="0" borderId="1" xfId="0" applyFont="1" applyBorder="1" applyAlignment="1">
      <alignment horizontal="center" vertical="center"/>
    </xf>
    <xf numFmtId="0" fontId="55" fillId="0" borderId="1" xfId="0" applyFont="1" applyBorder="1" applyAlignment="1">
      <alignment horizontal="center" vertical="center"/>
    </xf>
    <xf numFmtId="182" fontId="59" fillId="0" borderId="1" xfId="0" applyNumberFormat="1" applyFont="1" applyBorder="1" applyAlignment="1">
      <alignment horizontal="center" vertical="center"/>
    </xf>
    <xf numFmtId="0" fontId="55" fillId="0" borderId="0" xfId="0" applyFont="1" applyBorder="1" applyAlignment="1">
      <alignment horizontal="center" vertical="center"/>
    </xf>
    <xf numFmtId="0" fontId="55" fillId="0" borderId="14" xfId="0" applyFont="1" applyBorder="1" applyAlignment="1">
      <alignment horizontal="center" vertical="center"/>
    </xf>
    <xf numFmtId="0" fontId="55" fillId="0" borderId="0" xfId="0" applyFont="1" applyBorder="1" applyAlignment="1">
      <alignment horizontal="right" vertical="center"/>
    </xf>
    <xf numFmtId="14" fontId="55" fillId="0" borderId="0" xfId="0" applyNumberFormat="1" applyFont="1" applyAlignment="1">
      <alignment horizontal="left" vertical="center"/>
    </xf>
    <xf numFmtId="0" fontId="0" fillId="0" borderId="0" xfId="85"/>
    <xf numFmtId="49" fontId="0" fillId="0" borderId="0" xfId="85" applyNumberFormat="1"/>
    <xf numFmtId="0" fontId="0" fillId="0" borderId="0" xfId="0" applyAlignment="1"/>
    <xf numFmtId="0" fontId="0" fillId="0" borderId="0" xfId="0" applyAlignment="1" applyProtection="1">
      <protection locked="0"/>
    </xf>
    <xf numFmtId="0" fontId="0" fillId="0" borderId="0" xfId="82"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警告文本" xfId="15" builtinId="11"/>
    <cellStyle name="常规 4 2 2 3" xfId="16"/>
    <cellStyle name="60% - 强调文字颜色 2" xfId="17" builtinId="36"/>
    <cellStyle name="标题 4" xfId="18" builtinId="19"/>
    <cellStyle name="标题" xfId="19" builtinId="15"/>
    <cellStyle name="常规 2 5" xfId="20"/>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6" xfId="63"/>
    <cellStyle name="常规 2 4 2" xfId="64"/>
    <cellStyle name="常规 2 4 3" xfId="65"/>
    <cellStyle name="常规 2 4 4" xfId="66"/>
    <cellStyle name="常规 3" xfId="67"/>
    <cellStyle name="常规 3 2" xfId="68"/>
    <cellStyle name="常规 4" xfId="69"/>
    <cellStyle name="常规 4 2" xfId="70"/>
    <cellStyle name="常规 4 4" xfId="71"/>
    <cellStyle name="常规 4 2 2" xfId="72"/>
    <cellStyle name="常规 4 2 2 2" xfId="73"/>
    <cellStyle name="常规 4 2 2 3 2" xfId="74"/>
    <cellStyle name="常规 4 2 2 3 2 2" xfId="75"/>
    <cellStyle name="常规 4 2 2 3 3" xfId="76"/>
    <cellStyle name="常规 4 3" xfId="77"/>
    <cellStyle name="常规 5" xfId="78"/>
    <cellStyle name="常规 7" xfId="79"/>
    <cellStyle name="常规 7 2" xfId="80"/>
    <cellStyle name="常规 8" xfId="81"/>
    <cellStyle name="常规 9" xfId="82"/>
    <cellStyle name="常规 9 2"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9" Type="http://schemas.openxmlformats.org/officeDocument/2006/relationships/sharedStrings" Target="sharedStrings.xml"/><Relationship Id="rId28" Type="http://schemas.openxmlformats.org/officeDocument/2006/relationships/styles" Target="styles.xml"/><Relationship Id="rId27" Type="http://schemas.openxmlformats.org/officeDocument/2006/relationships/theme" Target="theme/theme1.xml"/><Relationship Id="rId26" Type="http://schemas.openxmlformats.org/officeDocument/2006/relationships/externalLink" Target="externalLinks/externalLink7.xml"/><Relationship Id="rId25" Type="http://schemas.openxmlformats.org/officeDocument/2006/relationships/externalLink" Target="externalLinks/externalLink6.xml"/><Relationship Id="rId24" Type="http://schemas.openxmlformats.org/officeDocument/2006/relationships/externalLink" Target="externalLinks/externalLink5.xml"/><Relationship Id="rId23" Type="http://schemas.openxmlformats.org/officeDocument/2006/relationships/externalLink" Target="externalLinks/externalLink4.xml"/><Relationship Id="rId22" Type="http://schemas.openxmlformats.org/officeDocument/2006/relationships/externalLink" Target="externalLinks/externalLink3.xml"/><Relationship Id="rId21" Type="http://schemas.openxmlformats.org/officeDocument/2006/relationships/externalLink" Target="externalLinks/externalLink2.xml"/><Relationship Id="rId20" Type="http://schemas.openxmlformats.org/officeDocument/2006/relationships/externalLink" Target="externalLinks/externalLink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row r="4">
          <cell r="I4">
            <v>0</v>
          </cell>
        </row>
      </sheetData>
      <sheetData sheetId="2">
        <row r="2">
          <cell r="H2" t="str">
            <v>S400321599d-11-28-1
</v>
          </cell>
        </row>
        <row r="2">
          <cell r="AB2" t="str">
            <v>简爱II</v>
          </cell>
        </row>
      </sheetData>
      <sheetData sheetId="3"/>
      <sheetData sheetId="4"/>
      <sheetData sheetId="5"/>
      <sheetData sheetId="6">
        <row r="3">
          <cell r="G3">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904" hidden="1" customWidth="1"/>
    <col min="2" max="2" width="3.5" style="904" hidden="1" customWidth="1"/>
    <col min="3" max="3" width="10.875" style="905" hidden="1" customWidth="1"/>
    <col min="4" max="4" width="12.75" style="904" hidden="1" customWidth="1"/>
    <col min="5" max="5" width="33.5" style="904" hidden="1" customWidth="1"/>
    <col min="6" max="6" width="8.875" style="904" customWidth="1"/>
    <col min="7" max="16384" width="9" style="904"/>
  </cols>
  <sheetData>
    <row r="1" spans="1:5">
      <c r="A1" s="906"/>
      <c r="B1" s="906"/>
      <c r="C1" s="907"/>
      <c r="D1" s="907"/>
      <c r="E1" s="907"/>
    </row>
    <row r="2" spans="1:5">
      <c r="A2" s="906"/>
      <c r="B2" s="906"/>
      <c r="C2" s="907"/>
      <c r="D2" s="907"/>
      <c r="E2" s="907"/>
    </row>
    <row r="3" spans="1:5">
      <c r="A3" s="906"/>
      <c r="B3" s="906"/>
      <c r="C3" s="907"/>
      <c r="D3" s="907"/>
      <c r="E3" s="907"/>
    </row>
    <row r="4" spans="1:5">
      <c r="A4" s="906"/>
      <c r="B4" s="906"/>
      <c r="C4" s="907"/>
      <c r="D4" s="907"/>
      <c r="E4" s="907"/>
    </row>
    <row r="5" spans="1:5">
      <c r="A5" s="906"/>
      <c r="B5" s="906"/>
      <c r="C5" s="907"/>
      <c r="D5" s="907"/>
      <c r="E5" s="907"/>
    </row>
    <row r="6" spans="1:5">
      <c r="A6" s="906"/>
      <c r="B6" s="906"/>
      <c r="C6" s="907"/>
      <c r="D6" s="907"/>
      <c r="E6" s="907"/>
    </row>
    <row r="7" spans="1:5">
      <c r="A7" s="906"/>
      <c r="B7" s="906"/>
      <c r="C7" s="907"/>
      <c r="D7" s="907"/>
      <c r="E7" s="907"/>
    </row>
    <row r="8" spans="1:5">
      <c r="A8" s="906"/>
      <c r="B8" s="906"/>
      <c r="C8" s="907"/>
      <c r="D8" s="907"/>
      <c r="E8" s="907"/>
    </row>
    <row r="9" spans="2:5">
      <c r="B9" s="906"/>
      <c r="C9" s="907"/>
      <c r="D9" s="907"/>
      <c r="E9" s="907"/>
    </row>
    <row r="10" spans="2:5">
      <c r="B10" s="906"/>
      <c r="C10" s="907"/>
      <c r="D10" s="907"/>
      <c r="E10" s="907"/>
    </row>
    <row r="11" spans="2:5">
      <c r="B11" s="906"/>
      <c r="C11" s="907"/>
      <c r="D11" s="907"/>
      <c r="E11" s="907"/>
    </row>
    <row r="12" spans="2:5">
      <c r="B12" s="906"/>
      <c r="C12" s="907"/>
      <c r="D12" s="907"/>
      <c r="E12" s="907"/>
    </row>
    <row r="13" spans="2:5">
      <c r="B13" s="906"/>
      <c r="C13" s="907"/>
      <c r="D13" s="907"/>
      <c r="E13" s="907"/>
    </row>
    <row r="14" spans="2:5">
      <c r="B14" s="906"/>
      <c r="C14" s="907"/>
      <c r="D14" s="907"/>
      <c r="E14" s="907"/>
    </row>
    <row r="15" spans="2:5">
      <c r="B15" s="906"/>
      <c r="C15" s="907"/>
      <c r="D15" s="907"/>
      <c r="E15" s="907"/>
    </row>
    <row r="16" spans="2:5">
      <c r="B16" s="906"/>
      <c r="C16" s="907"/>
      <c r="D16" s="907"/>
      <c r="E16" s="907"/>
    </row>
    <row r="17" spans="2:5">
      <c r="B17" s="906"/>
      <c r="C17" s="907"/>
      <c r="D17" s="907"/>
      <c r="E17" s="907"/>
    </row>
    <row r="18" spans="2:5">
      <c r="B18" s="906"/>
      <c r="C18" s="907"/>
      <c r="D18" s="907"/>
      <c r="E18" s="907"/>
    </row>
    <row r="19" spans="2:5">
      <c r="B19" s="906"/>
      <c r="C19" s="907"/>
      <c r="D19" s="907"/>
      <c r="E19" s="907"/>
    </row>
    <row r="20" spans="2:5">
      <c r="B20" s="906"/>
      <c r="C20" s="907"/>
      <c r="D20" s="907"/>
      <c r="E20" s="907"/>
    </row>
    <row r="21" spans="2:5">
      <c r="B21" s="906"/>
      <c r="C21" s="907"/>
      <c r="D21" s="907"/>
      <c r="E21" s="907"/>
    </row>
    <row r="22" spans="2:5">
      <c r="B22" s="906"/>
      <c r="C22" s="907"/>
      <c r="D22" s="907"/>
      <c r="E22" s="907"/>
    </row>
    <row r="23" spans="2:5">
      <c r="B23" s="906"/>
      <c r="C23" s="907"/>
      <c r="D23" s="907"/>
      <c r="E23" s="907"/>
    </row>
    <row r="24" spans="2:5">
      <c r="B24" s="906"/>
      <c r="C24" s="907"/>
      <c r="D24" s="907"/>
      <c r="E24" s="907"/>
    </row>
    <row r="25" spans="2:5">
      <c r="B25" s="906"/>
      <c r="C25" s="907"/>
      <c r="D25" s="907"/>
      <c r="E25" s="907"/>
    </row>
    <row r="26" spans="2:5">
      <c r="B26" s="906"/>
      <c r="C26" s="907"/>
      <c r="D26" s="907"/>
      <c r="E26" s="907"/>
    </row>
    <row r="27" spans="2:5">
      <c r="B27" s="906"/>
      <c r="C27" s="907"/>
      <c r="D27" s="907"/>
      <c r="E27" s="907"/>
    </row>
    <row r="28" spans="2:5">
      <c r="B28" s="906"/>
      <c r="C28" s="907"/>
      <c r="D28" s="907"/>
      <c r="E28" s="907"/>
    </row>
    <row r="29" spans="2:5">
      <c r="B29" s="906"/>
      <c r="C29" s="907"/>
      <c r="E29" s="907"/>
    </row>
    <row r="30" spans="2:5">
      <c r="B30" s="906"/>
      <c r="C30" s="907"/>
      <c r="E30" s="907"/>
    </row>
    <row r="31" spans="2:5">
      <c r="B31" s="906"/>
      <c r="C31" s="907"/>
      <c r="E31" s="907"/>
    </row>
    <row r="32" spans="2:5">
      <c r="B32" s="906"/>
      <c r="C32" s="907"/>
      <c r="E32" s="907"/>
    </row>
    <row r="33" spans="2:5">
      <c r="B33" s="906"/>
      <c r="C33" s="907"/>
      <c r="E33" s="907"/>
    </row>
    <row r="34" spans="2:5">
      <c r="B34" s="906"/>
      <c r="C34" s="907"/>
      <c r="E34" s="907"/>
    </row>
    <row r="35" spans="2:5">
      <c r="B35" s="906"/>
      <c r="C35" s="907"/>
      <c r="E35" s="907"/>
    </row>
    <row r="36" spans="2:5">
      <c r="B36" s="906"/>
      <c r="C36" s="907"/>
      <c r="E36" s="907"/>
    </row>
    <row r="37" spans="2:5">
      <c r="B37" s="906"/>
      <c r="C37" s="907"/>
      <c r="E37" s="907"/>
    </row>
    <row r="38" spans="2:5">
      <c r="B38" s="906"/>
      <c r="C38" s="907"/>
      <c r="E38" s="907"/>
    </row>
    <row r="39" spans="2:5">
      <c r="B39" s="906"/>
      <c r="C39" s="907"/>
      <c r="E39" s="907"/>
    </row>
    <row r="40" spans="2:5">
      <c r="B40" s="906"/>
      <c r="C40" s="907"/>
      <c r="E40" s="907"/>
    </row>
    <row r="41" spans="2:5">
      <c r="B41" s="906"/>
      <c r="C41" s="907"/>
      <c r="E41" s="907"/>
    </row>
    <row r="42" spans="2:5">
      <c r="B42" s="906"/>
      <c r="C42" s="907"/>
      <c r="E42" s="907"/>
    </row>
    <row r="43" spans="2:5">
      <c r="B43" s="906"/>
      <c r="C43" s="907"/>
      <c r="E43" s="907"/>
    </row>
    <row r="44" spans="2:5">
      <c r="B44" s="906"/>
      <c r="C44" s="907"/>
      <c r="E44" s="907"/>
    </row>
    <row r="45" spans="2:5">
      <c r="B45" s="906"/>
      <c r="C45" s="907"/>
      <c r="E45" s="907"/>
    </row>
    <row r="46" spans="2:5">
      <c r="B46" s="906"/>
      <c r="C46" s="907"/>
      <c r="E46" s="907"/>
    </row>
    <row r="47" spans="2:5">
      <c r="B47" s="906"/>
      <c r="C47" s="907"/>
      <c r="E47" s="907"/>
    </row>
    <row r="48" spans="2:5">
      <c r="B48" s="906"/>
      <c r="C48" s="907"/>
      <c r="E48" s="907"/>
    </row>
    <row r="49" spans="2:5">
      <c r="B49" s="906"/>
      <c r="C49" s="907"/>
      <c r="E49" s="907"/>
    </row>
    <row r="50" spans="2:5">
      <c r="B50" s="906"/>
      <c r="C50" s="907"/>
      <c r="E50" s="907"/>
    </row>
    <row r="51" spans="2:5">
      <c r="B51" s="906"/>
      <c r="C51" s="907"/>
      <c r="E51" s="907"/>
    </row>
    <row r="52" spans="2:5">
      <c r="B52" s="906"/>
      <c r="C52" s="907"/>
      <c r="E52" s="907"/>
    </row>
    <row r="53" spans="2:5">
      <c r="B53" s="906"/>
      <c r="C53" s="907"/>
      <c r="E53" s="907"/>
    </row>
    <row r="54" spans="2:5">
      <c r="B54" s="906"/>
      <c r="C54" s="907"/>
      <c r="E54" s="907"/>
    </row>
    <row r="55" spans="2:3">
      <c r="B55" s="906"/>
      <c r="C55" s="907"/>
    </row>
    <row r="56" spans="2:3">
      <c r="B56" s="906"/>
      <c r="C56" s="907"/>
    </row>
    <row r="57" spans="2:3">
      <c r="B57" s="906"/>
      <c r="C57" s="907"/>
    </row>
    <row r="58" spans="2:3">
      <c r="B58" s="906"/>
      <c r="C58" s="907"/>
    </row>
    <row r="59" spans="2:3">
      <c r="B59" s="906"/>
      <c r="C59" s="907"/>
    </row>
    <row r="60" spans="2:3">
      <c r="B60" s="906"/>
      <c r="C60" s="907"/>
    </row>
    <row r="61" spans="2:3">
      <c r="B61" s="906"/>
      <c r="C61" s="907"/>
    </row>
    <row r="62" spans="2:3">
      <c r="B62" s="906"/>
      <c r="C62" s="907"/>
    </row>
    <row r="63" spans="2:3">
      <c r="B63" s="906"/>
      <c r="C63" s="907"/>
    </row>
    <row r="64" spans="2:3">
      <c r="B64" s="906"/>
      <c r="C64" s="907"/>
    </row>
    <row r="65" spans="2:3">
      <c r="B65" s="906"/>
      <c r="C65" s="907"/>
    </row>
    <row r="66" spans="2:3">
      <c r="B66" s="906"/>
      <c r="C66" s="907"/>
    </row>
    <row r="67" spans="2:3">
      <c r="B67" s="906"/>
      <c r="C67" s="907"/>
    </row>
    <row r="68" spans="2:3">
      <c r="B68" s="906"/>
      <c r="C68" s="907"/>
    </row>
    <row r="69" spans="2:3">
      <c r="B69" s="906"/>
      <c r="C69" s="907"/>
    </row>
    <row r="70" spans="2:3">
      <c r="B70" s="906"/>
      <c r="C70" s="907"/>
    </row>
    <row r="71" spans="2:3">
      <c r="B71" s="906"/>
      <c r="C71" s="907"/>
    </row>
    <row r="72" spans="2:3">
      <c r="B72" s="906"/>
      <c r="C72" s="907"/>
    </row>
    <row r="73" spans="2:3">
      <c r="B73" s="906"/>
      <c r="C73" s="907"/>
    </row>
    <row r="74" spans="2:3">
      <c r="B74" s="906"/>
      <c r="C74" s="907"/>
    </row>
    <row r="75" spans="2:3">
      <c r="B75" s="906"/>
      <c r="C75" s="907"/>
    </row>
    <row r="76" spans="2:3">
      <c r="B76" s="906"/>
      <c r="C76" s="907"/>
    </row>
    <row r="77" spans="2:3">
      <c r="B77" s="906"/>
      <c r="C77" s="907"/>
    </row>
    <row r="78" spans="2:3">
      <c r="B78" s="906"/>
      <c r="C78" s="907"/>
    </row>
    <row r="79" spans="2:3">
      <c r="B79" s="906"/>
      <c r="C79" s="907"/>
    </row>
    <row r="80" spans="2:3">
      <c r="B80" s="906"/>
      <c r="C80" s="907"/>
    </row>
    <row r="81" spans="2:3">
      <c r="B81" s="906"/>
      <c r="C81" s="907"/>
    </row>
    <row r="82" spans="2:3">
      <c r="B82" s="906"/>
      <c r="C82" s="907"/>
    </row>
    <row r="83" spans="2:3">
      <c r="B83" s="906"/>
      <c r="C83" s="907"/>
    </row>
    <row r="84" spans="2:3">
      <c r="B84" s="905"/>
      <c r="C84" s="907"/>
    </row>
    <row r="85" spans="2:3">
      <c r="B85" s="905"/>
      <c r="C85" s="907"/>
    </row>
    <row r="86" spans="2:3">
      <c r="B86" s="905"/>
      <c r="C86" s="907"/>
    </row>
    <row r="87" spans="2:3">
      <c r="B87" s="905"/>
      <c r="C87" s="907"/>
    </row>
    <row r="88" spans="2:3">
      <c r="B88" s="905"/>
      <c r="C88" s="907"/>
    </row>
    <row r="89" spans="2:3">
      <c r="B89" s="905"/>
      <c r="C89" s="907"/>
    </row>
    <row r="90" spans="2:2">
      <c r="B90" s="905"/>
    </row>
    <row r="91" spans="2:2">
      <c r="B91" s="905"/>
    </row>
    <row r="92" spans="2:2">
      <c r="B92" s="905"/>
    </row>
    <row r="93" spans="2:2">
      <c r="B93" s="905"/>
    </row>
    <row r="94" spans="2:2">
      <c r="B94" s="905"/>
    </row>
    <row r="95" spans="2:2">
      <c r="B95" s="905"/>
    </row>
    <row r="96" spans="2:2">
      <c r="B96" s="905"/>
    </row>
    <row r="97" spans="2:2">
      <c r="B97" s="905"/>
    </row>
    <row r="98" spans="2:2">
      <c r="B98" s="905"/>
    </row>
    <row r="99" spans="2:2">
      <c r="B99" s="905"/>
    </row>
    <row r="100" spans="2:2">
      <c r="B100" s="905"/>
    </row>
    <row r="101" spans="2:2">
      <c r="B101" s="905"/>
    </row>
    <row r="102" spans="2:2">
      <c r="B102" s="905"/>
    </row>
    <row r="103" spans="2:2">
      <c r="B103" s="905"/>
    </row>
    <row r="104" spans="2:2">
      <c r="B104" s="905"/>
    </row>
    <row r="105" spans="2:2">
      <c r="B105" s="905"/>
    </row>
    <row r="106" spans="2:2">
      <c r="B106" s="905"/>
    </row>
    <row r="107" spans="2:2">
      <c r="B107" s="905"/>
    </row>
    <row r="108" spans="2:2">
      <c r="B108" s="905"/>
    </row>
    <row r="109" spans="2:2">
      <c r="B109" s="905"/>
    </row>
    <row r="110" spans="2:2">
      <c r="B110" s="905"/>
    </row>
    <row r="111" spans="2:2">
      <c r="B111" s="905"/>
    </row>
    <row r="112" spans="2:2">
      <c r="B112" s="905"/>
    </row>
    <row r="113" spans="2:2">
      <c r="B113" s="905"/>
    </row>
    <row r="114" spans="2:2">
      <c r="B114" s="905"/>
    </row>
    <row r="115" spans="2:2">
      <c r="B115" s="905"/>
    </row>
    <row r="116" spans="2:2">
      <c r="B116" s="905"/>
    </row>
    <row r="117" spans="2:2">
      <c r="B117" s="905"/>
    </row>
    <row r="118" spans="2:2">
      <c r="B118" s="905"/>
    </row>
    <row r="119" spans="2:2">
      <c r="B119" s="905"/>
    </row>
    <row r="120" spans="2:2">
      <c r="B120" s="905"/>
    </row>
    <row r="121" spans="2:2">
      <c r="B121" s="905"/>
    </row>
    <row r="122" spans="2:2">
      <c r="B122" s="905"/>
    </row>
    <row r="123" spans="2:2">
      <c r="B123" s="905"/>
    </row>
    <row r="124" spans="2:2">
      <c r="B124" s="905"/>
    </row>
    <row r="125" spans="2:2">
      <c r="B125" s="905"/>
    </row>
    <row r="126" spans="2:2">
      <c r="B126" s="905"/>
    </row>
    <row r="127" spans="2:2">
      <c r="B127" s="905"/>
    </row>
    <row r="128" spans="2:2">
      <c r="B128" s="905"/>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472" customWidth="1"/>
    <col min="2" max="2" width="12.625" style="472" customWidth="1"/>
    <col min="3" max="9" width="9.625" style="472" customWidth="1"/>
    <col min="10" max="256" width="9" style="472"/>
    <col min="257" max="257" width="9.625" style="472" customWidth="1"/>
    <col min="258" max="258" width="12.625" style="472" customWidth="1"/>
    <col min="259" max="265" width="9.625" style="472" customWidth="1"/>
    <col min="266" max="512" width="9" style="472"/>
    <col min="513" max="513" width="9.625" style="472" customWidth="1"/>
    <col min="514" max="514" width="12.625" style="472" customWidth="1"/>
    <col min="515" max="521" width="9.625" style="472" customWidth="1"/>
    <col min="522" max="768" width="9" style="472"/>
    <col min="769" max="769" width="9.625" style="472" customWidth="1"/>
    <col min="770" max="770" width="12.625" style="472" customWidth="1"/>
    <col min="771" max="777" width="9.625" style="472" customWidth="1"/>
    <col min="778" max="1024" width="9" style="472"/>
    <col min="1025" max="1025" width="9.625" style="472" customWidth="1"/>
    <col min="1026" max="1026" width="12.625" style="472" customWidth="1"/>
    <col min="1027" max="1033" width="9.625" style="472" customWidth="1"/>
    <col min="1034" max="1280" width="9" style="472"/>
    <col min="1281" max="1281" width="9.625" style="472" customWidth="1"/>
    <col min="1282" max="1282" width="12.625" style="472" customWidth="1"/>
    <col min="1283" max="1289" width="9.625" style="472" customWidth="1"/>
    <col min="1290" max="1536" width="9" style="472"/>
    <col min="1537" max="1537" width="9.625" style="472" customWidth="1"/>
    <col min="1538" max="1538" width="12.625" style="472" customWidth="1"/>
    <col min="1539" max="1545" width="9.625" style="472" customWidth="1"/>
    <col min="1546" max="1792" width="9" style="472"/>
    <col min="1793" max="1793" width="9.625" style="472" customWidth="1"/>
    <col min="1794" max="1794" width="12.625" style="472" customWidth="1"/>
    <col min="1795" max="1801" width="9.625" style="472" customWidth="1"/>
    <col min="1802" max="2048" width="9" style="472"/>
    <col min="2049" max="2049" width="9.625" style="472" customWidth="1"/>
    <col min="2050" max="2050" width="12.625" style="472" customWidth="1"/>
    <col min="2051" max="2057" width="9.625" style="472" customWidth="1"/>
    <col min="2058" max="2304" width="9" style="472"/>
    <col min="2305" max="2305" width="9.625" style="472" customWidth="1"/>
    <col min="2306" max="2306" width="12.625" style="472" customWidth="1"/>
    <col min="2307" max="2313" width="9.625" style="472" customWidth="1"/>
    <col min="2314" max="2560" width="9" style="472"/>
    <col min="2561" max="2561" width="9.625" style="472" customWidth="1"/>
    <col min="2562" max="2562" width="12.625" style="472" customWidth="1"/>
    <col min="2563" max="2569" width="9.625" style="472" customWidth="1"/>
    <col min="2570" max="2816" width="9" style="472"/>
    <col min="2817" max="2817" width="9.625" style="472" customWidth="1"/>
    <col min="2818" max="2818" width="12.625" style="472" customWidth="1"/>
    <col min="2819" max="2825" width="9.625" style="472" customWidth="1"/>
    <col min="2826" max="3072" width="9" style="472"/>
    <col min="3073" max="3073" width="9.625" style="472" customWidth="1"/>
    <col min="3074" max="3074" width="12.625" style="472" customWidth="1"/>
    <col min="3075" max="3081" width="9.625" style="472" customWidth="1"/>
    <col min="3082" max="3328" width="9" style="472"/>
    <col min="3329" max="3329" width="9.625" style="472" customWidth="1"/>
    <col min="3330" max="3330" width="12.625" style="472" customWidth="1"/>
    <col min="3331" max="3337" width="9.625" style="472" customWidth="1"/>
    <col min="3338" max="3584" width="9" style="472"/>
    <col min="3585" max="3585" width="9.625" style="472" customWidth="1"/>
    <col min="3586" max="3586" width="12.625" style="472" customWidth="1"/>
    <col min="3587" max="3593" width="9.625" style="472" customWidth="1"/>
    <col min="3594" max="3840" width="9" style="472"/>
    <col min="3841" max="3841" width="9.625" style="472" customWidth="1"/>
    <col min="3842" max="3842" width="12.625" style="472" customWidth="1"/>
    <col min="3843" max="3849" width="9.625" style="472" customWidth="1"/>
    <col min="3850" max="4096" width="9" style="472"/>
    <col min="4097" max="4097" width="9.625" style="472" customWidth="1"/>
    <col min="4098" max="4098" width="12.625" style="472" customWidth="1"/>
    <col min="4099" max="4105" width="9.625" style="472" customWidth="1"/>
    <col min="4106" max="4352" width="9" style="472"/>
    <col min="4353" max="4353" width="9.625" style="472" customWidth="1"/>
    <col min="4354" max="4354" width="12.625" style="472" customWidth="1"/>
    <col min="4355" max="4361" width="9.625" style="472" customWidth="1"/>
    <col min="4362" max="4608" width="9" style="472"/>
    <col min="4609" max="4609" width="9.625" style="472" customWidth="1"/>
    <col min="4610" max="4610" width="12.625" style="472" customWidth="1"/>
    <col min="4611" max="4617" width="9.625" style="472" customWidth="1"/>
    <col min="4618" max="4864" width="9" style="472"/>
    <col min="4865" max="4865" width="9.625" style="472" customWidth="1"/>
    <col min="4866" max="4866" width="12.625" style="472" customWidth="1"/>
    <col min="4867" max="4873" width="9.625" style="472" customWidth="1"/>
    <col min="4874" max="5120" width="9" style="472"/>
    <col min="5121" max="5121" width="9.625" style="472" customWidth="1"/>
    <col min="5122" max="5122" width="12.625" style="472" customWidth="1"/>
    <col min="5123" max="5129" width="9.625" style="472" customWidth="1"/>
    <col min="5130" max="5376" width="9" style="472"/>
    <col min="5377" max="5377" width="9.625" style="472" customWidth="1"/>
    <col min="5378" max="5378" width="12.625" style="472" customWidth="1"/>
    <col min="5379" max="5385" width="9.625" style="472" customWidth="1"/>
    <col min="5386" max="5632" width="9" style="472"/>
    <col min="5633" max="5633" width="9.625" style="472" customWidth="1"/>
    <col min="5634" max="5634" width="12.625" style="472" customWidth="1"/>
    <col min="5635" max="5641" width="9.625" style="472" customWidth="1"/>
    <col min="5642" max="5888" width="9" style="472"/>
    <col min="5889" max="5889" width="9.625" style="472" customWidth="1"/>
    <col min="5890" max="5890" width="12.625" style="472" customWidth="1"/>
    <col min="5891" max="5897" width="9.625" style="472" customWidth="1"/>
    <col min="5898" max="6144" width="9" style="472"/>
    <col min="6145" max="6145" width="9.625" style="472" customWidth="1"/>
    <col min="6146" max="6146" width="12.625" style="472" customWidth="1"/>
    <col min="6147" max="6153" width="9.625" style="472" customWidth="1"/>
    <col min="6154" max="6400" width="9" style="472"/>
    <col min="6401" max="6401" width="9.625" style="472" customWidth="1"/>
    <col min="6402" max="6402" width="12.625" style="472" customWidth="1"/>
    <col min="6403" max="6409" width="9.625" style="472" customWidth="1"/>
    <col min="6410" max="6656" width="9" style="472"/>
    <col min="6657" max="6657" width="9.625" style="472" customWidth="1"/>
    <col min="6658" max="6658" width="12.625" style="472" customWidth="1"/>
    <col min="6659" max="6665" width="9.625" style="472" customWidth="1"/>
    <col min="6666" max="6912" width="9" style="472"/>
    <col min="6913" max="6913" width="9.625" style="472" customWidth="1"/>
    <col min="6914" max="6914" width="12.625" style="472" customWidth="1"/>
    <col min="6915" max="6921" width="9.625" style="472" customWidth="1"/>
    <col min="6922" max="7168" width="9" style="472"/>
    <col min="7169" max="7169" width="9.625" style="472" customWidth="1"/>
    <col min="7170" max="7170" width="12.625" style="472" customWidth="1"/>
    <col min="7171" max="7177" width="9.625" style="472" customWidth="1"/>
    <col min="7178" max="7424" width="9" style="472"/>
    <col min="7425" max="7425" width="9.625" style="472" customWidth="1"/>
    <col min="7426" max="7426" width="12.625" style="472" customWidth="1"/>
    <col min="7427" max="7433" width="9.625" style="472" customWidth="1"/>
    <col min="7434" max="7680" width="9" style="472"/>
    <col min="7681" max="7681" width="9.625" style="472" customWidth="1"/>
    <col min="7682" max="7682" width="12.625" style="472" customWidth="1"/>
    <col min="7683" max="7689" width="9.625" style="472" customWidth="1"/>
    <col min="7690" max="7936" width="9" style="472"/>
    <col min="7937" max="7937" width="9.625" style="472" customWidth="1"/>
    <col min="7938" max="7938" width="12.625" style="472" customWidth="1"/>
    <col min="7939" max="7945" width="9.625" style="472" customWidth="1"/>
    <col min="7946" max="8192" width="9" style="472"/>
    <col min="8193" max="8193" width="9.625" style="472" customWidth="1"/>
    <col min="8194" max="8194" width="12.625" style="472" customWidth="1"/>
    <col min="8195" max="8201" width="9.625" style="472" customWidth="1"/>
    <col min="8202" max="8448" width="9" style="472"/>
    <col min="8449" max="8449" width="9.625" style="472" customWidth="1"/>
    <col min="8450" max="8450" width="12.625" style="472" customWidth="1"/>
    <col min="8451" max="8457" width="9.625" style="472" customWidth="1"/>
    <col min="8458" max="8704" width="9" style="472"/>
    <col min="8705" max="8705" width="9.625" style="472" customWidth="1"/>
    <col min="8706" max="8706" width="12.625" style="472" customWidth="1"/>
    <col min="8707" max="8713" width="9.625" style="472" customWidth="1"/>
    <col min="8714" max="8960" width="9" style="472"/>
    <col min="8961" max="8961" width="9.625" style="472" customWidth="1"/>
    <col min="8962" max="8962" width="12.625" style="472" customWidth="1"/>
    <col min="8963" max="8969" width="9.625" style="472" customWidth="1"/>
    <col min="8970" max="9216" width="9" style="472"/>
    <col min="9217" max="9217" width="9.625" style="472" customWidth="1"/>
    <col min="9218" max="9218" width="12.625" style="472" customWidth="1"/>
    <col min="9219" max="9225" width="9.625" style="472" customWidth="1"/>
    <col min="9226" max="9472" width="9" style="472"/>
    <col min="9473" max="9473" width="9.625" style="472" customWidth="1"/>
    <col min="9474" max="9474" width="12.625" style="472" customWidth="1"/>
    <col min="9475" max="9481" width="9.625" style="472" customWidth="1"/>
    <col min="9482" max="9728" width="9" style="472"/>
    <col min="9729" max="9729" width="9.625" style="472" customWidth="1"/>
    <col min="9730" max="9730" width="12.625" style="472" customWidth="1"/>
    <col min="9731" max="9737" width="9.625" style="472" customWidth="1"/>
    <col min="9738" max="9984" width="9" style="472"/>
    <col min="9985" max="9985" width="9.625" style="472" customWidth="1"/>
    <col min="9986" max="9986" width="12.625" style="472" customWidth="1"/>
    <col min="9987" max="9993" width="9.625" style="472" customWidth="1"/>
    <col min="9994" max="10240" width="9" style="472"/>
    <col min="10241" max="10241" width="9.625" style="472" customWidth="1"/>
    <col min="10242" max="10242" width="12.625" style="472" customWidth="1"/>
    <col min="10243" max="10249" width="9.625" style="472" customWidth="1"/>
    <col min="10250" max="10496" width="9" style="472"/>
    <col min="10497" max="10497" width="9.625" style="472" customWidth="1"/>
    <col min="10498" max="10498" width="12.625" style="472" customWidth="1"/>
    <col min="10499" max="10505" width="9.625" style="472" customWidth="1"/>
    <col min="10506" max="10752" width="9" style="472"/>
    <col min="10753" max="10753" width="9.625" style="472" customWidth="1"/>
    <col min="10754" max="10754" width="12.625" style="472" customWidth="1"/>
    <col min="10755" max="10761" width="9.625" style="472" customWidth="1"/>
    <col min="10762" max="11008" width="9" style="472"/>
    <col min="11009" max="11009" width="9.625" style="472" customWidth="1"/>
    <col min="11010" max="11010" width="12.625" style="472" customWidth="1"/>
    <col min="11011" max="11017" width="9.625" style="472" customWidth="1"/>
    <col min="11018" max="11264" width="9" style="472"/>
    <col min="11265" max="11265" width="9.625" style="472" customWidth="1"/>
    <col min="11266" max="11266" width="12.625" style="472" customWidth="1"/>
    <col min="11267" max="11273" width="9.625" style="472" customWidth="1"/>
    <col min="11274" max="11520" width="9" style="472"/>
    <col min="11521" max="11521" width="9.625" style="472" customWidth="1"/>
    <col min="11522" max="11522" width="12.625" style="472" customWidth="1"/>
    <col min="11523" max="11529" width="9.625" style="472" customWidth="1"/>
    <col min="11530" max="11776" width="9" style="472"/>
    <col min="11777" max="11777" width="9.625" style="472" customWidth="1"/>
    <col min="11778" max="11778" width="12.625" style="472" customWidth="1"/>
    <col min="11779" max="11785" width="9.625" style="472" customWidth="1"/>
    <col min="11786" max="12032" width="9" style="472"/>
    <col min="12033" max="12033" width="9.625" style="472" customWidth="1"/>
    <col min="12034" max="12034" width="12.625" style="472" customWidth="1"/>
    <col min="12035" max="12041" width="9.625" style="472" customWidth="1"/>
    <col min="12042" max="12288" width="9" style="472"/>
    <col min="12289" max="12289" width="9.625" style="472" customWidth="1"/>
    <col min="12290" max="12290" width="12.625" style="472" customWidth="1"/>
    <col min="12291" max="12297" width="9.625" style="472" customWidth="1"/>
    <col min="12298" max="12544" width="9" style="472"/>
    <col min="12545" max="12545" width="9.625" style="472" customWidth="1"/>
    <col min="12546" max="12546" width="12.625" style="472" customWidth="1"/>
    <col min="12547" max="12553" width="9.625" style="472" customWidth="1"/>
    <col min="12554" max="12800" width="9" style="472"/>
    <col min="12801" max="12801" width="9.625" style="472" customWidth="1"/>
    <col min="12802" max="12802" width="12.625" style="472" customWidth="1"/>
    <col min="12803" max="12809" width="9.625" style="472" customWidth="1"/>
    <col min="12810" max="13056" width="9" style="472"/>
    <col min="13057" max="13057" width="9.625" style="472" customWidth="1"/>
    <col min="13058" max="13058" width="12.625" style="472" customWidth="1"/>
    <col min="13059" max="13065" width="9.625" style="472" customWidth="1"/>
    <col min="13066" max="13312" width="9" style="472"/>
    <col min="13313" max="13313" width="9.625" style="472" customWidth="1"/>
    <col min="13314" max="13314" width="12.625" style="472" customWidth="1"/>
    <col min="13315" max="13321" width="9.625" style="472" customWidth="1"/>
    <col min="13322" max="13568" width="9" style="472"/>
    <col min="13569" max="13569" width="9.625" style="472" customWidth="1"/>
    <col min="13570" max="13570" width="12.625" style="472" customWidth="1"/>
    <col min="13571" max="13577" width="9.625" style="472" customWidth="1"/>
    <col min="13578" max="13824" width="9" style="472"/>
    <col min="13825" max="13825" width="9.625" style="472" customWidth="1"/>
    <col min="13826" max="13826" width="12.625" style="472" customWidth="1"/>
    <col min="13827" max="13833" width="9.625" style="472" customWidth="1"/>
    <col min="13834" max="14080" width="9" style="472"/>
    <col min="14081" max="14081" width="9.625" style="472" customWidth="1"/>
    <col min="14082" max="14082" width="12.625" style="472" customWidth="1"/>
    <col min="14083" max="14089" width="9.625" style="472" customWidth="1"/>
    <col min="14090" max="14336" width="9" style="472"/>
    <col min="14337" max="14337" width="9.625" style="472" customWidth="1"/>
    <col min="14338" max="14338" width="12.625" style="472" customWidth="1"/>
    <col min="14339" max="14345" width="9.625" style="472" customWidth="1"/>
    <col min="14346" max="14592" width="9" style="472"/>
    <col min="14593" max="14593" width="9.625" style="472" customWidth="1"/>
    <col min="14594" max="14594" width="12.625" style="472" customWidth="1"/>
    <col min="14595" max="14601" width="9.625" style="472" customWidth="1"/>
    <col min="14602" max="14848" width="9" style="472"/>
    <col min="14849" max="14849" width="9.625" style="472" customWidth="1"/>
    <col min="14850" max="14850" width="12.625" style="472" customWidth="1"/>
    <col min="14851" max="14857" width="9.625" style="472" customWidth="1"/>
    <col min="14858" max="15104" width="9" style="472"/>
    <col min="15105" max="15105" width="9.625" style="472" customWidth="1"/>
    <col min="15106" max="15106" width="12.625" style="472" customWidth="1"/>
    <col min="15107" max="15113" width="9.625" style="472" customWidth="1"/>
    <col min="15114" max="15360" width="9" style="472"/>
    <col min="15361" max="15361" width="9.625" style="472" customWidth="1"/>
    <col min="15362" max="15362" width="12.625" style="472" customWidth="1"/>
    <col min="15363" max="15369" width="9.625" style="472" customWidth="1"/>
    <col min="15370" max="15616" width="9" style="472"/>
    <col min="15617" max="15617" width="9.625" style="472" customWidth="1"/>
    <col min="15618" max="15618" width="12.625" style="472" customWidth="1"/>
    <col min="15619" max="15625" width="9.625" style="472" customWidth="1"/>
    <col min="15626" max="15872" width="9" style="472"/>
    <col min="15873" max="15873" width="9.625" style="472" customWidth="1"/>
    <col min="15874" max="15874" width="12.625" style="472" customWidth="1"/>
    <col min="15875" max="15881" width="9.625" style="472" customWidth="1"/>
    <col min="15882" max="16128" width="9" style="472"/>
    <col min="16129" max="16129" width="9.625" style="472" customWidth="1"/>
    <col min="16130" max="16130" width="12.625" style="472" customWidth="1"/>
    <col min="16131" max="16137" width="9.625" style="472" customWidth="1"/>
    <col min="16138" max="16384" width="9" style="472"/>
  </cols>
  <sheetData>
    <row r="1" ht="18" customHeight="1" spans="1:9">
      <c r="A1" s="473" t="s">
        <v>620</v>
      </c>
      <c r="B1" s="473"/>
      <c r="C1" s="473"/>
      <c r="D1" s="473"/>
      <c r="E1" s="473"/>
      <c r="F1" s="473"/>
      <c r="G1" s="473"/>
      <c r="H1" s="473"/>
      <c r="I1" s="473"/>
    </row>
    <row r="2" customHeight="1" spans="7:9">
      <c r="G2" s="474" t="s">
        <v>621</v>
      </c>
      <c r="I2" s="472" t="s">
        <v>622</v>
      </c>
    </row>
    <row r="3" customHeight="1" spans="1:9">
      <c r="A3" s="475" t="s">
        <v>3</v>
      </c>
      <c r="B3" s="475" t="e">
        <f>'作(4)'!C4</f>
        <v>#REF!</v>
      </c>
      <c r="C3" s="475"/>
      <c r="D3" s="475" t="s">
        <v>59</v>
      </c>
      <c r="E3" s="475" t="e">
        <f>'作(4)'!C5</f>
        <v>#REF!</v>
      </c>
      <c r="F3" s="475"/>
      <c r="G3" s="475" t="s">
        <v>300</v>
      </c>
      <c r="H3" s="476">
        <f ca="1">TODAY()</f>
        <v>43027</v>
      </c>
      <c r="I3" s="475"/>
    </row>
    <row r="4" customHeight="1" spans="1:9">
      <c r="A4" s="475" t="s">
        <v>301</v>
      </c>
      <c r="B4" s="475" t="s">
        <v>623</v>
      </c>
      <c r="C4" s="475"/>
      <c r="D4" s="475" t="s">
        <v>302</v>
      </c>
      <c r="E4" s="475">
        <f>'作(4)'!F6</f>
        <v>0</v>
      </c>
      <c r="F4" s="475"/>
      <c r="G4" s="475" t="s">
        <v>6</v>
      </c>
      <c r="H4" s="475"/>
      <c r="I4" s="475"/>
    </row>
    <row r="5" customHeight="1" spans="1:9">
      <c r="A5" s="475" t="s">
        <v>4</v>
      </c>
      <c r="B5" s="475" t="e">
        <f>#REF!</f>
        <v>#REF!</v>
      </c>
      <c r="C5" s="475"/>
      <c r="D5" s="475" t="s">
        <v>5</v>
      </c>
      <c r="E5" s="475"/>
      <c r="F5" s="475"/>
      <c r="G5" s="475" t="s">
        <v>7</v>
      </c>
      <c r="H5" s="475" t="e">
        <f>'作(4)'!K5</f>
        <v>#REF!</v>
      </c>
      <c r="I5" s="475"/>
    </row>
    <row r="6" customHeight="1" spans="1:9">
      <c r="A6" s="477" t="s">
        <v>9</v>
      </c>
      <c r="B6" s="475" t="s">
        <v>10</v>
      </c>
      <c r="C6" s="475" t="s">
        <v>304</v>
      </c>
      <c r="D6" s="475" t="s">
        <v>305</v>
      </c>
      <c r="E6" s="475" t="s">
        <v>12</v>
      </c>
      <c r="F6" s="475" t="s">
        <v>306</v>
      </c>
      <c r="G6" s="475" t="s">
        <v>307</v>
      </c>
      <c r="H6" s="475"/>
      <c r="I6" s="475"/>
    </row>
    <row r="7" customHeight="1" spans="1:9">
      <c r="A7" s="477" t="s">
        <v>23</v>
      </c>
      <c r="B7" s="477" t="s">
        <v>24</v>
      </c>
      <c r="C7" s="477" t="s">
        <v>25</v>
      </c>
      <c r="D7" s="475" t="s">
        <v>300</v>
      </c>
      <c r="E7" s="475" t="s">
        <v>26</v>
      </c>
      <c r="F7" s="477" t="s">
        <v>28</v>
      </c>
      <c r="G7" s="477" t="s">
        <v>29</v>
      </c>
      <c r="H7" s="477" t="s">
        <v>30</v>
      </c>
      <c r="I7" s="477"/>
    </row>
    <row r="8" customHeight="1" spans="1:9">
      <c r="A8" s="477">
        <v>1</v>
      </c>
      <c r="B8" s="477" t="s">
        <v>31</v>
      </c>
      <c r="C8" s="478" t="str">
        <f>'作(4)'!K4</f>
        <v>0块</v>
      </c>
      <c r="D8" s="477"/>
      <c r="E8" s="477"/>
      <c r="F8" s="477"/>
      <c r="G8" s="477"/>
      <c r="H8" s="475"/>
      <c r="I8" s="475"/>
    </row>
    <row r="9" customHeight="1" spans="1:9">
      <c r="A9" s="477">
        <v>2</v>
      </c>
      <c r="B9" s="477" t="s">
        <v>503</v>
      </c>
      <c r="C9" s="478"/>
      <c r="D9" s="477"/>
      <c r="E9" s="477"/>
      <c r="F9" s="477"/>
      <c r="G9" s="477"/>
      <c r="H9" s="475"/>
      <c r="I9" s="475"/>
    </row>
    <row r="10" customHeight="1" spans="1:9">
      <c r="A10" s="477">
        <v>3</v>
      </c>
      <c r="B10" s="477" t="s">
        <v>504</v>
      </c>
      <c r="C10" s="478" t="str">
        <f>C8</f>
        <v>0块</v>
      </c>
      <c r="D10" s="477"/>
      <c r="E10" s="477"/>
      <c r="F10" s="477"/>
      <c r="G10" s="477"/>
      <c r="H10" s="475"/>
      <c r="I10" s="475"/>
    </row>
    <row r="11" customHeight="1" spans="1:9">
      <c r="A11" s="477">
        <v>4</v>
      </c>
      <c r="B11" s="477" t="s">
        <v>505</v>
      </c>
      <c r="C11" s="478"/>
      <c r="D11" s="477"/>
      <c r="E11" s="477"/>
      <c r="F11" s="477"/>
      <c r="G11" s="477"/>
      <c r="H11" s="475"/>
      <c r="I11" s="475"/>
    </row>
    <row r="12" customHeight="1" spans="1:9">
      <c r="A12" s="477">
        <v>5</v>
      </c>
      <c r="B12" s="477" t="s">
        <v>506</v>
      </c>
      <c r="C12" s="478"/>
      <c r="D12" s="477"/>
      <c r="E12" s="477"/>
      <c r="F12" s="477"/>
      <c r="G12" s="477"/>
      <c r="H12" s="475"/>
      <c r="I12" s="475"/>
    </row>
    <row r="13" customHeight="1" spans="1:9">
      <c r="A13" s="477">
        <v>6</v>
      </c>
      <c r="B13" s="477" t="s">
        <v>507</v>
      </c>
      <c r="C13" s="478"/>
      <c r="D13" s="477"/>
      <c r="E13" s="477"/>
      <c r="F13" s="477"/>
      <c r="G13" s="477"/>
      <c r="H13" s="475"/>
      <c r="I13" s="475"/>
    </row>
    <row r="14" customHeight="1" spans="1:9">
      <c r="A14" s="477">
        <v>7</v>
      </c>
      <c r="B14" s="477" t="s">
        <v>508</v>
      </c>
      <c r="C14" s="478"/>
      <c r="D14" s="477"/>
      <c r="E14" s="477"/>
      <c r="F14" s="477"/>
      <c r="G14" s="477"/>
      <c r="H14" s="475"/>
      <c r="I14" s="475"/>
    </row>
    <row r="15" customHeight="1" spans="1:9">
      <c r="A15" s="477">
        <v>8</v>
      </c>
      <c r="B15" s="477" t="s">
        <v>509</v>
      </c>
      <c r="C15" s="478"/>
      <c r="D15" s="477"/>
      <c r="E15" s="477"/>
      <c r="F15" s="477"/>
      <c r="G15" s="477"/>
      <c r="H15" s="475"/>
      <c r="I15" s="475"/>
    </row>
    <row r="16" customHeight="1" spans="1:9">
      <c r="A16" s="477">
        <v>9</v>
      </c>
      <c r="B16" s="477" t="s">
        <v>510</v>
      </c>
      <c r="C16" s="478"/>
      <c r="D16" s="477"/>
      <c r="E16" s="478"/>
      <c r="F16" s="477"/>
      <c r="G16" s="477"/>
      <c r="H16" s="475"/>
      <c r="I16" s="475"/>
    </row>
    <row r="17" customHeight="1" spans="1:9">
      <c r="A17" s="477">
        <v>10</v>
      </c>
      <c r="B17" s="477" t="s">
        <v>511</v>
      </c>
      <c r="C17" s="478"/>
      <c r="D17" s="477"/>
      <c r="E17" s="477"/>
      <c r="F17" s="477"/>
      <c r="G17" s="477"/>
      <c r="H17" s="475"/>
      <c r="I17" s="475"/>
    </row>
    <row r="18" customHeight="1" spans="1:9">
      <c r="A18" s="477">
        <v>11</v>
      </c>
      <c r="B18" s="477" t="s">
        <v>34</v>
      </c>
      <c r="C18" s="478"/>
      <c r="D18" s="477"/>
      <c r="E18" s="477"/>
      <c r="F18" s="477"/>
      <c r="G18" s="477"/>
      <c r="H18" s="475"/>
      <c r="I18" s="475"/>
    </row>
    <row r="19" customHeight="1" spans="1:9">
      <c r="A19" s="477">
        <v>12</v>
      </c>
      <c r="B19" s="477" t="s">
        <v>36</v>
      </c>
      <c r="C19" s="478"/>
      <c r="D19" s="477"/>
      <c r="E19" s="477"/>
      <c r="F19" s="477"/>
      <c r="G19" s="477"/>
      <c r="H19" s="475"/>
      <c r="I19" s="475"/>
    </row>
    <row r="20" customHeight="1" spans="1:9">
      <c r="A20" s="477">
        <v>13</v>
      </c>
      <c r="B20" s="477" t="s">
        <v>32</v>
      </c>
      <c r="C20" s="478"/>
      <c r="D20" s="477"/>
      <c r="E20" s="477"/>
      <c r="F20" s="477"/>
      <c r="G20" s="477"/>
      <c r="H20" s="475"/>
      <c r="I20" s="475"/>
    </row>
    <row r="21" customHeight="1" spans="1:9">
      <c r="A21" s="477">
        <v>14</v>
      </c>
      <c r="B21" s="477" t="s">
        <v>33</v>
      </c>
      <c r="C21" s="478"/>
      <c r="D21" s="477"/>
      <c r="E21" s="477"/>
      <c r="F21" s="477"/>
      <c r="G21" s="477"/>
      <c r="H21" s="475"/>
      <c r="I21" s="475"/>
    </row>
    <row r="22" customHeight="1" spans="1:9">
      <c r="A22" s="477">
        <v>15</v>
      </c>
      <c r="B22" s="477" t="s">
        <v>512</v>
      </c>
      <c r="C22" s="478"/>
      <c r="D22" s="477"/>
      <c r="E22" s="477"/>
      <c r="F22" s="477"/>
      <c r="G22" s="477"/>
      <c r="H22" s="475"/>
      <c r="I22" s="475"/>
    </row>
    <row r="23" customHeight="1" spans="1:9">
      <c r="A23" s="477">
        <v>16</v>
      </c>
      <c r="B23" s="477" t="s">
        <v>513</v>
      </c>
      <c r="C23" s="478"/>
      <c r="D23" s="477"/>
      <c r="E23" s="477"/>
      <c r="F23" s="477"/>
      <c r="G23" s="477"/>
      <c r="H23" s="475"/>
      <c r="I23" s="475"/>
    </row>
    <row r="24" customHeight="1" spans="1:9">
      <c r="A24" s="477">
        <v>17</v>
      </c>
      <c r="B24" s="477" t="s">
        <v>514</v>
      </c>
      <c r="C24" s="478"/>
      <c r="D24" s="477"/>
      <c r="E24" s="477"/>
      <c r="F24" s="477"/>
      <c r="G24" s="477"/>
      <c r="H24" s="475"/>
      <c r="I24" s="475"/>
    </row>
    <row r="25" customHeight="1" spans="1:9">
      <c r="A25" s="477">
        <v>18</v>
      </c>
      <c r="B25" s="477" t="s">
        <v>515</v>
      </c>
      <c r="C25" s="478" t="str">
        <f>C8</f>
        <v>0块</v>
      </c>
      <c r="D25" s="477"/>
      <c r="E25" s="477"/>
      <c r="F25" s="477"/>
      <c r="G25" s="477"/>
      <c r="H25" s="475"/>
      <c r="I25" s="475"/>
    </row>
    <row r="26" customHeight="1" spans="1:9">
      <c r="A26" s="477">
        <v>19</v>
      </c>
      <c r="B26" s="477" t="s">
        <v>516</v>
      </c>
      <c r="C26" s="478" t="str">
        <f t="shared" ref="C26:C35" si="0">C25</f>
        <v>0块</v>
      </c>
      <c r="D26" s="477"/>
      <c r="E26" s="477"/>
      <c r="F26" s="477"/>
      <c r="G26" s="477"/>
      <c r="H26" s="475"/>
      <c r="I26" s="475"/>
    </row>
    <row r="27" customHeight="1" spans="1:9">
      <c r="A27" s="477">
        <v>20</v>
      </c>
      <c r="B27" s="477" t="s">
        <v>517</v>
      </c>
      <c r="C27" s="478" t="str">
        <f t="shared" si="0"/>
        <v>0块</v>
      </c>
      <c r="D27" s="477"/>
      <c r="E27" s="477"/>
      <c r="F27" s="477"/>
      <c r="G27" s="477"/>
      <c r="H27" s="475"/>
      <c r="I27" s="475"/>
    </row>
    <row r="28" customHeight="1" spans="1:9">
      <c r="A28" s="477">
        <v>21</v>
      </c>
      <c r="B28" s="477" t="s">
        <v>518</v>
      </c>
      <c r="C28" s="478" t="str">
        <f t="shared" si="0"/>
        <v>0块</v>
      </c>
      <c r="D28" s="477"/>
      <c r="E28" s="477"/>
      <c r="F28" s="477"/>
      <c r="G28" s="477"/>
      <c r="H28" s="475"/>
      <c r="I28" s="475"/>
    </row>
    <row r="29" customHeight="1" spans="1:9">
      <c r="A29" s="477">
        <v>22</v>
      </c>
      <c r="B29" s="477" t="s">
        <v>519</v>
      </c>
      <c r="C29" s="478" t="str">
        <f t="shared" si="0"/>
        <v>0块</v>
      </c>
      <c r="D29" s="477"/>
      <c r="E29" s="477"/>
      <c r="F29" s="477"/>
      <c r="G29" s="477"/>
      <c r="H29" s="475"/>
      <c r="I29" s="475"/>
    </row>
    <row r="30" customHeight="1" spans="1:9">
      <c r="A30" s="477">
        <v>23</v>
      </c>
      <c r="B30" s="477" t="s">
        <v>520</v>
      </c>
      <c r="C30" s="478" t="str">
        <f t="shared" si="0"/>
        <v>0块</v>
      </c>
      <c r="D30" s="477"/>
      <c r="E30" s="477"/>
      <c r="F30" s="477"/>
      <c r="G30" s="477"/>
      <c r="H30" s="475"/>
      <c r="I30" s="475"/>
    </row>
    <row r="31" customHeight="1" spans="1:9">
      <c r="A31" s="477">
        <v>24</v>
      </c>
      <c r="B31" s="477" t="s">
        <v>521</v>
      </c>
      <c r="C31" s="478" t="str">
        <f t="shared" si="0"/>
        <v>0块</v>
      </c>
      <c r="D31" s="477"/>
      <c r="E31" s="477"/>
      <c r="F31" s="477"/>
      <c r="G31" s="477"/>
      <c r="H31" s="475"/>
      <c r="I31" s="475"/>
    </row>
    <row r="32" customHeight="1" spans="1:9">
      <c r="A32" s="477">
        <v>25</v>
      </c>
      <c r="B32" s="477" t="s">
        <v>522</v>
      </c>
      <c r="C32" s="478" t="str">
        <f t="shared" si="0"/>
        <v>0块</v>
      </c>
      <c r="D32" s="477"/>
      <c r="E32" s="477"/>
      <c r="F32" s="477"/>
      <c r="G32" s="477"/>
      <c r="H32" s="475"/>
      <c r="I32" s="475"/>
    </row>
    <row r="33" customHeight="1" spans="1:9">
      <c r="A33" s="477">
        <v>26</v>
      </c>
      <c r="B33" s="477" t="s">
        <v>523</v>
      </c>
      <c r="C33" s="477" t="str">
        <f t="shared" si="0"/>
        <v>0块</v>
      </c>
      <c r="D33" s="477"/>
      <c r="E33" s="477"/>
      <c r="F33" s="477"/>
      <c r="G33" s="477"/>
      <c r="H33" s="475"/>
      <c r="I33" s="475"/>
    </row>
    <row r="34" customHeight="1" spans="1:9">
      <c r="A34" s="477">
        <v>27</v>
      </c>
      <c r="B34" s="477" t="s">
        <v>524</v>
      </c>
      <c r="C34" s="477" t="str">
        <f t="shared" si="0"/>
        <v>0块</v>
      </c>
      <c r="D34" s="477"/>
      <c r="E34" s="477"/>
      <c r="F34" s="477"/>
      <c r="G34" s="477"/>
      <c r="H34" s="475"/>
      <c r="I34" s="475"/>
    </row>
    <row r="35" customHeight="1" spans="1:9">
      <c r="A35" s="477">
        <v>28</v>
      </c>
      <c r="B35" s="477" t="s">
        <v>525</v>
      </c>
      <c r="C35" s="477" t="str">
        <f t="shared" si="0"/>
        <v>0块</v>
      </c>
      <c r="D35" s="477"/>
      <c r="E35" s="477"/>
      <c r="F35" s="477"/>
      <c r="G35" s="477"/>
      <c r="H35" s="475"/>
      <c r="I35" s="475"/>
    </row>
    <row r="36" customHeight="1" spans="1:9">
      <c r="A36" s="477">
        <v>29</v>
      </c>
      <c r="B36" s="477" t="s">
        <v>526</v>
      </c>
      <c r="C36" s="477"/>
      <c r="D36" s="477"/>
      <c r="E36" s="477"/>
      <c r="F36" s="477"/>
      <c r="G36" s="477"/>
      <c r="H36" s="475"/>
      <c r="I36" s="475"/>
    </row>
    <row r="37" customHeight="1" spans="1:9">
      <c r="A37" s="477">
        <v>30</v>
      </c>
      <c r="B37" s="477" t="s">
        <v>41</v>
      </c>
      <c r="C37" s="477"/>
      <c r="D37" s="477"/>
      <c r="E37" s="477"/>
      <c r="F37" s="477"/>
      <c r="G37" s="477"/>
      <c r="H37" s="475"/>
      <c r="I37" s="475"/>
    </row>
    <row r="38" customHeight="1" spans="1:9">
      <c r="A38" s="477">
        <v>31</v>
      </c>
      <c r="B38" s="477" t="s">
        <v>527</v>
      </c>
      <c r="C38" s="477"/>
      <c r="D38" s="477"/>
      <c r="E38" s="477"/>
      <c r="F38" s="477"/>
      <c r="G38" s="477"/>
      <c r="H38" s="475"/>
      <c r="I38" s="475"/>
    </row>
    <row r="39" customHeight="1" spans="1:9">
      <c r="A39" s="477">
        <v>32</v>
      </c>
      <c r="B39" s="477" t="s">
        <v>43</v>
      </c>
      <c r="C39" s="477"/>
      <c r="D39" s="477"/>
      <c r="E39" s="477"/>
      <c r="F39" s="477"/>
      <c r="G39" s="477"/>
      <c r="H39" s="475"/>
      <c r="I39" s="475"/>
    </row>
    <row r="40" customHeight="1" spans="1:9">
      <c r="A40" s="477">
        <v>33</v>
      </c>
      <c r="B40" s="477" t="s">
        <v>44</v>
      </c>
      <c r="C40" s="477"/>
      <c r="D40" s="477"/>
      <c r="E40" s="477"/>
      <c r="F40" s="477"/>
      <c r="G40" s="477"/>
      <c r="H40" s="475"/>
      <c r="I40" s="475"/>
    </row>
    <row r="41" customHeight="1" spans="1:9">
      <c r="A41" s="477">
        <v>34</v>
      </c>
      <c r="B41" s="477" t="s">
        <v>46</v>
      </c>
      <c r="C41" s="477"/>
      <c r="D41" s="477"/>
      <c r="E41" s="477"/>
      <c r="F41" s="477"/>
      <c r="G41" s="477"/>
      <c r="H41" s="475"/>
      <c r="I41" s="475"/>
    </row>
    <row r="42" customHeight="1" spans="1:9">
      <c r="A42" s="477">
        <v>35</v>
      </c>
      <c r="B42" s="477" t="s">
        <v>48</v>
      </c>
      <c r="C42" s="477"/>
      <c r="D42" s="477"/>
      <c r="E42" s="477"/>
      <c r="F42" s="477"/>
      <c r="G42" s="477"/>
      <c r="H42" s="475"/>
      <c r="I42" s="475"/>
    </row>
    <row r="43" customHeight="1" spans="1:9">
      <c r="A43" s="477">
        <v>36</v>
      </c>
      <c r="B43" s="477" t="s">
        <v>528</v>
      </c>
      <c r="C43" s="477"/>
      <c r="D43" s="477"/>
      <c r="E43" s="477"/>
      <c r="F43" s="477"/>
      <c r="G43" s="477"/>
      <c r="H43" s="475"/>
      <c r="I43" s="475"/>
    </row>
    <row r="44" customHeight="1" spans="1:9">
      <c r="A44" s="477">
        <v>37</v>
      </c>
      <c r="B44" s="477" t="s">
        <v>52</v>
      </c>
      <c r="C44" s="477"/>
      <c r="D44" s="477"/>
      <c r="E44" s="477"/>
      <c r="F44" s="477"/>
      <c r="G44" s="477"/>
      <c r="H44" s="475"/>
      <c r="I44" s="475"/>
    </row>
    <row r="45" customHeight="1" spans="1:9">
      <c r="A45" s="477">
        <v>38</v>
      </c>
      <c r="B45" s="477" t="s">
        <v>529</v>
      </c>
      <c r="C45" s="477"/>
      <c r="D45" s="477"/>
      <c r="E45" s="477"/>
      <c r="F45" s="477"/>
      <c r="G45" s="477"/>
      <c r="H45" s="475"/>
      <c r="I45" s="475"/>
    </row>
    <row r="46" customHeight="1" spans="1:9">
      <c r="A46" s="477">
        <v>39</v>
      </c>
      <c r="B46" s="477" t="s">
        <v>53</v>
      </c>
      <c r="C46" s="477"/>
      <c r="D46" s="477"/>
      <c r="E46" s="477"/>
      <c r="F46" s="477"/>
      <c r="G46" s="477"/>
      <c r="H46" s="475"/>
      <c r="I46" s="475"/>
    </row>
    <row r="47" customHeight="1" spans="1:8">
      <c r="A47" s="479"/>
      <c r="B47" s="474" t="s">
        <v>55</v>
      </c>
      <c r="C47" s="480" t="s">
        <v>624</v>
      </c>
      <c r="D47" s="481"/>
      <c r="E47" s="480" t="s">
        <v>530</v>
      </c>
      <c r="F47" s="479"/>
      <c r="G47" s="479"/>
      <c r="H47" s="479"/>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49" customWidth="1"/>
    <col min="2" max="2" width="6.25" style="49" customWidth="1"/>
    <col min="3" max="3" width="6.375" style="49" customWidth="1"/>
    <col min="4" max="4" width="5.375" style="49" customWidth="1"/>
    <col min="5" max="5" width="5.875" style="49" customWidth="1"/>
    <col min="6" max="6" width="6.375" style="49" customWidth="1"/>
    <col min="7" max="7" width="5.75" style="49" customWidth="1"/>
    <col min="8" max="8" width="11.875" style="49" customWidth="1"/>
    <col min="9" max="9" width="8.5" style="49" customWidth="1"/>
    <col min="10" max="10" width="9" style="49"/>
    <col min="11" max="11" width="12.25" style="49" customWidth="1"/>
    <col min="12" max="12" width="11.625" style="412" customWidth="1"/>
    <col min="13" max="13" width="11.625" style="413" customWidth="1"/>
    <col min="14" max="14" width="7.875" style="413" customWidth="1"/>
    <col min="15" max="17" width="7.75" style="413" customWidth="1"/>
    <col min="18" max="18" width="14.125" style="413" customWidth="1"/>
    <col min="19" max="38" width="9" style="411"/>
    <col min="39" max="256" width="9" style="49"/>
    <col min="257" max="257" width="8.125" style="49" customWidth="1"/>
    <col min="258" max="258" width="6.25" style="49" customWidth="1"/>
    <col min="259" max="259" width="6.375" style="49" customWidth="1"/>
    <col min="260" max="260" width="5.375" style="49" customWidth="1"/>
    <col min="261" max="261" width="5.875" style="49" customWidth="1"/>
    <col min="262" max="262" width="6.375" style="49" customWidth="1"/>
    <col min="263" max="263" width="5.75" style="49" customWidth="1"/>
    <col min="264" max="264" width="11.875" style="49" customWidth="1"/>
    <col min="265" max="265" width="8.5" style="49" customWidth="1"/>
    <col min="266" max="266" width="9" style="49"/>
    <col min="267" max="267" width="12.25" style="49" customWidth="1"/>
    <col min="268" max="269" width="11.625" style="49" customWidth="1"/>
    <col min="270" max="270" width="7.875" style="49" customWidth="1"/>
    <col min="271" max="273" width="7.75" style="49" customWidth="1"/>
    <col min="274" max="274" width="14.125" style="49" customWidth="1"/>
    <col min="275" max="512" width="9" style="49"/>
    <col min="513" max="513" width="8.125" style="49" customWidth="1"/>
    <col min="514" max="514" width="6.25" style="49" customWidth="1"/>
    <col min="515" max="515" width="6.375" style="49" customWidth="1"/>
    <col min="516" max="516" width="5.375" style="49" customWidth="1"/>
    <col min="517" max="517" width="5.875" style="49" customWidth="1"/>
    <col min="518" max="518" width="6.375" style="49" customWidth="1"/>
    <col min="519" max="519" width="5.75" style="49" customWidth="1"/>
    <col min="520" max="520" width="11.875" style="49" customWidth="1"/>
    <col min="521" max="521" width="8.5" style="49" customWidth="1"/>
    <col min="522" max="522" width="9" style="49"/>
    <col min="523" max="523" width="12.25" style="49" customWidth="1"/>
    <col min="524" max="525" width="11.625" style="49" customWidth="1"/>
    <col min="526" max="526" width="7.875" style="49" customWidth="1"/>
    <col min="527" max="529" width="7.75" style="49" customWidth="1"/>
    <col min="530" max="530" width="14.125" style="49" customWidth="1"/>
    <col min="531" max="768" width="9" style="49"/>
    <col min="769" max="769" width="8.125" style="49" customWidth="1"/>
    <col min="770" max="770" width="6.25" style="49" customWidth="1"/>
    <col min="771" max="771" width="6.375" style="49" customWidth="1"/>
    <col min="772" max="772" width="5.375" style="49" customWidth="1"/>
    <col min="773" max="773" width="5.875" style="49" customWidth="1"/>
    <col min="774" max="774" width="6.375" style="49" customWidth="1"/>
    <col min="775" max="775" width="5.75" style="49" customWidth="1"/>
    <col min="776" max="776" width="11.875" style="49" customWidth="1"/>
    <col min="777" max="777" width="8.5" style="49" customWidth="1"/>
    <col min="778" max="778" width="9" style="49"/>
    <col min="779" max="779" width="12.25" style="49" customWidth="1"/>
    <col min="780" max="781" width="11.625" style="49" customWidth="1"/>
    <col min="782" max="782" width="7.875" style="49" customWidth="1"/>
    <col min="783" max="785" width="7.75" style="49" customWidth="1"/>
    <col min="786" max="786" width="14.125" style="49" customWidth="1"/>
    <col min="787" max="1024" width="9" style="49"/>
    <col min="1025" max="1025" width="8.125" style="49" customWidth="1"/>
    <col min="1026" max="1026" width="6.25" style="49" customWidth="1"/>
    <col min="1027" max="1027" width="6.375" style="49" customWidth="1"/>
    <col min="1028" max="1028" width="5.375" style="49" customWidth="1"/>
    <col min="1029" max="1029" width="5.875" style="49" customWidth="1"/>
    <col min="1030" max="1030" width="6.375" style="49" customWidth="1"/>
    <col min="1031" max="1031" width="5.75" style="49" customWidth="1"/>
    <col min="1032" max="1032" width="11.875" style="49" customWidth="1"/>
    <col min="1033" max="1033" width="8.5" style="49" customWidth="1"/>
    <col min="1034" max="1034" width="9" style="49"/>
    <col min="1035" max="1035" width="12.25" style="49" customWidth="1"/>
    <col min="1036" max="1037" width="11.625" style="49" customWidth="1"/>
    <col min="1038" max="1038" width="7.875" style="49" customWidth="1"/>
    <col min="1039" max="1041" width="7.75" style="49" customWidth="1"/>
    <col min="1042" max="1042" width="14.125" style="49" customWidth="1"/>
    <col min="1043" max="1280" width="9" style="49"/>
    <col min="1281" max="1281" width="8.125" style="49" customWidth="1"/>
    <col min="1282" max="1282" width="6.25" style="49" customWidth="1"/>
    <col min="1283" max="1283" width="6.375" style="49" customWidth="1"/>
    <col min="1284" max="1284" width="5.375" style="49" customWidth="1"/>
    <col min="1285" max="1285" width="5.875" style="49" customWidth="1"/>
    <col min="1286" max="1286" width="6.375" style="49" customWidth="1"/>
    <col min="1287" max="1287" width="5.75" style="49" customWidth="1"/>
    <col min="1288" max="1288" width="11.875" style="49" customWidth="1"/>
    <col min="1289" max="1289" width="8.5" style="49" customWidth="1"/>
    <col min="1290" max="1290" width="9" style="49"/>
    <col min="1291" max="1291" width="12.25" style="49" customWidth="1"/>
    <col min="1292" max="1293" width="11.625" style="49" customWidth="1"/>
    <col min="1294" max="1294" width="7.875" style="49" customWidth="1"/>
    <col min="1295" max="1297" width="7.75" style="49" customWidth="1"/>
    <col min="1298" max="1298" width="14.125" style="49" customWidth="1"/>
    <col min="1299" max="1536" width="9" style="49"/>
    <col min="1537" max="1537" width="8.125" style="49" customWidth="1"/>
    <col min="1538" max="1538" width="6.25" style="49" customWidth="1"/>
    <col min="1539" max="1539" width="6.375" style="49" customWidth="1"/>
    <col min="1540" max="1540" width="5.375" style="49" customWidth="1"/>
    <col min="1541" max="1541" width="5.875" style="49" customWidth="1"/>
    <col min="1542" max="1542" width="6.375" style="49" customWidth="1"/>
    <col min="1543" max="1543" width="5.75" style="49" customWidth="1"/>
    <col min="1544" max="1544" width="11.875" style="49" customWidth="1"/>
    <col min="1545" max="1545" width="8.5" style="49" customWidth="1"/>
    <col min="1546" max="1546" width="9" style="49"/>
    <col min="1547" max="1547" width="12.25" style="49" customWidth="1"/>
    <col min="1548" max="1549" width="11.625" style="49" customWidth="1"/>
    <col min="1550" max="1550" width="7.875" style="49" customWidth="1"/>
    <col min="1551" max="1553" width="7.75" style="49" customWidth="1"/>
    <col min="1554" max="1554" width="14.125" style="49" customWidth="1"/>
    <col min="1555" max="1792" width="9" style="49"/>
    <col min="1793" max="1793" width="8.125" style="49" customWidth="1"/>
    <col min="1794" max="1794" width="6.25" style="49" customWidth="1"/>
    <col min="1795" max="1795" width="6.375" style="49" customWidth="1"/>
    <col min="1796" max="1796" width="5.375" style="49" customWidth="1"/>
    <col min="1797" max="1797" width="5.875" style="49" customWidth="1"/>
    <col min="1798" max="1798" width="6.375" style="49" customWidth="1"/>
    <col min="1799" max="1799" width="5.75" style="49" customWidth="1"/>
    <col min="1800" max="1800" width="11.875" style="49" customWidth="1"/>
    <col min="1801" max="1801" width="8.5" style="49" customWidth="1"/>
    <col min="1802" max="1802" width="9" style="49"/>
    <col min="1803" max="1803" width="12.25" style="49" customWidth="1"/>
    <col min="1804" max="1805" width="11.625" style="49" customWidth="1"/>
    <col min="1806" max="1806" width="7.875" style="49" customWidth="1"/>
    <col min="1807" max="1809" width="7.75" style="49" customWidth="1"/>
    <col min="1810" max="1810" width="14.125" style="49" customWidth="1"/>
    <col min="1811" max="2048" width="9" style="49"/>
    <col min="2049" max="2049" width="8.125" style="49" customWidth="1"/>
    <col min="2050" max="2050" width="6.25" style="49" customWidth="1"/>
    <col min="2051" max="2051" width="6.375" style="49" customWidth="1"/>
    <col min="2052" max="2052" width="5.375" style="49" customWidth="1"/>
    <col min="2053" max="2053" width="5.875" style="49" customWidth="1"/>
    <col min="2054" max="2054" width="6.375" style="49" customWidth="1"/>
    <col min="2055" max="2055" width="5.75" style="49" customWidth="1"/>
    <col min="2056" max="2056" width="11.875" style="49" customWidth="1"/>
    <col min="2057" max="2057" width="8.5" style="49" customWidth="1"/>
    <col min="2058" max="2058" width="9" style="49"/>
    <col min="2059" max="2059" width="12.25" style="49" customWidth="1"/>
    <col min="2060" max="2061" width="11.625" style="49" customWidth="1"/>
    <col min="2062" max="2062" width="7.875" style="49" customWidth="1"/>
    <col min="2063" max="2065" width="7.75" style="49" customWidth="1"/>
    <col min="2066" max="2066" width="14.125" style="49" customWidth="1"/>
    <col min="2067" max="2304" width="9" style="49"/>
    <col min="2305" max="2305" width="8.125" style="49" customWidth="1"/>
    <col min="2306" max="2306" width="6.25" style="49" customWidth="1"/>
    <col min="2307" max="2307" width="6.375" style="49" customWidth="1"/>
    <col min="2308" max="2308" width="5.375" style="49" customWidth="1"/>
    <col min="2309" max="2309" width="5.875" style="49" customWidth="1"/>
    <col min="2310" max="2310" width="6.375" style="49" customWidth="1"/>
    <col min="2311" max="2311" width="5.75" style="49" customWidth="1"/>
    <col min="2312" max="2312" width="11.875" style="49" customWidth="1"/>
    <col min="2313" max="2313" width="8.5" style="49" customWidth="1"/>
    <col min="2314" max="2314" width="9" style="49"/>
    <col min="2315" max="2315" width="12.25" style="49" customWidth="1"/>
    <col min="2316" max="2317" width="11.625" style="49" customWidth="1"/>
    <col min="2318" max="2318" width="7.875" style="49" customWidth="1"/>
    <col min="2319" max="2321" width="7.75" style="49" customWidth="1"/>
    <col min="2322" max="2322" width="14.125" style="49" customWidth="1"/>
    <col min="2323" max="2560" width="9" style="49"/>
    <col min="2561" max="2561" width="8.125" style="49" customWidth="1"/>
    <col min="2562" max="2562" width="6.25" style="49" customWidth="1"/>
    <col min="2563" max="2563" width="6.375" style="49" customWidth="1"/>
    <col min="2564" max="2564" width="5.375" style="49" customWidth="1"/>
    <col min="2565" max="2565" width="5.875" style="49" customWidth="1"/>
    <col min="2566" max="2566" width="6.375" style="49" customWidth="1"/>
    <col min="2567" max="2567" width="5.75" style="49" customWidth="1"/>
    <col min="2568" max="2568" width="11.875" style="49" customWidth="1"/>
    <col min="2569" max="2569" width="8.5" style="49" customWidth="1"/>
    <col min="2570" max="2570" width="9" style="49"/>
    <col min="2571" max="2571" width="12.25" style="49" customWidth="1"/>
    <col min="2572" max="2573" width="11.625" style="49" customWidth="1"/>
    <col min="2574" max="2574" width="7.875" style="49" customWidth="1"/>
    <col min="2575" max="2577" width="7.75" style="49" customWidth="1"/>
    <col min="2578" max="2578" width="14.125" style="49" customWidth="1"/>
    <col min="2579" max="2816" width="9" style="49"/>
    <col min="2817" max="2817" width="8.125" style="49" customWidth="1"/>
    <col min="2818" max="2818" width="6.25" style="49" customWidth="1"/>
    <col min="2819" max="2819" width="6.375" style="49" customWidth="1"/>
    <col min="2820" max="2820" width="5.375" style="49" customWidth="1"/>
    <col min="2821" max="2821" width="5.875" style="49" customWidth="1"/>
    <col min="2822" max="2822" width="6.375" style="49" customWidth="1"/>
    <col min="2823" max="2823" width="5.75" style="49" customWidth="1"/>
    <col min="2824" max="2824" width="11.875" style="49" customWidth="1"/>
    <col min="2825" max="2825" width="8.5" style="49" customWidth="1"/>
    <col min="2826" max="2826" width="9" style="49"/>
    <col min="2827" max="2827" width="12.25" style="49" customWidth="1"/>
    <col min="2828" max="2829" width="11.625" style="49" customWidth="1"/>
    <col min="2830" max="2830" width="7.875" style="49" customWidth="1"/>
    <col min="2831" max="2833" width="7.75" style="49" customWidth="1"/>
    <col min="2834" max="2834" width="14.125" style="49" customWidth="1"/>
    <col min="2835" max="3072" width="9" style="49"/>
    <col min="3073" max="3073" width="8.125" style="49" customWidth="1"/>
    <col min="3074" max="3074" width="6.25" style="49" customWidth="1"/>
    <col min="3075" max="3075" width="6.375" style="49" customWidth="1"/>
    <col min="3076" max="3076" width="5.375" style="49" customWidth="1"/>
    <col min="3077" max="3077" width="5.875" style="49" customWidth="1"/>
    <col min="3078" max="3078" width="6.375" style="49" customWidth="1"/>
    <col min="3079" max="3079" width="5.75" style="49" customWidth="1"/>
    <col min="3080" max="3080" width="11.875" style="49" customWidth="1"/>
    <col min="3081" max="3081" width="8.5" style="49" customWidth="1"/>
    <col min="3082" max="3082" width="9" style="49"/>
    <col min="3083" max="3083" width="12.25" style="49" customWidth="1"/>
    <col min="3084" max="3085" width="11.625" style="49" customWidth="1"/>
    <col min="3086" max="3086" width="7.875" style="49" customWidth="1"/>
    <col min="3087" max="3089" width="7.75" style="49" customWidth="1"/>
    <col min="3090" max="3090" width="14.125" style="49" customWidth="1"/>
    <col min="3091" max="3328" width="9" style="49"/>
    <col min="3329" max="3329" width="8.125" style="49" customWidth="1"/>
    <col min="3330" max="3330" width="6.25" style="49" customWidth="1"/>
    <col min="3331" max="3331" width="6.375" style="49" customWidth="1"/>
    <col min="3332" max="3332" width="5.375" style="49" customWidth="1"/>
    <col min="3333" max="3333" width="5.875" style="49" customWidth="1"/>
    <col min="3334" max="3334" width="6.375" style="49" customWidth="1"/>
    <col min="3335" max="3335" width="5.75" style="49" customWidth="1"/>
    <col min="3336" max="3336" width="11.875" style="49" customWidth="1"/>
    <col min="3337" max="3337" width="8.5" style="49" customWidth="1"/>
    <col min="3338" max="3338" width="9" style="49"/>
    <col min="3339" max="3339" width="12.25" style="49" customWidth="1"/>
    <col min="3340" max="3341" width="11.625" style="49" customWidth="1"/>
    <col min="3342" max="3342" width="7.875" style="49" customWidth="1"/>
    <col min="3343" max="3345" width="7.75" style="49" customWidth="1"/>
    <col min="3346" max="3346" width="14.125" style="49" customWidth="1"/>
    <col min="3347" max="3584" width="9" style="49"/>
    <col min="3585" max="3585" width="8.125" style="49" customWidth="1"/>
    <col min="3586" max="3586" width="6.25" style="49" customWidth="1"/>
    <col min="3587" max="3587" width="6.375" style="49" customWidth="1"/>
    <col min="3588" max="3588" width="5.375" style="49" customWidth="1"/>
    <col min="3589" max="3589" width="5.875" style="49" customWidth="1"/>
    <col min="3590" max="3590" width="6.375" style="49" customWidth="1"/>
    <col min="3591" max="3591" width="5.75" style="49" customWidth="1"/>
    <col min="3592" max="3592" width="11.875" style="49" customWidth="1"/>
    <col min="3593" max="3593" width="8.5" style="49" customWidth="1"/>
    <col min="3594" max="3594" width="9" style="49"/>
    <col min="3595" max="3595" width="12.25" style="49" customWidth="1"/>
    <col min="3596" max="3597" width="11.625" style="49" customWidth="1"/>
    <col min="3598" max="3598" width="7.875" style="49" customWidth="1"/>
    <col min="3599" max="3601" width="7.75" style="49" customWidth="1"/>
    <col min="3602" max="3602" width="14.125" style="49" customWidth="1"/>
    <col min="3603" max="3840" width="9" style="49"/>
    <col min="3841" max="3841" width="8.125" style="49" customWidth="1"/>
    <col min="3842" max="3842" width="6.25" style="49" customWidth="1"/>
    <col min="3843" max="3843" width="6.375" style="49" customWidth="1"/>
    <col min="3844" max="3844" width="5.375" style="49" customWidth="1"/>
    <col min="3845" max="3845" width="5.875" style="49" customWidth="1"/>
    <col min="3846" max="3846" width="6.375" style="49" customWidth="1"/>
    <col min="3847" max="3847" width="5.75" style="49" customWidth="1"/>
    <col min="3848" max="3848" width="11.875" style="49" customWidth="1"/>
    <col min="3849" max="3849" width="8.5" style="49" customWidth="1"/>
    <col min="3850" max="3850" width="9" style="49"/>
    <col min="3851" max="3851" width="12.25" style="49" customWidth="1"/>
    <col min="3852" max="3853" width="11.625" style="49" customWidth="1"/>
    <col min="3854" max="3854" width="7.875" style="49" customWidth="1"/>
    <col min="3855" max="3857" width="7.75" style="49" customWidth="1"/>
    <col min="3858" max="3858" width="14.125" style="49" customWidth="1"/>
    <col min="3859" max="4096" width="9" style="49"/>
    <col min="4097" max="4097" width="8.125" style="49" customWidth="1"/>
    <col min="4098" max="4098" width="6.25" style="49" customWidth="1"/>
    <col min="4099" max="4099" width="6.375" style="49" customWidth="1"/>
    <col min="4100" max="4100" width="5.375" style="49" customWidth="1"/>
    <col min="4101" max="4101" width="5.875" style="49" customWidth="1"/>
    <col min="4102" max="4102" width="6.375" style="49" customWidth="1"/>
    <col min="4103" max="4103" width="5.75" style="49" customWidth="1"/>
    <col min="4104" max="4104" width="11.875" style="49" customWidth="1"/>
    <col min="4105" max="4105" width="8.5" style="49" customWidth="1"/>
    <col min="4106" max="4106" width="9" style="49"/>
    <col min="4107" max="4107" width="12.25" style="49" customWidth="1"/>
    <col min="4108" max="4109" width="11.625" style="49" customWidth="1"/>
    <col min="4110" max="4110" width="7.875" style="49" customWidth="1"/>
    <col min="4111" max="4113" width="7.75" style="49" customWidth="1"/>
    <col min="4114" max="4114" width="14.125" style="49" customWidth="1"/>
    <col min="4115" max="4352" width="9" style="49"/>
    <col min="4353" max="4353" width="8.125" style="49" customWidth="1"/>
    <col min="4354" max="4354" width="6.25" style="49" customWidth="1"/>
    <col min="4355" max="4355" width="6.375" style="49" customWidth="1"/>
    <col min="4356" max="4356" width="5.375" style="49" customWidth="1"/>
    <col min="4357" max="4357" width="5.875" style="49" customWidth="1"/>
    <col min="4358" max="4358" width="6.375" style="49" customWidth="1"/>
    <col min="4359" max="4359" width="5.75" style="49" customWidth="1"/>
    <col min="4360" max="4360" width="11.875" style="49" customWidth="1"/>
    <col min="4361" max="4361" width="8.5" style="49" customWidth="1"/>
    <col min="4362" max="4362" width="9" style="49"/>
    <col min="4363" max="4363" width="12.25" style="49" customWidth="1"/>
    <col min="4364" max="4365" width="11.625" style="49" customWidth="1"/>
    <col min="4366" max="4366" width="7.875" style="49" customWidth="1"/>
    <col min="4367" max="4369" width="7.75" style="49" customWidth="1"/>
    <col min="4370" max="4370" width="14.125" style="49" customWidth="1"/>
    <col min="4371" max="4608" width="9" style="49"/>
    <col min="4609" max="4609" width="8.125" style="49" customWidth="1"/>
    <col min="4610" max="4610" width="6.25" style="49" customWidth="1"/>
    <col min="4611" max="4611" width="6.375" style="49" customWidth="1"/>
    <col min="4612" max="4612" width="5.375" style="49" customWidth="1"/>
    <col min="4613" max="4613" width="5.875" style="49" customWidth="1"/>
    <col min="4614" max="4614" width="6.375" style="49" customWidth="1"/>
    <col min="4615" max="4615" width="5.75" style="49" customWidth="1"/>
    <col min="4616" max="4616" width="11.875" style="49" customWidth="1"/>
    <col min="4617" max="4617" width="8.5" style="49" customWidth="1"/>
    <col min="4618" max="4618" width="9" style="49"/>
    <col min="4619" max="4619" width="12.25" style="49" customWidth="1"/>
    <col min="4620" max="4621" width="11.625" style="49" customWidth="1"/>
    <col min="4622" max="4622" width="7.875" style="49" customWidth="1"/>
    <col min="4623" max="4625" width="7.75" style="49" customWidth="1"/>
    <col min="4626" max="4626" width="14.125" style="49" customWidth="1"/>
    <col min="4627" max="4864" width="9" style="49"/>
    <col min="4865" max="4865" width="8.125" style="49" customWidth="1"/>
    <col min="4866" max="4866" width="6.25" style="49" customWidth="1"/>
    <col min="4867" max="4867" width="6.375" style="49" customWidth="1"/>
    <col min="4868" max="4868" width="5.375" style="49" customWidth="1"/>
    <col min="4869" max="4869" width="5.875" style="49" customWidth="1"/>
    <col min="4870" max="4870" width="6.375" style="49" customWidth="1"/>
    <col min="4871" max="4871" width="5.75" style="49" customWidth="1"/>
    <col min="4872" max="4872" width="11.875" style="49" customWidth="1"/>
    <col min="4873" max="4873" width="8.5" style="49" customWidth="1"/>
    <col min="4874" max="4874" width="9" style="49"/>
    <col min="4875" max="4875" width="12.25" style="49" customWidth="1"/>
    <col min="4876" max="4877" width="11.625" style="49" customWidth="1"/>
    <col min="4878" max="4878" width="7.875" style="49" customWidth="1"/>
    <col min="4879" max="4881" width="7.75" style="49" customWidth="1"/>
    <col min="4882" max="4882" width="14.125" style="49" customWidth="1"/>
    <col min="4883" max="5120" width="9" style="49"/>
    <col min="5121" max="5121" width="8.125" style="49" customWidth="1"/>
    <col min="5122" max="5122" width="6.25" style="49" customWidth="1"/>
    <col min="5123" max="5123" width="6.375" style="49" customWidth="1"/>
    <col min="5124" max="5124" width="5.375" style="49" customWidth="1"/>
    <col min="5125" max="5125" width="5.875" style="49" customWidth="1"/>
    <col min="5126" max="5126" width="6.375" style="49" customWidth="1"/>
    <col min="5127" max="5127" width="5.75" style="49" customWidth="1"/>
    <col min="5128" max="5128" width="11.875" style="49" customWidth="1"/>
    <col min="5129" max="5129" width="8.5" style="49" customWidth="1"/>
    <col min="5130" max="5130" width="9" style="49"/>
    <col min="5131" max="5131" width="12.25" style="49" customWidth="1"/>
    <col min="5132" max="5133" width="11.625" style="49" customWidth="1"/>
    <col min="5134" max="5134" width="7.875" style="49" customWidth="1"/>
    <col min="5135" max="5137" width="7.75" style="49" customWidth="1"/>
    <col min="5138" max="5138" width="14.125" style="49" customWidth="1"/>
    <col min="5139" max="5376" width="9" style="49"/>
    <col min="5377" max="5377" width="8.125" style="49" customWidth="1"/>
    <col min="5378" max="5378" width="6.25" style="49" customWidth="1"/>
    <col min="5379" max="5379" width="6.375" style="49" customWidth="1"/>
    <col min="5380" max="5380" width="5.375" style="49" customWidth="1"/>
    <col min="5381" max="5381" width="5.875" style="49" customWidth="1"/>
    <col min="5382" max="5382" width="6.375" style="49" customWidth="1"/>
    <col min="5383" max="5383" width="5.75" style="49" customWidth="1"/>
    <col min="5384" max="5384" width="11.875" style="49" customWidth="1"/>
    <col min="5385" max="5385" width="8.5" style="49" customWidth="1"/>
    <col min="5386" max="5386" width="9" style="49"/>
    <col min="5387" max="5387" width="12.25" style="49" customWidth="1"/>
    <col min="5388" max="5389" width="11.625" style="49" customWidth="1"/>
    <col min="5390" max="5390" width="7.875" style="49" customWidth="1"/>
    <col min="5391" max="5393" width="7.75" style="49" customWidth="1"/>
    <col min="5394" max="5394" width="14.125" style="49" customWidth="1"/>
    <col min="5395" max="5632" width="9" style="49"/>
    <col min="5633" max="5633" width="8.125" style="49" customWidth="1"/>
    <col min="5634" max="5634" width="6.25" style="49" customWidth="1"/>
    <col min="5635" max="5635" width="6.375" style="49" customWidth="1"/>
    <col min="5636" max="5636" width="5.375" style="49" customWidth="1"/>
    <col min="5637" max="5637" width="5.875" style="49" customWidth="1"/>
    <col min="5638" max="5638" width="6.375" style="49" customWidth="1"/>
    <col min="5639" max="5639" width="5.75" style="49" customWidth="1"/>
    <col min="5640" max="5640" width="11.875" style="49" customWidth="1"/>
    <col min="5641" max="5641" width="8.5" style="49" customWidth="1"/>
    <col min="5642" max="5642" width="9" style="49"/>
    <col min="5643" max="5643" width="12.25" style="49" customWidth="1"/>
    <col min="5644" max="5645" width="11.625" style="49" customWidth="1"/>
    <col min="5646" max="5646" width="7.875" style="49" customWidth="1"/>
    <col min="5647" max="5649" width="7.75" style="49" customWidth="1"/>
    <col min="5650" max="5650" width="14.125" style="49" customWidth="1"/>
    <col min="5651" max="5888" width="9" style="49"/>
    <col min="5889" max="5889" width="8.125" style="49" customWidth="1"/>
    <col min="5890" max="5890" width="6.25" style="49" customWidth="1"/>
    <col min="5891" max="5891" width="6.375" style="49" customWidth="1"/>
    <col min="5892" max="5892" width="5.375" style="49" customWidth="1"/>
    <col min="5893" max="5893" width="5.875" style="49" customWidth="1"/>
    <col min="5894" max="5894" width="6.375" style="49" customWidth="1"/>
    <col min="5895" max="5895" width="5.75" style="49" customWidth="1"/>
    <col min="5896" max="5896" width="11.875" style="49" customWidth="1"/>
    <col min="5897" max="5897" width="8.5" style="49" customWidth="1"/>
    <col min="5898" max="5898" width="9" style="49"/>
    <col min="5899" max="5899" width="12.25" style="49" customWidth="1"/>
    <col min="5900" max="5901" width="11.625" style="49" customWidth="1"/>
    <col min="5902" max="5902" width="7.875" style="49" customWidth="1"/>
    <col min="5903" max="5905" width="7.75" style="49" customWidth="1"/>
    <col min="5906" max="5906" width="14.125" style="49" customWidth="1"/>
    <col min="5907" max="6144" width="9" style="49"/>
    <col min="6145" max="6145" width="8.125" style="49" customWidth="1"/>
    <col min="6146" max="6146" width="6.25" style="49" customWidth="1"/>
    <col min="6147" max="6147" width="6.375" style="49" customWidth="1"/>
    <col min="6148" max="6148" width="5.375" style="49" customWidth="1"/>
    <col min="6149" max="6149" width="5.875" style="49" customWidth="1"/>
    <col min="6150" max="6150" width="6.375" style="49" customWidth="1"/>
    <col min="6151" max="6151" width="5.75" style="49" customWidth="1"/>
    <col min="6152" max="6152" width="11.875" style="49" customWidth="1"/>
    <col min="6153" max="6153" width="8.5" style="49" customWidth="1"/>
    <col min="6154" max="6154" width="9" style="49"/>
    <col min="6155" max="6155" width="12.25" style="49" customWidth="1"/>
    <col min="6156" max="6157" width="11.625" style="49" customWidth="1"/>
    <col min="6158" max="6158" width="7.875" style="49" customWidth="1"/>
    <col min="6159" max="6161" width="7.75" style="49" customWidth="1"/>
    <col min="6162" max="6162" width="14.125" style="49" customWidth="1"/>
    <col min="6163" max="6400" width="9" style="49"/>
    <col min="6401" max="6401" width="8.125" style="49" customWidth="1"/>
    <col min="6402" max="6402" width="6.25" style="49" customWidth="1"/>
    <col min="6403" max="6403" width="6.375" style="49" customWidth="1"/>
    <col min="6404" max="6404" width="5.375" style="49" customWidth="1"/>
    <col min="6405" max="6405" width="5.875" style="49" customWidth="1"/>
    <col min="6406" max="6406" width="6.375" style="49" customWidth="1"/>
    <col min="6407" max="6407" width="5.75" style="49" customWidth="1"/>
    <col min="6408" max="6408" width="11.875" style="49" customWidth="1"/>
    <col min="6409" max="6409" width="8.5" style="49" customWidth="1"/>
    <col min="6410" max="6410" width="9" style="49"/>
    <col min="6411" max="6411" width="12.25" style="49" customWidth="1"/>
    <col min="6412" max="6413" width="11.625" style="49" customWidth="1"/>
    <col min="6414" max="6414" width="7.875" style="49" customWidth="1"/>
    <col min="6415" max="6417" width="7.75" style="49" customWidth="1"/>
    <col min="6418" max="6418" width="14.125" style="49" customWidth="1"/>
    <col min="6419" max="6656" width="9" style="49"/>
    <col min="6657" max="6657" width="8.125" style="49" customWidth="1"/>
    <col min="6658" max="6658" width="6.25" style="49" customWidth="1"/>
    <col min="6659" max="6659" width="6.375" style="49" customWidth="1"/>
    <col min="6660" max="6660" width="5.375" style="49" customWidth="1"/>
    <col min="6661" max="6661" width="5.875" style="49" customWidth="1"/>
    <col min="6662" max="6662" width="6.375" style="49" customWidth="1"/>
    <col min="6663" max="6663" width="5.75" style="49" customWidth="1"/>
    <col min="6664" max="6664" width="11.875" style="49" customWidth="1"/>
    <col min="6665" max="6665" width="8.5" style="49" customWidth="1"/>
    <col min="6666" max="6666" width="9" style="49"/>
    <col min="6667" max="6667" width="12.25" style="49" customWidth="1"/>
    <col min="6668" max="6669" width="11.625" style="49" customWidth="1"/>
    <col min="6670" max="6670" width="7.875" style="49" customWidth="1"/>
    <col min="6671" max="6673" width="7.75" style="49" customWidth="1"/>
    <col min="6674" max="6674" width="14.125" style="49" customWidth="1"/>
    <col min="6675" max="6912" width="9" style="49"/>
    <col min="6913" max="6913" width="8.125" style="49" customWidth="1"/>
    <col min="6914" max="6914" width="6.25" style="49" customWidth="1"/>
    <col min="6915" max="6915" width="6.375" style="49" customWidth="1"/>
    <col min="6916" max="6916" width="5.375" style="49" customWidth="1"/>
    <col min="6917" max="6917" width="5.875" style="49" customWidth="1"/>
    <col min="6918" max="6918" width="6.375" style="49" customWidth="1"/>
    <col min="6919" max="6919" width="5.75" style="49" customWidth="1"/>
    <col min="6920" max="6920" width="11.875" style="49" customWidth="1"/>
    <col min="6921" max="6921" width="8.5" style="49" customWidth="1"/>
    <col min="6922" max="6922" width="9" style="49"/>
    <col min="6923" max="6923" width="12.25" style="49" customWidth="1"/>
    <col min="6924" max="6925" width="11.625" style="49" customWidth="1"/>
    <col min="6926" max="6926" width="7.875" style="49" customWidth="1"/>
    <col min="6927" max="6929" width="7.75" style="49" customWidth="1"/>
    <col min="6930" max="6930" width="14.125" style="49" customWidth="1"/>
    <col min="6931" max="7168" width="9" style="49"/>
    <col min="7169" max="7169" width="8.125" style="49" customWidth="1"/>
    <col min="7170" max="7170" width="6.25" style="49" customWidth="1"/>
    <col min="7171" max="7171" width="6.375" style="49" customWidth="1"/>
    <col min="7172" max="7172" width="5.375" style="49" customWidth="1"/>
    <col min="7173" max="7173" width="5.875" style="49" customWidth="1"/>
    <col min="7174" max="7174" width="6.375" style="49" customWidth="1"/>
    <col min="7175" max="7175" width="5.75" style="49" customWidth="1"/>
    <col min="7176" max="7176" width="11.875" style="49" customWidth="1"/>
    <col min="7177" max="7177" width="8.5" style="49" customWidth="1"/>
    <col min="7178" max="7178" width="9" style="49"/>
    <col min="7179" max="7179" width="12.25" style="49" customWidth="1"/>
    <col min="7180" max="7181" width="11.625" style="49" customWidth="1"/>
    <col min="7182" max="7182" width="7.875" style="49" customWidth="1"/>
    <col min="7183" max="7185" width="7.75" style="49" customWidth="1"/>
    <col min="7186" max="7186" width="14.125" style="49" customWidth="1"/>
    <col min="7187" max="7424" width="9" style="49"/>
    <col min="7425" max="7425" width="8.125" style="49" customWidth="1"/>
    <col min="7426" max="7426" width="6.25" style="49" customWidth="1"/>
    <col min="7427" max="7427" width="6.375" style="49" customWidth="1"/>
    <col min="7428" max="7428" width="5.375" style="49" customWidth="1"/>
    <col min="7429" max="7429" width="5.875" style="49" customWidth="1"/>
    <col min="7430" max="7430" width="6.375" style="49" customWidth="1"/>
    <col min="7431" max="7431" width="5.75" style="49" customWidth="1"/>
    <col min="7432" max="7432" width="11.875" style="49" customWidth="1"/>
    <col min="7433" max="7433" width="8.5" style="49" customWidth="1"/>
    <col min="7434" max="7434" width="9" style="49"/>
    <col min="7435" max="7435" width="12.25" style="49" customWidth="1"/>
    <col min="7436" max="7437" width="11.625" style="49" customWidth="1"/>
    <col min="7438" max="7438" width="7.875" style="49" customWidth="1"/>
    <col min="7439" max="7441" width="7.75" style="49" customWidth="1"/>
    <col min="7442" max="7442" width="14.125" style="49" customWidth="1"/>
    <col min="7443" max="7680" width="9" style="49"/>
    <col min="7681" max="7681" width="8.125" style="49" customWidth="1"/>
    <col min="7682" max="7682" width="6.25" style="49" customWidth="1"/>
    <col min="7683" max="7683" width="6.375" style="49" customWidth="1"/>
    <col min="7684" max="7684" width="5.375" style="49" customWidth="1"/>
    <col min="7685" max="7685" width="5.875" style="49" customWidth="1"/>
    <col min="7686" max="7686" width="6.375" style="49" customWidth="1"/>
    <col min="7687" max="7687" width="5.75" style="49" customWidth="1"/>
    <col min="7688" max="7688" width="11.875" style="49" customWidth="1"/>
    <col min="7689" max="7689" width="8.5" style="49" customWidth="1"/>
    <col min="7690" max="7690" width="9" style="49"/>
    <col min="7691" max="7691" width="12.25" style="49" customWidth="1"/>
    <col min="7692" max="7693" width="11.625" style="49" customWidth="1"/>
    <col min="7694" max="7694" width="7.875" style="49" customWidth="1"/>
    <col min="7695" max="7697" width="7.75" style="49" customWidth="1"/>
    <col min="7698" max="7698" width="14.125" style="49" customWidth="1"/>
    <col min="7699" max="7936" width="9" style="49"/>
    <col min="7937" max="7937" width="8.125" style="49" customWidth="1"/>
    <col min="7938" max="7938" width="6.25" style="49" customWidth="1"/>
    <col min="7939" max="7939" width="6.375" style="49" customWidth="1"/>
    <col min="7940" max="7940" width="5.375" style="49" customWidth="1"/>
    <col min="7941" max="7941" width="5.875" style="49" customWidth="1"/>
    <col min="7942" max="7942" width="6.375" style="49" customWidth="1"/>
    <col min="7943" max="7943" width="5.75" style="49" customWidth="1"/>
    <col min="7944" max="7944" width="11.875" style="49" customWidth="1"/>
    <col min="7945" max="7945" width="8.5" style="49" customWidth="1"/>
    <col min="7946" max="7946" width="9" style="49"/>
    <col min="7947" max="7947" width="12.25" style="49" customWidth="1"/>
    <col min="7948" max="7949" width="11.625" style="49" customWidth="1"/>
    <col min="7950" max="7950" width="7.875" style="49" customWidth="1"/>
    <col min="7951" max="7953" width="7.75" style="49" customWidth="1"/>
    <col min="7954" max="7954" width="14.125" style="49" customWidth="1"/>
    <col min="7955" max="8192" width="9" style="49"/>
    <col min="8193" max="8193" width="8.125" style="49" customWidth="1"/>
    <col min="8194" max="8194" width="6.25" style="49" customWidth="1"/>
    <col min="8195" max="8195" width="6.375" style="49" customWidth="1"/>
    <col min="8196" max="8196" width="5.375" style="49" customWidth="1"/>
    <col min="8197" max="8197" width="5.875" style="49" customWidth="1"/>
    <col min="8198" max="8198" width="6.375" style="49" customWidth="1"/>
    <col min="8199" max="8199" width="5.75" style="49" customWidth="1"/>
    <col min="8200" max="8200" width="11.875" style="49" customWidth="1"/>
    <col min="8201" max="8201" width="8.5" style="49" customWidth="1"/>
    <col min="8202" max="8202" width="9" style="49"/>
    <col min="8203" max="8203" width="12.25" style="49" customWidth="1"/>
    <col min="8204" max="8205" width="11.625" style="49" customWidth="1"/>
    <col min="8206" max="8206" width="7.875" style="49" customWidth="1"/>
    <col min="8207" max="8209" width="7.75" style="49" customWidth="1"/>
    <col min="8210" max="8210" width="14.125" style="49" customWidth="1"/>
    <col min="8211" max="8448" width="9" style="49"/>
    <col min="8449" max="8449" width="8.125" style="49" customWidth="1"/>
    <col min="8450" max="8450" width="6.25" style="49" customWidth="1"/>
    <col min="8451" max="8451" width="6.375" style="49" customWidth="1"/>
    <col min="8452" max="8452" width="5.375" style="49" customWidth="1"/>
    <col min="8453" max="8453" width="5.875" style="49" customWidth="1"/>
    <col min="8454" max="8454" width="6.375" style="49" customWidth="1"/>
    <col min="8455" max="8455" width="5.75" style="49" customWidth="1"/>
    <col min="8456" max="8456" width="11.875" style="49" customWidth="1"/>
    <col min="8457" max="8457" width="8.5" style="49" customWidth="1"/>
    <col min="8458" max="8458" width="9" style="49"/>
    <col min="8459" max="8459" width="12.25" style="49" customWidth="1"/>
    <col min="8460" max="8461" width="11.625" style="49" customWidth="1"/>
    <col min="8462" max="8462" width="7.875" style="49" customWidth="1"/>
    <col min="8463" max="8465" width="7.75" style="49" customWidth="1"/>
    <col min="8466" max="8466" width="14.125" style="49" customWidth="1"/>
    <col min="8467" max="8704" width="9" style="49"/>
    <col min="8705" max="8705" width="8.125" style="49" customWidth="1"/>
    <col min="8706" max="8706" width="6.25" style="49" customWidth="1"/>
    <col min="8707" max="8707" width="6.375" style="49" customWidth="1"/>
    <col min="8708" max="8708" width="5.375" style="49" customWidth="1"/>
    <col min="8709" max="8709" width="5.875" style="49" customWidth="1"/>
    <col min="8710" max="8710" width="6.375" style="49" customWidth="1"/>
    <col min="8711" max="8711" width="5.75" style="49" customWidth="1"/>
    <col min="8712" max="8712" width="11.875" style="49" customWidth="1"/>
    <col min="8713" max="8713" width="8.5" style="49" customWidth="1"/>
    <col min="8714" max="8714" width="9" style="49"/>
    <col min="8715" max="8715" width="12.25" style="49" customWidth="1"/>
    <col min="8716" max="8717" width="11.625" style="49" customWidth="1"/>
    <col min="8718" max="8718" width="7.875" style="49" customWidth="1"/>
    <col min="8719" max="8721" width="7.75" style="49" customWidth="1"/>
    <col min="8722" max="8722" width="14.125" style="49" customWidth="1"/>
    <col min="8723" max="8960" width="9" style="49"/>
    <col min="8961" max="8961" width="8.125" style="49" customWidth="1"/>
    <col min="8962" max="8962" width="6.25" style="49" customWidth="1"/>
    <col min="8963" max="8963" width="6.375" style="49" customWidth="1"/>
    <col min="8964" max="8964" width="5.375" style="49" customWidth="1"/>
    <col min="8965" max="8965" width="5.875" style="49" customWidth="1"/>
    <col min="8966" max="8966" width="6.375" style="49" customWidth="1"/>
    <col min="8967" max="8967" width="5.75" style="49" customWidth="1"/>
    <col min="8968" max="8968" width="11.875" style="49" customWidth="1"/>
    <col min="8969" max="8969" width="8.5" style="49" customWidth="1"/>
    <col min="8970" max="8970" width="9" style="49"/>
    <col min="8971" max="8971" width="12.25" style="49" customWidth="1"/>
    <col min="8972" max="8973" width="11.625" style="49" customWidth="1"/>
    <col min="8974" max="8974" width="7.875" style="49" customWidth="1"/>
    <col min="8975" max="8977" width="7.75" style="49" customWidth="1"/>
    <col min="8978" max="8978" width="14.125" style="49" customWidth="1"/>
    <col min="8979" max="9216" width="9" style="49"/>
    <col min="9217" max="9217" width="8.125" style="49" customWidth="1"/>
    <col min="9218" max="9218" width="6.25" style="49" customWidth="1"/>
    <col min="9219" max="9219" width="6.375" style="49" customWidth="1"/>
    <col min="9220" max="9220" width="5.375" style="49" customWidth="1"/>
    <col min="9221" max="9221" width="5.875" style="49" customWidth="1"/>
    <col min="9222" max="9222" width="6.375" style="49" customWidth="1"/>
    <col min="9223" max="9223" width="5.75" style="49" customWidth="1"/>
    <col min="9224" max="9224" width="11.875" style="49" customWidth="1"/>
    <col min="9225" max="9225" width="8.5" style="49" customWidth="1"/>
    <col min="9226" max="9226" width="9" style="49"/>
    <col min="9227" max="9227" width="12.25" style="49" customWidth="1"/>
    <col min="9228" max="9229" width="11.625" style="49" customWidth="1"/>
    <col min="9230" max="9230" width="7.875" style="49" customWidth="1"/>
    <col min="9231" max="9233" width="7.75" style="49" customWidth="1"/>
    <col min="9234" max="9234" width="14.125" style="49" customWidth="1"/>
    <col min="9235" max="9472" width="9" style="49"/>
    <col min="9473" max="9473" width="8.125" style="49" customWidth="1"/>
    <col min="9474" max="9474" width="6.25" style="49" customWidth="1"/>
    <col min="9475" max="9475" width="6.375" style="49" customWidth="1"/>
    <col min="9476" max="9476" width="5.375" style="49" customWidth="1"/>
    <col min="9477" max="9477" width="5.875" style="49" customWidth="1"/>
    <col min="9478" max="9478" width="6.375" style="49" customWidth="1"/>
    <col min="9479" max="9479" width="5.75" style="49" customWidth="1"/>
    <col min="9480" max="9480" width="11.875" style="49" customWidth="1"/>
    <col min="9481" max="9481" width="8.5" style="49" customWidth="1"/>
    <col min="9482" max="9482" width="9" style="49"/>
    <col min="9483" max="9483" width="12.25" style="49" customWidth="1"/>
    <col min="9484" max="9485" width="11.625" style="49" customWidth="1"/>
    <col min="9486" max="9486" width="7.875" style="49" customWidth="1"/>
    <col min="9487" max="9489" width="7.75" style="49" customWidth="1"/>
    <col min="9490" max="9490" width="14.125" style="49" customWidth="1"/>
    <col min="9491" max="9728" width="9" style="49"/>
    <col min="9729" max="9729" width="8.125" style="49" customWidth="1"/>
    <col min="9730" max="9730" width="6.25" style="49" customWidth="1"/>
    <col min="9731" max="9731" width="6.375" style="49" customWidth="1"/>
    <col min="9732" max="9732" width="5.375" style="49" customWidth="1"/>
    <col min="9733" max="9733" width="5.875" style="49" customWidth="1"/>
    <col min="9734" max="9734" width="6.375" style="49" customWidth="1"/>
    <col min="9735" max="9735" width="5.75" style="49" customWidth="1"/>
    <col min="9736" max="9736" width="11.875" style="49" customWidth="1"/>
    <col min="9737" max="9737" width="8.5" style="49" customWidth="1"/>
    <col min="9738" max="9738" width="9" style="49"/>
    <col min="9739" max="9739" width="12.25" style="49" customWidth="1"/>
    <col min="9740" max="9741" width="11.625" style="49" customWidth="1"/>
    <col min="9742" max="9742" width="7.875" style="49" customWidth="1"/>
    <col min="9743" max="9745" width="7.75" style="49" customWidth="1"/>
    <col min="9746" max="9746" width="14.125" style="49" customWidth="1"/>
    <col min="9747" max="9984" width="9" style="49"/>
    <col min="9985" max="9985" width="8.125" style="49" customWidth="1"/>
    <col min="9986" max="9986" width="6.25" style="49" customWidth="1"/>
    <col min="9987" max="9987" width="6.375" style="49" customWidth="1"/>
    <col min="9988" max="9988" width="5.375" style="49" customWidth="1"/>
    <col min="9989" max="9989" width="5.875" style="49" customWidth="1"/>
    <col min="9990" max="9990" width="6.375" style="49" customWidth="1"/>
    <col min="9991" max="9991" width="5.75" style="49" customWidth="1"/>
    <col min="9992" max="9992" width="11.875" style="49" customWidth="1"/>
    <col min="9993" max="9993" width="8.5" style="49" customWidth="1"/>
    <col min="9994" max="9994" width="9" style="49"/>
    <col min="9995" max="9995" width="12.25" style="49" customWidth="1"/>
    <col min="9996" max="9997" width="11.625" style="49" customWidth="1"/>
    <col min="9998" max="9998" width="7.875" style="49" customWidth="1"/>
    <col min="9999" max="10001" width="7.75" style="49" customWidth="1"/>
    <col min="10002" max="10002" width="14.125" style="49" customWidth="1"/>
    <col min="10003" max="10240" width="9" style="49"/>
    <col min="10241" max="10241" width="8.125" style="49" customWidth="1"/>
    <col min="10242" max="10242" width="6.25" style="49" customWidth="1"/>
    <col min="10243" max="10243" width="6.375" style="49" customWidth="1"/>
    <col min="10244" max="10244" width="5.375" style="49" customWidth="1"/>
    <col min="10245" max="10245" width="5.875" style="49" customWidth="1"/>
    <col min="10246" max="10246" width="6.375" style="49" customWidth="1"/>
    <col min="10247" max="10247" width="5.75" style="49" customWidth="1"/>
    <col min="10248" max="10248" width="11.875" style="49" customWidth="1"/>
    <col min="10249" max="10249" width="8.5" style="49" customWidth="1"/>
    <col min="10250" max="10250" width="9" style="49"/>
    <col min="10251" max="10251" width="12.25" style="49" customWidth="1"/>
    <col min="10252" max="10253" width="11.625" style="49" customWidth="1"/>
    <col min="10254" max="10254" width="7.875" style="49" customWidth="1"/>
    <col min="10255" max="10257" width="7.75" style="49" customWidth="1"/>
    <col min="10258" max="10258" width="14.125" style="49" customWidth="1"/>
    <col min="10259" max="10496" width="9" style="49"/>
    <col min="10497" max="10497" width="8.125" style="49" customWidth="1"/>
    <col min="10498" max="10498" width="6.25" style="49" customWidth="1"/>
    <col min="10499" max="10499" width="6.375" style="49" customWidth="1"/>
    <col min="10500" max="10500" width="5.375" style="49" customWidth="1"/>
    <col min="10501" max="10501" width="5.875" style="49" customWidth="1"/>
    <col min="10502" max="10502" width="6.375" style="49" customWidth="1"/>
    <col min="10503" max="10503" width="5.75" style="49" customWidth="1"/>
    <col min="10504" max="10504" width="11.875" style="49" customWidth="1"/>
    <col min="10505" max="10505" width="8.5" style="49" customWidth="1"/>
    <col min="10506" max="10506" width="9" style="49"/>
    <col min="10507" max="10507" width="12.25" style="49" customWidth="1"/>
    <col min="10508" max="10509" width="11.625" style="49" customWidth="1"/>
    <col min="10510" max="10510" width="7.875" style="49" customWidth="1"/>
    <col min="10511" max="10513" width="7.75" style="49" customWidth="1"/>
    <col min="10514" max="10514" width="14.125" style="49" customWidth="1"/>
    <col min="10515" max="10752" width="9" style="49"/>
    <col min="10753" max="10753" width="8.125" style="49" customWidth="1"/>
    <col min="10754" max="10754" width="6.25" style="49" customWidth="1"/>
    <col min="10755" max="10755" width="6.375" style="49" customWidth="1"/>
    <col min="10756" max="10756" width="5.375" style="49" customWidth="1"/>
    <col min="10757" max="10757" width="5.875" style="49" customWidth="1"/>
    <col min="10758" max="10758" width="6.375" style="49" customWidth="1"/>
    <col min="10759" max="10759" width="5.75" style="49" customWidth="1"/>
    <col min="10760" max="10760" width="11.875" style="49" customWidth="1"/>
    <col min="10761" max="10761" width="8.5" style="49" customWidth="1"/>
    <col min="10762" max="10762" width="9" style="49"/>
    <col min="10763" max="10763" width="12.25" style="49" customWidth="1"/>
    <col min="10764" max="10765" width="11.625" style="49" customWidth="1"/>
    <col min="10766" max="10766" width="7.875" style="49" customWidth="1"/>
    <col min="10767" max="10769" width="7.75" style="49" customWidth="1"/>
    <col min="10770" max="10770" width="14.125" style="49" customWidth="1"/>
    <col min="10771" max="11008" width="9" style="49"/>
    <col min="11009" max="11009" width="8.125" style="49" customWidth="1"/>
    <col min="11010" max="11010" width="6.25" style="49" customWidth="1"/>
    <col min="11011" max="11011" width="6.375" style="49" customWidth="1"/>
    <col min="11012" max="11012" width="5.375" style="49" customWidth="1"/>
    <col min="11013" max="11013" width="5.875" style="49" customWidth="1"/>
    <col min="11014" max="11014" width="6.375" style="49" customWidth="1"/>
    <col min="11015" max="11015" width="5.75" style="49" customWidth="1"/>
    <col min="11016" max="11016" width="11.875" style="49" customWidth="1"/>
    <col min="11017" max="11017" width="8.5" style="49" customWidth="1"/>
    <col min="11018" max="11018" width="9" style="49"/>
    <col min="11019" max="11019" width="12.25" style="49" customWidth="1"/>
    <col min="11020" max="11021" width="11.625" style="49" customWidth="1"/>
    <col min="11022" max="11022" width="7.875" style="49" customWidth="1"/>
    <col min="11023" max="11025" width="7.75" style="49" customWidth="1"/>
    <col min="11026" max="11026" width="14.125" style="49" customWidth="1"/>
    <col min="11027" max="11264" width="9" style="49"/>
    <col min="11265" max="11265" width="8.125" style="49" customWidth="1"/>
    <col min="11266" max="11266" width="6.25" style="49" customWidth="1"/>
    <col min="11267" max="11267" width="6.375" style="49" customWidth="1"/>
    <col min="11268" max="11268" width="5.375" style="49" customWidth="1"/>
    <col min="11269" max="11269" width="5.875" style="49" customWidth="1"/>
    <col min="11270" max="11270" width="6.375" style="49" customWidth="1"/>
    <col min="11271" max="11271" width="5.75" style="49" customWidth="1"/>
    <col min="11272" max="11272" width="11.875" style="49" customWidth="1"/>
    <col min="11273" max="11273" width="8.5" style="49" customWidth="1"/>
    <col min="11274" max="11274" width="9" style="49"/>
    <col min="11275" max="11275" width="12.25" style="49" customWidth="1"/>
    <col min="11276" max="11277" width="11.625" style="49" customWidth="1"/>
    <col min="11278" max="11278" width="7.875" style="49" customWidth="1"/>
    <col min="11279" max="11281" width="7.75" style="49" customWidth="1"/>
    <col min="11282" max="11282" width="14.125" style="49" customWidth="1"/>
    <col min="11283" max="11520" width="9" style="49"/>
    <col min="11521" max="11521" width="8.125" style="49" customWidth="1"/>
    <col min="11522" max="11522" width="6.25" style="49" customWidth="1"/>
    <col min="11523" max="11523" width="6.375" style="49" customWidth="1"/>
    <col min="11524" max="11524" width="5.375" style="49" customWidth="1"/>
    <col min="11525" max="11525" width="5.875" style="49" customWidth="1"/>
    <col min="11526" max="11526" width="6.375" style="49" customWidth="1"/>
    <col min="11527" max="11527" width="5.75" style="49" customWidth="1"/>
    <col min="11528" max="11528" width="11.875" style="49" customWidth="1"/>
    <col min="11529" max="11529" width="8.5" style="49" customWidth="1"/>
    <col min="11530" max="11530" width="9" style="49"/>
    <col min="11531" max="11531" width="12.25" style="49" customWidth="1"/>
    <col min="11532" max="11533" width="11.625" style="49" customWidth="1"/>
    <col min="11534" max="11534" width="7.875" style="49" customWidth="1"/>
    <col min="11535" max="11537" width="7.75" style="49" customWidth="1"/>
    <col min="11538" max="11538" width="14.125" style="49" customWidth="1"/>
    <col min="11539" max="11776" width="9" style="49"/>
    <col min="11777" max="11777" width="8.125" style="49" customWidth="1"/>
    <col min="11778" max="11778" width="6.25" style="49" customWidth="1"/>
    <col min="11779" max="11779" width="6.375" style="49" customWidth="1"/>
    <col min="11780" max="11780" width="5.375" style="49" customWidth="1"/>
    <col min="11781" max="11781" width="5.875" style="49" customWidth="1"/>
    <col min="11782" max="11782" width="6.375" style="49" customWidth="1"/>
    <col min="11783" max="11783" width="5.75" style="49" customWidth="1"/>
    <col min="11784" max="11784" width="11.875" style="49" customWidth="1"/>
    <col min="11785" max="11785" width="8.5" style="49" customWidth="1"/>
    <col min="11786" max="11786" width="9" style="49"/>
    <col min="11787" max="11787" width="12.25" style="49" customWidth="1"/>
    <col min="11788" max="11789" width="11.625" style="49" customWidth="1"/>
    <col min="11790" max="11790" width="7.875" style="49" customWidth="1"/>
    <col min="11791" max="11793" width="7.75" style="49" customWidth="1"/>
    <col min="11794" max="11794" width="14.125" style="49" customWidth="1"/>
    <col min="11795" max="12032" width="9" style="49"/>
    <col min="12033" max="12033" width="8.125" style="49" customWidth="1"/>
    <col min="12034" max="12034" width="6.25" style="49" customWidth="1"/>
    <col min="12035" max="12035" width="6.375" style="49" customWidth="1"/>
    <col min="12036" max="12036" width="5.375" style="49" customWidth="1"/>
    <col min="12037" max="12037" width="5.875" style="49" customWidth="1"/>
    <col min="12038" max="12038" width="6.375" style="49" customWidth="1"/>
    <col min="12039" max="12039" width="5.75" style="49" customWidth="1"/>
    <col min="12040" max="12040" width="11.875" style="49" customWidth="1"/>
    <col min="12041" max="12041" width="8.5" style="49" customWidth="1"/>
    <col min="12042" max="12042" width="9" style="49"/>
    <col min="12043" max="12043" width="12.25" style="49" customWidth="1"/>
    <col min="12044" max="12045" width="11.625" style="49" customWidth="1"/>
    <col min="12046" max="12046" width="7.875" style="49" customWidth="1"/>
    <col min="12047" max="12049" width="7.75" style="49" customWidth="1"/>
    <col min="12050" max="12050" width="14.125" style="49" customWidth="1"/>
    <col min="12051" max="12288" width="9" style="49"/>
    <col min="12289" max="12289" width="8.125" style="49" customWidth="1"/>
    <col min="12290" max="12290" width="6.25" style="49" customWidth="1"/>
    <col min="12291" max="12291" width="6.375" style="49" customWidth="1"/>
    <col min="12292" max="12292" width="5.375" style="49" customWidth="1"/>
    <col min="12293" max="12293" width="5.875" style="49" customWidth="1"/>
    <col min="12294" max="12294" width="6.375" style="49" customWidth="1"/>
    <col min="12295" max="12295" width="5.75" style="49" customWidth="1"/>
    <col min="12296" max="12296" width="11.875" style="49" customWidth="1"/>
    <col min="12297" max="12297" width="8.5" style="49" customWidth="1"/>
    <col min="12298" max="12298" width="9" style="49"/>
    <col min="12299" max="12299" width="12.25" style="49" customWidth="1"/>
    <col min="12300" max="12301" width="11.625" style="49" customWidth="1"/>
    <col min="12302" max="12302" width="7.875" style="49" customWidth="1"/>
    <col min="12303" max="12305" width="7.75" style="49" customWidth="1"/>
    <col min="12306" max="12306" width="14.125" style="49" customWidth="1"/>
    <col min="12307" max="12544" width="9" style="49"/>
    <col min="12545" max="12545" width="8.125" style="49" customWidth="1"/>
    <col min="12546" max="12546" width="6.25" style="49" customWidth="1"/>
    <col min="12547" max="12547" width="6.375" style="49" customWidth="1"/>
    <col min="12548" max="12548" width="5.375" style="49" customWidth="1"/>
    <col min="12549" max="12549" width="5.875" style="49" customWidth="1"/>
    <col min="12550" max="12550" width="6.375" style="49" customWidth="1"/>
    <col min="12551" max="12551" width="5.75" style="49" customWidth="1"/>
    <col min="12552" max="12552" width="11.875" style="49" customWidth="1"/>
    <col min="12553" max="12553" width="8.5" style="49" customWidth="1"/>
    <col min="12554" max="12554" width="9" style="49"/>
    <col min="12555" max="12555" width="12.25" style="49" customWidth="1"/>
    <col min="12556" max="12557" width="11.625" style="49" customWidth="1"/>
    <col min="12558" max="12558" width="7.875" style="49" customWidth="1"/>
    <col min="12559" max="12561" width="7.75" style="49" customWidth="1"/>
    <col min="12562" max="12562" width="14.125" style="49" customWidth="1"/>
    <col min="12563" max="12800" width="9" style="49"/>
    <col min="12801" max="12801" width="8.125" style="49" customWidth="1"/>
    <col min="12802" max="12802" width="6.25" style="49" customWidth="1"/>
    <col min="12803" max="12803" width="6.375" style="49" customWidth="1"/>
    <col min="12804" max="12804" width="5.375" style="49" customWidth="1"/>
    <col min="12805" max="12805" width="5.875" style="49" customWidth="1"/>
    <col min="12806" max="12806" width="6.375" style="49" customWidth="1"/>
    <col min="12807" max="12807" width="5.75" style="49" customWidth="1"/>
    <col min="12808" max="12808" width="11.875" style="49" customWidth="1"/>
    <col min="12809" max="12809" width="8.5" style="49" customWidth="1"/>
    <col min="12810" max="12810" width="9" style="49"/>
    <col min="12811" max="12811" width="12.25" style="49" customWidth="1"/>
    <col min="12812" max="12813" width="11.625" style="49" customWidth="1"/>
    <col min="12814" max="12814" width="7.875" style="49" customWidth="1"/>
    <col min="12815" max="12817" width="7.75" style="49" customWidth="1"/>
    <col min="12818" max="12818" width="14.125" style="49" customWidth="1"/>
    <col min="12819" max="13056" width="9" style="49"/>
    <col min="13057" max="13057" width="8.125" style="49" customWidth="1"/>
    <col min="13058" max="13058" width="6.25" style="49" customWidth="1"/>
    <col min="13059" max="13059" width="6.375" style="49" customWidth="1"/>
    <col min="13060" max="13060" width="5.375" style="49" customWidth="1"/>
    <col min="13061" max="13061" width="5.875" style="49" customWidth="1"/>
    <col min="13062" max="13062" width="6.375" style="49" customWidth="1"/>
    <col min="13063" max="13063" width="5.75" style="49" customWidth="1"/>
    <col min="13064" max="13064" width="11.875" style="49" customWidth="1"/>
    <col min="13065" max="13065" width="8.5" style="49" customWidth="1"/>
    <col min="13066" max="13066" width="9" style="49"/>
    <col min="13067" max="13067" width="12.25" style="49" customWidth="1"/>
    <col min="13068" max="13069" width="11.625" style="49" customWidth="1"/>
    <col min="13070" max="13070" width="7.875" style="49" customWidth="1"/>
    <col min="13071" max="13073" width="7.75" style="49" customWidth="1"/>
    <col min="13074" max="13074" width="14.125" style="49" customWidth="1"/>
    <col min="13075" max="13312" width="9" style="49"/>
    <col min="13313" max="13313" width="8.125" style="49" customWidth="1"/>
    <col min="13314" max="13314" width="6.25" style="49" customWidth="1"/>
    <col min="13315" max="13315" width="6.375" style="49" customWidth="1"/>
    <col min="13316" max="13316" width="5.375" style="49" customWidth="1"/>
    <col min="13317" max="13317" width="5.875" style="49" customWidth="1"/>
    <col min="13318" max="13318" width="6.375" style="49" customWidth="1"/>
    <col min="13319" max="13319" width="5.75" style="49" customWidth="1"/>
    <col min="13320" max="13320" width="11.875" style="49" customWidth="1"/>
    <col min="13321" max="13321" width="8.5" style="49" customWidth="1"/>
    <col min="13322" max="13322" width="9" style="49"/>
    <col min="13323" max="13323" width="12.25" style="49" customWidth="1"/>
    <col min="13324" max="13325" width="11.625" style="49" customWidth="1"/>
    <col min="13326" max="13326" width="7.875" style="49" customWidth="1"/>
    <col min="13327" max="13329" width="7.75" style="49" customWidth="1"/>
    <col min="13330" max="13330" width="14.125" style="49" customWidth="1"/>
    <col min="13331" max="13568" width="9" style="49"/>
    <col min="13569" max="13569" width="8.125" style="49" customWidth="1"/>
    <col min="13570" max="13570" width="6.25" style="49" customWidth="1"/>
    <col min="13571" max="13571" width="6.375" style="49" customWidth="1"/>
    <col min="13572" max="13572" width="5.375" style="49" customWidth="1"/>
    <col min="13573" max="13573" width="5.875" style="49" customWidth="1"/>
    <col min="13574" max="13574" width="6.375" style="49" customWidth="1"/>
    <col min="13575" max="13575" width="5.75" style="49" customWidth="1"/>
    <col min="13576" max="13576" width="11.875" style="49" customWidth="1"/>
    <col min="13577" max="13577" width="8.5" style="49" customWidth="1"/>
    <col min="13578" max="13578" width="9" style="49"/>
    <col min="13579" max="13579" width="12.25" style="49" customWidth="1"/>
    <col min="13580" max="13581" width="11.625" style="49" customWidth="1"/>
    <col min="13582" max="13582" width="7.875" style="49" customWidth="1"/>
    <col min="13583" max="13585" width="7.75" style="49" customWidth="1"/>
    <col min="13586" max="13586" width="14.125" style="49" customWidth="1"/>
    <col min="13587" max="13824" width="9" style="49"/>
    <col min="13825" max="13825" width="8.125" style="49" customWidth="1"/>
    <col min="13826" max="13826" width="6.25" style="49" customWidth="1"/>
    <col min="13827" max="13827" width="6.375" style="49" customWidth="1"/>
    <col min="13828" max="13828" width="5.375" style="49" customWidth="1"/>
    <col min="13829" max="13829" width="5.875" style="49" customWidth="1"/>
    <col min="13830" max="13830" width="6.375" style="49" customWidth="1"/>
    <col min="13831" max="13831" width="5.75" style="49" customWidth="1"/>
    <col min="13832" max="13832" width="11.875" style="49" customWidth="1"/>
    <col min="13833" max="13833" width="8.5" style="49" customWidth="1"/>
    <col min="13834" max="13834" width="9" style="49"/>
    <col min="13835" max="13835" width="12.25" style="49" customWidth="1"/>
    <col min="13836" max="13837" width="11.625" style="49" customWidth="1"/>
    <col min="13838" max="13838" width="7.875" style="49" customWidth="1"/>
    <col min="13839" max="13841" width="7.75" style="49" customWidth="1"/>
    <col min="13842" max="13842" width="14.125" style="49" customWidth="1"/>
    <col min="13843" max="14080" width="9" style="49"/>
    <col min="14081" max="14081" width="8.125" style="49" customWidth="1"/>
    <col min="14082" max="14082" width="6.25" style="49" customWidth="1"/>
    <col min="14083" max="14083" width="6.375" style="49" customWidth="1"/>
    <col min="14084" max="14084" width="5.375" style="49" customWidth="1"/>
    <col min="14085" max="14085" width="5.875" style="49" customWidth="1"/>
    <col min="14086" max="14086" width="6.375" style="49" customWidth="1"/>
    <col min="14087" max="14087" width="5.75" style="49" customWidth="1"/>
    <col min="14088" max="14088" width="11.875" style="49" customWidth="1"/>
    <col min="14089" max="14089" width="8.5" style="49" customWidth="1"/>
    <col min="14090" max="14090" width="9" style="49"/>
    <col min="14091" max="14091" width="12.25" style="49" customWidth="1"/>
    <col min="14092" max="14093" width="11.625" style="49" customWidth="1"/>
    <col min="14094" max="14094" width="7.875" style="49" customWidth="1"/>
    <col min="14095" max="14097" width="7.75" style="49" customWidth="1"/>
    <col min="14098" max="14098" width="14.125" style="49" customWidth="1"/>
    <col min="14099" max="14336" width="9" style="49"/>
    <col min="14337" max="14337" width="8.125" style="49" customWidth="1"/>
    <col min="14338" max="14338" width="6.25" style="49" customWidth="1"/>
    <col min="14339" max="14339" width="6.375" style="49" customWidth="1"/>
    <col min="14340" max="14340" width="5.375" style="49" customWidth="1"/>
    <col min="14341" max="14341" width="5.875" style="49" customWidth="1"/>
    <col min="14342" max="14342" width="6.375" style="49" customWidth="1"/>
    <col min="14343" max="14343" width="5.75" style="49" customWidth="1"/>
    <col min="14344" max="14344" width="11.875" style="49" customWidth="1"/>
    <col min="14345" max="14345" width="8.5" style="49" customWidth="1"/>
    <col min="14346" max="14346" width="9" style="49"/>
    <col min="14347" max="14347" width="12.25" style="49" customWidth="1"/>
    <col min="14348" max="14349" width="11.625" style="49" customWidth="1"/>
    <col min="14350" max="14350" width="7.875" style="49" customWidth="1"/>
    <col min="14351" max="14353" width="7.75" style="49" customWidth="1"/>
    <col min="14354" max="14354" width="14.125" style="49" customWidth="1"/>
    <col min="14355" max="14592" width="9" style="49"/>
    <col min="14593" max="14593" width="8.125" style="49" customWidth="1"/>
    <col min="14594" max="14594" width="6.25" style="49" customWidth="1"/>
    <col min="14595" max="14595" width="6.375" style="49" customWidth="1"/>
    <col min="14596" max="14596" width="5.375" style="49" customWidth="1"/>
    <col min="14597" max="14597" width="5.875" style="49" customWidth="1"/>
    <col min="14598" max="14598" width="6.375" style="49" customWidth="1"/>
    <col min="14599" max="14599" width="5.75" style="49" customWidth="1"/>
    <col min="14600" max="14600" width="11.875" style="49" customWidth="1"/>
    <col min="14601" max="14601" width="8.5" style="49" customWidth="1"/>
    <col min="14602" max="14602" width="9" style="49"/>
    <col min="14603" max="14603" width="12.25" style="49" customWidth="1"/>
    <col min="14604" max="14605" width="11.625" style="49" customWidth="1"/>
    <col min="14606" max="14606" width="7.875" style="49" customWidth="1"/>
    <col min="14607" max="14609" width="7.75" style="49" customWidth="1"/>
    <col min="14610" max="14610" width="14.125" style="49" customWidth="1"/>
    <col min="14611" max="14848" width="9" style="49"/>
    <col min="14849" max="14849" width="8.125" style="49" customWidth="1"/>
    <col min="14850" max="14850" width="6.25" style="49" customWidth="1"/>
    <col min="14851" max="14851" width="6.375" style="49" customWidth="1"/>
    <col min="14852" max="14852" width="5.375" style="49" customWidth="1"/>
    <col min="14853" max="14853" width="5.875" style="49" customWidth="1"/>
    <col min="14854" max="14854" width="6.375" style="49" customWidth="1"/>
    <col min="14855" max="14855" width="5.75" style="49" customWidth="1"/>
    <col min="14856" max="14856" width="11.875" style="49" customWidth="1"/>
    <col min="14857" max="14857" width="8.5" style="49" customWidth="1"/>
    <col min="14858" max="14858" width="9" style="49"/>
    <col min="14859" max="14859" width="12.25" style="49" customWidth="1"/>
    <col min="14860" max="14861" width="11.625" style="49" customWidth="1"/>
    <col min="14862" max="14862" width="7.875" style="49" customWidth="1"/>
    <col min="14863" max="14865" width="7.75" style="49" customWidth="1"/>
    <col min="14866" max="14866" width="14.125" style="49" customWidth="1"/>
    <col min="14867" max="15104" width="9" style="49"/>
    <col min="15105" max="15105" width="8.125" style="49" customWidth="1"/>
    <col min="15106" max="15106" width="6.25" style="49" customWidth="1"/>
    <col min="15107" max="15107" width="6.375" style="49" customWidth="1"/>
    <col min="15108" max="15108" width="5.375" style="49" customWidth="1"/>
    <col min="15109" max="15109" width="5.875" style="49" customWidth="1"/>
    <col min="15110" max="15110" width="6.375" style="49" customWidth="1"/>
    <col min="15111" max="15111" width="5.75" style="49" customWidth="1"/>
    <col min="15112" max="15112" width="11.875" style="49" customWidth="1"/>
    <col min="15113" max="15113" width="8.5" style="49" customWidth="1"/>
    <col min="15114" max="15114" width="9" style="49"/>
    <col min="15115" max="15115" width="12.25" style="49" customWidth="1"/>
    <col min="15116" max="15117" width="11.625" style="49" customWidth="1"/>
    <col min="15118" max="15118" width="7.875" style="49" customWidth="1"/>
    <col min="15119" max="15121" width="7.75" style="49" customWidth="1"/>
    <col min="15122" max="15122" width="14.125" style="49" customWidth="1"/>
    <col min="15123" max="15360" width="9" style="49"/>
    <col min="15361" max="15361" width="8.125" style="49" customWidth="1"/>
    <col min="15362" max="15362" width="6.25" style="49" customWidth="1"/>
    <col min="15363" max="15363" width="6.375" style="49" customWidth="1"/>
    <col min="15364" max="15364" width="5.375" style="49" customWidth="1"/>
    <col min="15365" max="15365" width="5.875" style="49" customWidth="1"/>
    <col min="15366" max="15366" width="6.375" style="49" customWidth="1"/>
    <col min="15367" max="15367" width="5.75" style="49" customWidth="1"/>
    <col min="15368" max="15368" width="11.875" style="49" customWidth="1"/>
    <col min="15369" max="15369" width="8.5" style="49" customWidth="1"/>
    <col min="15370" max="15370" width="9" style="49"/>
    <col min="15371" max="15371" width="12.25" style="49" customWidth="1"/>
    <col min="15372" max="15373" width="11.625" style="49" customWidth="1"/>
    <col min="15374" max="15374" width="7.875" style="49" customWidth="1"/>
    <col min="15375" max="15377" width="7.75" style="49" customWidth="1"/>
    <col min="15378" max="15378" width="14.125" style="49" customWidth="1"/>
    <col min="15379" max="15616" width="9" style="49"/>
    <col min="15617" max="15617" width="8.125" style="49" customWidth="1"/>
    <col min="15618" max="15618" width="6.25" style="49" customWidth="1"/>
    <col min="15619" max="15619" width="6.375" style="49" customWidth="1"/>
    <col min="15620" max="15620" width="5.375" style="49" customWidth="1"/>
    <col min="15621" max="15621" width="5.875" style="49" customWidth="1"/>
    <col min="15622" max="15622" width="6.375" style="49" customWidth="1"/>
    <col min="15623" max="15623" width="5.75" style="49" customWidth="1"/>
    <col min="15624" max="15624" width="11.875" style="49" customWidth="1"/>
    <col min="15625" max="15625" width="8.5" style="49" customWidth="1"/>
    <col min="15626" max="15626" width="9" style="49"/>
    <col min="15627" max="15627" width="12.25" style="49" customWidth="1"/>
    <col min="15628" max="15629" width="11.625" style="49" customWidth="1"/>
    <col min="15630" max="15630" width="7.875" style="49" customWidth="1"/>
    <col min="15631" max="15633" width="7.75" style="49" customWidth="1"/>
    <col min="15634" max="15634" width="14.125" style="49" customWidth="1"/>
    <col min="15635" max="15872" width="9" style="49"/>
    <col min="15873" max="15873" width="8.125" style="49" customWidth="1"/>
    <col min="15874" max="15874" width="6.25" style="49" customWidth="1"/>
    <col min="15875" max="15875" width="6.375" style="49" customWidth="1"/>
    <col min="15876" max="15876" width="5.375" style="49" customWidth="1"/>
    <col min="15877" max="15877" width="5.875" style="49" customWidth="1"/>
    <col min="15878" max="15878" width="6.375" style="49" customWidth="1"/>
    <col min="15879" max="15879" width="5.75" style="49" customWidth="1"/>
    <col min="15880" max="15880" width="11.875" style="49" customWidth="1"/>
    <col min="15881" max="15881" width="8.5" style="49" customWidth="1"/>
    <col min="15882" max="15882" width="9" style="49"/>
    <col min="15883" max="15883" width="12.25" style="49" customWidth="1"/>
    <col min="15884" max="15885" width="11.625" style="49" customWidth="1"/>
    <col min="15886" max="15886" width="7.875" style="49" customWidth="1"/>
    <col min="15887" max="15889" width="7.75" style="49" customWidth="1"/>
    <col min="15890" max="15890" width="14.125" style="49" customWidth="1"/>
    <col min="15891" max="16128" width="9" style="49"/>
    <col min="16129" max="16129" width="8.125" style="49" customWidth="1"/>
    <col min="16130" max="16130" width="6.25" style="49" customWidth="1"/>
    <col min="16131" max="16131" width="6.375" style="49" customWidth="1"/>
    <col min="16132" max="16132" width="5.375" style="49" customWidth="1"/>
    <col min="16133" max="16133" width="5.875" style="49" customWidth="1"/>
    <col min="16134" max="16134" width="6.375" style="49" customWidth="1"/>
    <col min="16135" max="16135" width="5.75" style="49" customWidth="1"/>
    <col min="16136" max="16136" width="11.875" style="49" customWidth="1"/>
    <col min="16137" max="16137" width="8.5" style="49" customWidth="1"/>
    <col min="16138" max="16138" width="9" style="49"/>
    <col min="16139" max="16139" width="12.25" style="49" customWidth="1"/>
    <col min="16140" max="16141" width="11.625" style="49" customWidth="1"/>
    <col min="16142" max="16142" width="7.875" style="49" customWidth="1"/>
    <col min="16143" max="16145" width="7.75" style="49" customWidth="1"/>
    <col min="16146" max="16146" width="14.125" style="49" customWidth="1"/>
    <col min="16147" max="16384" width="9" style="49"/>
  </cols>
  <sheetData>
    <row r="1" ht="16.5" customHeight="1" spans="1:5">
      <c r="A1" s="50"/>
      <c r="B1" s="50"/>
      <c r="C1" s="50"/>
      <c r="D1" s="50"/>
      <c r="E1" s="50"/>
    </row>
    <row r="2" customHeight="1" spans="1:11">
      <c r="A2" s="51"/>
      <c r="B2" s="51"/>
      <c r="C2" s="51"/>
      <c r="D2" s="51"/>
      <c r="E2" s="50"/>
      <c r="F2" s="414" t="s">
        <v>625</v>
      </c>
      <c r="G2" s="414"/>
      <c r="H2" s="414"/>
      <c r="I2" s="414"/>
      <c r="J2" s="414"/>
      <c r="K2" s="414"/>
    </row>
    <row r="3" ht="18.75" spans="1:11">
      <c r="A3" s="415" t="s">
        <v>532</v>
      </c>
      <c r="B3" s="415"/>
      <c r="C3" s="415"/>
      <c r="D3" s="415"/>
      <c r="E3" s="415"/>
      <c r="F3" s="415"/>
      <c r="G3" s="415"/>
      <c r="H3" s="415"/>
      <c r="I3" s="415"/>
      <c r="J3" s="415"/>
      <c r="K3" s="415"/>
    </row>
    <row r="4" ht="18" customHeight="1" spans="1:18">
      <c r="A4" s="57" t="s">
        <v>533</v>
      </c>
      <c r="B4" s="57"/>
      <c r="C4" s="56" t="e">
        <f>#REF!</f>
        <v>#REF!</v>
      </c>
      <c r="D4" s="56"/>
      <c r="E4" s="56"/>
      <c r="F4" s="62" t="s">
        <v>352</v>
      </c>
      <c r="G4" s="62"/>
      <c r="H4" s="56" t="e">
        <f>#REF!</f>
        <v>#REF!</v>
      </c>
      <c r="I4" s="56"/>
      <c r="J4" s="57" t="s">
        <v>534</v>
      </c>
      <c r="K4" s="445" t="str">
        <f>SUM(G10:G36)&amp;"块"</f>
        <v>0块</v>
      </c>
      <c r="R4" s="469"/>
    </row>
    <row r="5" ht="19.5" customHeight="1" spans="1:18">
      <c r="A5" s="62" t="s">
        <v>535</v>
      </c>
      <c r="B5" s="62"/>
      <c r="C5" s="416" t="e">
        <f>#REF!</f>
        <v>#REF!</v>
      </c>
      <c r="D5" s="416"/>
      <c r="E5" s="416"/>
      <c r="F5" s="62" t="s">
        <v>57</v>
      </c>
      <c r="G5" s="62"/>
      <c r="H5" s="417" t="s">
        <v>626</v>
      </c>
      <c r="I5" s="61"/>
      <c r="J5" s="62" t="s">
        <v>536</v>
      </c>
      <c r="K5" s="446" t="e">
        <f>#REF!</f>
        <v>#REF!</v>
      </c>
      <c r="R5" s="469"/>
    </row>
    <row r="6" ht="22.5" customHeight="1" spans="1:18">
      <c r="A6" s="62" t="s">
        <v>538</v>
      </c>
      <c r="B6" s="62"/>
      <c r="C6" s="61" t="s">
        <v>627</v>
      </c>
      <c r="D6" s="61"/>
      <c r="E6" s="61"/>
      <c r="F6" s="418"/>
      <c r="G6" s="418"/>
      <c r="H6" s="418"/>
      <c r="I6" s="418"/>
      <c r="J6" s="62" t="s">
        <v>628</v>
      </c>
      <c r="K6" s="447" t="s">
        <v>623</v>
      </c>
      <c r="R6" s="469"/>
    </row>
    <row r="7" ht="24" customHeight="1" spans="1:18">
      <c r="A7" s="419" t="s">
        <v>629</v>
      </c>
      <c r="B7" s="419"/>
      <c r="C7" s="419"/>
      <c r="D7" s="419"/>
      <c r="E7" s="419"/>
      <c r="F7" s="419"/>
      <c r="G7" s="419"/>
      <c r="H7" s="419"/>
      <c r="I7" s="419"/>
      <c r="J7" s="419"/>
      <c r="K7" s="419"/>
      <c r="R7" s="469"/>
    </row>
    <row r="8" ht="18" customHeight="1" spans="1:18">
      <c r="A8" s="420" t="s">
        <v>361</v>
      </c>
      <c r="B8" s="421" t="s">
        <v>362</v>
      </c>
      <c r="C8" s="421"/>
      <c r="D8" s="421"/>
      <c r="E8" s="421" t="s">
        <v>363</v>
      </c>
      <c r="F8" s="421"/>
      <c r="G8" s="422"/>
      <c r="H8" s="423" t="s">
        <v>630</v>
      </c>
      <c r="I8" s="448" t="s">
        <v>631</v>
      </c>
      <c r="J8" s="448"/>
      <c r="K8" s="449"/>
      <c r="L8" s="450" t="s">
        <v>632</v>
      </c>
      <c r="M8" s="451"/>
      <c r="N8" s="452"/>
      <c r="R8" s="469"/>
    </row>
    <row r="9" ht="22.5" customHeight="1" spans="1:18">
      <c r="A9" s="424" t="s">
        <v>369</v>
      </c>
      <c r="B9" s="425" t="s">
        <v>370</v>
      </c>
      <c r="C9" s="425" t="s">
        <v>371</v>
      </c>
      <c r="D9" s="425" t="s">
        <v>83</v>
      </c>
      <c r="E9" s="425" t="s">
        <v>370</v>
      </c>
      <c r="F9" s="425" t="s">
        <v>371</v>
      </c>
      <c r="G9" s="425" t="s">
        <v>83</v>
      </c>
      <c r="H9" s="426" t="s">
        <v>374</v>
      </c>
      <c r="I9" s="453"/>
      <c r="J9" s="426"/>
      <c r="K9" s="454"/>
      <c r="L9" s="455" t="s">
        <v>379</v>
      </c>
      <c r="M9" s="456" t="s">
        <v>350</v>
      </c>
      <c r="N9" s="457" t="s">
        <v>546</v>
      </c>
      <c r="O9" s="458" t="s">
        <v>633</v>
      </c>
      <c r="P9" s="458" t="s">
        <v>634</v>
      </c>
      <c r="Q9" s="470" t="s">
        <v>635</v>
      </c>
      <c r="R9" s="469"/>
    </row>
    <row r="10" ht="17.1" customHeight="1" spans="1:18">
      <c r="A10" s="427"/>
      <c r="B10" s="428"/>
      <c r="C10" s="428"/>
      <c r="D10" s="429"/>
      <c r="E10" s="430" t="str">
        <f>+IF(C10="","",C10-1)</f>
        <v/>
      </c>
      <c r="F10" s="430" t="str">
        <f>+IF(B10="","",B10-1)</f>
        <v/>
      </c>
      <c r="G10" s="430" t="str">
        <f>+IF(D10="","",D10)</f>
        <v/>
      </c>
      <c r="H10" s="431"/>
      <c r="I10" s="459"/>
      <c r="J10" s="460"/>
      <c r="K10" s="461"/>
      <c r="L10" s="412">
        <f t="shared" ref="L10:L35" si="0">B10*C10*D10/1000000</f>
        <v>0</v>
      </c>
      <c r="M10" s="413" t="str">
        <f t="shared" ref="M10:M35" si="1">+IF(D10&gt;0,((B10+C10)*2+240)*G10/1000,"")</f>
        <v/>
      </c>
      <c r="N10" s="413">
        <f>B10*C10*D10/1000000/1.2/2.4/0.85</f>
        <v>0</v>
      </c>
      <c r="O10" s="413">
        <f>(B10*C10*D10/1000000)+((B10+C10)*2*D10/1000)*0.02</f>
        <v>0</v>
      </c>
      <c r="P10" s="413">
        <f>(B10*C10*D10/1000000)*2+((B10+C10)*2*D10/1000)*0.02</f>
        <v>0</v>
      </c>
      <c r="Q10" s="413" t="str">
        <f>+IF(H10=$L$8,B10*D10/1000+0.1,"")</f>
        <v/>
      </c>
      <c r="R10" s="469"/>
    </row>
    <row r="11" ht="17.1" customHeight="1" spans="1:18">
      <c r="A11" s="427"/>
      <c r="B11" s="428"/>
      <c r="C11" s="428"/>
      <c r="D11" s="429"/>
      <c r="E11" s="430" t="str">
        <f t="shared" ref="E11:E35" si="2">+IF(C11="","",C11-1)</f>
        <v/>
      </c>
      <c r="F11" s="430" t="str">
        <f t="shared" ref="F11:F35" si="3">+IF(B11="","",B11-1)</f>
        <v/>
      </c>
      <c r="G11" s="430" t="str">
        <f t="shared" ref="G11:G35" si="4">+IF(D11="","",D11)</f>
        <v/>
      </c>
      <c r="H11" s="432"/>
      <c r="I11" s="459"/>
      <c r="J11" s="460"/>
      <c r="K11" s="461"/>
      <c r="L11" s="412">
        <f t="shared" si="0"/>
        <v>0</v>
      </c>
      <c r="M11" s="413" t="str">
        <f t="shared" si="1"/>
        <v/>
      </c>
      <c r="N11" s="413">
        <f t="shared" ref="N11:N36" si="5">B11*C11*D11/1000000/1.2/2.4/0.85</f>
        <v>0</v>
      </c>
      <c r="O11" s="413">
        <f t="shared" ref="O11:O35" si="6">(B11*C11*D11/1000000)+((B11+C11)*2*D11/1000)*0.02</f>
        <v>0</v>
      </c>
      <c r="P11" s="413">
        <f t="shared" ref="P11:P35" si="7">(B11*C11*D11/1000000)*2+((B11+C11)*2*D11/1000)*0.02</f>
        <v>0</v>
      </c>
      <c r="Q11" s="413" t="str">
        <f t="shared" ref="Q11:Q30" si="8">+IF(H11=$L$8,B11*D11/1000+0.1,"")</f>
        <v/>
      </c>
      <c r="R11" s="469"/>
    </row>
    <row r="12" ht="17.1" customHeight="1" spans="1:18">
      <c r="A12" s="427"/>
      <c r="B12" s="428"/>
      <c r="C12" s="428"/>
      <c r="D12" s="429"/>
      <c r="E12" s="430" t="str">
        <f t="shared" si="2"/>
        <v/>
      </c>
      <c r="F12" s="430" t="str">
        <f t="shared" si="3"/>
        <v/>
      </c>
      <c r="G12" s="430" t="str">
        <f t="shared" si="4"/>
        <v/>
      </c>
      <c r="H12" s="432"/>
      <c r="I12" s="459"/>
      <c r="J12" s="460"/>
      <c r="K12" s="461"/>
      <c r="L12" s="412">
        <f t="shared" si="0"/>
        <v>0</v>
      </c>
      <c r="M12" s="413" t="str">
        <f t="shared" si="1"/>
        <v/>
      </c>
      <c r="N12" s="413">
        <f t="shared" si="5"/>
        <v>0</v>
      </c>
      <c r="O12" s="413">
        <f t="shared" si="6"/>
        <v>0</v>
      </c>
      <c r="P12" s="413">
        <f t="shared" si="7"/>
        <v>0</v>
      </c>
      <c r="Q12" s="413" t="str">
        <f t="shared" si="8"/>
        <v/>
      </c>
      <c r="R12" s="469"/>
    </row>
    <row r="13" ht="17.1" customHeight="1" spans="1:18">
      <c r="A13" s="427"/>
      <c r="B13" s="428"/>
      <c r="C13" s="428"/>
      <c r="D13" s="429"/>
      <c r="E13" s="430" t="str">
        <f t="shared" si="2"/>
        <v/>
      </c>
      <c r="F13" s="430" t="str">
        <f t="shared" si="3"/>
        <v/>
      </c>
      <c r="G13" s="430" t="str">
        <f t="shared" si="4"/>
        <v/>
      </c>
      <c r="H13" s="432"/>
      <c r="I13" s="459"/>
      <c r="J13" s="460"/>
      <c r="K13" s="461"/>
      <c r="L13" s="412">
        <f t="shared" si="0"/>
        <v>0</v>
      </c>
      <c r="M13" s="413" t="str">
        <f t="shared" si="1"/>
        <v/>
      </c>
      <c r="N13" s="413">
        <f t="shared" si="5"/>
        <v>0</v>
      </c>
      <c r="O13" s="413">
        <f t="shared" si="6"/>
        <v>0</v>
      </c>
      <c r="P13" s="413">
        <f t="shared" si="7"/>
        <v>0</v>
      </c>
      <c r="Q13" s="413" t="str">
        <f t="shared" si="8"/>
        <v/>
      </c>
      <c r="R13" s="469"/>
    </row>
    <row r="14" ht="17.1" customHeight="1" spans="1:17">
      <c r="A14" s="427"/>
      <c r="B14" s="428"/>
      <c r="C14" s="428"/>
      <c r="D14" s="429"/>
      <c r="E14" s="430" t="str">
        <f t="shared" si="2"/>
        <v/>
      </c>
      <c r="F14" s="430" t="str">
        <f t="shared" si="3"/>
        <v/>
      </c>
      <c r="G14" s="430" t="str">
        <f t="shared" si="4"/>
        <v/>
      </c>
      <c r="H14" s="432"/>
      <c r="I14" s="459"/>
      <c r="J14" s="460"/>
      <c r="K14" s="461"/>
      <c r="L14" s="412">
        <f t="shared" si="0"/>
        <v>0</v>
      </c>
      <c r="M14" s="413" t="str">
        <f t="shared" si="1"/>
        <v/>
      </c>
      <c r="N14" s="413">
        <f t="shared" si="5"/>
        <v>0</v>
      </c>
      <c r="O14" s="413">
        <f t="shared" si="6"/>
        <v>0</v>
      </c>
      <c r="P14" s="413">
        <f t="shared" si="7"/>
        <v>0</v>
      </c>
      <c r="Q14" s="413" t="str">
        <f t="shared" si="8"/>
        <v/>
      </c>
    </row>
    <row r="15" ht="17.1" customHeight="1" spans="1:17">
      <c r="A15" s="427"/>
      <c r="B15" s="428"/>
      <c r="C15" s="428"/>
      <c r="D15" s="429"/>
      <c r="E15" s="430" t="str">
        <f t="shared" si="2"/>
        <v/>
      </c>
      <c r="F15" s="430" t="str">
        <f t="shared" si="3"/>
        <v/>
      </c>
      <c r="G15" s="430" t="str">
        <f t="shared" si="4"/>
        <v/>
      </c>
      <c r="H15" s="432"/>
      <c r="I15" s="459"/>
      <c r="J15" s="460"/>
      <c r="K15" s="461"/>
      <c r="L15" s="412">
        <f t="shared" si="0"/>
        <v>0</v>
      </c>
      <c r="M15" s="413" t="str">
        <f t="shared" si="1"/>
        <v/>
      </c>
      <c r="N15" s="413">
        <f t="shared" si="5"/>
        <v>0</v>
      </c>
      <c r="O15" s="413">
        <f t="shared" si="6"/>
        <v>0</v>
      </c>
      <c r="P15" s="413">
        <f t="shared" si="7"/>
        <v>0</v>
      </c>
      <c r="Q15" s="413" t="str">
        <f t="shared" si="8"/>
        <v/>
      </c>
    </row>
    <row r="16" ht="17.1" customHeight="1" spans="1:17">
      <c r="A16" s="427"/>
      <c r="B16" s="428"/>
      <c r="C16" s="428"/>
      <c r="D16" s="429"/>
      <c r="E16" s="430" t="str">
        <f t="shared" si="2"/>
        <v/>
      </c>
      <c r="F16" s="430" t="str">
        <f t="shared" si="3"/>
        <v/>
      </c>
      <c r="G16" s="430" t="str">
        <f t="shared" si="4"/>
        <v/>
      </c>
      <c r="H16" s="432"/>
      <c r="I16" s="459"/>
      <c r="J16" s="460"/>
      <c r="K16" s="461"/>
      <c r="L16" s="412">
        <f t="shared" si="0"/>
        <v>0</v>
      </c>
      <c r="M16" s="413" t="str">
        <f t="shared" si="1"/>
        <v/>
      </c>
      <c r="N16" s="413">
        <f t="shared" si="5"/>
        <v>0</v>
      </c>
      <c r="O16" s="413">
        <f t="shared" si="6"/>
        <v>0</v>
      </c>
      <c r="P16" s="413">
        <f t="shared" si="7"/>
        <v>0</v>
      </c>
      <c r="Q16" s="413" t="str">
        <f t="shared" si="8"/>
        <v/>
      </c>
    </row>
    <row r="17" ht="17.1" customHeight="1" spans="1:17">
      <c r="A17" s="427"/>
      <c r="B17" s="428"/>
      <c r="C17" s="428"/>
      <c r="D17" s="429"/>
      <c r="E17" s="430" t="str">
        <f t="shared" si="2"/>
        <v/>
      </c>
      <c r="F17" s="430" t="str">
        <f t="shared" si="3"/>
        <v/>
      </c>
      <c r="G17" s="430" t="str">
        <f t="shared" si="4"/>
        <v/>
      </c>
      <c r="H17" s="432"/>
      <c r="I17" s="459"/>
      <c r="J17" s="460"/>
      <c r="K17" s="461"/>
      <c r="L17" s="412">
        <f t="shared" si="0"/>
        <v>0</v>
      </c>
      <c r="M17" s="413" t="str">
        <f t="shared" si="1"/>
        <v/>
      </c>
      <c r="N17" s="413">
        <f t="shared" si="5"/>
        <v>0</v>
      </c>
      <c r="O17" s="413">
        <f t="shared" si="6"/>
        <v>0</v>
      </c>
      <c r="P17" s="413">
        <f t="shared" si="7"/>
        <v>0</v>
      </c>
      <c r="Q17" s="413" t="str">
        <f t="shared" si="8"/>
        <v/>
      </c>
    </row>
    <row r="18" ht="17.1" customHeight="1" spans="1:17">
      <c r="A18" s="427"/>
      <c r="B18" s="428"/>
      <c r="C18" s="428"/>
      <c r="D18" s="429"/>
      <c r="E18" s="430" t="str">
        <f t="shared" si="2"/>
        <v/>
      </c>
      <c r="F18" s="430" t="str">
        <f t="shared" si="3"/>
        <v/>
      </c>
      <c r="G18" s="430" t="str">
        <f t="shared" si="4"/>
        <v/>
      </c>
      <c r="H18" s="432"/>
      <c r="I18" s="459"/>
      <c r="J18" s="460"/>
      <c r="K18" s="461"/>
      <c r="L18" s="412">
        <f t="shared" si="0"/>
        <v>0</v>
      </c>
      <c r="M18" s="413" t="str">
        <f t="shared" si="1"/>
        <v/>
      </c>
      <c r="N18" s="413">
        <f t="shared" si="5"/>
        <v>0</v>
      </c>
      <c r="O18" s="413">
        <f t="shared" si="6"/>
        <v>0</v>
      </c>
      <c r="P18" s="413">
        <f t="shared" si="7"/>
        <v>0</v>
      </c>
      <c r="Q18" s="413" t="str">
        <f t="shared" si="8"/>
        <v/>
      </c>
    </row>
    <row r="19" ht="17.1" customHeight="1" spans="1:17">
      <c r="A19" s="427"/>
      <c r="B19" s="428"/>
      <c r="C19" s="428"/>
      <c r="D19" s="429"/>
      <c r="E19" s="430" t="str">
        <f t="shared" si="2"/>
        <v/>
      </c>
      <c r="F19" s="430" t="str">
        <f t="shared" si="3"/>
        <v/>
      </c>
      <c r="G19" s="430" t="str">
        <f t="shared" si="4"/>
        <v/>
      </c>
      <c r="H19" s="432"/>
      <c r="I19" s="459"/>
      <c r="J19" s="460"/>
      <c r="K19" s="461"/>
      <c r="L19" s="412">
        <f t="shared" si="0"/>
        <v>0</v>
      </c>
      <c r="M19" s="413" t="str">
        <f t="shared" si="1"/>
        <v/>
      </c>
      <c r="N19" s="413">
        <f t="shared" si="5"/>
        <v>0</v>
      </c>
      <c r="O19" s="413">
        <f t="shared" si="6"/>
        <v>0</v>
      </c>
      <c r="P19" s="413">
        <f t="shared" si="7"/>
        <v>0</v>
      </c>
      <c r="Q19" s="413" t="str">
        <f t="shared" si="8"/>
        <v/>
      </c>
    </row>
    <row r="20" ht="17.1" customHeight="1" spans="1:17">
      <c r="A20" s="427"/>
      <c r="B20" s="428"/>
      <c r="C20" s="428"/>
      <c r="D20" s="429"/>
      <c r="E20" s="430" t="str">
        <f t="shared" si="2"/>
        <v/>
      </c>
      <c r="F20" s="430" t="str">
        <f t="shared" si="3"/>
        <v/>
      </c>
      <c r="G20" s="430" t="str">
        <f t="shared" si="4"/>
        <v/>
      </c>
      <c r="H20" s="432"/>
      <c r="I20" s="459"/>
      <c r="J20" s="460"/>
      <c r="K20" s="461"/>
      <c r="L20" s="412">
        <f t="shared" si="0"/>
        <v>0</v>
      </c>
      <c r="M20" s="413" t="str">
        <f t="shared" si="1"/>
        <v/>
      </c>
      <c r="N20" s="413">
        <f t="shared" si="5"/>
        <v>0</v>
      </c>
      <c r="O20" s="413">
        <f t="shared" si="6"/>
        <v>0</v>
      </c>
      <c r="P20" s="413">
        <f t="shared" si="7"/>
        <v>0</v>
      </c>
      <c r="Q20" s="413" t="str">
        <f t="shared" si="8"/>
        <v/>
      </c>
    </row>
    <row r="21" ht="17.1" customHeight="1" spans="1:17">
      <c r="A21" s="427"/>
      <c r="B21" s="428"/>
      <c r="C21" s="428"/>
      <c r="D21" s="429"/>
      <c r="E21" s="430" t="str">
        <f t="shared" si="2"/>
        <v/>
      </c>
      <c r="F21" s="430" t="str">
        <f t="shared" si="3"/>
        <v/>
      </c>
      <c r="G21" s="430" t="str">
        <f t="shared" si="4"/>
        <v/>
      </c>
      <c r="H21" s="432"/>
      <c r="I21" s="459"/>
      <c r="J21" s="460"/>
      <c r="K21" s="461"/>
      <c r="L21" s="412">
        <f t="shared" si="0"/>
        <v>0</v>
      </c>
      <c r="M21" s="413" t="str">
        <f t="shared" si="1"/>
        <v/>
      </c>
      <c r="N21" s="413">
        <f t="shared" si="5"/>
        <v>0</v>
      </c>
      <c r="O21" s="413">
        <f t="shared" si="6"/>
        <v>0</v>
      </c>
      <c r="P21" s="413">
        <f t="shared" si="7"/>
        <v>0</v>
      </c>
      <c r="Q21" s="413" t="str">
        <f t="shared" si="8"/>
        <v/>
      </c>
    </row>
    <row r="22" ht="17.1" customHeight="1" spans="1:17">
      <c r="A22" s="433"/>
      <c r="B22" s="428"/>
      <c r="C22" s="428"/>
      <c r="D22" s="429"/>
      <c r="E22" s="430" t="str">
        <f t="shared" si="2"/>
        <v/>
      </c>
      <c r="F22" s="430" t="str">
        <f t="shared" si="3"/>
        <v/>
      </c>
      <c r="G22" s="430" t="str">
        <f t="shared" si="4"/>
        <v/>
      </c>
      <c r="H22" s="432"/>
      <c r="I22" s="459"/>
      <c r="J22" s="460"/>
      <c r="K22" s="461"/>
      <c r="L22" s="412">
        <f t="shared" si="0"/>
        <v>0</v>
      </c>
      <c r="M22" s="413" t="str">
        <f t="shared" si="1"/>
        <v/>
      </c>
      <c r="N22" s="413">
        <f t="shared" si="5"/>
        <v>0</v>
      </c>
      <c r="O22" s="413">
        <f t="shared" si="6"/>
        <v>0</v>
      </c>
      <c r="P22" s="413">
        <f t="shared" si="7"/>
        <v>0</v>
      </c>
      <c r="Q22" s="413" t="str">
        <f t="shared" si="8"/>
        <v/>
      </c>
    </row>
    <row r="23" ht="17.1" customHeight="1" spans="1:17">
      <c r="A23" s="433"/>
      <c r="B23" s="428"/>
      <c r="C23" s="428"/>
      <c r="D23" s="429"/>
      <c r="E23" s="430" t="str">
        <f t="shared" si="2"/>
        <v/>
      </c>
      <c r="F23" s="430" t="str">
        <f t="shared" si="3"/>
        <v/>
      </c>
      <c r="G23" s="430" t="str">
        <f t="shared" si="4"/>
        <v/>
      </c>
      <c r="H23" s="432"/>
      <c r="I23" s="459"/>
      <c r="J23" s="460"/>
      <c r="K23" s="461"/>
      <c r="L23" s="412">
        <f t="shared" si="0"/>
        <v>0</v>
      </c>
      <c r="M23" s="413" t="str">
        <f t="shared" si="1"/>
        <v/>
      </c>
      <c r="N23" s="413">
        <f t="shared" si="5"/>
        <v>0</v>
      </c>
      <c r="O23" s="413">
        <f t="shared" si="6"/>
        <v>0</v>
      </c>
      <c r="P23" s="413">
        <f t="shared" si="7"/>
        <v>0</v>
      </c>
      <c r="Q23" s="413" t="str">
        <f t="shared" si="8"/>
        <v/>
      </c>
    </row>
    <row r="24" ht="17.1" customHeight="1" spans="1:17">
      <c r="A24" s="433"/>
      <c r="B24" s="428"/>
      <c r="C24" s="428"/>
      <c r="D24" s="429"/>
      <c r="E24" s="430" t="str">
        <f t="shared" si="2"/>
        <v/>
      </c>
      <c r="F24" s="430" t="str">
        <f t="shared" si="3"/>
        <v/>
      </c>
      <c r="G24" s="430" t="str">
        <f t="shared" si="4"/>
        <v/>
      </c>
      <c r="H24" s="432"/>
      <c r="I24" s="459"/>
      <c r="J24" s="460"/>
      <c r="K24" s="461"/>
      <c r="L24" s="412">
        <f t="shared" si="0"/>
        <v>0</v>
      </c>
      <c r="M24" s="413" t="str">
        <f t="shared" si="1"/>
        <v/>
      </c>
      <c r="N24" s="413">
        <f t="shared" si="5"/>
        <v>0</v>
      </c>
      <c r="O24" s="413">
        <f t="shared" si="6"/>
        <v>0</v>
      </c>
      <c r="P24" s="413">
        <f t="shared" si="7"/>
        <v>0</v>
      </c>
      <c r="Q24" s="413" t="str">
        <f t="shared" si="8"/>
        <v/>
      </c>
    </row>
    <row r="25" ht="17.1" customHeight="1" spans="1:17">
      <c r="A25" s="433"/>
      <c r="B25" s="428"/>
      <c r="C25" s="428"/>
      <c r="D25" s="429"/>
      <c r="E25" s="430" t="str">
        <f t="shared" si="2"/>
        <v/>
      </c>
      <c r="F25" s="430" t="str">
        <f t="shared" si="3"/>
        <v/>
      </c>
      <c r="G25" s="430" t="str">
        <f t="shared" si="4"/>
        <v/>
      </c>
      <c r="H25" s="432"/>
      <c r="I25" s="459"/>
      <c r="J25" s="460"/>
      <c r="K25" s="461"/>
      <c r="L25" s="412">
        <f t="shared" si="0"/>
        <v>0</v>
      </c>
      <c r="M25" s="413" t="str">
        <f t="shared" si="1"/>
        <v/>
      </c>
      <c r="N25" s="413">
        <f t="shared" si="5"/>
        <v>0</v>
      </c>
      <c r="O25" s="413">
        <f t="shared" si="6"/>
        <v>0</v>
      </c>
      <c r="P25" s="413">
        <f t="shared" si="7"/>
        <v>0</v>
      </c>
      <c r="Q25" s="413" t="str">
        <f t="shared" si="8"/>
        <v/>
      </c>
    </row>
    <row r="26" ht="17.1" customHeight="1" spans="1:17">
      <c r="A26" s="433"/>
      <c r="B26" s="428"/>
      <c r="C26" s="428"/>
      <c r="D26" s="429"/>
      <c r="E26" s="430" t="str">
        <f t="shared" si="2"/>
        <v/>
      </c>
      <c r="F26" s="430" t="str">
        <f t="shared" si="3"/>
        <v/>
      </c>
      <c r="G26" s="430" t="str">
        <f t="shared" si="4"/>
        <v/>
      </c>
      <c r="H26" s="432"/>
      <c r="I26" s="459"/>
      <c r="J26" s="460"/>
      <c r="K26" s="461"/>
      <c r="L26" s="412">
        <f t="shared" si="0"/>
        <v>0</v>
      </c>
      <c r="M26" s="413" t="str">
        <f t="shared" si="1"/>
        <v/>
      </c>
      <c r="N26" s="413">
        <f t="shared" si="5"/>
        <v>0</v>
      </c>
      <c r="O26" s="413">
        <f t="shared" si="6"/>
        <v>0</v>
      </c>
      <c r="P26" s="413">
        <f t="shared" si="7"/>
        <v>0</v>
      </c>
      <c r="Q26" s="413" t="str">
        <f t="shared" si="8"/>
        <v/>
      </c>
    </row>
    <row r="27" ht="17.1" customHeight="1" spans="1:17">
      <c r="A27" s="433"/>
      <c r="B27" s="428"/>
      <c r="C27" s="428"/>
      <c r="D27" s="429"/>
      <c r="E27" s="430" t="str">
        <f t="shared" si="2"/>
        <v/>
      </c>
      <c r="F27" s="430" t="str">
        <f t="shared" si="3"/>
        <v/>
      </c>
      <c r="G27" s="430" t="str">
        <f t="shared" si="4"/>
        <v/>
      </c>
      <c r="H27" s="432"/>
      <c r="I27" s="459"/>
      <c r="J27" s="460"/>
      <c r="K27" s="461"/>
      <c r="L27" s="412">
        <f t="shared" si="0"/>
        <v>0</v>
      </c>
      <c r="M27" s="413" t="str">
        <f t="shared" si="1"/>
        <v/>
      </c>
      <c r="N27" s="413">
        <f t="shared" si="5"/>
        <v>0</v>
      </c>
      <c r="O27" s="413">
        <f t="shared" si="6"/>
        <v>0</v>
      </c>
      <c r="P27" s="413">
        <f t="shared" si="7"/>
        <v>0</v>
      </c>
      <c r="Q27" s="413" t="str">
        <f t="shared" si="8"/>
        <v/>
      </c>
    </row>
    <row r="28" ht="17.1" customHeight="1" spans="1:17">
      <c r="A28" s="434"/>
      <c r="B28" s="428"/>
      <c r="C28" s="428"/>
      <c r="D28" s="429"/>
      <c r="E28" s="430" t="str">
        <f t="shared" si="2"/>
        <v/>
      </c>
      <c r="F28" s="430" t="str">
        <f t="shared" si="3"/>
        <v/>
      </c>
      <c r="G28" s="430" t="str">
        <f t="shared" si="4"/>
        <v/>
      </c>
      <c r="H28" s="432"/>
      <c r="I28" s="459"/>
      <c r="J28" s="460"/>
      <c r="K28" s="461"/>
      <c r="L28" s="412">
        <f t="shared" si="0"/>
        <v>0</v>
      </c>
      <c r="M28" s="413" t="str">
        <f t="shared" si="1"/>
        <v/>
      </c>
      <c r="N28" s="413">
        <f t="shared" si="5"/>
        <v>0</v>
      </c>
      <c r="O28" s="413">
        <f t="shared" si="6"/>
        <v>0</v>
      </c>
      <c r="P28" s="413">
        <f t="shared" si="7"/>
        <v>0</v>
      </c>
      <c r="Q28" s="413" t="str">
        <f t="shared" si="8"/>
        <v/>
      </c>
    </row>
    <row r="29" ht="17.1" customHeight="1" spans="1:17">
      <c r="A29" s="435"/>
      <c r="B29" s="436"/>
      <c r="C29" s="436"/>
      <c r="D29" s="437"/>
      <c r="E29" s="430" t="str">
        <f t="shared" si="2"/>
        <v/>
      </c>
      <c r="F29" s="430" t="str">
        <f t="shared" si="3"/>
        <v/>
      </c>
      <c r="G29" s="430" t="str">
        <f t="shared" si="4"/>
        <v/>
      </c>
      <c r="H29" s="432"/>
      <c r="I29" s="459"/>
      <c r="J29" s="460"/>
      <c r="K29" s="461"/>
      <c r="L29" s="412">
        <f t="shared" si="0"/>
        <v>0</v>
      </c>
      <c r="M29" s="413" t="str">
        <f t="shared" si="1"/>
        <v/>
      </c>
      <c r="N29" s="413">
        <f t="shared" si="5"/>
        <v>0</v>
      </c>
      <c r="O29" s="413">
        <f t="shared" si="6"/>
        <v>0</v>
      </c>
      <c r="P29" s="413">
        <f t="shared" si="7"/>
        <v>0</v>
      </c>
      <c r="Q29" s="413" t="str">
        <f t="shared" si="8"/>
        <v/>
      </c>
    </row>
    <row r="30" ht="17.1" customHeight="1" spans="1:17">
      <c r="A30" s="438"/>
      <c r="B30" s="428"/>
      <c r="C30" s="428"/>
      <c r="D30" s="429"/>
      <c r="E30" s="430" t="str">
        <f t="shared" si="2"/>
        <v/>
      </c>
      <c r="F30" s="430" t="str">
        <f t="shared" si="3"/>
        <v/>
      </c>
      <c r="G30" s="430" t="str">
        <f t="shared" si="4"/>
        <v/>
      </c>
      <c r="H30" s="432"/>
      <c r="I30" s="459"/>
      <c r="J30" s="462"/>
      <c r="K30" s="463"/>
      <c r="L30" s="412">
        <f t="shared" si="0"/>
        <v>0</v>
      </c>
      <c r="M30" s="413" t="str">
        <f t="shared" si="1"/>
        <v/>
      </c>
      <c r="N30" s="413">
        <f t="shared" si="5"/>
        <v>0</v>
      </c>
      <c r="O30" s="413">
        <f t="shared" si="6"/>
        <v>0</v>
      </c>
      <c r="P30" s="413">
        <f t="shared" si="7"/>
        <v>0</v>
      </c>
      <c r="Q30" s="413" t="str">
        <f t="shared" si="8"/>
        <v/>
      </c>
    </row>
    <row r="31" ht="17.1" customHeight="1" spans="1:16">
      <c r="A31" s="438"/>
      <c r="B31" s="428"/>
      <c r="C31" s="428"/>
      <c r="D31" s="429"/>
      <c r="E31" s="430" t="str">
        <f t="shared" si="2"/>
        <v/>
      </c>
      <c r="F31" s="430" t="str">
        <f t="shared" si="3"/>
        <v/>
      </c>
      <c r="G31" s="430" t="str">
        <f t="shared" si="4"/>
        <v/>
      </c>
      <c r="H31" s="432"/>
      <c r="I31" s="459"/>
      <c r="J31" s="464"/>
      <c r="K31" s="465"/>
      <c r="L31" s="412">
        <f t="shared" si="0"/>
        <v>0</v>
      </c>
      <c r="M31" s="413" t="str">
        <f t="shared" si="1"/>
        <v/>
      </c>
      <c r="N31" s="413">
        <f t="shared" si="5"/>
        <v>0</v>
      </c>
      <c r="O31" s="413">
        <f t="shared" si="6"/>
        <v>0</v>
      </c>
      <c r="P31" s="413">
        <f t="shared" si="7"/>
        <v>0</v>
      </c>
    </row>
    <row r="32" ht="17.1" customHeight="1" spans="1:16">
      <c r="A32" s="438"/>
      <c r="B32" s="428"/>
      <c r="C32" s="428"/>
      <c r="D32" s="429"/>
      <c r="E32" s="430" t="str">
        <f t="shared" si="2"/>
        <v/>
      </c>
      <c r="F32" s="430" t="str">
        <f t="shared" si="3"/>
        <v/>
      </c>
      <c r="G32" s="430" t="str">
        <f t="shared" si="4"/>
        <v/>
      </c>
      <c r="H32" s="432"/>
      <c r="I32" s="459"/>
      <c r="J32" s="464"/>
      <c r="K32" s="465"/>
      <c r="L32" s="412">
        <f t="shared" si="0"/>
        <v>0</v>
      </c>
      <c r="M32" s="413" t="str">
        <f t="shared" si="1"/>
        <v/>
      </c>
      <c r="N32" s="413">
        <f t="shared" si="5"/>
        <v>0</v>
      </c>
      <c r="O32" s="413">
        <f t="shared" si="6"/>
        <v>0</v>
      </c>
      <c r="P32" s="413">
        <f t="shared" si="7"/>
        <v>0</v>
      </c>
    </row>
    <row r="33" ht="17.1" customHeight="1" spans="1:16">
      <c r="A33" s="435"/>
      <c r="B33" s="436"/>
      <c r="C33" s="436"/>
      <c r="D33" s="437"/>
      <c r="E33" s="430" t="str">
        <f t="shared" si="2"/>
        <v/>
      </c>
      <c r="F33" s="430" t="str">
        <f t="shared" si="3"/>
        <v/>
      </c>
      <c r="G33" s="430" t="str">
        <f t="shared" si="4"/>
        <v/>
      </c>
      <c r="H33" s="432"/>
      <c r="I33" s="459"/>
      <c r="J33" s="464"/>
      <c r="K33" s="465"/>
      <c r="L33" s="412">
        <f t="shared" si="0"/>
        <v>0</v>
      </c>
      <c r="M33" s="413" t="str">
        <f t="shared" si="1"/>
        <v/>
      </c>
      <c r="N33" s="413">
        <f t="shared" si="5"/>
        <v>0</v>
      </c>
      <c r="O33" s="413">
        <f t="shared" si="6"/>
        <v>0</v>
      </c>
      <c r="P33" s="413">
        <f t="shared" si="7"/>
        <v>0</v>
      </c>
    </row>
    <row r="34" ht="17.1" customHeight="1" spans="1:16">
      <c r="A34" s="435"/>
      <c r="B34" s="436"/>
      <c r="C34" s="436"/>
      <c r="D34" s="437"/>
      <c r="E34" s="430" t="str">
        <f t="shared" si="2"/>
        <v/>
      </c>
      <c r="F34" s="430" t="str">
        <f t="shared" si="3"/>
        <v/>
      </c>
      <c r="G34" s="430" t="str">
        <f t="shared" si="4"/>
        <v/>
      </c>
      <c r="H34" s="432"/>
      <c r="I34" s="459"/>
      <c r="J34" s="432"/>
      <c r="K34" s="466"/>
      <c r="L34" s="412">
        <f t="shared" si="0"/>
        <v>0</v>
      </c>
      <c r="M34" s="413" t="str">
        <f t="shared" si="1"/>
        <v/>
      </c>
      <c r="N34" s="413">
        <f t="shared" si="5"/>
        <v>0</v>
      </c>
      <c r="O34" s="413">
        <f t="shared" si="6"/>
        <v>0</v>
      </c>
      <c r="P34" s="413">
        <f t="shared" si="7"/>
        <v>0</v>
      </c>
    </row>
    <row r="35" ht="17.1" customHeight="1" spans="1:16">
      <c r="A35" s="439"/>
      <c r="B35" s="428"/>
      <c r="C35" s="428"/>
      <c r="D35" s="429"/>
      <c r="E35" s="430" t="str">
        <f t="shared" si="2"/>
        <v/>
      </c>
      <c r="F35" s="430" t="str">
        <f t="shared" si="3"/>
        <v/>
      </c>
      <c r="G35" s="430" t="str">
        <f t="shared" si="4"/>
        <v/>
      </c>
      <c r="H35" s="432"/>
      <c r="I35" s="459"/>
      <c r="J35" s="464"/>
      <c r="K35" s="465"/>
      <c r="L35" s="412">
        <f t="shared" si="0"/>
        <v>0</v>
      </c>
      <c r="M35" s="413" t="str">
        <f t="shared" si="1"/>
        <v/>
      </c>
      <c r="N35" s="413">
        <f t="shared" si="5"/>
        <v>0</v>
      </c>
      <c r="O35" s="413">
        <f t="shared" si="6"/>
        <v>0</v>
      </c>
      <c r="P35" s="413">
        <f t="shared" si="7"/>
        <v>0</v>
      </c>
    </row>
    <row r="36" ht="17.1" customHeight="1" spans="1:14">
      <c r="A36" s="440"/>
      <c r="B36" s="441"/>
      <c r="C36" s="441"/>
      <c r="D36" s="442"/>
      <c r="E36" s="442"/>
      <c r="F36" s="442"/>
      <c r="G36" s="442"/>
      <c r="H36" s="443" t="s">
        <v>636</v>
      </c>
      <c r="I36" s="467"/>
      <c r="J36" s="467"/>
      <c r="K36" s="468">
        <f>+O38</f>
        <v>0</v>
      </c>
      <c r="N36" s="413">
        <f t="shared" si="5"/>
        <v>0</v>
      </c>
    </row>
    <row r="37" ht="17.1" customHeight="1" spans="1:11">
      <c r="A37" s="86"/>
      <c r="B37" s="86"/>
      <c r="C37" s="86"/>
      <c r="D37" s="86"/>
      <c r="E37" s="86"/>
      <c r="F37" s="86"/>
      <c r="G37" s="86"/>
      <c r="H37" s="86"/>
      <c r="I37" s="86"/>
      <c r="J37" s="86"/>
      <c r="K37" s="86"/>
    </row>
    <row r="38" s="48" customFormat="1" ht="20.1" customHeight="1" spans="1:38">
      <c r="A38" s="91"/>
      <c r="B38" s="57" t="s">
        <v>637</v>
      </c>
      <c r="C38" s="57"/>
      <c r="D38" s="57"/>
      <c r="E38" s="57"/>
      <c r="F38" s="57"/>
      <c r="G38" s="57"/>
      <c r="H38" s="57"/>
      <c r="I38" s="57"/>
      <c r="J38" s="57"/>
      <c r="K38" s="95"/>
      <c r="L38" s="412">
        <f>SUM(L9:L36)</f>
        <v>0</v>
      </c>
      <c r="M38" s="413">
        <f>+SUM(M9:M36)</f>
        <v>0</v>
      </c>
      <c r="N38" s="413">
        <f>SUM(N9:N36)</f>
        <v>0</v>
      </c>
      <c r="O38" s="413">
        <f>SUM(O9:O36)</f>
        <v>0</v>
      </c>
      <c r="P38" s="413">
        <f>SUM(P9:P36)</f>
        <v>0</v>
      </c>
      <c r="Q38" s="413">
        <f>SUM(Q10:Q36)</f>
        <v>0</v>
      </c>
      <c r="R38" s="413" t="s">
        <v>599</v>
      </c>
      <c r="S38" s="471"/>
      <c r="T38" s="471"/>
      <c r="U38" s="471"/>
      <c r="V38" s="471"/>
      <c r="W38" s="471"/>
      <c r="X38" s="471"/>
      <c r="Y38" s="471"/>
      <c r="Z38" s="471"/>
      <c r="AA38" s="471"/>
      <c r="AB38" s="471"/>
      <c r="AC38" s="471"/>
      <c r="AD38" s="471"/>
      <c r="AE38" s="471"/>
      <c r="AF38" s="471"/>
      <c r="AG38" s="471"/>
      <c r="AH38" s="471"/>
      <c r="AI38" s="471"/>
      <c r="AJ38" s="471"/>
      <c r="AK38" s="471"/>
      <c r="AL38" s="471"/>
    </row>
    <row r="39" ht="21" customHeight="1" spans="1:13">
      <c r="A39" s="86" t="s">
        <v>638</v>
      </c>
      <c r="B39" s="86"/>
      <c r="C39" s="86"/>
      <c r="D39" s="86"/>
      <c r="E39" s="86"/>
      <c r="F39" s="86"/>
      <c r="G39" s="86"/>
      <c r="H39" s="86"/>
      <c r="I39" s="86"/>
      <c r="J39" s="86"/>
      <c r="K39" s="86"/>
      <c r="M39" s="413" t="s">
        <v>639</v>
      </c>
    </row>
    <row r="40" ht="13.5" customHeight="1" spans="1:11">
      <c r="A40" s="87"/>
      <c r="B40" s="88"/>
      <c r="C40" s="48"/>
      <c r="D40" s="48"/>
      <c r="E40" s="48"/>
      <c r="F40" s="89"/>
      <c r="G40" s="90"/>
      <c r="H40" s="89"/>
      <c r="I40" s="95"/>
      <c r="J40" s="95"/>
      <c r="K40" s="98"/>
    </row>
    <row r="41" ht="18" customHeight="1" spans="1:10">
      <c r="A41" s="91" t="s">
        <v>473</v>
      </c>
      <c r="B41" s="89" t="s">
        <v>624</v>
      </c>
      <c r="C41" s="89"/>
      <c r="D41" s="57"/>
      <c r="E41" s="50"/>
      <c r="F41" s="57"/>
      <c r="G41" s="57"/>
      <c r="H41" s="57"/>
      <c r="I41" s="95"/>
      <c r="J41" s="95"/>
    </row>
    <row r="42" ht="20.25" spans="1:11">
      <c r="A42" s="92"/>
      <c r="B42" s="93"/>
      <c r="C42" s="93"/>
      <c r="D42" s="94"/>
      <c r="E42" s="95"/>
      <c r="F42" s="94"/>
      <c r="G42" s="96"/>
      <c r="H42" s="94"/>
      <c r="I42" s="97"/>
      <c r="J42" s="97"/>
      <c r="K42" s="98"/>
    </row>
    <row r="43" s="411" customFormat="1" ht="20.25" spans="1:18">
      <c r="A43" s="444"/>
      <c r="B43" s="444"/>
      <c r="C43" s="444"/>
      <c r="D43" s="444"/>
      <c r="E43" s="444"/>
      <c r="F43" s="444"/>
      <c r="G43" s="444"/>
      <c r="H43" s="444"/>
      <c r="I43" s="444"/>
      <c r="J43" s="444"/>
      <c r="K43" s="444"/>
      <c r="L43" s="412"/>
      <c r="M43" s="413"/>
      <c r="N43" s="413"/>
      <c r="O43" s="413"/>
      <c r="P43" s="413"/>
      <c r="Q43" s="413"/>
      <c r="R43" s="413"/>
    </row>
    <row r="44" s="411" customFormat="1" ht="20.25" spans="1:18">
      <c r="A44" s="444"/>
      <c r="B44" s="444"/>
      <c r="C44" s="444"/>
      <c r="D44" s="444"/>
      <c r="E44" s="444"/>
      <c r="F44" s="444"/>
      <c r="G44" s="444"/>
      <c r="H44" s="444"/>
      <c r="I44" s="444"/>
      <c r="J44" s="444"/>
      <c r="K44" s="444"/>
      <c r="L44" s="412"/>
      <c r="M44" s="413"/>
      <c r="N44" s="413"/>
      <c r="O44" s="413"/>
      <c r="P44" s="413"/>
      <c r="Q44" s="413"/>
      <c r="R44" s="413"/>
    </row>
    <row r="45" s="411" customFormat="1" ht="20.25" spans="1:18">
      <c r="A45" s="444"/>
      <c r="B45" s="444"/>
      <c r="C45" s="444"/>
      <c r="D45" s="444"/>
      <c r="E45" s="444"/>
      <c r="F45" s="444"/>
      <c r="G45" s="444"/>
      <c r="H45" s="444"/>
      <c r="I45" s="444"/>
      <c r="J45" s="444"/>
      <c r="K45" s="444"/>
      <c r="L45" s="412"/>
      <c r="M45" s="413"/>
      <c r="N45" s="413"/>
      <c r="O45" s="413"/>
      <c r="P45" s="413"/>
      <c r="Q45" s="413"/>
      <c r="R45" s="413"/>
    </row>
    <row r="46" s="411" customFormat="1" ht="20.25" spans="1:18">
      <c r="A46" s="444"/>
      <c r="B46" s="444"/>
      <c r="C46" s="444"/>
      <c r="D46" s="444"/>
      <c r="E46" s="444"/>
      <c r="F46" s="444"/>
      <c r="G46" s="444"/>
      <c r="H46" s="444"/>
      <c r="I46" s="444"/>
      <c r="J46" s="444"/>
      <c r="K46" s="444"/>
      <c r="L46" s="412"/>
      <c r="M46" s="413"/>
      <c r="N46" s="413"/>
      <c r="O46" s="413"/>
      <c r="P46" s="413"/>
      <c r="Q46" s="413"/>
      <c r="R46" s="413"/>
    </row>
    <row r="47" s="411" customFormat="1" ht="20.25" spans="1:18">
      <c r="A47" s="411" t="str">
        <f>+'料单 (4)'!L3</f>
        <v>材质</v>
      </c>
      <c r="B47" s="444"/>
      <c r="C47" s="444"/>
      <c r="D47" s="444"/>
      <c r="E47" s="444"/>
      <c r="F47" s="444"/>
      <c r="G47" s="444"/>
      <c r="H47" s="444"/>
      <c r="I47" s="444"/>
      <c r="J47" s="444"/>
      <c r="K47" s="444"/>
      <c r="L47" s="412"/>
      <c r="M47" s="413"/>
      <c r="N47" s="413"/>
      <c r="O47" s="413"/>
      <c r="P47" s="413"/>
      <c r="Q47" s="413"/>
      <c r="R47" s="413"/>
    </row>
    <row r="48" s="411" customFormat="1" ht="20.25" spans="2:18">
      <c r="B48" s="444"/>
      <c r="C48" s="444"/>
      <c r="D48" s="444"/>
      <c r="E48" s="444"/>
      <c r="F48" s="444"/>
      <c r="G48" s="444"/>
      <c r="H48" s="444"/>
      <c r="I48" s="444"/>
      <c r="J48" s="444"/>
      <c r="K48" s="444"/>
      <c r="L48" s="412"/>
      <c r="M48" s="413"/>
      <c r="N48" s="413"/>
      <c r="O48" s="413"/>
      <c r="P48" s="413"/>
      <c r="Q48" s="413"/>
      <c r="R48" s="413"/>
    </row>
    <row r="49" s="411" customFormat="1" ht="20.25" spans="1:18">
      <c r="A49" s="411" t="str">
        <f>+'料单 (4)'!L5</f>
        <v>L02象牙白</v>
      </c>
      <c r="B49" s="444"/>
      <c r="C49" s="444"/>
      <c r="D49" s="444"/>
      <c r="E49" s="444"/>
      <c r="F49" s="444"/>
      <c r="G49" s="444"/>
      <c r="H49" s="444"/>
      <c r="I49" s="444"/>
      <c r="J49" s="444"/>
      <c r="K49" s="444"/>
      <c r="L49" s="412"/>
      <c r="M49" s="413"/>
      <c r="N49" s="413"/>
      <c r="O49" s="413"/>
      <c r="P49" s="413"/>
      <c r="Q49" s="413"/>
      <c r="R49" s="413"/>
    </row>
    <row r="50" s="411" customFormat="1" ht="20.25" spans="1:18">
      <c r="A50" s="411" t="str">
        <f>+'料单 (4)'!L6</f>
        <v>L12纯白</v>
      </c>
      <c r="B50" s="444"/>
      <c r="C50" s="444"/>
      <c r="D50" s="444"/>
      <c r="E50" s="444"/>
      <c r="F50" s="444"/>
      <c r="G50" s="444"/>
      <c r="H50" s="444"/>
      <c r="I50" s="444"/>
      <c r="J50" s="444"/>
      <c r="K50" s="444"/>
      <c r="L50" s="412"/>
      <c r="M50" s="413"/>
      <c r="N50" s="413"/>
      <c r="O50" s="413"/>
      <c r="P50" s="413"/>
      <c r="Q50" s="413"/>
      <c r="R50" s="413"/>
    </row>
    <row r="51" s="411" customFormat="1" ht="20.25" spans="1:18">
      <c r="A51" s="411" t="str">
        <f>+'料单 (4)'!L7</f>
        <v>L01珍珠白</v>
      </c>
      <c r="B51" s="444"/>
      <c r="C51" s="444"/>
      <c r="D51" s="444"/>
      <c r="E51" s="444"/>
      <c r="F51" s="444"/>
      <c r="G51" s="444"/>
      <c r="H51" s="444"/>
      <c r="I51" s="444"/>
      <c r="J51" s="444"/>
      <c r="K51" s="444"/>
      <c r="L51" s="412"/>
      <c r="M51" s="413"/>
      <c r="N51" s="413"/>
      <c r="O51" s="413"/>
      <c r="P51" s="413"/>
      <c r="Q51" s="413"/>
      <c r="R51" s="413"/>
    </row>
    <row r="52" s="411" customFormat="1" ht="20.25" spans="1:18">
      <c r="A52" s="411" t="str">
        <f>+'料单 (4)'!L8</f>
        <v>L02象牙白</v>
      </c>
      <c r="B52" s="444"/>
      <c r="C52" s="444"/>
      <c r="D52" s="444"/>
      <c r="E52" s="444"/>
      <c r="F52" s="444"/>
      <c r="G52" s="444"/>
      <c r="H52" s="444"/>
      <c r="I52" s="444"/>
      <c r="J52" s="444"/>
      <c r="K52" s="444"/>
      <c r="L52" s="412"/>
      <c r="M52" s="413"/>
      <c r="N52" s="413"/>
      <c r="O52" s="413"/>
      <c r="P52" s="413"/>
      <c r="Q52" s="413"/>
      <c r="R52" s="413"/>
    </row>
    <row r="53" s="411" customFormat="1" ht="20.25" spans="1:18">
      <c r="A53" s="411" t="str">
        <f>+'料单 (4)'!L9</f>
        <v>L05浅灰</v>
      </c>
      <c r="B53" s="444"/>
      <c r="C53" s="444"/>
      <c r="D53" s="444"/>
      <c r="E53" s="444"/>
      <c r="F53" s="444"/>
      <c r="G53" s="444"/>
      <c r="H53" s="444"/>
      <c r="I53" s="444"/>
      <c r="J53" s="444"/>
      <c r="K53" s="444"/>
      <c r="L53" s="412"/>
      <c r="M53" s="413"/>
      <c r="N53" s="413"/>
      <c r="O53" s="413"/>
      <c r="P53" s="413"/>
      <c r="Q53" s="413"/>
      <c r="R53" s="413"/>
    </row>
    <row r="54" s="411" customFormat="1" ht="20.25" spans="1:18">
      <c r="A54" s="411" t="str">
        <f>+'料单 (4)'!L10</f>
        <v>L06卡布奇诺</v>
      </c>
      <c r="B54" s="444"/>
      <c r="C54" s="444"/>
      <c r="D54" s="444"/>
      <c r="E54" s="444"/>
      <c r="F54" s="444"/>
      <c r="G54" s="444"/>
      <c r="H54" s="444"/>
      <c r="I54" s="444"/>
      <c r="J54" s="444"/>
      <c r="K54" s="444"/>
      <c r="L54" s="412"/>
      <c r="M54" s="413"/>
      <c r="N54" s="413"/>
      <c r="O54" s="413"/>
      <c r="P54" s="413"/>
      <c r="Q54" s="413"/>
      <c r="R54" s="413"/>
    </row>
    <row r="55" s="411" customFormat="1" ht="20.25" spans="1:18">
      <c r="A55" s="411" t="str">
        <f>+'料单 (4)'!L11</f>
        <v>L11纯黑</v>
      </c>
      <c r="B55" s="444"/>
      <c r="C55" s="444"/>
      <c r="D55" s="444"/>
      <c r="E55" s="444"/>
      <c r="F55" s="444"/>
      <c r="G55" s="444"/>
      <c r="H55" s="444"/>
      <c r="I55" s="444"/>
      <c r="J55" s="444"/>
      <c r="K55" s="444"/>
      <c r="L55" s="412"/>
      <c r="M55" s="413"/>
      <c r="N55" s="413"/>
      <c r="O55" s="413"/>
      <c r="P55" s="413"/>
      <c r="Q55" s="413"/>
      <c r="R55" s="413"/>
    </row>
    <row r="56" s="411" customFormat="1" ht="20.25" spans="1:18">
      <c r="A56" s="411" t="str">
        <f>+'料单 (4)'!L12</f>
        <v>L12纯白</v>
      </c>
      <c r="B56" s="444"/>
      <c r="C56" s="444"/>
      <c r="D56" s="444"/>
      <c r="E56" s="444"/>
      <c r="F56" s="444"/>
      <c r="G56" s="444"/>
      <c r="H56" s="444"/>
      <c r="I56" s="444"/>
      <c r="J56" s="444"/>
      <c r="K56" s="444"/>
      <c r="L56" s="412"/>
      <c r="M56" s="413"/>
      <c r="N56" s="413"/>
      <c r="O56" s="413"/>
      <c r="P56" s="413"/>
      <c r="Q56" s="413"/>
      <c r="R56" s="413"/>
    </row>
    <row r="57" s="411" customFormat="1" ht="20.25" spans="1:18">
      <c r="A57" s="411" t="str">
        <f>+'料单 (4)'!L13</f>
        <v>G01珍珠白</v>
      </c>
      <c r="B57" s="444"/>
      <c r="C57" s="444"/>
      <c r="D57" s="444"/>
      <c r="E57" s="444"/>
      <c r="F57" s="444"/>
      <c r="G57" s="444"/>
      <c r="H57" s="444"/>
      <c r="I57" s="444"/>
      <c r="J57" s="444"/>
      <c r="K57" s="444"/>
      <c r="L57" s="412"/>
      <c r="M57" s="413"/>
      <c r="N57" s="413"/>
      <c r="O57" s="413"/>
      <c r="P57" s="413"/>
      <c r="Q57" s="413"/>
      <c r="R57" s="413"/>
    </row>
    <row r="58" s="411" customFormat="1" ht="20.25" spans="1:18">
      <c r="A58" s="411" t="str">
        <f>+'料单 (4)'!L14</f>
        <v>G02象牙白</v>
      </c>
      <c r="B58" s="444"/>
      <c r="C58" s="444"/>
      <c r="D58" s="444"/>
      <c r="E58" s="444"/>
      <c r="F58" s="444"/>
      <c r="G58" s="444"/>
      <c r="H58" s="444"/>
      <c r="I58" s="444"/>
      <c r="J58" s="444"/>
      <c r="K58" s="444"/>
      <c r="L58" s="412"/>
      <c r="M58" s="413"/>
      <c r="N58" s="413"/>
      <c r="O58" s="413"/>
      <c r="P58" s="413"/>
      <c r="Q58" s="413"/>
      <c r="R58" s="413"/>
    </row>
    <row r="59" s="411" customFormat="1" ht="20.25" spans="1:18">
      <c r="A59" s="411" t="str">
        <f>+'料单 (4)'!L15</f>
        <v>G06卡布奇诺</v>
      </c>
      <c r="B59" s="444"/>
      <c r="C59" s="444"/>
      <c r="D59" s="444"/>
      <c r="E59" s="444"/>
      <c r="F59" s="444"/>
      <c r="G59" s="444"/>
      <c r="H59" s="444"/>
      <c r="I59" s="444"/>
      <c r="J59" s="444"/>
      <c r="K59" s="444"/>
      <c r="L59" s="412"/>
      <c r="M59" s="413"/>
      <c r="N59" s="413"/>
      <c r="O59" s="413"/>
      <c r="P59" s="413"/>
      <c r="Q59" s="413"/>
      <c r="R59" s="413"/>
    </row>
    <row r="60" s="411" customFormat="1" ht="20.25" spans="1:18">
      <c r="A60" s="411" t="str">
        <f>+'料单 (4)'!L16</f>
        <v>G07深灰</v>
      </c>
      <c r="B60" s="444"/>
      <c r="C60" s="444"/>
      <c r="D60" s="444"/>
      <c r="E60" s="444"/>
      <c r="F60" s="444"/>
      <c r="G60" s="444"/>
      <c r="H60" s="444"/>
      <c r="I60" s="444"/>
      <c r="J60" s="444"/>
      <c r="K60" s="444"/>
      <c r="L60" s="412"/>
      <c r="M60" s="413"/>
      <c r="N60" s="413"/>
      <c r="O60" s="413"/>
      <c r="P60" s="413"/>
      <c r="Q60" s="413"/>
      <c r="R60" s="413"/>
    </row>
    <row r="61" s="411" customFormat="1" ht="20.25" spans="1:18">
      <c r="A61" s="411" t="str">
        <f>+'料单 (4)'!L17</f>
        <v>G08柠檬绿</v>
      </c>
      <c r="B61" s="444"/>
      <c r="C61" s="444"/>
      <c r="D61" s="444"/>
      <c r="E61" s="444"/>
      <c r="F61" s="444"/>
      <c r="G61" s="444"/>
      <c r="H61" s="444"/>
      <c r="I61" s="444"/>
      <c r="J61" s="444"/>
      <c r="K61" s="444"/>
      <c r="L61" s="412"/>
      <c r="M61" s="413"/>
      <c r="N61" s="413"/>
      <c r="O61" s="413"/>
      <c r="P61" s="413"/>
      <c r="Q61" s="413"/>
      <c r="R61" s="413"/>
    </row>
    <row r="62" s="411" customFormat="1" ht="20.25" spans="1:18">
      <c r="A62" s="411" t="str">
        <f>+'料单 (4)'!L18</f>
        <v>G09法拉利红</v>
      </c>
      <c r="B62" s="444"/>
      <c r="C62" s="444"/>
      <c r="D62" s="444"/>
      <c r="E62" s="444"/>
      <c r="F62" s="444"/>
      <c r="G62" s="444"/>
      <c r="H62" s="444"/>
      <c r="I62" s="444"/>
      <c r="J62" s="444"/>
      <c r="K62" s="444"/>
      <c r="L62" s="412"/>
      <c r="M62" s="413"/>
      <c r="N62" s="413"/>
      <c r="O62" s="413"/>
      <c r="P62" s="413"/>
      <c r="Q62" s="413"/>
      <c r="R62" s="413"/>
    </row>
    <row r="63" s="411" customFormat="1" ht="20.25" spans="1:18">
      <c r="A63" s="411" t="str">
        <f>+'料单 (4)'!L21</f>
        <v>G10酒红</v>
      </c>
      <c r="B63" s="444"/>
      <c r="C63" s="444"/>
      <c r="D63" s="444"/>
      <c r="E63" s="444"/>
      <c r="F63" s="444"/>
      <c r="G63" s="444"/>
      <c r="H63" s="444"/>
      <c r="I63" s="444"/>
      <c r="J63" s="444"/>
      <c r="K63" s="444"/>
      <c r="L63" s="412"/>
      <c r="M63" s="413"/>
      <c r="N63" s="413"/>
      <c r="O63" s="413"/>
      <c r="P63" s="413"/>
      <c r="Q63" s="413"/>
      <c r="R63" s="413"/>
    </row>
    <row r="64" s="411" customFormat="1" ht="20.25" spans="1:18">
      <c r="A64" s="411" t="str">
        <f>+'料单 (4)'!L22</f>
        <v>G11纯黑</v>
      </c>
      <c r="B64" s="444"/>
      <c r="C64" s="444"/>
      <c r="D64" s="444"/>
      <c r="E64" s="444"/>
      <c r="F64" s="444"/>
      <c r="G64" s="444"/>
      <c r="H64" s="444"/>
      <c r="I64" s="444"/>
      <c r="J64" s="444"/>
      <c r="K64" s="444"/>
      <c r="L64" s="412"/>
      <c r="M64" s="413"/>
      <c r="N64" s="413"/>
      <c r="O64" s="413"/>
      <c r="P64" s="413"/>
      <c r="Q64" s="413"/>
      <c r="R64" s="413"/>
    </row>
    <row r="65" s="411" customFormat="1" ht="20.25" spans="1:18">
      <c r="A65" s="411" t="str">
        <f>+'料单 (4)'!L23</f>
        <v>G12纯白</v>
      </c>
      <c r="B65" s="444"/>
      <c r="C65" s="444"/>
      <c r="D65" s="444"/>
      <c r="E65" s="444"/>
      <c r="F65" s="444"/>
      <c r="G65" s="444"/>
      <c r="H65" s="444"/>
      <c r="I65" s="444"/>
      <c r="J65" s="444"/>
      <c r="K65" s="444"/>
      <c r="L65" s="412"/>
      <c r="M65" s="413"/>
      <c r="N65" s="413"/>
      <c r="O65" s="413"/>
      <c r="P65" s="413"/>
      <c r="Q65" s="413"/>
      <c r="R65" s="413"/>
    </row>
    <row r="66" s="411" customFormat="1" ht="20.25" spans="1:18">
      <c r="A66" s="444"/>
      <c r="B66" s="444"/>
      <c r="C66" s="444"/>
      <c r="D66" s="444"/>
      <c r="E66" s="444"/>
      <c r="F66" s="444"/>
      <c r="G66" s="444"/>
      <c r="H66" s="444"/>
      <c r="I66" s="444"/>
      <c r="J66" s="444"/>
      <c r="K66" s="444"/>
      <c r="L66" s="412"/>
      <c r="M66" s="413"/>
      <c r="N66" s="413"/>
      <c r="O66" s="413"/>
      <c r="P66" s="413"/>
      <c r="Q66" s="413"/>
      <c r="R66" s="413"/>
    </row>
    <row r="67" s="411" customFormat="1" ht="20.25" spans="1:18">
      <c r="A67" s="444"/>
      <c r="B67" s="444"/>
      <c r="C67" s="444"/>
      <c r="D67" s="444"/>
      <c r="E67" s="444"/>
      <c r="F67" s="444"/>
      <c r="G67" s="444"/>
      <c r="H67" s="444"/>
      <c r="I67" s="444"/>
      <c r="J67" s="444"/>
      <c r="K67" s="444"/>
      <c r="L67" s="412"/>
      <c r="M67" s="413"/>
      <c r="N67" s="413"/>
      <c r="O67" s="413"/>
      <c r="P67" s="413"/>
      <c r="Q67" s="413"/>
      <c r="R67" s="413"/>
    </row>
    <row r="68" s="411" customFormat="1" ht="20.25" spans="1:18">
      <c r="A68" s="444"/>
      <c r="B68" s="444"/>
      <c r="C68" s="444"/>
      <c r="D68" s="444"/>
      <c r="E68" s="444"/>
      <c r="F68" s="444"/>
      <c r="G68" s="444"/>
      <c r="H68" s="444"/>
      <c r="I68" s="444"/>
      <c r="J68" s="444"/>
      <c r="K68" s="444"/>
      <c r="L68" s="412"/>
      <c r="M68" s="413"/>
      <c r="N68" s="413"/>
      <c r="O68" s="413"/>
      <c r="P68" s="413"/>
      <c r="Q68" s="413"/>
      <c r="R68" s="413"/>
    </row>
    <row r="69" s="411" customFormat="1" ht="20.25" spans="1:18">
      <c r="A69" s="444"/>
      <c r="B69" s="444"/>
      <c r="C69" s="444"/>
      <c r="D69" s="444"/>
      <c r="E69" s="444"/>
      <c r="F69" s="444"/>
      <c r="G69" s="444"/>
      <c r="H69" s="444"/>
      <c r="I69" s="444"/>
      <c r="J69" s="444"/>
      <c r="K69" s="444"/>
      <c r="L69" s="412"/>
      <c r="M69" s="413"/>
      <c r="N69" s="413"/>
      <c r="O69" s="413"/>
      <c r="P69" s="413"/>
      <c r="Q69" s="413"/>
      <c r="R69" s="413"/>
    </row>
    <row r="70" s="411" customFormat="1" ht="20.25" spans="1:18">
      <c r="A70" s="444"/>
      <c r="B70" s="444"/>
      <c r="C70" s="444"/>
      <c r="D70" s="444"/>
      <c r="E70" s="444"/>
      <c r="F70" s="444"/>
      <c r="G70" s="444"/>
      <c r="H70" s="444"/>
      <c r="I70" s="444"/>
      <c r="J70" s="444"/>
      <c r="K70" s="444"/>
      <c r="L70" s="412"/>
      <c r="M70" s="413"/>
      <c r="N70" s="413"/>
      <c r="O70" s="413"/>
      <c r="P70" s="413"/>
      <c r="Q70" s="413"/>
      <c r="R70" s="413"/>
    </row>
    <row r="71" s="411" customFormat="1" ht="20.25" spans="1:18">
      <c r="A71" s="444"/>
      <c r="B71" s="444"/>
      <c r="C71" s="444"/>
      <c r="D71" s="444"/>
      <c r="E71" s="444"/>
      <c r="F71" s="444"/>
      <c r="G71" s="444"/>
      <c r="H71" s="444"/>
      <c r="I71" s="444"/>
      <c r="J71" s="444"/>
      <c r="K71" s="444"/>
      <c r="L71" s="412"/>
      <c r="M71" s="413"/>
      <c r="N71" s="413"/>
      <c r="O71" s="413"/>
      <c r="P71" s="413"/>
      <c r="Q71" s="413"/>
      <c r="R71" s="413"/>
    </row>
    <row r="72" s="411" customFormat="1" ht="20.25" spans="1:18">
      <c r="A72" s="444"/>
      <c r="B72" s="444"/>
      <c r="C72" s="444"/>
      <c r="D72" s="444"/>
      <c r="E72" s="444"/>
      <c r="F72" s="444"/>
      <c r="G72" s="444"/>
      <c r="H72" s="444"/>
      <c r="I72" s="444"/>
      <c r="J72" s="444"/>
      <c r="K72" s="444"/>
      <c r="L72" s="412"/>
      <c r="M72" s="413"/>
      <c r="N72" s="413"/>
      <c r="O72" s="413"/>
      <c r="P72" s="413"/>
      <c r="Q72" s="413"/>
      <c r="R72" s="413"/>
    </row>
    <row r="73" s="411" customFormat="1" ht="20.25" spans="1:18">
      <c r="A73" s="444"/>
      <c r="B73" s="444"/>
      <c r="C73" s="444"/>
      <c r="D73" s="444"/>
      <c r="E73" s="444"/>
      <c r="F73" s="444"/>
      <c r="G73" s="444"/>
      <c r="H73" s="444"/>
      <c r="I73" s="444"/>
      <c r="J73" s="444"/>
      <c r="K73" s="444"/>
      <c r="L73" s="412"/>
      <c r="M73" s="413"/>
      <c r="N73" s="413"/>
      <c r="O73" s="413"/>
      <c r="P73" s="413"/>
      <c r="Q73" s="413"/>
      <c r="R73" s="413"/>
    </row>
    <row r="74" s="411" customFormat="1" ht="20.25" spans="1:18">
      <c r="A74" s="444"/>
      <c r="B74" s="444"/>
      <c r="C74" s="444"/>
      <c r="D74" s="444"/>
      <c r="E74" s="444"/>
      <c r="F74" s="444"/>
      <c r="G74" s="444"/>
      <c r="H74" s="444"/>
      <c r="I74" s="444"/>
      <c r="J74" s="444"/>
      <c r="K74" s="444"/>
      <c r="L74" s="412"/>
      <c r="M74" s="413"/>
      <c r="N74" s="413"/>
      <c r="O74" s="413"/>
      <c r="P74" s="413"/>
      <c r="Q74" s="413"/>
      <c r="R74" s="413"/>
    </row>
    <row r="75" s="411" customFormat="1" ht="20.25" spans="1:18">
      <c r="A75" s="444"/>
      <c r="B75" s="444"/>
      <c r="C75" s="444"/>
      <c r="D75" s="444"/>
      <c r="E75" s="444"/>
      <c r="F75" s="444"/>
      <c r="G75" s="444"/>
      <c r="H75" s="444"/>
      <c r="I75" s="444"/>
      <c r="J75" s="444"/>
      <c r="K75" s="444"/>
      <c r="L75" s="412"/>
      <c r="M75" s="413"/>
      <c r="N75" s="413"/>
      <c r="O75" s="413"/>
      <c r="P75" s="413"/>
      <c r="Q75" s="413"/>
      <c r="R75" s="413"/>
    </row>
    <row r="76" s="411" customFormat="1" ht="20.25" spans="1:18">
      <c r="A76" s="444"/>
      <c r="B76" s="444"/>
      <c r="C76" s="444"/>
      <c r="D76" s="444"/>
      <c r="E76" s="444"/>
      <c r="F76" s="444"/>
      <c r="G76" s="444"/>
      <c r="H76" s="444"/>
      <c r="I76" s="444"/>
      <c r="J76" s="444"/>
      <c r="K76" s="444"/>
      <c r="L76" s="412"/>
      <c r="M76" s="413"/>
      <c r="N76" s="413"/>
      <c r="O76" s="413"/>
      <c r="P76" s="413"/>
      <c r="Q76" s="413"/>
      <c r="R76" s="413"/>
    </row>
    <row r="77" s="411" customFormat="1" ht="20.25" spans="1:18">
      <c r="A77" s="444"/>
      <c r="B77" s="444"/>
      <c r="C77" s="444"/>
      <c r="D77" s="444"/>
      <c r="E77" s="444"/>
      <c r="F77" s="444"/>
      <c r="G77" s="444"/>
      <c r="H77" s="444"/>
      <c r="I77" s="444"/>
      <c r="J77" s="444"/>
      <c r="K77" s="444"/>
      <c r="L77" s="412"/>
      <c r="M77" s="413"/>
      <c r="N77" s="413"/>
      <c r="O77" s="413"/>
      <c r="P77" s="413"/>
      <c r="Q77" s="413"/>
      <c r="R77" s="413"/>
    </row>
    <row r="78" s="411" customFormat="1" ht="20.25" spans="1:18">
      <c r="A78" s="444"/>
      <c r="B78" s="444"/>
      <c r="C78" s="444"/>
      <c r="D78" s="444"/>
      <c r="E78" s="444"/>
      <c r="F78" s="444"/>
      <c r="G78" s="444"/>
      <c r="H78" s="444"/>
      <c r="I78" s="444"/>
      <c r="J78" s="444"/>
      <c r="K78" s="444"/>
      <c r="L78" s="412"/>
      <c r="M78" s="413"/>
      <c r="N78" s="413"/>
      <c r="O78" s="413"/>
      <c r="P78" s="413"/>
      <c r="Q78" s="413"/>
      <c r="R78" s="413"/>
    </row>
    <row r="79" s="411" customFormat="1" ht="20.25" spans="1:18">
      <c r="A79" s="444"/>
      <c r="B79" s="444"/>
      <c r="C79" s="444"/>
      <c r="D79" s="444"/>
      <c r="E79" s="444"/>
      <c r="F79" s="444"/>
      <c r="G79" s="444"/>
      <c r="H79" s="444"/>
      <c r="I79" s="444"/>
      <c r="J79" s="444"/>
      <c r="K79" s="444"/>
      <c r="L79" s="412"/>
      <c r="M79" s="413"/>
      <c r="N79" s="413"/>
      <c r="O79" s="413"/>
      <c r="P79" s="413"/>
      <c r="Q79" s="413"/>
      <c r="R79" s="413"/>
    </row>
    <row r="80" s="411" customFormat="1" ht="20.25" spans="1:18">
      <c r="A80" s="444"/>
      <c r="B80" s="444"/>
      <c r="C80" s="444"/>
      <c r="D80" s="444"/>
      <c r="E80" s="444"/>
      <c r="F80" s="444"/>
      <c r="G80" s="444"/>
      <c r="H80" s="444"/>
      <c r="I80" s="444"/>
      <c r="J80" s="444"/>
      <c r="K80" s="444"/>
      <c r="L80" s="412"/>
      <c r="M80" s="413"/>
      <c r="N80" s="413"/>
      <c r="O80" s="413"/>
      <c r="P80" s="413"/>
      <c r="Q80" s="413"/>
      <c r="R80" s="413"/>
    </row>
    <row r="81" s="411" customFormat="1" ht="20.25" spans="1:18">
      <c r="A81" s="444"/>
      <c r="B81" s="444"/>
      <c r="C81" s="444"/>
      <c r="D81" s="444"/>
      <c r="E81" s="444"/>
      <c r="F81" s="444"/>
      <c r="G81" s="444"/>
      <c r="H81" s="444"/>
      <c r="I81" s="444"/>
      <c r="J81" s="444"/>
      <c r="K81" s="444"/>
      <c r="L81" s="412"/>
      <c r="M81" s="413"/>
      <c r="N81" s="413"/>
      <c r="O81" s="413"/>
      <c r="P81" s="413"/>
      <c r="Q81" s="413"/>
      <c r="R81" s="413"/>
    </row>
    <row r="82" s="411" customFormat="1" ht="20.25" spans="1:18">
      <c r="A82" s="444"/>
      <c r="B82" s="444"/>
      <c r="C82" s="444"/>
      <c r="D82" s="444"/>
      <c r="E82" s="444"/>
      <c r="F82" s="444"/>
      <c r="G82" s="444"/>
      <c r="H82" s="444"/>
      <c r="I82" s="444"/>
      <c r="J82" s="444"/>
      <c r="K82" s="444"/>
      <c r="L82" s="412"/>
      <c r="M82" s="413"/>
      <c r="N82" s="413"/>
      <c r="O82" s="413"/>
      <c r="P82" s="413"/>
      <c r="Q82" s="413"/>
      <c r="R82" s="413"/>
    </row>
    <row r="83" s="411" customFormat="1" ht="20.25" spans="1:18">
      <c r="A83" s="444"/>
      <c r="B83" s="444"/>
      <c r="C83" s="444"/>
      <c r="D83" s="444"/>
      <c r="E83" s="444"/>
      <c r="F83" s="444"/>
      <c r="G83" s="444"/>
      <c r="H83" s="444"/>
      <c r="I83" s="444"/>
      <c r="J83" s="444"/>
      <c r="K83" s="444"/>
      <c r="L83" s="412"/>
      <c r="M83" s="413"/>
      <c r="N83" s="413"/>
      <c r="O83" s="413"/>
      <c r="P83" s="413"/>
      <c r="Q83" s="413"/>
      <c r="R83" s="413"/>
    </row>
    <row r="84" s="411" customFormat="1" ht="20.25" spans="1:18">
      <c r="A84" s="444"/>
      <c r="B84" s="444"/>
      <c r="C84" s="444"/>
      <c r="D84" s="444"/>
      <c r="E84" s="444"/>
      <c r="F84" s="444"/>
      <c r="G84" s="444"/>
      <c r="H84" s="444"/>
      <c r="I84" s="444"/>
      <c r="J84" s="444"/>
      <c r="K84" s="444"/>
      <c r="L84" s="412"/>
      <c r="M84" s="413"/>
      <c r="N84" s="413"/>
      <c r="O84" s="413"/>
      <c r="P84" s="413"/>
      <c r="Q84" s="413"/>
      <c r="R84" s="413"/>
    </row>
    <row r="85" s="411" customFormat="1" ht="20.25" spans="1:18">
      <c r="A85" s="444"/>
      <c r="B85" s="444"/>
      <c r="C85" s="444"/>
      <c r="D85" s="444"/>
      <c r="E85" s="444"/>
      <c r="F85" s="444"/>
      <c r="G85" s="444"/>
      <c r="H85" s="444"/>
      <c r="I85" s="444"/>
      <c r="J85" s="444"/>
      <c r="K85" s="444"/>
      <c r="L85" s="412"/>
      <c r="M85" s="413"/>
      <c r="N85" s="413"/>
      <c r="O85" s="413"/>
      <c r="P85" s="413"/>
      <c r="Q85" s="413"/>
      <c r="R85" s="413"/>
    </row>
    <row r="86" s="411" customFormat="1" ht="20.25" spans="1:18">
      <c r="A86" s="444"/>
      <c r="B86" s="444"/>
      <c r="C86" s="444"/>
      <c r="D86" s="444"/>
      <c r="E86" s="444"/>
      <c r="F86" s="444"/>
      <c r="G86" s="444"/>
      <c r="H86" s="444"/>
      <c r="I86" s="444"/>
      <c r="J86" s="444"/>
      <c r="K86" s="444"/>
      <c r="L86" s="412"/>
      <c r="M86" s="413"/>
      <c r="N86" s="413"/>
      <c r="O86" s="413"/>
      <c r="P86" s="413"/>
      <c r="Q86" s="413"/>
      <c r="R86" s="413"/>
    </row>
    <row r="87" s="411" customFormat="1" ht="20.25" spans="1:18">
      <c r="A87" s="444"/>
      <c r="B87" s="444"/>
      <c r="C87" s="444"/>
      <c r="D87" s="444"/>
      <c r="E87" s="444"/>
      <c r="F87" s="444"/>
      <c r="G87" s="444"/>
      <c r="H87" s="444"/>
      <c r="I87" s="444"/>
      <c r="J87" s="444"/>
      <c r="K87" s="444"/>
      <c r="L87" s="412"/>
      <c r="M87" s="413"/>
      <c r="N87" s="413"/>
      <c r="O87" s="413"/>
      <c r="P87" s="413"/>
      <c r="Q87" s="413"/>
      <c r="R87" s="413"/>
    </row>
    <row r="88" s="411" customFormat="1" ht="20.25" spans="1:18">
      <c r="A88" s="444"/>
      <c r="B88" s="444"/>
      <c r="C88" s="444"/>
      <c r="D88" s="444"/>
      <c r="E88" s="444"/>
      <c r="F88" s="444"/>
      <c r="G88" s="444"/>
      <c r="H88" s="444"/>
      <c r="I88" s="444"/>
      <c r="J88" s="444"/>
      <c r="K88" s="444"/>
      <c r="L88" s="412"/>
      <c r="M88" s="413"/>
      <c r="N88" s="413"/>
      <c r="O88" s="413"/>
      <c r="P88" s="413"/>
      <c r="Q88" s="413"/>
      <c r="R88" s="413"/>
    </row>
    <row r="89" s="411" customFormat="1" ht="20.25" spans="1:18">
      <c r="A89" s="444"/>
      <c r="B89" s="444"/>
      <c r="C89" s="444"/>
      <c r="D89" s="444"/>
      <c r="E89" s="444"/>
      <c r="F89" s="444"/>
      <c r="G89" s="444"/>
      <c r="H89" s="444"/>
      <c r="I89" s="444"/>
      <c r="J89" s="444"/>
      <c r="K89" s="444"/>
      <c r="L89" s="412"/>
      <c r="M89" s="413"/>
      <c r="N89" s="413"/>
      <c r="O89" s="413"/>
      <c r="P89" s="413"/>
      <c r="Q89" s="413"/>
      <c r="R89" s="413"/>
    </row>
    <row r="90" s="411" customFormat="1" ht="20.25" spans="1:18">
      <c r="A90" s="444"/>
      <c r="B90" s="444"/>
      <c r="C90" s="444"/>
      <c r="D90" s="444"/>
      <c r="E90" s="444"/>
      <c r="F90" s="444"/>
      <c r="G90" s="444"/>
      <c r="H90" s="444"/>
      <c r="I90" s="444"/>
      <c r="J90" s="444"/>
      <c r="K90" s="444"/>
      <c r="L90" s="412"/>
      <c r="M90" s="413"/>
      <c r="N90" s="413"/>
      <c r="O90" s="413"/>
      <c r="P90" s="413"/>
      <c r="Q90" s="413"/>
      <c r="R90" s="413"/>
    </row>
    <row r="91" s="411" customFormat="1" ht="20.25" spans="1:18">
      <c r="A91" s="444"/>
      <c r="B91" s="444"/>
      <c r="C91" s="444"/>
      <c r="D91" s="444"/>
      <c r="E91" s="444"/>
      <c r="F91" s="444"/>
      <c r="G91" s="444"/>
      <c r="H91" s="444"/>
      <c r="I91" s="444"/>
      <c r="J91" s="444"/>
      <c r="K91" s="444"/>
      <c r="L91" s="412"/>
      <c r="M91" s="413"/>
      <c r="N91" s="413"/>
      <c r="O91" s="413"/>
      <c r="P91" s="413"/>
      <c r="Q91" s="413"/>
      <c r="R91" s="413"/>
    </row>
    <row r="92" s="411" customFormat="1" ht="20.25" spans="1:18">
      <c r="A92" s="444"/>
      <c r="B92" s="444"/>
      <c r="C92" s="444"/>
      <c r="D92" s="444"/>
      <c r="E92" s="444"/>
      <c r="F92" s="444"/>
      <c r="G92" s="444"/>
      <c r="H92" s="444"/>
      <c r="I92" s="444"/>
      <c r="J92" s="444"/>
      <c r="K92" s="444"/>
      <c r="L92" s="412"/>
      <c r="M92" s="413"/>
      <c r="N92" s="413"/>
      <c r="O92" s="413"/>
      <c r="P92" s="413"/>
      <c r="Q92" s="413"/>
      <c r="R92" s="413"/>
    </row>
    <row r="93" s="411" customFormat="1" ht="20.25" spans="1:18">
      <c r="A93" s="444"/>
      <c r="B93" s="444"/>
      <c r="C93" s="444"/>
      <c r="D93" s="444"/>
      <c r="E93" s="444"/>
      <c r="F93" s="444"/>
      <c r="G93" s="444"/>
      <c r="H93" s="444"/>
      <c r="I93" s="444"/>
      <c r="J93" s="444"/>
      <c r="K93" s="444"/>
      <c r="L93" s="412"/>
      <c r="M93" s="413"/>
      <c r="N93" s="413"/>
      <c r="O93" s="413"/>
      <c r="P93" s="413"/>
      <c r="Q93" s="413"/>
      <c r="R93" s="413"/>
    </row>
    <row r="94" s="411" customFormat="1" ht="20.25" spans="1:18">
      <c r="A94" s="444"/>
      <c r="B94" s="444"/>
      <c r="C94" s="444"/>
      <c r="D94" s="444"/>
      <c r="E94" s="444"/>
      <c r="F94" s="444"/>
      <c r="G94" s="444"/>
      <c r="H94" s="444"/>
      <c r="I94" s="444"/>
      <c r="J94" s="444"/>
      <c r="K94" s="444"/>
      <c r="L94" s="412"/>
      <c r="M94" s="413"/>
      <c r="N94" s="413"/>
      <c r="O94" s="413"/>
      <c r="P94" s="413"/>
      <c r="Q94" s="413"/>
      <c r="R94" s="413"/>
    </row>
    <row r="95" s="411" customFormat="1" ht="20.25" spans="1:18">
      <c r="A95" s="444"/>
      <c r="B95" s="444"/>
      <c r="C95" s="444"/>
      <c r="D95" s="444"/>
      <c r="E95" s="444"/>
      <c r="F95" s="444"/>
      <c r="G95" s="444"/>
      <c r="H95" s="444"/>
      <c r="I95" s="444"/>
      <c r="J95" s="444"/>
      <c r="K95" s="444"/>
      <c r="L95" s="412"/>
      <c r="M95" s="413"/>
      <c r="N95" s="413"/>
      <c r="O95" s="413"/>
      <c r="P95" s="413"/>
      <c r="Q95" s="413"/>
      <c r="R95" s="413"/>
    </row>
    <row r="96" s="411" customFormat="1" ht="20.25" spans="1:18">
      <c r="A96" s="444"/>
      <c r="B96" s="444"/>
      <c r="C96" s="444"/>
      <c r="D96" s="444"/>
      <c r="E96" s="444"/>
      <c r="F96" s="444"/>
      <c r="G96" s="444"/>
      <c r="H96" s="444"/>
      <c r="I96" s="444"/>
      <c r="J96" s="444"/>
      <c r="K96" s="444"/>
      <c r="L96" s="412"/>
      <c r="M96" s="413"/>
      <c r="N96" s="413"/>
      <c r="O96" s="413"/>
      <c r="P96" s="413"/>
      <c r="Q96" s="413"/>
      <c r="R96" s="413"/>
    </row>
    <row r="97" s="411" customFormat="1" ht="20.25" spans="1:18">
      <c r="A97" s="444"/>
      <c r="B97" s="444"/>
      <c r="C97" s="444"/>
      <c r="D97" s="444"/>
      <c r="E97" s="444"/>
      <c r="F97" s="444"/>
      <c r="G97" s="444"/>
      <c r="H97" s="444"/>
      <c r="I97" s="444"/>
      <c r="J97" s="444"/>
      <c r="K97" s="444"/>
      <c r="L97" s="412"/>
      <c r="M97" s="413"/>
      <c r="N97" s="413"/>
      <c r="O97" s="413"/>
      <c r="P97" s="413"/>
      <c r="Q97" s="413"/>
      <c r="R97" s="413"/>
    </row>
    <row r="98" s="411" customFormat="1" ht="20.25" spans="1:18">
      <c r="A98" s="444"/>
      <c r="B98" s="444"/>
      <c r="C98" s="444"/>
      <c r="D98" s="444"/>
      <c r="E98" s="444"/>
      <c r="F98" s="444"/>
      <c r="G98" s="444"/>
      <c r="H98" s="444"/>
      <c r="I98" s="444"/>
      <c r="J98" s="444"/>
      <c r="K98" s="444"/>
      <c r="L98" s="412"/>
      <c r="M98" s="413"/>
      <c r="N98" s="413"/>
      <c r="O98" s="413"/>
      <c r="P98" s="413"/>
      <c r="Q98" s="413"/>
      <c r="R98" s="413"/>
    </row>
    <row r="99" s="411" customFormat="1" ht="20.25" spans="1:18">
      <c r="A99" s="444"/>
      <c r="B99" s="444"/>
      <c r="C99" s="444"/>
      <c r="D99" s="444"/>
      <c r="E99" s="444"/>
      <c r="F99" s="444"/>
      <c r="G99" s="444"/>
      <c r="H99" s="444"/>
      <c r="I99" s="444"/>
      <c r="J99" s="444"/>
      <c r="K99" s="444"/>
      <c r="L99" s="412"/>
      <c r="M99" s="413"/>
      <c r="N99" s="413"/>
      <c r="O99" s="413"/>
      <c r="P99" s="413"/>
      <c r="Q99" s="413"/>
      <c r="R99" s="413"/>
    </row>
    <row r="100" s="411" customFormat="1" ht="20.25" spans="1:18">
      <c r="A100" s="444"/>
      <c r="B100" s="444"/>
      <c r="C100" s="444"/>
      <c r="D100" s="444"/>
      <c r="E100" s="444"/>
      <c r="F100" s="444"/>
      <c r="G100" s="444"/>
      <c r="H100" s="444"/>
      <c r="I100" s="444"/>
      <c r="J100" s="444"/>
      <c r="K100" s="444"/>
      <c r="L100" s="412"/>
      <c r="M100" s="413"/>
      <c r="N100" s="413"/>
      <c r="O100" s="413"/>
      <c r="P100" s="413"/>
      <c r="Q100" s="413"/>
      <c r="R100" s="413"/>
    </row>
    <row r="101" s="411" customFormat="1" ht="20.25" spans="1:18">
      <c r="A101" s="444"/>
      <c r="B101" s="444"/>
      <c r="C101" s="444"/>
      <c r="D101" s="444"/>
      <c r="E101" s="444"/>
      <c r="F101" s="444"/>
      <c r="G101" s="444"/>
      <c r="H101" s="444"/>
      <c r="I101" s="444"/>
      <c r="J101" s="444"/>
      <c r="K101" s="444"/>
      <c r="L101" s="412"/>
      <c r="M101" s="413"/>
      <c r="N101" s="413"/>
      <c r="O101" s="413"/>
      <c r="P101" s="413"/>
      <c r="Q101" s="413"/>
      <c r="R101" s="413"/>
    </row>
    <row r="102" s="411" customFormat="1" ht="20.25" spans="1:18">
      <c r="A102" s="444"/>
      <c r="B102" s="444"/>
      <c r="C102" s="444"/>
      <c r="D102" s="444"/>
      <c r="E102" s="444"/>
      <c r="F102" s="444"/>
      <c r="G102" s="444"/>
      <c r="H102" s="444"/>
      <c r="I102" s="444"/>
      <c r="J102" s="444"/>
      <c r="K102" s="444"/>
      <c r="L102" s="412"/>
      <c r="M102" s="413"/>
      <c r="N102" s="413"/>
      <c r="O102" s="413"/>
      <c r="P102" s="413"/>
      <c r="Q102" s="413"/>
      <c r="R102" s="413"/>
    </row>
    <row r="103" s="411" customFormat="1" ht="20.25" spans="1:18">
      <c r="A103" s="444"/>
      <c r="B103" s="444"/>
      <c r="C103" s="444"/>
      <c r="D103" s="444"/>
      <c r="E103" s="444"/>
      <c r="F103" s="444"/>
      <c r="G103" s="444"/>
      <c r="H103" s="444"/>
      <c r="I103" s="444"/>
      <c r="J103" s="444"/>
      <c r="K103" s="444"/>
      <c r="L103" s="412"/>
      <c r="M103" s="413"/>
      <c r="N103" s="413"/>
      <c r="O103" s="413"/>
      <c r="P103" s="413"/>
      <c r="Q103" s="413"/>
      <c r="R103" s="413"/>
    </row>
    <row r="104" s="411" customFormat="1" ht="20.25" spans="1:18">
      <c r="A104" s="444"/>
      <c r="B104" s="444"/>
      <c r="C104" s="444"/>
      <c r="D104" s="444"/>
      <c r="E104" s="444"/>
      <c r="F104" s="444"/>
      <c r="G104" s="444"/>
      <c r="H104" s="444"/>
      <c r="I104" s="444"/>
      <c r="J104" s="444"/>
      <c r="K104" s="444"/>
      <c r="L104" s="412"/>
      <c r="M104" s="413"/>
      <c r="N104" s="413"/>
      <c r="O104" s="413"/>
      <c r="P104" s="413"/>
      <c r="Q104" s="413"/>
      <c r="R104" s="413"/>
    </row>
    <row r="105" s="411" customFormat="1" ht="20.25" spans="1:18">
      <c r="A105" s="444"/>
      <c r="B105" s="444"/>
      <c r="C105" s="444"/>
      <c r="D105" s="444"/>
      <c r="E105" s="444"/>
      <c r="F105" s="444"/>
      <c r="G105" s="444"/>
      <c r="H105" s="444"/>
      <c r="I105" s="444"/>
      <c r="J105" s="444"/>
      <c r="K105" s="444"/>
      <c r="L105" s="412"/>
      <c r="M105" s="413"/>
      <c r="N105" s="413"/>
      <c r="O105" s="413"/>
      <c r="P105" s="413"/>
      <c r="Q105" s="413"/>
      <c r="R105" s="413"/>
    </row>
    <row r="106" s="411" customFormat="1" ht="20.25" spans="1:18">
      <c r="A106" s="444"/>
      <c r="B106" s="444"/>
      <c r="C106" s="444"/>
      <c r="D106" s="444"/>
      <c r="E106" s="444"/>
      <c r="F106" s="444"/>
      <c r="G106" s="444"/>
      <c r="H106" s="444"/>
      <c r="I106" s="444"/>
      <c r="J106" s="444"/>
      <c r="K106" s="444"/>
      <c r="L106" s="412"/>
      <c r="M106" s="413"/>
      <c r="N106" s="413"/>
      <c r="O106" s="413"/>
      <c r="P106" s="413"/>
      <c r="Q106" s="413"/>
      <c r="R106" s="413"/>
    </row>
    <row r="107" s="411" customFormat="1" ht="20.25" spans="1:18">
      <c r="A107" s="444"/>
      <c r="B107" s="444"/>
      <c r="C107" s="444"/>
      <c r="D107" s="444"/>
      <c r="E107" s="444"/>
      <c r="F107" s="444"/>
      <c r="G107" s="444"/>
      <c r="H107" s="444"/>
      <c r="I107" s="444"/>
      <c r="J107" s="444"/>
      <c r="K107" s="444"/>
      <c r="L107" s="412"/>
      <c r="M107" s="413"/>
      <c r="N107" s="413"/>
      <c r="O107" s="413"/>
      <c r="P107" s="413"/>
      <c r="Q107" s="413"/>
      <c r="R107" s="413"/>
    </row>
    <row r="108" s="411" customFormat="1" ht="20.25" spans="1:18">
      <c r="A108" s="444"/>
      <c r="B108" s="444"/>
      <c r="C108" s="444"/>
      <c r="D108" s="444"/>
      <c r="E108" s="444"/>
      <c r="F108" s="444"/>
      <c r="G108" s="444"/>
      <c r="H108" s="444"/>
      <c r="I108" s="444"/>
      <c r="J108" s="444"/>
      <c r="K108" s="444"/>
      <c r="L108" s="412"/>
      <c r="M108" s="413"/>
      <c r="N108" s="413"/>
      <c r="O108" s="413"/>
      <c r="P108" s="413"/>
      <c r="Q108" s="413"/>
      <c r="R108" s="413"/>
    </row>
    <row r="109" s="411" customFormat="1" ht="20.25" spans="1:18">
      <c r="A109" s="444"/>
      <c r="B109" s="444"/>
      <c r="C109" s="444"/>
      <c r="D109" s="444"/>
      <c r="E109" s="444"/>
      <c r="F109" s="444"/>
      <c r="G109" s="444"/>
      <c r="H109" s="444"/>
      <c r="I109" s="444"/>
      <c r="J109" s="444"/>
      <c r="K109" s="444"/>
      <c r="L109" s="412"/>
      <c r="M109" s="413"/>
      <c r="N109" s="413"/>
      <c r="O109" s="413"/>
      <c r="P109" s="413"/>
      <c r="Q109" s="413"/>
      <c r="R109" s="413"/>
    </row>
    <row r="110" s="411" customFormat="1" ht="20.25" spans="1:18">
      <c r="A110" s="444"/>
      <c r="B110" s="444"/>
      <c r="C110" s="444"/>
      <c r="D110" s="444"/>
      <c r="E110" s="444"/>
      <c r="F110" s="444"/>
      <c r="G110" s="444"/>
      <c r="H110" s="444"/>
      <c r="I110" s="444"/>
      <c r="J110" s="444"/>
      <c r="K110" s="444"/>
      <c r="L110" s="412"/>
      <c r="M110" s="413"/>
      <c r="N110" s="413"/>
      <c r="O110" s="413"/>
      <c r="P110" s="413"/>
      <c r="Q110" s="413"/>
      <c r="R110" s="413"/>
    </row>
    <row r="111" s="411" customFormat="1" ht="20.25" spans="1:18">
      <c r="A111" s="444"/>
      <c r="B111" s="444"/>
      <c r="C111" s="444"/>
      <c r="D111" s="444"/>
      <c r="E111" s="444"/>
      <c r="F111" s="444"/>
      <c r="G111" s="444"/>
      <c r="H111" s="444"/>
      <c r="I111" s="444"/>
      <c r="J111" s="444"/>
      <c r="K111" s="444"/>
      <c r="L111" s="412"/>
      <c r="M111" s="413"/>
      <c r="N111" s="413"/>
      <c r="O111" s="413"/>
      <c r="P111" s="413"/>
      <c r="Q111" s="413"/>
      <c r="R111" s="413"/>
    </row>
    <row r="112" s="411" customFormat="1" ht="20.25" spans="1:18">
      <c r="A112" s="444"/>
      <c r="B112" s="444"/>
      <c r="C112" s="444"/>
      <c r="D112" s="444"/>
      <c r="E112" s="444"/>
      <c r="F112" s="444"/>
      <c r="G112" s="444"/>
      <c r="H112" s="444"/>
      <c r="I112" s="444"/>
      <c r="J112" s="444"/>
      <c r="K112" s="444"/>
      <c r="L112" s="412"/>
      <c r="M112" s="413"/>
      <c r="N112" s="413"/>
      <c r="O112" s="413"/>
      <c r="P112" s="413"/>
      <c r="Q112" s="413"/>
      <c r="R112" s="413"/>
    </row>
    <row r="113" s="411" customFormat="1" ht="20.25" spans="1:18">
      <c r="A113" s="444"/>
      <c r="B113" s="444"/>
      <c r="C113" s="444"/>
      <c r="D113" s="444"/>
      <c r="E113" s="444"/>
      <c r="F113" s="444"/>
      <c r="G113" s="444"/>
      <c r="H113" s="444"/>
      <c r="I113" s="444"/>
      <c r="J113" s="444"/>
      <c r="K113" s="444"/>
      <c r="L113" s="412"/>
      <c r="M113" s="413"/>
      <c r="N113" s="413"/>
      <c r="O113" s="413"/>
      <c r="P113" s="413"/>
      <c r="Q113" s="413"/>
      <c r="R113" s="413"/>
    </row>
    <row r="114" s="411" customFormat="1" ht="20.25" spans="1:18">
      <c r="A114" s="444"/>
      <c r="B114" s="444"/>
      <c r="C114" s="444"/>
      <c r="D114" s="444"/>
      <c r="E114" s="444"/>
      <c r="F114" s="444"/>
      <c r="G114" s="444"/>
      <c r="H114" s="444"/>
      <c r="I114" s="444"/>
      <c r="J114" s="444"/>
      <c r="K114" s="444"/>
      <c r="L114" s="412"/>
      <c r="M114" s="413"/>
      <c r="N114" s="413"/>
      <c r="O114" s="413"/>
      <c r="P114" s="413"/>
      <c r="Q114" s="413"/>
      <c r="R114" s="413"/>
    </row>
    <row r="115" s="411" customFormat="1" ht="20.25" spans="1:18">
      <c r="A115" s="444"/>
      <c r="B115" s="444"/>
      <c r="C115" s="444"/>
      <c r="D115" s="444"/>
      <c r="E115" s="444"/>
      <c r="F115" s="444"/>
      <c r="G115" s="444"/>
      <c r="H115" s="444"/>
      <c r="I115" s="444"/>
      <c r="J115" s="444"/>
      <c r="K115" s="444"/>
      <c r="L115" s="412"/>
      <c r="M115" s="413"/>
      <c r="N115" s="413"/>
      <c r="O115" s="413"/>
      <c r="P115" s="413"/>
      <c r="Q115" s="413"/>
      <c r="R115" s="413"/>
    </row>
    <row r="116" s="411" customFormat="1" ht="20.25" spans="1:18">
      <c r="A116" s="444"/>
      <c r="B116" s="444"/>
      <c r="C116" s="444"/>
      <c r="D116" s="444"/>
      <c r="E116" s="444"/>
      <c r="F116" s="444"/>
      <c r="G116" s="444"/>
      <c r="H116" s="444"/>
      <c r="I116" s="444"/>
      <c r="J116" s="444"/>
      <c r="K116" s="444"/>
      <c r="L116" s="412"/>
      <c r="M116" s="413"/>
      <c r="N116" s="413"/>
      <c r="O116" s="413"/>
      <c r="P116" s="413"/>
      <c r="Q116" s="413"/>
      <c r="R116" s="413"/>
    </row>
    <row r="117" s="411" customFormat="1" ht="20.25" spans="1:18">
      <c r="A117" s="444"/>
      <c r="B117" s="444"/>
      <c r="C117" s="444"/>
      <c r="D117" s="444"/>
      <c r="E117" s="444"/>
      <c r="F117" s="444"/>
      <c r="G117" s="444"/>
      <c r="H117" s="444"/>
      <c r="I117" s="444"/>
      <c r="J117" s="444"/>
      <c r="K117" s="444"/>
      <c r="L117" s="412"/>
      <c r="M117" s="413"/>
      <c r="N117" s="413"/>
      <c r="O117" s="413"/>
      <c r="P117" s="413"/>
      <c r="Q117" s="413"/>
      <c r="R117" s="413"/>
    </row>
    <row r="118" s="411" customFormat="1" ht="20.25" spans="1:18">
      <c r="A118" s="444"/>
      <c r="B118" s="444"/>
      <c r="C118" s="444"/>
      <c r="D118" s="444"/>
      <c r="E118" s="444"/>
      <c r="F118" s="444"/>
      <c r="G118" s="444"/>
      <c r="H118" s="444"/>
      <c r="I118" s="444"/>
      <c r="J118" s="444"/>
      <c r="K118" s="444"/>
      <c r="L118" s="412"/>
      <c r="M118" s="413"/>
      <c r="N118" s="413"/>
      <c r="O118" s="413"/>
      <c r="P118" s="413"/>
      <c r="Q118" s="413"/>
      <c r="R118" s="413"/>
    </row>
    <row r="119" s="411" customFormat="1" ht="20.25" spans="1:18">
      <c r="A119" s="444"/>
      <c r="B119" s="444"/>
      <c r="C119" s="444"/>
      <c r="D119" s="444"/>
      <c r="E119" s="444"/>
      <c r="F119" s="444"/>
      <c r="G119" s="444"/>
      <c r="H119" s="444"/>
      <c r="I119" s="444"/>
      <c r="J119" s="444"/>
      <c r="K119" s="444"/>
      <c r="L119" s="412"/>
      <c r="M119" s="413"/>
      <c r="N119" s="413"/>
      <c r="O119" s="413"/>
      <c r="P119" s="413"/>
      <c r="Q119" s="413"/>
      <c r="R119" s="413"/>
    </row>
    <row r="120" s="411" customFormat="1" ht="20.25" spans="1:18">
      <c r="A120" s="444"/>
      <c r="B120" s="444"/>
      <c r="C120" s="444"/>
      <c r="D120" s="444"/>
      <c r="E120" s="444"/>
      <c r="F120" s="444"/>
      <c r="G120" s="444"/>
      <c r="H120" s="444"/>
      <c r="I120" s="444"/>
      <c r="J120" s="444"/>
      <c r="K120" s="444"/>
      <c r="L120" s="412"/>
      <c r="M120" s="413"/>
      <c r="N120" s="413"/>
      <c r="O120" s="413"/>
      <c r="P120" s="413"/>
      <c r="Q120" s="413"/>
      <c r="R120" s="413"/>
    </row>
    <row r="121" s="411" customFormat="1" ht="20.25" spans="1:18">
      <c r="A121" s="444"/>
      <c r="B121" s="444"/>
      <c r="C121" s="444"/>
      <c r="D121" s="444"/>
      <c r="E121" s="444"/>
      <c r="F121" s="444"/>
      <c r="G121" s="444"/>
      <c r="H121" s="444"/>
      <c r="I121" s="444"/>
      <c r="J121" s="444"/>
      <c r="K121" s="444"/>
      <c r="L121" s="412"/>
      <c r="M121" s="413"/>
      <c r="N121" s="413"/>
      <c r="O121" s="413"/>
      <c r="P121" s="413"/>
      <c r="Q121" s="413"/>
      <c r="R121" s="413"/>
    </row>
    <row r="122" s="411" customFormat="1" ht="20.25" spans="1:18">
      <c r="A122" s="444"/>
      <c r="B122" s="444"/>
      <c r="C122" s="444"/>
      <c r="D122" s="444"/>
      <c r="E122" s="444"/>
      <c r="F122" s="444"/>
      <c r="G122" s="444"/>
      <c r="H122" s="444"/>
      <c r="I122" s="444"/>
      <c r="J122" s="444"/>
      <c r="K122" s="444"/>
      <c r="L122" s="412"/>
      <c r="M122" s="413"/>
      <c r="N122" s="413"/>
      <c r="O122" s="413"/>
      <c r="P122" s="413"/>
      <c r="Q122" s="413"/>
      <c r="R122" s="413"/>
    </row>
    <row r="123" ht="20.25" spans="1:11">
      <c r="A123" s="98"/>
      <c r="B123" s="98"/>
      <c r="C123" s="98"/>
      <c r="D123" s="98"/>
      <c r="E123" s="98"/>
      <c r="F123" s="98"/>
      <c r="G123" s="98"/>
      <c r="H123" s="98"/>
      <c r="I123" s="98"/>
      <c r="J123" s="98"/>
      <c r="K123" s="98"/>
    </row>
    <row r="124" ht="20.25" spans="1:11">
      <c r="A124" s="98"/>
      <c r="B124" s="98"/>
      <c r="C124" s="98"/>
      <c r="D124" s="98"/>
      <c r="E124" s="98"/>
      <c r="F124" s="98"/>
      <c r="G124" s="98"/>
      <c r="H124" s="98"/>
      <c r="I124" s="98"/>
      <c r="J124" s="98"/>
      <c r="K124" s="98"/>
    </row>
    <row r="125" ht="20.25" spans="1:11">
      <c r="A125" s="98"/>
      <c r="B125" s="98"/>
      <c r="C125" s="98"/>
      <c r="D125" s="98"/>
      <c r="E125" s="98"/>
      <c r="F125" s="98"/>
      <c r="G125" s="98"/>
      <c r="H125" s="98"/>
      <c r="I125" s="98"/>
      <c r="J125" s="98"/>
      <c r="K125" s="98"/>
    </row>
    <row r="126" ht="20.25" spans="1:11">
      <c r="A126" s="98"/>
      <c r="B126" s="98"/>
      <c r="C126" s="98"/>
      <c r="D126" s="98"/>
      <c r="E126" s="98"/>
      <c r="F126" s="98"/>
      <c r="G126" s="98"/>
      <c r="H126" s="98"/>
      <c r="I126" s="98"/>
      <c r="J126" s="98"/>
      <c r="K126" s="98"/>
    </row>
    <row r="127" ht="20.25" spans="1:11">
      <c r="A127" s="98"/>
      <c r="B127" s="98"/>
      <c r="C127" s="98"/>
      <c r="D127" s="98"/>
      <c r="E127" s="98"/>
      <c r="F127" s="98"/>
      <c r="G127" s="98"/>
      <c r="H127" s="98"/>
      <c r="I127" s="98"/>
      <c r="J127" s="98"/>
      <c r="K127" s="98"/>
    </row>
    <row r="128" ht="20.25" spans="1:11">
      <c r="A128" s="98"/>
      <c r="B128" s="98"/>
      <c r="C128" s="98"/>
      <c r="D128" s="98"/>
      <c r="E128" s="98"/>
      <c r="F128" s="98"/>
      <c r="G128" s="98"/>
      <c r="H128" s="98"/>
      <c r="I128" s="98"/>
      <c r="J128" s="98"/>
      <c r="K128" s="98"/>
    </row>
    <row r="129" ht="20.25" spans="1:11">
      <c r="A129" s="98"/>
      <c r="B129" s="98"/>
      <c r="C129" s="98"/>
      <c r="D129" s="98"/>
      <c r="E129" s="98"/>
      <c r="F129" s="98"/>
      <c r="G129" s="98"/>
      <c r="H129" s="98"/>
      <c r="I129" s="98"/>
      <c r="J129" s="98"/>
      <c r="K129" s="98"/>
    </row>
    <row r="130" ht="20.25" spans="1:11">
      <c r="A130" s="98"/>
      <c r="B130" s="98"/>
      <c r="C130" s="98"/>
      <c r="D130" s="98"/>
      <c r="E130" s="98"/>
      <c r="F130" s="98"/>
      <c r="G130" s="98"/>
      <c r="H130" s="98"/>
      <c r="I130" s="98"/>
      <c r="J130" s="98"/>
      <c r="K130" s="98"/>
    </row>
    <row r="131" ht="20.25" spans="1:11">
      <c r="A131" s="98"/>
      <c r="B131" s="98"/>
      <c r="C131" s="98"/>
      <c r="D131" s="98"/>
      <c r="E131" s="98"/>
      <c r="F131" s="98"/>
      <c r="G131" s="98"/>
      <c r="H131" s="98"/>
      <c r="I131" s="98"/>
      <c r="J131" s="98"/>
      <c r="K131" s="98"/>
    </row>
    <row r="132" ht="20.25" spans="1:11">
      <c r="A132" s="98"/>
      <c r="B132" s="98"/>
      <c r="C132" s="98"/>
      <c r="D132" s="98"/>
      <c r="E132" s="98"/>
      <c r="F132" s="98"/>
      <c r="G132" s="98"/>
      <c r="H132" s="98"/>
      <c r="I132" s="98"/>
      <c r="J132" s="98"/>
      <c r="K132" s="98"/>
    </row>
    <row r="133" ht="20.25" spans="1:11">
      <c r="A133" s="98"/>
      <c r="B133" s="98"/>
      <c r="C133" s="98"/>
      <c r="D133" s="98"/>
      <c r="E133" s="98"/>
      <c r="F133" s="98"/>
      <c r="G133" s="98"/>
      <c r="H133" s="98"/>
      <c r="I133" s="98"/>
      <c r="J133" s="98"/>
      <c r="K133" s="98"/>
    </row>
    <row r="134" ht="20.25" spans="1:11">
      <c r="A134" s="98"/>
      <c r="B134" s="98"/>
      <c r="C134" s="98"/>
      <c r="D134" s="98"/>
      <c r="E134" s="98"/>
      <c r="F134" s="98"/>
      <c r="G134" s="98"/>
      <c r="H134" s="98"/>
      <c r="I134" s="98"/>
      <c r="J134" s="98"/>
      <c r="K134" s="98"/>
    </row>
    <row r="135" ht="20.25" spans="1:11">
      <c r="A135" s="98"/>
      <c r="B135" s="98"/>
      <c r="C135" s="98"/>
      <c r="D135" s="98"/>
      <c r="E135" s="98"/>
      <c r="F135" s="98"/>
      <c r="G135" s="98"/>
      <c r="H135" s="98"/>
      <c r="I135" s="98"/>
      <c r="J135" s="98"/>
      <c r="K135" s="98"/>
    </row>
    <row r="136" ht="20.25" spans="1:11">
      <c r="A136" s="98"/>
      <c r="B136" s="98"/>
      <c r="C136" s="98"/>
      <c r="D136" s="98"/>
      <c r="E136" s="98"/>
      <c r="F136" s="98"/>
      <c r="G136" s="98"/>
      <c r="H136" s="98"/>
      <c r="I136" s="98"/>
      <c r="J136" s="98"/>
      <c r="K136" s="98"/>
    </row>
    <row r="137" ht="20.25" spans="1:11">
      <c r="A137" s="98"/>
      <c r="B137" s="98"/>
      <c r="C137" s="98"/>
      <c r="D137" s="98"/>
      <c r="E137" s="98"/>
      <c r="F137" s="98"/>
      <c r="G137" s="98"/>
      <c r="H137" s="98"/>
      <c r="I137" s="98"/>
      <c r="J137" s="98"/>
      <c r="K137" s="98"/>
    </row>
    <row r="138" ht="20.25" spans="1:11">
      <c r="A138" s="98"/>
      <c r="B138" s="98"/>
      <c r="C138" s="98"/>
      <c r="D138" s="98"/>
      <c r="E138" s="98"/>
      <c r="F138" s="98"/>
      <c r="G138" s="98"/>
      <c r="H138" s="98"/>
      <c r="I138" s="98"/>
      <c r="J138" s="98"/>
      <c r="K138" s="98"/>
    </row>
    <row r="139" ht="20.25" spans="1:11">
      <c r="A139" s="98"/>
      <c r="B139" s="98"/>
      <c r="C139" s="98"/>
      <c r="D139" s="98"/>
      <c r="E139" s="98"/>
      <c r="F139" s="98"/>
      <c r="G139" s="98"/>
      <c r="H139" s="98"/>
      <c r="I139" s="98"/>
      <c r="J139" s="98"/>
      <c r="K139" s="98"/>
    </row>
    <row r="140" ht="20.25" spans="1:11">
      <c r="A140" s="98"/>
      <c r="B140" s="98"/>
      <c r="C140" s="98"/>
      <c r="D140" s="98"/>
      <c r="E140" s="98"/>
      <c r="F140" s="98"/>
      <c r="G140" s="98"/>
      <c r="H140" s="98"/>
      <c r="I140" s="98"/>
      <c r="J140" s="98"/>
      <c r="K140" s="98"/>
    </row>
    <row r="141" ht="20.25" spans="1:11">
      <c r="A141" s="98"/>
      <c r="B141" s="98"/>
      <c r="C141" s="98"/>
      <c r="D141" s="98"/>
      <c r="E141" s="98"/>
      <c r="F141" s="98"/>
      <c r="G141" s="98"/>
      <c r="H141" s="98"/>
      <c r="I141" s="98"/>
      <c r="J141" s="98"/>
      <c r="K141" s="98"/>
    </row>
    <row r="142" ht="20.25" spans="1:11">
      <c r="A142" s="98"/>
      <c r="B142" s="98"/>
      <c r="C142" s="98"/>
      <c r="D142" s="98"/>
      <c r="E142" s="98"/>
      <c r="F142" s="98"/>
      <c r="G142" s="98"/>
      <c r="H142" s="98"/>
      <c r="I142" s="98"/>
      <c r="J142" s="98"/>
      <c r="K142" s="98"/>
    </row>
    <row r="143" ht="20.25" spans="1:11">
      <c r="A143" s="98"/>
      <c r="B143" s="98"/>
      <c r="C143" s="98"/>
      <c r="D143" s="98"/>
      <c r="E143" s="98"/>
      <c r="F143" s="98"/>
      <c r="G143" s="98"/>
      <c r="H143" s="98"/>
      <c r="I143" s="98"/>
      <c r="J143" s="98"/>
      <c r="K143" s="98"/>
    </row>
    <row r="144" ht="20.25" spans="1:11">
      <c r="A144" s="98"/>
      <c r="B144" s="98"/>
      <c r="C144" s="98"/>
      <c r="D144" s="98"/>
      <c r="E144" s="98"/>
      <c r="F144" s="98"/>
      <c r="G144" s="98"/>
      <c r="H144" s="98"/>
      <c r="I144" s="98"/>
      <c r="J144" s="98"/>
      <c r="K144" s="98"/>
    </row>
    <row r="145" ht="20.25" spans="1:11">
      <c r="A145" s="98"/>
      <c r="B145" s="98"/>
      <c r="C145" s="98"/>
      <c r="D145" s="98"/>
      <c r="E145" s="98"/>
      <c r="F145" s="98"/>
      <c r="G145" s="98"/>
      <c r="H145" s="98"/>
      <c r="I145" s="98"/>
      <c r="J145" s="98"/>
      <c r="K145" s="98"/>
    </row>
    <row r="146" ht="20.25" spans="1:11">
      <c r="A146" s="98"/>
      <c r="B146" s="98"/>
      <c r="C146" s="98"/>
      <c r="D146" s="98"/>
      <c r="E146" s="98"/>
      <c r="F146" s="98"/>
      <c r="G146" s="98"/>
      <c r="H146" s="98"/>
      <c r="I146" s="98"/>
      <c r="J146" s="98"/>
      <c r="K146" s="98"/>
    </row>
    <row r="147" ht="20.25" spans="1:11">
      <c r="A147" s="98"/>
      <c r="B147" s="98"/>
      <c r="C147" s="98"/>
      <c r="D147" s="98"/>
      <c r="E147" s="98"/>
      <c r="F147" s="98"/>
      <c r="G147" s="98"/>
      <c r="H147" s="98"/>
      <c r="I147" s="98"/>
      <c r="J147" s="98"/>
      <c r="K147" s="98"/>
    </row>
    <row r="148" ht="20.25" spans="1:11">
      <c r="A148" s="98"/>
      <c r="B148" s="98"/>
      <c r="C148" s="98"/>
      <c r="D148" s="98"/>
      <c r="E148" s="98"/>
      <c r="F148" s="98"/>
      <c r="G148" s="98"/>
      <c r="H148" s="98"/>
      <c r="I148" s="98"/>
      <c r="J148" s="98"/>
      <c r="K148" s="98"/>
    </row>
    <row r="149" ht="20.25" spans="1:11">
      <c r="A149" s="98"/>
      <c r="B149" s="98"/>
      <c r="C149" s="98"/>
      <c r="D149" s="98"/>
      <c r="E149" s="98"/>
      <c r="F149" s="98"/>
      <c r="G149" s="98"/>
      <c r="H149" s="98"/>
      <c r="I149" s="98"/>
      <c r="J149" s="98"/>
      <c r="K149" s="98"/>
    </row>
    <row r="150" ht="20.25" spans="1:11">
      <c r="A150" s="98"/>
      <c r="B150" s="98"/>
      <c r="C150" s="98"/>
      <c r="D150" s="98"/>
      <c r="E150" s="98"/>
      <c r="F150" s="98"/>
      <c r="G150" s="98"/>
      <c r="H150" s="98"/>
      <c r="I150" s="98"/>
      <c r="J150" s="98"/>
      <c r="K150" s="98"/>
    </row>
    <row r="151" ht="20.25" spans="1:11">
      <c r="A151" s="98"/>
      <c r="B151" s="98"/>
      <c r="C151" s="98"/>
      <c r="D151" s="98"/>
      <c r="E151" s="98"/>
      <c r="F151" s="98"/>
      <c r="G151" s="98"/>
      <c r="H151" s="98"/>
      <c r="I151" s="98"/>
      <c r="J151" s="98"/>
      <c r="K151" s="98"/>
    </row>
    <row r="152" ht="20.25" spans="1:11">
      <c r="A152" s="98"/>
      <c r="B152" s="98"/>
      <c r="C152" s="98"/>
      <c r="D152" s="98"/>
      <c r="E152" s="98"/>
      <c r="F152" s="98"/>
      <c r="G152" s="98"/>
      <c r="H152" s="98"/>
      <c r="I152" s="98"/>
      <c r="J152" s="98"/>
      <c r="K152" s="98"/>
    </row>
    <row r="153" ht="20.25" spans="1:11">
      <c r="A153" s="98"/>
      <c r="B153" s="98"/>
      <c r="C153" s="98"/>
      <c r="D153" s="98"/>
      <c r="E153" s="98"/>
      <c r="F153" s="98"/>
      <c r="G153" s="98"/>
      <c r="H153" s="98"/>
      <c r="I153" s="98"/>
      <c r="J153" s="98"/>
      <c r="K153" s="98"/>
    </row>
    <row r="154" ht="20.25" spans="1:11">
      <c r="A154" s="98"/>
      <c r="B154" s="98"/>
      <c r="C154" s="98"/>
      <c r="D154" s="98"/>
      <c r="E154" s="98"/>
      <c r="F154" s="98"/>
      <c r="G154" s="98"/>
      <c r="H154" s="98"/>
      <c r="I154" s="98"/>
      <c r="J154" s="98"/>
      <c r="K154" s="98"/>
    </row>
    <row r="155" ht="20.25" spans="1:11">
      <c r="A155" s="98"/>
      <c r="B155" s="98"/>
      <c r="C155" s="98"/>
      <c r="D155" s="98"/>
      <c r="E155" s="98"/>
      <c r="F155" s="98"/>
      <c r="G155" s="98"/>
      <c r="H155" s="98"/>
      <c r="I155" s="98"/>
      <c r="J155" s="98"/>
      <c r="K155" s="98"/>
    </row>
    <row r="156" ht="20.25" spans="1:11">
      <c r="A156" s="98"/>
      <c r="B156" s="98"/>
      <c r="C156" s="98"/>
      <c r="D156" s="98"/>
      <c r="E156" s="98"/>
      <c r="F156" s="98"/>
      <c r="G156" s="98"/>
      <c r="H156" s="98"/>
      <c r="I156" s="98"/>
      <c r="J156" s="98"/>
      <c r="K156" s="98"/>
    </row>
    <row r="157" ht="20.25" spans="1:11">
      <c r="A157" s="98"/>
      <c r="B157" s="98"/>
      <c r="C157" s="98"/>
      <c r="D157" s="98"/>
      <c r="E157" s="98"/>
      <c r="F157" s="98"/>
      <c r="G157" s="98"/>
      <c r="H157" s="98"/>
      <c r="I157" s="98"/>
      <c r="J157" s="98"/>
      <c r="K157" s="98"/>
    </row>
    <row r="158" ht="20.25" spans="1:11">
      <c r="A158" s="98"/>
      <c r="B158" s="98"/>
      <c r="C158" s="98"/>
      <c r="D158" s="98"/>
      <c r="E158" s="98"/>
      <c r="F158" s="98"/>
      <c r="G158" s="98"/>
      <c r="H158" s="98"/>
      <c r="I158" s="98"/>
      <c r="J158" s="98"/>
      <c r="K158" s="98"/>
    </row>
    <row r="159" ht="20.25" spans="1:11">
      <c r="A159" s="98"/>
      <c r="B159" s="98"/>
      <c r="C159" s="98"/>
      <c r="D159" s="98"/>
      <c r="E159" s="98"/>
      <c r="F159" s="98"/>
      <c r="G159" s="98"/>
      <c r="H159" s="98"/>
      <c r="I159" s="98"/>
      <c r="J159" s="98"/>
      <c r="K159" s="98"/>
    </row>
    <row r="160" ht="20.25" spans="1:11">
      <c r="A160" s="98"/>
      <c r="B160" s="98"/>
      <c r="C160" s="98"/>
      <c r="D160" s="98"/>
      <c r="E160" s="98"/>
      <c r="F160" s="98"/>
      <c r="G160" s="98"/>
      <c r="H160" s="98"/>
      <c r="I160" s="98"/>
      <c r="J160" s="98"/>
      <c r="K160" s="98"/>
    </row>
    <row r="161" ht="20.25" spans="1:11">
      <c r="A161" s="98"/>
      <c r="B161" s="98"/>
      <c r="C161" s="98"/>
      <c r="D161" s="98"/>
      <c r="E161" s="98"/>
      <c r="F161" s="98"/>
      <c r="G161" s="98"/>
      <c r="H161" s="98"/>
      <c r="I161" s="98"/>
      <c r="J161" s="98"/>
      <c r="K161" s="98"/>
    </row>
    <row r="162" ht="20.25" spans="1:11">
      <c r="A162" s="98"/>
      <c r="B162" s="98"/>
      <c r="C162" s="98"/>
      <c r="D162" s="98"/>
      <c r="E162" s="98"/>
      <c r="F162" s="98"/>
      <c r="G162" s="98"/>
      <c r="H162" s="98"/>
      <c r="I162" s="98"/>
      <c r="J162" s="98"/>
      <c r="K162" s="98"/>
    </row>
    <row r="163" ht="20.25" spans="1:11">
      <c r="A163" s="98"/>
      <c r="B163" s="98"/>
      <c r="C163" s="98"/>
      <c r="D163" s="98"/>
      <c r="E163" s="98"/>
      <c r="F163" s="98"/>
      <c r="G163" s="98"/>
      <c r="H163" s="98"/>
      <c r="I163" s="98"/>
      <c r="J163" s="98"/>
      <c r="K163" s="98"/>
    </row>
    <row r="164" ht="20.25" spans="1:11">
      <c r="A164" s="98"/>
      <c r="B164" s="98"/>
      <c r="C164" s="98"/>
      <c r="D164" s="98"/>
      <c r="E164" s="98"/>
      <c r="F164" s="98"/>
      <c r="G164" s="98"/>
      <c r="H164" s="98"/>
      <c r="I164" s="98"/>
      <c r="J164" s="98"/>
      <c r="K164" s="98"/>
    </row>
    <row r="165" ht="20.25" spans="1:11">
      <c r="A165" s="98"/>
      <c r="B165" s="98"/>
      <c r="C165" s="98"/>
      <c r="D165" s="98"/>
      <c r="E165" s="98"/>
      <c r="F165" s="98"/>
      <c r="G165" s="98"/>
      <c r="H165" s="98"/>
      <c r="I165" s="98"/>
      <c r="J165" s="98"/>
      <c r="K165" s="98"/>
    </row>
    <row r="166" ht="20.25" spans="1:11">
      <c r="A166" s="98"/>
      <c r="B166" s="98"/>
      <c r="C166" s="98"/>
      <c r="D166" s="98"/>
      <c r="E166" s="98"/>
      <c r="F166" s="98"/>
      <c r="G166" s="98"/>
      <c r="H166" s="98"/>
      <c r="I166" s="98"/>
      <c r="J166" s="98"/>
      <c r="K166" s="98"/>
    </row>
    <row r="167" ht="20.25" spans="1:11">
      <c r="A167" s="98"/>
      <c r="B167" s="98"/>
      <c r="C167" s="98"/>
      <c r="D167" s="98"/>
      <c r="E167" s="98"/>
      <c r="F167" s="98"/>
      <c r="G167" s="98"/>
      <c r="H167" s="98"/>
      <c r="I167" s="98"/>
      <c r="J167" s="98"/>
      <c r="K167" s="98"/>
    </row>
    <row r="168" ht="20.25" spans="1:11">
      <c r="A168" s="98"/>
      <c r="B168" s="98"/>
      <c r="C168" s="98"/>
      <c r="D168" s="98"/>
      <c r="E168" s="98"/>
      <c r="F168" s="98"/>
      <c r="G168" s="98"/>
      <c r="H168" s="98"/>
      <c r="I168" s="98"/>
      <c r="J168" s="98"/>
      <c r="K168" s="98"/>
    </row>
    <row r="169" ht="20.25" spans="1:11">
      <c r="A169" s="98"/>
      <c r="B169" s="98"/>
      <c r="C169" s="98"/>
      <c r="D169" s="98"/>
      <c r="E169" s="98"/>
      <c r="F169" s="98"/>
      <c r="G169" s="98"/>
      <c r="H169" s="98"/>
      <c r="I169" s="98"/>
      <c r="J169" s="98"/>
      <c r="K169" s="98"/>
    </row>
    <row r="170" ht="20.25" spans="1:11">
      <c r="A170" s="98"/>
      <c r="B170" s="98"/>
      <c r="C170" s="98"/>
      <c r="D170" s="98"/>
      <c r="E170" s="98"/>
      <c r="F170" s="98"/>
      <c r="G170" s="98"/>
      <c r="H170" s="98"/>
      <c r="I170" s="98"/>
      <c r="J170" s="98"/>
      <c r="K170" s="98"/>
    </row>
    <row r="171" ht="20.25" spans="1:11">
      <c r="A171" s="98"/>
      <c r="B171" s="98"/>
      <c r="C171" s="98"/>
      <c r="D171" s="98"/>
      <c r="E171" s="98"/>
      <c r="F171" s="98"/>
      <c r="G171" s="98"/>
      <c r="H171" s="98"/>
      <c r="I171" s="98"/>
      <c r="J171" s="98"/>
      <c r="K171" s="98"/>
    </row>
    <row r="172" ht="20.25" spans="1:11">
      <c r="A172" s="98"/>
      <c r="B172" s="98"/>
      <c r="C172" s="98"/>
      <c r="D172" s="98"/>
      <c r="E172" s="98"/>
      <c r="F172" s="98"/>
      <c r="G172" s="98"/>
      <c r="H172" s="98"/>
      <c r="I172" s="98"/>
      <c r="J172" s="98"/>
      <c r="K172" s="98"/>
    </row>
    <row r="173" ht="20.25" spans="1:11">
      <c r="A173" s="98"/>
      <c r="B173" s="98"/>
      <c r="C173" s="98"/>
      <c r="D173" s="98"/>
      <c r="E173" s="98"/>
      <c r="F173" s="98"/>
      <c r="G173" s="98"/>
      <c r="H173" s="98"/>
      <c r="I173" s="98"/>
      <c r="J173" s="98"/>
      <c r="K173" s="98"/>
    </row>
    <row r="174" ht="20.25" spans="1:11">
      <c r="A174" s="98"/>
      <c r="B174" s="98"/>
      <c r="C174" s="98"/>
      <c r="D174" s="98"/>
      <c r="E174" s="98"/>
      <c r="F174" s="98"/>
      <c r="G174" s="98"/>
      <c r="H174" s="98"/>
      <c r="I174" s="98"/>
      <c r="J174" s="98"/>
      <c r="K174" s="98"/>
    </row>
    <row r="175" ht="20.25" spans="1:11">
      <c r="A175" s="98"/>
      <c r="B175" s="98"/>
      <c r="C175" s="98"/>
      <c r="D175" s="98"/>
      <c r="E175" s="98"/>
      <c r="F175" s="98"/>
      <c r="G175" s="98"/>
      <c r="H175" s="98"/>
      <c r="I175" s="98"/>
      <c r="J175" s="98"/>
      <c r="K175" s="98"/>
    </row>
    <row r="176" ht="20.25" spans="1:11">
      <c r="A176" s="98"/>
      <c r="B176" s="98"/>
      <c r="C176" s="98"/>
      <c r="D176" s="98"/>
      <c r="E176" s="98"/>
      <c r="F176" s="98"/>
      <c r="G176" s="98"/>
      <c r="H176" s="98"/>
      <c r="I176" s="98"/>
      <c r="J176" s="98"/>
      <c r="K176" s="98"/>
    </row>
    <row r="177" ht="20.25" spans="1:11">
      <c r="A177" s="98"/>
      <c r="B177" s="98"/>
      <c r="C177" s="98"/>
      <c r="D177" s="98"/>
      <c r="E177" s="98"/>
      <c r="F177" s="98"/>
      <c r="G177" s="98"/>
      <c r="H177" s="98"/>
      <c r="I177" s="98"/>
      <c r="J177" s="98"/>
      <c r="K177" s="98"/>
    </row>
    <row r="178" ht="20.25" spans="1:11">
      <c r="A178" s="98"/>
      <c r="B178" s="98"/>
      <c r="C178" s="98"/>
      <c r="D178" s="98"/>
      <c r="E178" s="98"/>
      <c r="F178" s="98"/>
      <c r="G178" s="98"/>
      <c r="H178" s="98"/>
      <c r="I178" s="98"/>
      <c r="J178" s="98"/>
      <c r="K178" s="98"/>
    </row>
    <row r="179" ht="20.25" spans="1:11">
      <c r="A179" s="98"/>
      <c r="B179" s="98"/>
      <c r="C179" s="98"/>
      <c r="D179" s="98"/>
      <c r="E179" s="98"/>
      <c r="F179" s="98"/>
      <c r="G179" s="98"/>
      <c r="H179" s="98"/>
      <c r="I179" s="98"/>
      <c r="J179" s="98"/>
      <c r="K179" s="98"/>
    </row>
    <row r="180" ht="20.25" spans="1:11">
      <c r="A180" s="98"/>
      <c r="B180" s="98"/>
      <c r="C180" s="98"/>
      <c r="D180" s="98"/>
      <c r="E180" s="98"/>
      <c r="F180" s="98"/>
      <c r="G180" s="98"/>
      <c r="H180" s="98"/>
      <c r="I180" s="98"/>
      <c r="J180" s="98"/>
      <c r="K180" s="98"/>
    </row>
    <row r="181" ht="20.25" spans="1:11">
      <c r="A181" s="98"/>
      <c r="B181" s="98"/>
      <c r="C181" s="98"/>
      <c r="D181" s="98"/>
      <c r="E181" s="98"/>
      <c r="F181" s="98"/>
      <c r="G181" s="98"/>
      <c r="H181" s="98"/>
      <c r="I181" s="98"/>
      <c r="J181" s="98"/>
      <c r="K181" s="98"/>
    </row>
    <row r="182" ht="20.25" spans="1:11">
      <c r="A182" s="98"/>
      <c r="B182" s="98"/>
      <c r="C182" s="98"/>
      <c r="D182" s="98"/>
      <c r="E182" s="98"/>
      <c r="F182" s="98"/>
      <c r="G182" s="98"/>
      <c r="H182" s="98"/>
      <c r="I182" s="98"/>
      <c r="J182" s="98"/>
      <c r="K182" s="98"/>
    </row>
    <row r="183" ht="20.25" spans="1:11">
      <c r="A183" s="98"/>
      <c r="B183" s="98"/>
      <c r="C183" s="98"/>
      <c r="D183" s="98"/>
      <c r="E183" s="98"/>
      <c r="F183" s="98"/>
      <c r="G183" s="98"/>
      <c r="H183" s="98"/>
      <c r="I183" s="98"/>
      <c r="J183" s="98"/>
      <c r="K183" s="98"/>
    </row>
    <row r="184" ht="20.25" spans="1:11">
      <c r="A184" s="98"/>
      <c r="B184" s="98"/>
      <c r="C184" s="98"/>
      <c r="D184" s="98"/>
      <c r="E184" s="98"/>
      <c r="F184" s="98"/>
      <c r="G184" s="98"/>
      <c r="H184" s="98"/>
      <c r="I184" s="98"/>
      <c r="J184" s="98"/>
      <c r="K184" s="98"/>
    </row>
    <row r="185" ht="20.25" spans="1:11">
      <c r="A185" s="98"/>
      <c r="B185" s="98"/>
      <c r="C185" s="98"/>
      <c r="D185" s="98"/>
      <c r="E185" s="98"/>
      <c r="F185" s="98"/>
      <c r="G185" s="98"/>
      <c r="H185" s="98"/>
      <c r="I185" s="98"/>
      <c r="J185" s="98"/>
      <c r="K185" s="98"/>
    </row>
    <row r="186" ht="20.25" spans="1:11">
      <c r="A186" s="98"/>
      <c r="B186" s="98"/>
      <c r="C186" s="98"/>
      <c r="D186" s="98"/>
      <c r="E186" s="98"/>
      <c r="F186" s="98"/>
      <c r="G186" s="98"/>
      <c r="H186" s="98"/>
      <c r="I186" s="98"/>
      <c r="J186" s="98"/>
      <c r="K186" s="98"/>
    </row>
    <row r="187" ht="20.25" spans="1:11">
      <c r="A187" s="98"/>
      <c r="B187" s="98"/>
      <c r="C187" s="98"/>
      <c r="D187" s="98"/>
      <c r="E187" s="98"/>
      <c r="F187" s="98"/>
      <c r="G187" s="98"/>
      <c r="H187" s="98"/>
      <c r="I187" s="98"/>
      <c r="J187" s="98"/>
      <c r="K187" s="98"/>
    </row>
    <row r="188" ht="20.25" spans="1:11">
      <c r="A188" s="98"/>
      <c r="B188" s="98"/>
      <c r="C188" s="98"/>
      <c r="D188" s="98"/>
      <c r="E188" s="98"/>
      <c r="F188" s="98"/>
      <c r="G188" s="98"/>
      <c r="H188" s="98"/>
      <c r="I188" s="98"/>
      <c r="J188" s="98"/>
      <c r="K188" s="98"/>
    </row>
    <row r="189" ht="20.25" spans="1:11">
      <c r="A189" s="98"/>
      <c r="B189" s="98"/>
      <c r="C189" s="98"/>
      <c r="D189" s="98"/>
      <c r="E189" s="98"/>
      <c r="F189" s="98"/>
      <c r="G189" s="98"/>
      <c r="H189" s="98"/>
      <c r="I189" s="98"/>
      <c r="J189" s="98"/>
      <c r="K189" s="98"/>
    </row>
    <row r="190" ht="20.25" spans="1:11">
      <c r="A190" s="98"/>
      <c r="B190" s="98"/>
      <c r="C190" s="98"/>
      <c r="D190" s="98"/>
      <c r="E190" s="98"/>
      <c r="F190" s="98"/>
      <c r="G190" s="98"/>
      <c r="H190" s="98"/>
      <c r="I190" s="98"/>
      <c r="J190" s="98"/>
      <c r="K190" s="98"/>
    </row>
    <row r="191" ht="20.25" spans="1:11">
      <c r="A191" s="98"/>
      <c r="B191" s="98"/>
      <c r="C191" s="98"/>
      <c r="D191" s="98"/>
      <c r="E191" s="98"/>
      <c r="F191" s="98"/>
      <c r="G191" s="98"/>
      <c r="H191" s="98"/>
      <c r="I191" s="98"/>
      <c r="J191" s="98"/>
      <c r="K191" s="98"/>
    </row>
    <row r="192" ht="20.25" spans="1:11">
      <c r="A192" s="98"/>
      <c r="B192" s="98"/>
      <c r="C192" s="98"/>
      <c r="D192" s="98"/>
      <c r="E192" s="98"/>
      <c r="F192" s="98"/>
      <c r="G192" s="98"/>
      <c r="H192" s="98"/>
      <c r="I192" s="98"/>
      <c r="J192" s="98"/>
      <c r="K192" s="98"/>
    </row>
    <row r="193" ht="20.25" spans="1:11">
      <c r="A193" s="98"/>
      <c r="B193" s="98"/>
      <c r="C193" s="98"/>
      <c r="D193" s="98"/>
      <c r="E193" s="98"/>
      <c r="F193" s="98"/>
      <c r="G193" s="98"/>
      <c r="H193" s="98"/>
      <c r="I193" s="98"/>
      <c r="J193" s="98"/>
      <c r="K193" s="98"/>
    </row>
    <row r="194" ht="20.25" spans="1:11">
      <c r="A194" s="98"/>
      <c r="B194" s="98"/>
      <c r="C194" s="98"/>
      <c r="D194" s="98"/>
      <c r="E194" s="98"/>
      <c r="F194" s="98"/>
      <c r="G194" s="98"/>
      <c r="H194" s="98"/>
      <c r="I194" s="98"/>
      <c r="J194" s="98"/>
      <c r="K194" s="98"/>
    </row>
    <row r="195" ht="20.25" spans="1:11">
      <c r="A195" s="98"/>
      <c r="B195" s="98"/>
      <c r="C195" s="98"/>
      <c r="D195" s="98"/>
      <c r="E195" s="98"/>
      <c r="F195" s="98"/>
      <c r="G195" s="98"/>
      <c r="H195" s="98"/>
      <c r="I195" s="98"/>
      <c r="J195" s="98"/>
      <c r="K195" s="98"/>
    </row>
    <row r="196" ht="20.25" spans="1:11">
      <c r="A196" s="98"/>
      <c r="B196" s="98"/>
      <c r="C196" s="98"/>
      <c r="D196" s="98"/>
      <c r="E196" s="98"/>
      <c r="F196" s="98"/>
      <c r="G196" s="98"/>
      <c r="H196" s="98"/>
      <c r="I196" s="98"/>
      <c r="J196" s="98"/>
      <c r="K196" s="98"/>
    </row>
    <row r="197" ht="20.25" spans="1:11">
      <c r="A197" s="98"/>
      <c r="B197" s="98"/>
      <c r="C197" s="98"/>
      <c r="D197" s="98"/>
      <c r="E197" s="98"/>
      <c r="F197" s="98"/>
      <c r="G197" s="98"/>
      <c r="H197" s="98"/>
      <c r="I197" s="98"/>
      <c r="J197" s="98"/>
      <c r="K197" s="98"/>
    </row>
    <row r="198" ht="20.25" spans="1:11">
      <c r="A198" s="98"/>
      <c r="B198" s="98"/>
      <c r="C198" s="98"/>
      <c r="D198" s="98"/>
      <c r="E198" s="98"/>
      <c r="F198" s="98"/>
      <c r="G198" s="98"/>
      <c r="H198" s="98"/>
      <c r="I198" s="98"/>
      <c r="J198" s="98"/>
      <c r="K198" s="98"/>
    </row>
    <row r="199" ht="20.25" spans="1:11">
      <c r="A199" s="98"/>
      <c r="B199" s="98"/>
      <c r="C199" s="98"/>
      <c r="D199" s="98"/>
      <c r="E199" s="98"/>
      <c r="F199" s="98"/>
      <c r="G199" s="98"/>
      <c r="H199" s="98"/>
      <c r="I199" s="98"/>
      <c r="J199" s="98"/>
      <c r="K199" s="98"/>
    </row>
    <row r="200" ht="20.25" spans="1:11">
      <c r="A200" s="98"/>
      <c r="B200" s="98"/>
      <c r="C200" s="98"/>
      <c r="D200" s="98"/>
      <c r="E200" s="98"/>
      <c r="F200" s="98"/>
      <c r="G200" s="98"/>
      <c r="H200" s="98"/>
      <c r="I200" s="98"/>
      <c r="J200" s="98"/>
      <c r="K200" s="98"/>
    </row>
    <row r="201" ht="20.25" spans="1:11">
      <c r="A201" s="98"/>
      <c r="B201" s="98"/>
      <c r="C201" s="98"/>
      <c r="D201" s="98"/>
      <c r="E201" s="98"/>
      <c r="F201" s="98"/>
      <c r="G201" s="98"/>
      <c r="H201" s="98"/>
      <c r="I201" s="98"/>
      <c r="J201" s="98"/>
      <c r="K201" s="98"/>
    </row>
    <row r="202" ht="20.25" spans="1:11">
      <c r="A202" s="98"/>
      <c r="B202" s="98"/>
      <c r="C202" s="98"/>
      <c r="D202" s="98"/>
      <c r="E202" s="98"/>
      <c r="F202" s="98"/>
      <c r="G202" s="98"/>
      <c r="H202" s="98"/>
      <c r="I202" s="98"/>
      <c r="J202" s="98"/>
      <c r="K202" s="98"/>
    </row>
    <row r="203" ht="20.25" spans="1:11">
      <c r="A203" s="98"/>
      <c r="B203" s="98"/>
      <c r="C203" s="98"/>
      <c r="D203" s="98"/>
      <c r="E203" s="98"/>
      <c r="F203" s="98"/>
      <c r="G203" s="98"/>
      <c r="H203" s="98"/>
      <c r="I203" s="98"/>
      <c r="J203" s="98"/>
      <c r="K203" s="98"/>
    </row>
    <row r="204" ht="20.25" spans="1:11">
      <c r="A204" s="98"/>
      <c r="B204" s="98"/>
      <c r="C204" s="98"/>
      <c r="D204" s="98"/>
      <c r="E204" s="98"/>
      <c r="F204" s="98"/>
      <c r="G204" s="98"/>
      <c r="H204" s="98"/>
      <c r="I204" s="98"/>
      <c r="J204" s="98"/>
      <c r="K204" s="98"/>
    </row>
    <row r="205" ht="20.25" spans="1:11">
      <c r="A205" s="98"/>
      <c r="B205" s="98"/>
      <c r="C205" s="98"/>
      <c r="D205" s="98"/>
      <c r="E205" s="98"/>
      <c r="F205" s="98"/>
      <c r="G205" s="98"/>
      <c r="H205" s="98"/>
      <c r="I205" s="98"/>
      <c r="J205" s="98"/>
      <c r="K205" s="98"/>
    </row>
    <row r="206" ht="20.25" spans="1:11">
      <c r="A206" s="98"/>
      <c r="B206" s="98"/>
      <c r="C206" s="98"/>
      <c r="D206" s="98"/>
      <c r="E206" s="98"/>
      <c r="F206" s="98"/>
      <c r="G206" s="98"/>
      <c r="H206" s="98"/>
      <c r="I206" s="98"/>
      <c r="J206" s="98"/>
      <c r="K206" s="98"/>
    </row>
    <row r="207" ht="20.25" spans="1:11">
      <c r="A207" s="98"/>
      <c r="B207" s="98"/>
      <c r="C207" s="98"/>
      <c r="D207" s="98"/>
      <c r="E207" s="98"/>
      <c r="F207" s="98"/>
      <c r="G207" s="98"/>
      <c r="H207" s="98"/>
      <c r="I207" s="98"/>
      <c r="J207" s="98"/>
      <c r="K207" s="98"/>
    </row>
    <row r="208" ht="20.25" spans="1:11">
      <c r="A208" s="98"/>
      <c r="B208" s="98"/>
      <c r="C208" s="98"/>
      <c r="D208" s="98"/>
      <c r="E208" s="98"/>
      <c r="F208" s="98"/>
      <c r="G208" s="98"/>
      <c r="H208" s="98"/>
      <c r="I208" s="98"/>
      <c r="J208" s="98"/>
      <c r="K208" s="98"/>
    </row>
    <row r="209" ht="20.25" spans="1:11">
      <c r="A209" s="98"/>
      <c r="B209" s="98"/>
      <c r="C209" s="98"/>
      <c r="D209" s="98"/>
      <c r="E209" s="98"/>
      <c r="F209" s="98"/>
      <c r="G209" s="98"/>
      <c r="H209" s="98"/>
      <c r="I209" s="98"/>
      <c r="J209" s="98"/>
      <c r="K209" s="98"/>
    </row>
    <row r="210" ht="20.25" spans="1:11">
      <c r="A210" s="98"/>
      <c r="B210" s="98"/>
      <c r="C210" s="98"/>
      <c r="D210" s="98"/>
      <c r="E210" s="98"/>
      <c r="F210" s="98"/>
      <c r="G210" s="98"/>
      <c r="H210" s="98"/>
      <c r="I210" s="98"/>
      <c r="J210" s="98"/>
      <c r="K210" s="98"/>
    </row>
    <row r="211" ht="20.25" spans="1:11">
      <c r="A211" s="98"/>
      <c r="B211" s="98"/>
      <c r="C211" s="98"/>
      <c r="D211" s="98"/>
      <c r="E211" s="98"/>
      <c r="F211" s="98"/>
      <c r="G211" s="98"/>
      <c r="H211" s="98"/>
      <c r="I211" s="98"/>
      <c r="J211" s="98"/>
      <c r="K211" s="98"/>
    </row>
    <row r="212" ht="20.25" spans="1:11">
      <c r="A212" s="98"/>
      <c r="B212" s="98"/>
      <c r="C212" s="98"/>
      <c r="D212" s="98"/>
      <c r="E212" s="98"/>
      <c r="F212" s="98"/>
      <c r="G212" s="98"/>
      <c r="H212" s="98"/>
      <c r="I212" s="98"/>
      <c r="J212" s="98"/>
      <c r="K212" s="98"/>
    </row>
    <row r="213" ht="20.25" spans="1:11">
      <c r="A213" s="98"/>
      <c r="B213" s="98"/>
      <c r="C213" s="98"/>
      <c r="D213" s="98"/>
      <c r="E213" s="98"/>
      <c r="F213" s="98"/>
      <c r="G213" s="98"/>
      <c r="H213" s="98"/>
      <c r="I213" s="98"/>
      <c r="J213" s="98"/>
      <c r="K213" s="98"/>
    </row>
    <row r="214" ht="20.25" spans="1:11">
      <c r="A214" s="98"/>
      <c r="B214" s="98"/>
      <c r="C214" s="98"/>
      <c r="D214" s="98"/>
      <c r="E214" s="98"/>
      <c r="F214" s="98"/>
      <c r="G214" s="98"/>
      <c r="H214" s="98"/>
      <c r="I214" s="98"/>
      <c r="J214" s="98"/>
      <c r="K214" s="98"/>
    </row>
    <row r="215" ht="20.25" spans="1:11">
      <c r="A215" s="98"/>
      <c r="B215" s="98"/>
      <c r="C215" s="98"/>
      <c r="D215" s="98"/>
      <c r="E215" s="98"/>
      <c r="F215" s="98"/>
      <c r="G215" s="98"/>
      <c r="H215" s="98"/>
      <c r="I215" s="98"/>
      <c r="J215" s="98"/>
      <c r="K215" s="98"/>
    </row>
    <row r="216" ht="20.25" spans="1:11">
      <c r="A216" s="98"/>
      <c r="B216" s="98"/>
      <c r="C216" s="98"/>
      <c r="D216" s="98"/>
      <c r="E216" s="98"/>
      <c r="F216" s="98"/>
      <c r="G216" s="98"/>
      <c r="H216" s="98"/>
      <c r="I216" s="98"/>
      <c r="J216" s="98"/>
      <c r="K216" s="98"/>
    </row>
    <row r="217" ht="20.25" spans="1:11">
      <c r="A217" s="98"/>
      <c r="B217" s="98"/>
      <c r="C217" s="98"/>
      <c r="D217" s="98"/>
      <c r="E217" s="98"/>
      <c r="F217" s="98"/>
      <c r="G217" s="98"/>
      <c r="H217" s="98"/>
      <c r="I217" s="98"/>
      <c r="J217" s="98"/>
      <c r="K217" s="98"/>
    </row>
    <row r="218" ht="20.25" spans="1:11">
      <c r="A218" s="98"/>
      <c r="B218" s="98"/>
      <c r="C218" s="98"/>
      <c r="D218" s="98"/>
      <c r="E218" s="98"/>
      <c r="F218" s="98"/>
      <c r="G218" s="98"/>
      <c r="H218" s="98"/>
      <c r="I218" s="98"/>
      <c r="J218" s="98"/>
      <c r="K218" s="98"/>
    </row>
    <row r="219" ht="20.25" spans="1:11">
      <c r="A219" s="98"/>
      <c r="B219" s="98"/>
      <c r="C219" s="98"/>
      <c r="D219" s="98"/>
      <c r="E219" s="98"/>
      <c r="F219" s="98"/>
      <c r="G219" s="98"/>
      <c r="H219" s="98"/>
      <c r="I219" s="98"/>
      <c r="J219" s="98"/>
      <c r="K219" s="98"/>
    </row>
    <row r="220" ht="20.25" spans="1:11">
      <c r="A220" s="98"/>
      <c r="B220" s="98"/>
      <c r="C220" s="98"/>
      <c r="D220" s="98"/>
      <c r="E220" s="98"/>
      <c r="F220" s="98"/>
      <c r="G220" s="98"/>
      <c r="H220" s="98"/>
      <c r="I220" s="98"/>
      <c r="J220" s="98"/>
      <c r="K220" s="98"/>
    </row>
    <row r="221" ht="20.25" spans="1:11">
      <c r="A221" s="98"/>
      <c r="B221" s="98"/>
      <c r="C221" s="98"/>
      <c r="D221" s="98"/>
      <c r="E221" s="98"/>
      <c r="F221" s="98"/>
      <c r="G221" s="98"/>
      <c r="H221" s="98"/>
      <c r="I221" s="98"/>
      <c r="J221" s="98"/>
      <c r="K221" s="98"/>
    </row>
    <row r="222" ht="20.25" spans="1:11">
      <c r="A222" s="98"/>
      <c r="B222" s="98"/>
      <c r="C222" s="98"/>
      <c r="D222" s="98"/>
      <c r="E222" s="98"/>
      <c r="F222" s="98"/>
      <c r="G222" s="98"/>
      <c r="H222" s="98"/>
      <c r="I222" s="98"/>
      <c r="J222" s="98"/>
      <c r="K222" s="98"/>
    </row>
    <row r="223" ht="20.25" spans="1:11">
      <c r="A223" s="98"/>
      <c r="B223" s="98"/>
      <c r="C223" s="98"/>
      <c r="D223" s="98"/>
      <c r="E223" s="98"/>
      <c r="F223" s="98"/>
      <c r="G223" s="98"/>
      <c r="H223" s="98"/>
      <c r="I223" s="98"/>
      <c r="J223" s="98"/>
      <c r="K223" s="98"/>
    </row>
    <row r="224" ht="20.25" spans="1:11">
      <c r="A224" s="98"/>
      <c r="B224" s="98"/>
      <c r="C224" s="98"/>
      <c r="D224" s="98"/>
      <c r="E224" s="98"/>
      <c r="F224" s="98"/>
      <c r="G224" s="98"/>
      <c r="H224" s="98"/>
      <c r="I224" s="98"/>
      <c r="J224" s="98"/>
      <c r="K224" s="98"/>
    </row>
    <row r="225" ht="20.25" spans="1:11">
      <c r="A225" s="98"/>
      <c r="B225" s="98"/>
      <c r="C225" s="98"/>
      <c r="D225" s="98"/>
      <c r="E225" s="98"/>
      <c r="F225" s="98"/>
      <c r="G225" s="98"/>
      <c r="H225" s="98"/>
      <c r="I225" s="98"/>
      <c r="J225" s="98"/>
      <c r="K225" s="98"/>
    </row>
    <row r="226" ht="20.25" spans="1:11">
      <c r="A226" s="98"/>
      <c r="B226" s="98"/>
      <c r="C226" s="98"/>
      <c r="D226" s="98"/>
      <c r="E226" s="98"/>
      <c r="F226" s="98"/>
      <c r="G226" s="98"/>
      <c r="H226" s="98"/>
      <c r="I226" s="98"/>
      <c r="J226" s="98"/>
      <c r="K226" s="98"/>
    </row>
    <row r="227" ht="20.25" spans="1:11">
      <c r="A227" s="98"/>
      <c r="B227" s="98"/>
      <c r="C227" s="98"/>
      <c r="D227" s="98"/>
      <c r="E227" s="98"/>
      <c r="F227" s="98"/>
      <c r="G227" s="98"/>
      <c r="H227" s="98"/>
      <c r="I227" s="98"/>
      <c r="J227" s="98"/>
      <c r="K227" s="98"/>
    </row>
    <row r="228" ht="20.25" spans="1:11">
      <c r="A228" s="98"/>
      <c r="B228" s="98"/>
      <c r="C228" s="98"/>
      <c r="D228" s="98"/>
      <c r="E228" s="98"/>
      <c r="F228" s="98"/>
      <c r="G228" s="98"/>
      <c r="H228" s="98"/>
      <c r="I228" s="98"/>
      <c r="J228" s="98"/>
      <c r="K228" s="98"/>
    </row>
    <row r="229" ht="20.25" spans="1:11">
      <c r="A229" s="98"/>
      <c r="B229" s="98"/>
      <c r="C229" s="98"/>
      <c r="D229" s="98"/>
      <c r="E229" s="98"/>
      <c r="F229" s="98"/>
      <c r="G229" s="98"/>
      <c r="H229" s="98"/>
      <c r="I229" s="98"/>
      <c r="J229" s="98"/>
      <c r="K229" s="98"/>
    </row>
    <row r="230" ht="20.25" spans="1:11">
      <c r="A230" s="98"/>
      <c r="B230" s="98"/>
      <c r="C230" s="98"/>
      <c r="D230" s="98"/>
      <c r="E230" s="98"/>
      <c r="F230" s="98"/>
      <c r="G230" s="98"/>
      <c r="H230" s="98"/>
      <c r="I230" s="98"/>
      <c r="J230" s="98"/>
      <c r="K230" s="98"/>
    </row>
    <row r="231" ht="20.25" spans="1:11">
      <c r="A231" s="98"/>
      <c r="B231" s="98"/>
      <c r="C231" s="98"/>
      <c r="D231" s="98"/>
      <c r="E231" s="98"/>
      <c r="F231" s="98"/>
      <c r="G231" s="98"/>
      <c r="H231" s="98"/>
      <c r="I231" s="98"/>
      <c r="J231" s="98"/>
      <c r="K231" s="98"/>
    </row>
    <row r="232" ht="20.25" spans="1:11">
      <c r="A232" s="98"/>
      <c r="B232" s="98"/>
      <c r="C232" s="98"/>
      <c r="D232" s="98"/>
      <c r="E232" s="98"/>
      <c r="F232" s="98"/>
      <c r="G232" s="98"/>
      <c r="H232" s="98"/>
      <c r="I232" s="98"/>
      <c r="J232" s="98"/>
      <c r="K232" s="98"/>
    </row>
    <row r="233" ht="20.25" spans="1:11">
      <c r="A233" s="98"/>
      <c r="B233" s="98"/>
      <c r="C233" s="98"/>
      <c r="D233" s="98"/>
      <c r="E233" s="98"/>
      <c r="F233" s="98"/>
      <c r="G233" s="98"/>
      <c r="H233" s="98"/>
      <c r="I233" s="98"/>
      <c r="J233" s="98"/>
      <c r="K233" s="98"/>
    </row>
    <row r="234" ht="20.25" spans="1:11">
      <c r="A234" s="98"/>
      <c r="B234" s="98"/>
      <c r="C234" s="98"/>
      <c r="D234" s="98"/>
      <c r="E234" s="98"/>
      <c r="F234" s="98"/>
      <c r="G234" s="98"/>
      <c r="H234" s="98"/>
      <c r="I234" s="98"/>
      <c r="J234" s="98"/>
      <c r="K234" s="98"/>
    </row>
    <row r="235" ht="20.25" spans="1:11">
      <c r="A235" s="98"/>
      <c r="B235" s="98"/>
      <c r="C235" s="98"/>
      <c r="D235" s="98"/>
      <c r="E235" s="98"/>
      <c r="F235" s="98"/>
      <c r="G235" s="98"/>
      <c r="H235" s="98"/>
      <c r="I235" s="98"/>
      <c r="J235" s="98"/>
      <c r="K235" s="98"/>
    </row>
    <row r="236" ht="20.25" spans="1:11">
      <c r="A236" s="98"/>
      <c r="B236" s="98"/>
      <c r="C236" s="98"/>
      <c r="D236" s="98"/>
      <c r="E236" s="98"/>
      <c r="F236" s="98"/>
      <c r="G236" s="98"/>
      <c r="H236" s="98"/>
      <c r="I236" s="98"/>
      <c r="J236" s="98"/>
      <c r="K236" s="98"/>
    </row>
    <row r="237" ht="20.25" spans="1:11">
      <c r="A237" s="98"/>
      <c r="B237" s="98"/>
      <c r="C237" s="98"/>
      <c r="D237" s="98"/>
      <c r="E237" s="98"/>
      <c r="F237" s="98"/>
      <c r="G237" s="98"/>
      <c r="H237" s="98"/>
      <c r="I237" s="98"/>
      <c r="J237" s="98"/>
      <c r="K237" s="98"/>
    </row>
    <row r="238" ht="20.25" spans="1:11">
      <c r="A238" s="98"/>
      <c r="B238" s="98"/>
      <c r="C238" s="98"/>
      <c r="D238" s="98"/>
      <c r="E238" s="98"/>
      <c r="F238" s="98"/>
      <c r="G238" s="98"/>
      <c r="H238" s="98"/>
      <c r="I238" s="98"/>
      <c r="J238" s="98"/>
      <c r="K238" s="98"/>
    </row>
    <row r="239" ht="20.25" spans="1:11">
      <c r="A239" s="98"/>
      <c r="B239" s="98"/>
      <c r="C239" s="98"/>
      <c r="D239" s="98"/>
      <c r="E239" s="98"/>
      <c r="F239" s="98"/>
      <c r="G239" s="98"/>
      <c r="H239" s="98"/>
      <c r="I239" s="98"/>
      <c r="J239" s="98"/>
      <c r="K239" s="98"/>
    </row>
    <row r="240" ht="20.25" spans="1:11">
      <c r="A240" s="98"/>
      <c r="B240" s="98"/>
      <c r="C240" s="98"/>
      <c r="D240" s="98"/>
      <c r="E240" s="98"/>
      <c r="F240" s="98"/>
      <c r="G240" s="98"/>
      <c r="H240" s="98"/>
      <c r="I240" s="98"/>
      <c r="J240" s="98"/>
      <c r="K240" s="98"/>
    </row>
    <row r="241" ht="20.25" spans="1:11">
      <c r="A241" s="98"/>
      <c r="B241" s="98"/>
      <c r="C241" s="98"/>
      <c r="D241" s="98"/>
      <c r="E241" s="98"/>
      <c r="F241" s="98"/>
      <c r="G241" s="98"/>
      <c r="H241" s="98"/>
      <c r="I241" s="98"/>
      <c r="J241" s="98"/>
      <c r="K241" s="98"/>
    </row>
    <row r="242" ht="20.25" spans="1:11">
      <c r="A242" s="98"/>
      <c r="B242" s="98"/>
      <c r="C242" s="98"/>
      <c r="D242" s="98"/>
      <c r="E242" s="98"/>
      <c r="F242" s="98"/>
      <c r="G242" s="98"/>
      <c r="H242" s="98"/>
      <c r="I242" s="98"/>
      <c r="J242" s="98"/>
      <c r="K242" s="98"/>
    </row>
    <row r="243" ht="20.25" spans="1:11">
      <c r="A243" s="98"/>
      <c r="B243" s="98"/>
      <c r="C243" s="98"/>
      <c r="D243" s="98"/>
      <c r="E243" s="98"/>
      <c r="F243" s="98"/>
      <c r="G243" s="98"/>
      <c r="H243" s="98"/>
      <c r="I243" s="98"/>
      <c r="J243" s="98"/>
      <c r="K243" s="98"/>
    </row>
    <row r="244" ht="20.25" spans="1:11">
      <c r="A244" s="98"/>
      <c r="B244" s="98"/>
      <c r="C244" s="98"/>
      <c r="D244" s="98"/>
      <c r="E244" s="98"/>
      <c r="F244" s="98"/>
      <c r="G244" s="98"/>
      <c r="H244" s="98"/>
      <c r="I244" s="98"/>
      <c r="J244" s="98"/>
      <c r="K244" s="98"/>
    </row>
    <row r="245" ht="20.25" spans="1:11">
      <c r="A245" s="98"/>
      <c r="B245" s="98"/>
      <c r="C245" s="98"/>
      <c r="D245" s="98"/>
      <c r="E245" s="98"/>
      <c r="F245" s="98"/>
      <c r="G245" s="98"/>
      <c r="H245" s="98"/>
      <c r="I245" s="98"/>
      <c r="J245" s="98"/>
      <c r="K245" s="98"/>
    </row>
    <row r="246" ht="20.25" spans="1:11">
      <c r="A246" s="98"/>
      <c r="B246" s="98"/>
      <c r="C246" s="98"/>
      <c r="D246" s="98"/>
      <c r="E246" s="98"/>
      <c r="F246" s="98"/>
      <c r="G246" s="98"/>
      <c r="H246" s="98"/>
      <c r="I246" s="98"/>
      <c r="J246" s="98"/>
      <c r="K246" s="98"/>
    </row>
    <row r="247" ht="20.25" spans="1:11">
      <c r="A247" s="98"/>
      <c r="B247" s="98"/>
      <c r="C247" s="98"/>
      <c r="D247" s="98"/>
      <c r="E247" s="98"/>
      <c r="F247" s="98"/>
      <c r="G247" s="98"/>
      <c r="H247" s="98"/>
      <c r="I247" s="98"/>
      <c r="J247" s="98"/>
      <c r="K247" s="98"/>
    </row>
    <row r="248" ht="20.25" spans="1:11">
      <c r="A248" s="98"/>
      <c r="B248" s="98"/>
      <c r="C248" s="98"/>
      <c r="D248" s="98"/>
      <c r="E248" s="98"/>
      <c r="F248" s="98"/>
      <c r="G248" s="98"/>
      <c r="H248" s="98"/>
      <c r="I248" s="98"/>
      <c r="J248" s="98"/>
      <c r="K248" s="98"/>
    </row>
    <row r="249" ht="20.25" spans="1:11">
      <c r="A249" s="98"/>
      <c r="B249" s="98"/>
      <c r="C249" s="98"/>
      <c r="D249" s="98"/>
      <c r="E249" s="98"/>
      <c r="F249" s="98"/>
      <c r="G249" s="98"/>
      <c r="H249" s="98"/>
      <c r="I249" s="98"/>
      <c r="J249" s="98"/>
      <c r="K249" s="98"/>
    </row>
    <row r="250" ht="20.25" spans="1:11">
      <c r="A250" s="98"/>
      <c r="B250" s="98"/>
      <c r="C250" s="98"/>
      <c r="D250" s="98"/>
      <c r="E250" s="98"/>
      <c r="F250" s="98"/>
      <c r="G250" s="98"/>
      <c r="H250" s="98"/>
      <c r="I250" s="98"/>
      <c r="J250" s="98"/>
      <c r="K250" s="98"/>
    </row>
    <row r="251" ht="20.25" spans="1:11">
      <c r="A251" s="98"/>
      <c r="B251" s="98"/>
      <c r="C251" s="98"/>
      <c r="D251" s="98"/>
      <c r="E251" s="98"/>
      <c r="F251" s="98"/>
      <c r="G251" s="98"/>
      <c r="H251" s="98"/>
      <c r="I251" s="98"/>
      <c r="J251" s="98"/>
      <c r="K251" s="98"/>
    </row>
    <row r="252" ht="20.25" spans="1:11">
      <c r="A252" s="98"/>
      <c r="B252" s="98"/>
      <c r="C252" s="98"/>
      <c r="D252" s="98"/>
      <c r="E252" s="98"/>
      <c r="F252" s="98"/>
      <c r="G252" s="98"/>
      <c r="H252" s="98"/>
      <c r="I252" s="98"/>
      <c r="J252" s="98"/>
      <c r="K252" s="98"/>
    </row>
    <row r="253" ht="20.25" spans="1:11">
      <c r="A253" s="98"/>
      <c r="B253" s="98"/>
      <c r="C253" s="98"/>
      <c r="D253" s="98"/>
      <c r="E253" s="98"/>
      <c r="F253" s="98"/>
      <c r="G253" s="98"/>
      <c r="H253" s="98"/>
      <c r="I253" s="98"/>
      <c r="J253" s="98"/>
      <c r="K253" s="98"/>
    </row>
    <row r="254" ht="20.25" spans="1:11">
      <c r="A254" s="98"/>
      <c r="B254" s="98"/>
      <c r="C254" s="98"/>
      <c r="D254" s="98"/>
      <c r="E254" s="98"/>
      <c r="F254" s="98"/>
      <c r="G254" s="98"/>
      <c r="H254" s="98"/>
      <c r="I254" s="98"/>
      <c r="J254" s="98"/>
      <c r="K254" s="98"/>
    </row>
    <row r="255" ht="20.25" spans="1:11">
      <c r="A255" s="98"/>
      <c r="B255" s="98"/>
      <c r="C255" s="98"/>
      <c r="D255" s="98"/>
      <c r="E255" s="98"/>
      <c r="F255" s="98"/>
      <c r="G255" s="98"/>
      <c r="H255" s="98"/>
      <c r="I255" s="98"/>
      <c r="J255" s="98"/>
      <c r="K255" s="98"/>
    </row>
    <row r="256" ht="20.25" spans="1:11">
      <c r="A256" s="98"/>
      <c r="B256" s="98"/>
      <c r="C256" s="98"/>
      <c r="D256" s="98"/>
      <c r="E256" s="98"/>
      <c r="F256" s="98"/>
      <c r="G256" s="98"/>
      <c r="H256" s="98"/>
      <c r="I256" s="98"/>
      <c r="J256" s="98"/>
      <c r="K256" s="98"/>
    </row>
    <row r="257" ht="20.25" spans="1:11">
      <c r="A257" s="98"/>
      <c r="B257" s="98"/>
      <c r="C257" s="98"/>
      <c r="D257" s="98"/>
      <c r="E257" s="98"/>
      <c r="F257" s="98"/>
      <c r="G257" s="98"/>
      <c r="H257" s="98"/>
      <c r="I257" s="98"/>
      <c r="J257" s="98"/>
      <c r="K257" s="98"/>
    </row>
    <row r="258" ht="20.25" spans="1:11">
      <c r="A258" s="98"/>
      <c r="B258" s="98"/>
      <c r="C258" s="98"/>
      <c r="D258" s="98"/>
      <c r="E258" s="98"/>
      <c r="F258" s="98"/>
      <c r="G258" s="98"/>
      <c r="H258" s="98"/>
      <c r="I258" s="98"/>
      <c r="J258" s="98"/>
      <c r="K258" s="98"/>
    </row>
    <row r="259" ht="20.25" spans="1:11">
      <c r="A259" s="98"/>
      <c r="B259" s="98"/>
      <c r="C259" s="98"/>
      <c r="D259" s="98"/>
      <c r="E259" s="98"/>
      <c r="F259" s="98"/>
      <c r="G259" s="98"/>
      <c r="H259" s="98"/>
      <c r="I259" s="98"/>
      <c r="J259" s="98"/>
      <c r="K259" s="98"/>
    </row>
    <row r="260" ht="20.25" spans="1:11">
      <c r="A260" s="98"/>
      <c r="B260" s="98"/>
      <c r="C260" s="98"/>
      <c r="D260" s="98"/>
      <c r="E260" s="98"/>
      <c r="F260" s="98"/>
      <c r="G260" s="98"/>
      <c r="H260" s="98"/>
      <c r="I260" s="98"/>
      <c r="J260" s="98"/>
      <c r="K260" s="98"/>
    </row>
    <row r="261" ht="20.25" spans="1:11">
      <c r="A261" s="98"/>
      <c r="B261" s="98"/>
      <c r="C261" s="98"/>
      <c r="D261" s="98"/>
      <c r="E261" s="98"/>
      <c r="F261" s="98"/>
      <c r="G261" s="98"/>
      <c r="H261" s="98"/>
      <c r="I261" s="98"/>
      <c r="J261" s="98"/>
      <c r="K261" s="98"/>
    </row>
    <row r="262" ht="20.25" spans="1:11">
      <c r="A262" s="98"/>
      <c r="B262" s="98"/>
      <c r="C262" s="98"/>
      <c r="D262" s="98"/>
      <c r="E262" s="98"/>
      <c r="F262" s="98"/>
      <c r="G262" s="98"/>
      <c r="H262" s="98"/>
      <c r="I262" s="98"/>
      <c r="J262" s="98"/>
      <c r="K262" s="98"/>
    </row>
    <row r="263" ht="20.25" spans="1:11">
      <c r="A263" s="98"/>
      <c r="B263" s="98"/>
      <c r="C263" s="98"/>
      <c r="D263" s="98"/>
      <c r="E263" s="98"/>
      <c r="F263" s="98"/>
      <c r="G263" s="98"/>
      <c r="H263" s="98"/>
      <c r="I263" s="98"/>
      <c r="J263" s="98"/>
      <c r="K263" s="98"/>
    </row>
    <row r="264" ht="20.25" spans="1:11">
      <c r="A264" s="98"/>
      <c r="B264" s="98"/>
      <c r="C264" s="98"/>
      <c r="D264" s="98"/>
      <c r="E264" s="98"/>
      <c r="F264" s="98"/>
      <c r="G264" s="98"/>
      <c r="H264" s="98"/>
      <c r="I264" s="98"/>
      <c r="J264" s="98"/>
      <c r="K264" s="98"/>
    </row>
    <row r="265" ht="20.25" spans="1:11">
      <c r="A265" s="98"/>
      <c r="B265" s="98"/>
      <c r="C265" s="98"/>
      <c r="D265" s="98"/>
      <c r="E265" s="98"/>
      <c r="F265" s="98"/>
      <c r="G265" s="98"/>
      <c r="H265" s="98"/>
      <c r="I265" s="98"/>
      <c r="J265" s="98"/>
      <c r="K265" s="98"/>
    </row>
    <row r="266" ht="20.25" spans="1:11">
      <c r="A266" s="98"/>
      <c r="B266" s="98"/>
      <c r="C266" s="98"/>
      <c r="D266" s="98"/>
      <c r="E266" s="98"/>
      <c r="F266" s="98"/>
      <c r="G266" s="98"/>
      <c r="H266" s="98"/>
      <c r="I266" s="98"/>
      <c r="J266" s="98"/>
      <c r="K266" s="98"/>
    </row>
    <row r="267" ht="20.25" spans="1:11">
      <c r="A267" s="98"/>
      <c r="B267" s="98"/>
      <c r="C267" s="98"/>
      <c r="D267" s="98"/>
      <c r="E267" s="98"/>
      <c r="F267" s="98"/>
      <c r="G267" s="98"/>
      <c r="H267" s="98"/>
      <c r="I267" s="98"/>
      <c r="J267" s="98"/>
      <c r="K267" s="98"/>
    </row>
    <row r="268" ht="20.25" spans="1:11">
      <c r="A268" s="98"/>
      <c r="B268" s="98"/>
      <c r="C268" s="98"/>
      <c r="D268" s="98"/>
      <c r="E268" s="98"/>
      <c r="F268" s="98"/>
      <c r="G268" s="98"/>
      <c r="H268" s="98"/>
      <c r="I268" s="98"/>
      <c r="J268" s="98"/>
      <c r="K268" s="98"/>
    </row>
    <row r="269" ht="20.25" spans="1:11">
      <c r="A269" s="98"/>
      <c r="B269" s="98"/>
      <c r="C269" s="98"/>
      <c r="D269" s="98"/>
      <c r="E269" s="98"/>
      <c r="F269" s="98"/>
      <c r="G269" s="98"/>
      <c r="H269" s="98"/>
      <c r="I269" s="98"/>
      <c r="J269" s="98"/>
      <c r="K269" s="98"/>
    </row>
    <row r="270" ht="20.25" spans="1:11">
      <c r="A270" s="98"/>
      <c r="B270" s="98"/>
      <c r="C270" s="98"/>
      <c r="D270" s="98"/>
      <c r="E270" s="98"/>
      <c r="F270" s="98"/>
      <c r="G270" s="98"/>
      <c r="H270" s="98"/>
      <c r="I270" s="98"/>
      <c r="J270" s="98"/>
      <c r="K270" s="98"/>
    </row>
    <row r="271" ht="20.25" spans="1:11">
      <c r="A271" s="98"/>
      <c r="B271" s="98"/>
      <c r="C271" s="98"/>
      <c r="D271" s="98"/>
      <c r="E271" s="98"/>
      <c r="F271" s="98"/>
      <c r="G271" s="98"/>
      <c r="H271" s="98"/>
      <c r="I271" s="98"/>
      <c r="J271" s="98"/>
      <c r="K271" s="98"/>
    </row>
    <row r="272" ht="20.25" spans="1:11">
      <c r="A272" s="98"/>
      <c r="B272" s="98"/>
      <c r="C272" s="98"/>
      <c r="D272" s="98"/>
      <c r="E272" s="98"/>
      <c r="F272" s="98"/>
      <c r="G272" s="98"/>
      <c r="H272" s="98"/>
      <c r="I272" s="98"/>
      <c r="J272" s="98"/>
      <c r="K272" s="98"/>
    </row>
    <row r="273" ht="20.25" spans="1:11">
      <c r="A273" s="98"/>
      <c r="B273" s="98"/>
      <c r="C273" s="98"/>
      <c r="D273" s="98"/>
      <c r="E273" s="98"/>
      <c r="F273" s="98"/>
      <c r="G273" s="98"/>
      <c r="H273" s="98"/>
      <c r="I273" s="98"/>
      <c r="J273" s="98"/>
      <c r="K273" s="98"/>
    </row>
    <row r="274" ht="20.25" spans="1:11">
      <c r="A274" s="98"/>
      <c r="B274" s="98"/>
      <c r="C274" s="98"/>
      <c r="D274" s="98"/>
      <c r="E274" s="98"/>
      <c r="F274" s="98"/>
      <c r="G274" s="98"/>
      <c r="H274" s="98"/>
      <c r="I274" s="98"/>
      <c r="J274" s="98"/>
      <c r="K274" s="98"/>
    </row>
    <row r="275" ht="20.25" spans="1:11">
      <c r="A275" s="98"/>
      <c r="B275" s="98"/>
      <c r="C275" s="98"/>
      <c r="D275" s="98"/>
      <c r="E275" s="98"/>
      <c r="F275" s="98"/>
      <c r="G275" s="98"/>
      <c r="H275" s="98"/>
      <c r="I275" s="98"/>
      <c r="J275" s="98"/>
      <c r="K275" s="98"/>
    </row>
    <row r="276" ht="20.25" spans="1:11">
      <c r="A276" s="98"/>
      <c r="B276" s="98"/>
      <c r="C276" s="98"/>
      <c r="D276" s="98"/>
      <c r="E276" s="98"/>
      <c r="F276" s="98"/>
      <c r="G276" s="98"/>
      <c r="H276" s="98"/>
      <c r="I276" s="98"/>
      <c r="J276" s="98"/>
      <c r="K276" s="98"/>
    </row>
    <row r="277" ht="20.25" spans="1:11">
      <c r="A277" s="98"/>
      <c r="B277" s="98"/>
      <c r="C277" s="98"/>
      <c r="D277" s="98"/>
      <c r="E277" s="98"/>
      <c r="F277" s="98"/>
      <c r="G277" s="98"/>
      <c r="H277" s="98"/>
      <c r="I277" s="98"/>
      <c r="J277" s="98"/>
      <c r="K277" s="98"/>
    </row>
    <row r="278" ht="20.25" spans="1:11">
      <c r="A278" s="98"/>
      <c r="B278" s="98"/>
      <c r="C278" s="98"/>
      <c r="D278" s="98"/>
      <c r="E278" s="98"/>
      <c r="F278" s="98"/>
      <c r="G278" s="98"/>
      <c r="H278" s="98"/>
      <c r="I278" s="98"/>
      <c r="J278" s="98"/>
      <c r="K278" s="98"/>
    </row>
    <row r="279" ht="20.25" spans="1:11">
      <c r="A279" s="98"/>
      <c r="B279" s="98"/>
      <c r="C279" s="98"/>
      <c r="D279" s="98"/>
      <c r="E279" s="98"/>
      <c r="F279" s="98"/>
      <c r="G279" s="98"/>
      <c r="H279" s="98"/>
      <c r="I279" s="98"/>
      <c r="J279" s="98"/>
      <c r="K279" s="98"/>
    </row>
    <row r="280" ht="20.25" spans="1:11">
      <c r="A280" s="98"/>
      <c r="B280" s="98"/>
      <c r="C280" s="98"/>
      <c r="D280" s="98"/>
      <c r="E280" s="98"/>
      <c r="F280" s="98"/>
      <c r="G280" s="98"/>
      <c r="H280" s="98"/>
      <c r="I280" s="98"/>
      <c r="J280" s="98"/>
      <c r="K280" s="98"/>
    </row>
    <row r="281" ht="20.25" spans="1:11">
      <c r="A281" s="98"/>
      <c r="B281" s="98"/>
      <c r="C281" s="98"/>
      <c r="D281" s="98"/>
      <c r="E281" s="98"/>
      <c r="F281" s="98"/>
      <c r="G281" s="98"/>
      <c r="H281" s="98"/>
      <c r="I281" s="98"/>
      <c r="J281" s="98"/>
      <c r="K281" s="98"/>
    </row>
    <row r="282" ht="20.25" spans="1:11">
      <c r="A282" s="98"/>
      <c r="B282" s="98"/>
      <c r="C282" s="98"/>
      <c r="D282" s="98"/>
      <c r="E282" s="98"/>
      <c r="F282" s="98"/>
      <c r="G282" s="98"/>
      <c r="H282" s="98"/>
      <c r="I282" s="98"/>
      <c r="J282" s="98"/>
      <c r="K282" s="98"/>
    </row>
    <row r="283" ht="20.25" spans="1:11">
      <c r="A283" s="98"/>
      <c r="B283" s="98"/>
      <c r="C283" s="98"/>
      <c r="D283" s="98"/>
      <c r="E283" s="98"/>
      <c r="F283" s="98"/>
      <c r="G283" s="98"/>
      <c r="H283" s="98"/>
      <c r="I283" s="98"/>
      <c r="J283" s="98"/>
      <c r="K283" s="98"/>
    </row>
    <row r="284" ht="20.25" spans="1:11">
      <c r="A284" s="98"/>
      <c r="B284" s="98"/>
      <c r="C284" s="98"/>
      <c r="D284" s="98"/>
      <c r="E284" s="98"/>
      <c r="F284" s="98"/>
      <c r="G284" s="98"/>
      <c r="H284" s="98"/>
      <c r="I284" s="98"/>
      <c r="J284" s="98"/>
      <c r="K284" s="98"/>
    </row>
    <row r="285" ht="20.25" spans="1:11">
      <c r="A285" s="98"/>
      <c r="B285" s="98"/>
      <c r="C285" s="98"/>
      <c r="D285" s="98"/>
      <c r="E285" s="98"/>
      <c r="F285" s="98"/>
      <c r="G285" s="98"/>
      <c r="H285" s="98"/>
      <c r="I285" s="98"/>
      <c r="J285" s="98"/>
      <c r="K285" s="98"/>
    </row>
    <row r="286" ht="20.25" spans="1:11">
      <c r="A286" s="98"/>
      <c r="B286" s="98"/>
      <c r="C286" s="98"/>
      <c r="D286" s="98"/>
      <c r="E286" s="98"/>
      <c r="F286" s="98"/>
      <c r="G286" s="98"/>
      <c r="H286" s="98"/>
      <c r="I286" s="98"/>
      <c r="J286" s="98"/>
      <c r="K286" s="98"/>
    </row>
    <row r="287" ht="20.25" spans="1:11">
      <c r="A287" s="98"/>
      <c r="B287" s="98"/>
      <c r="C287" s="98"/>
      <c r="D287" s="98"/>
      <c r="E287" s="98"/>
      <c r="F287" s="98"/>
      <c r="G287" s="98"/>
      <c r="H287" s="98"/>
      <c r="I287" s="98"/>
      <c r="J287" s="98"/>
      <c r="K287" s="98"/>
    </row>
    <row r="288" ht="20.25" spans="1:11">
      <c r="A288" s="98"/>
      <c r="B288" s="98"/>
      <c r="C288" s="98"/>
      <c r="D288" s="98"/>
      <c r="E288" s="98"/>
      <c r="F288" s="98"/>
      <c r="G288" s="98"/>
      <c r="H288" s="98"/>
      <c r="I288" s="98"/>
      <c r="J288" s="98"/>
      <c r="K288" s="98"/>
    </row>
    <row r="289" ht="20.25" spans="1:11">
      <c r="A289" s="98"/>
      <c r="B289" s="98"/>
      <c r="C289" s="98"/>
      <c r="D289" s="98"/>
      <c r="E289" s="98"/>
      <c r="F289" s="98"/>
      <c r="G289" s="98"/>
      <c r="H289" s="98"/>
      <c r="I289" s="98"/>
      <c r="J289" s="98"/>
      <c r="K289" s="98"/>
    </row>
    <row r="290" ht="20.25" spans="1:11">
      <c r="A290" s="98"/>
      <c r="B290" s="98"/>
      <c r="C290" s="98"/>
      <c r="D290" s="98"/>
      <c r="E290" s="98"/>
      <c r="F290" s="98"/>
      <c r="G290" s="98"/>
      <c r="H290" s="98"/>
      <c r="I290" s="98"/>
      <c r="J290" s="98"/>
      <c r="K290" s="98"/>
    </row>
    <row r="291" ht="20.25" spans="1:11">
      <c r="A291" s="98"/>
      <c r="B291" s="98"/>
      <c r="C291" s="98"/>
      <c r="D291" s="98"/>
      <c r="E291" s="98"/>
      <c r="F291" s="98"/>
      <c r="G291" s="98"/>
      <c r="H291" s="98"/>
      <c r="I291" s="98"/>
      <c r="J291" s="98"/>
      <c r="K291" s="98"/>
    </row>
    <row r="292" ht="20.25" spans="1:11">
      <c r="A292" s="98"/>
      <c r="B292" s="98"/>
      <c r="C292" s="98"/>
      <c r="D292" s="98"/>
      <c r="E292" s="98"/>
      <c r="F292" s="98"/>
      <c r="G292" s="98"/>
      <c r="H292" s="98"/>
      <c r="I292" s="98"/>
      <c r="J292" s="98"/>
      <c r="K292" s="98"/>
    </row>
    <row r="293" ht="20.25" spans="1:11">
      <c r="A293" s="98"/>
      <c r="B293" s="98"/>
      <c r="C293" s="98"/>
      <c r="D293" s="98"/>
      <c r="E293" s="98"/>
      <c r="F293" s="98"/>
      <c r="G293" s="98"/>
      <c r="H293" s="98"/>
      <c r="I293" s="98"/>
      <c r="J293" s="98"/>
      <c r="K293" s="98"/>
    </row>
    <row r="294" ht="20.25" spans="1:11">
      <c r="A294" s="98"/>
      <c r="B294" s="98"/>
      <c r="C294" s="98"/>
      <c r="D294" s="98"/>
      <c r="E294" s="98"/>
      <c r="F294" s="98"/>
      <c r="G294" s="98"/>
      <c r="H294" s="98"/>
      <c r="I294" s="98"/>
      <c r="J294" s="98"/>
      <c r="K294" s="98"/>
    </row>
    <row r="295" ht="20.25" spans="1:11">
      <c r="A295" s="98"/>
      <c r="B295" s="98"/>
      <c r="C295" s="98"/>
      <c r="D295" s="98"/>
      <c r="E295" s="98"/>
      <c r="F295" s="98"/>
      <c r="G295" s="98"/>
      <c r="H295" s="98"/>
      <c r="I295" s="98"/>
      <c r="J295" s="98"/>
      <c r="K295" s="98"/>
    </row>
    <row r="296" ht="20.25" spans="1:11">
      <c r="A296" s="98"/>
      <c r="B296" s="98"/>
      <c r="C296" s="98"/>
      <c r="D296" s="98"/>
      <c r="E296" s="98"/>
      <c r="F296" s="98"/>
      <c r="G296" s="98"/>
      <c r="H296" s="98"/>
      <c r="I296" s="98"/>
      <c r="J296" s="98"/>
      <c r="K296" s="98"/>
    </row>
    <row r="297" ht="20.25" spans="1:11">
      <c r="A297" s="98"/>
      <c r="B297" s="98"/>
      <c r="C297" s="98"/>
      <c r="D297" s="98"/>
      <c r="E297" s="98"/>
      <c r="F297" s="98"/>
      <c r="G297" s="98"/>
      <c r="H297" s="98"/>
      <c r="I297" s="98"/>
      <c r="J297" s="98"/>
      <c r="K297" s="98"/>
    </row>
    <row r="298" ht="20.25" spans="1:11">
      <c r="A298" s="98"/>
      <c r="B298" s="98"/>
      <c r="C298" s="98"/>
      <c r="D298" s="98"/>
      <c r="E298" s="98"/>
      <c r="F298" s="98"/>
      <c r="G298" s="98"/>
      <c r="H298" s="98"/>
      <c r="I298" s="98"/>
      <c r="J298" s="98"/>
      <c r="K298" s="98"/>
    </row>
    <row r="299" ht="20.25" spans="1:11">
      <c r="A299" s="98"/>
      <c r="B299" s="98"/>
      <c r="C299" s="98"/>
      <c r="D299" s="98"/>
      <c r="E299" s="98"/>
      <c r="F299" s="98"/>
      <c r="G299" s="98"/>
      <c r="H299" s="98"/>
      <c r="I299" s="98"/>
      <c r="J299" s="98"/>
      <c r="K299" s="98"/>
    </row>
    <row r="300" ht="20.25" spans="1:11">
      <c r="A300" s="98"/>
      <c r="B300" s="98"/>
      <c r="C300" s="98"/>
      <c r="D300" s="98"/>
      <c r="E300" s="98"/>
      <c r="F300" s="98"/>
      <c r="G300" s="98"/>
      <c r="H300" s="98"/>
      <c r="I300" s="98"/>
      <c r="J300" s="98"/>
      <c r="K300" s="98"/>
    </row>
    <row r="301" ht="20.25" spans="1:11">
      <c r="A301" s="98"/>
      <c r="B301" s="98"/>
      <c r="C301" s="98"/>
      <c r="D301" s="98"/>
      <c r="E301" s="98"/>
      <c r="F301" s="98"/>
      <c r="G301" s="98"/>
      <c r="H301" s="98"/>
      <c r="I301" s="98"/>
      <c r="J301" s="98"/>
      <c r="K301" s="98"/>
    </row>
    <row r="302" ht="20.25" spans="1:11">
      <c r="A302" s="98"/>
      <c r="B302" s="98"/>
      <c r="C302" s="98"/>
      <c r="D302" s="98"/>
      <c r="E302" s="98"/>
      <c r="F302" s="98"/>
      <c r="G302" s="98"/>
      <c r="H302" s="98"/>
      <c r="I302" s="98"/>
      <c r="J302" s="98"/>
      <c r="K302" s="98"/>
    </row>
    <row r="303" ht="20.25" spans="1:11">
      <c r="A303" s="98"/>
      <c r="B303" s="98"/>
      <c r="C303" s="98"/>
      <c r="D303" s="98"/>
      <c r="E303" s="98"/>
      <c r="F303" s="98"/>
      <c r="G303" s="98"/>
      <c r="H303" s="98"/>
      <c r="I303" s="98"/>
      <c r="J303" s="98"/>
      <c r="K303" s="98"/>
    </row>
    <row r="304" ht="20.25" spans="1:11">
      <c r="A304" s="98"/>
      <c r="B304" s="98"/>
      <c r="C304" s="98"/>
      <c r="D304" s="98"/>
      <c r="E304" s="98"/>
      <c r="F304" s="98"/>
      <c r="G304" s="98"/>
      <c r="H304" s="98"/>
      <c r="I304" s="98"/>
      <c r="J304" s="98"/>
      <c r="K304" s="98"/>
    </row>
    <row r="305" ht="20.25" spans="1:11">
      <c r="A305" s="98"/>
      <c r="B305" s="98"/>
      <c r="C305" s="98"/>
      <c r="D305" s="98"/>
      <c r="E305" s="98"/>
      <c r="F305" s="98"/>
      <c r="G305" s="98"/>
      <c r="H305" s="98"/>
      <c r="I305" s="98"/>
      <c r="J305" s="98"/>
      <c r="K305" s="98"/>
    </row>
    <row r="306" ht="20.25" spans="1:11">
      <c r="A306" s="98"/>
      <c r="B306" s="98"/>
      <c r="C306" s="98"/>
      <c r="D306" s="98"/>
      <c r="E306" s="98"/>
      <c r="F306" s="98"/>
      <c r="G306" s="98"/>
      <c r="H306" s="98"/>
      <c r="I306" s="98"/>
      <c r="J306" s="98"/>
      <c r="K306" s="98"/>
    </row>
    <row r="307" ht="20.25" spans="1:11">
      <c r="A307" s="98"/>
      <c r="B307" s="98"/>
      <c r="C307" s="98"/>
      <c r="D307" s="98"/>
      <c r="E307" s="98"/>
      <c r="F307" s="98"/>
      <c r="G307" s="98"/>
      <c r="H307" s="98"/>
      <c r="I307" s="98"/>
      <c r="J307" s="98"/>
      <c r="K307" s="98"/>
    </row>
    <row r="308" ht="20.25" spans="1:11">
      <c r="A308" s="98"/>
      <c r="B308" s="98"/>
      <c r="C308" s="98"/>
      <c r="D308" s="98"/>
      <c r="E308" s="98"/>
      <c r="F308" s="98"/>
      <c r="G308" s="98"/>
      <c r="H308" s="98"/>
      <c r="I308" s="98"/>
      <c r="J308" s="98"/>
      <c r="K308" s="98"/>
    </row>
    <row r="309" ht="20.25" spans="1:11">
      <c r="A309" s="98"/>
      <c r="B309" s="98"/>
      <c r="C309" s="98"/>
      <c r="D309" s="98"/>
      <c r="E309" s="98"/>
      <c r="F309" s="98"/>
      <c r="G309" s="98"/>
      <c r="H309" s="98"/>
      <c r="I309" s="98"/>
      <c r="J309" s="98"/>
      <c r="K309" s="98"/>
    </row>
    <row r="310" ht="20.25" spans="1:11">
      <c r="A310" s="98"/>
      <c r="B310" s="98"/>
      <c r="C310" s="98"/>
      <c r="D310" s="98"/>
      <c r="E310" s="98"/>
      <c r="F310" s="98"/>
      <c r="G310" s="98"/>
      <c r="H310" s="98"/>
      <c r="I310" s="98"/>
      <c r="J310" s="98"/>
      <c r="K310" s="98"/>
    </row>
    <row r="311" ht="20.25" spans="1:11">
      <c r="A311" s="98"/>
      <c r="B311" s="98"/>
      <c r="C311" s="98"/>
      <c r="D311" s="98"/>
      <c r="E311" s="98"/>
      <c r="F311" s="98"/>
      <c r="G311" s="98"/>
      <c r="H311" s="98"/>
      <c r="I311" s="98"/>
      <c r="J311" s="98"/>
      <c r="K311" s="98"/>
    </row>
    <row r="312" ht="20.25" spans="1:11">
      <c r="A312" s="98"/>
      <c r="B312" s="98"/>
      <c r="C312" s="98"/>
      <c r="D312" s="98"/>
      <c r="E312" s="98"/>
      <c r="F312" s="98"/>
      <c r="G312" s="98"/>
      <c r="H312" s="98"/>
      <c r="I312" s="98"/>
      <c r="J312" s="98"/>
      <c r="K312" s="98"/>
    </row>
    <row r="313" ht="20.25" spans="1:11">
      <c r="A313" s="98"/>
      <c r="B313" s="98"/>
      <c r="C313" s="98"/>
      <c r="D313" s="98"/>
      <c r="E313" s="98"/>
      <c r="F313" s="98"/>
      <c r="G313" s="98"/>
      <c r="H313" s="98"/>
      <c r="I313" s="98"/>
      <c r="J313" s="98"/>
      <c r="K313" s="98"/>
    </row>
    <row r="314" ht="20.25" spans="1:11">
      <c r="A314" s="98"/>
      <c r="B314" s="98"/>
      <c r="C314" s="98"/>
      <c r="D314" s="98"/>
      <c r="E314" s="98"/>
      <c r="F314" s="98"/>
      <c r="G314" s="98"/>
      <c r="H314" s="98"/>
      <c r="I314" s="98"/>
      <c r="J314" s="98"/>
      <c r="K314" s="98"/>
    </row>
    <row r="315" ht="20.25" spans="1:11">
      <c r="A315" s="98"/>
      <c r="B315" s="98"/>
      <c r="C315" s="98"/>
      <c r="D315" s="98"/>
      <c r="E315" s="98"/>
      <c r="F315" s="98"/>
      <c r="G315" s="98"/>
      <c r="H315" s="98"/>
      <c r="I315" s="98"/>
      <c r="J315" s="98"/>
      <c r="K315" s="98"/>
    </row>
    <row r="316" ht="20.25" spans="1:11">
      <c r="A316" s="98"/>
      <c r="B316" s="98"/>
      <c r="C316" s="98"/>
      <c r="D316" s="98"/>
      <c r="E316" s="98"/>
      <c r="F316" s="98"/>
      <c r="G316" s="98"/>
      <c r="H316" s="98"/>
      <c r="I316" s="98"/>
      <c r="J316" s="98"/>
      <c r="K316" s="98"/>
    </row>
    <row r="317" ht="20.25" spans="1:11">
      <c r="A317" s="98"/>
      <c r="B317" s="98"/>
      <c r="C317" s="98"/>
      <c r="D317" s="98"/>
      <c r="E317" s="98"/>
      <c r="F317" s="98"/>
      <c r="G317" s="98"/>
      <c r="H317" s="98"/>
      <c r="I317" s="98"/>
      <c r="J317" s="98"/>
      <c r="K317" s="98"/>
    </row>
    <row r="318" ht="20.25" spans="1:11">
      <c r="A318" s="98"/>
      <c r="B318" s="98"/>
      <c r="C318" s="98"/>
      <c r="D318" s="98"/>
      <c r="E318" s="98"/>
      <c r="F318" s="98"/>
      <c r="G318" s="98"/>
      <c r="H318" s="98"/>
      <c r="I318" s="98"/>
      <c r="J318" s="98"/>
      <c r="K318" s="98"/>
    </row>
    <row r="319" ht="20.25" spans="1:11">
      <c r="A319" s="98"/>
      <c r="B319" s="98"/>
      <c r="C319" s="98"/>
      <c r="D319" s="98"/>
      <c r="E319" s="98"/>
      <c r="F319" s="98"/>
      <c r="G319" s="98"/>
      <c r="H319" s="98"/>
      <c r="I319" s="98"/>
      <c r="J319" s="98"/>
      <c r="K319" s="98"/>
    </row>
    <row r="320" ht="20.25" spans="1:11">
      <c r="A320" s="98"/>
      <c r="B320" s="98"/>
      <c r="C320" s="98"/>
      <c r="D320" s="98"/>
      <c r="E320" s="98"/>
      <c r="F320" s="98"/>
      <c r="G320" s="98"/>
      <c r="H320" s="98"/>
      <c r="I320" s="98"/>
      <c r="J320" s="98"/>
      <c r="K320" s="98"/>
    </row>
    <row r="321" ht="20.25" spans="1:11">
      <c r="A321" s="98"/>
      <c r="B321" s="98"/>
      <c r="C321" s="98"/>
      <c r="D321" s="98"/>
      <c r="E321" s="98"/>
      <c r="F321" s="98"/>
      <c r="G321" s="98"/>
      <c r="H321" s="98"/>
      <c r="I321" s="98"/>
      <c r="J321" s="98"/>
      <c r="K321" s="98"/>
    </row>
    <row r="322" ht="20.25" spans="1:11">
      <c r="A322" s="98"/>
      <c r="B322" s="98"/>
      <c r="C322" s="98"/>
      <c r="D322" s="98"/>
      <c r="E322" s="98"/>
      <c r="F322" s="98"/>
      <c r="G322" s="98"/>
      <c r="H322" s="98"/>
      <c r="I322" s="98"/>
      <c r="J322" s="98"/>
      <c r="K322" s="98"/>
    </row>
    <row r="323" ht="20.25" spans="1:11">
      <c r="A323" s="98"/>
      <c r="B323" s="98"/>
      <c r="C323" s="98"/>
      <c r="D323" s="98"/>
      <c r="E323" s="98"/>
      <c r="F323" s="98"/>
      <c r="G323" s="98"/>
      <c r="H323" s="98"/>
      <c r="I323" s="98"/>
      <c r="J323" s="98"/>
      <c r="K323" s="98"/>
    </row>
    <row r="324" ht="20.25" spans="1:11">
      <c r="A324" s="98"/>
      <c r="B324" s="98"/>
      <c r="C324" s="98"/>
      <c r="D324" s="98"/>
      <c r="E324" s="98"/>
      <c r="F324" s="98"/>
      <c r="G324" s="98"/>
      <c r="H324" s="98"/>
      <c r="I324" s="98"/>
      <c r="J324" s="98"/>
      <c r="K324" s="98"/>
    </row>
    <row r="325" ht="20.25" spans="1:11">
      <c r="A325" s="98"/>
      <c r="B325" s="98"/>
      <c r="C325" s="98"/>
      <c r="D325" s="98"/>
      <c r="E325" s="98"/>
      <c r="F325" s="98"/>
      <c r="G325" s="98"/>
      <c r="H325" s="98"/>
      <c r="I325" s="98"/>
      <c r="J325" s="98"/>
      <c r="K325" s="98"/>
    </row>
    <row r="326" ht="20.25" spans="1:11">
      <c r="A326" s="98"/>
      <c r="B326" s="98"/>
      <c r="C326" s="98"/>
      <c r="D326" s="98"/>
      <c r="E326" s="98"/>
      <c r="F326" s="98"/>
      <c r="G326" s="98"/>
      <c r="H326" s="98"/>
      <c r="I326" s="98"/>
      <c r="J326" s="98"/>
      <c r="K326" s="98"/>
    </row>
    <row r="327" ht="20.25" spans="1:11">
      <c r="A327" s="98"/>
      <c r="B327" s="98"/>
      <c r="C327" s="98"/>
      <c r="D327" s="98"/>
      <c r="E327" s="98"/>
      <c r="F327" s="98"/>
      <c r="G327" s="98"/>
      <c r="H327" s="98"/>
      <c r="I327" s="98"/>
      <c r="J327" s="98"/>
      <c r="K327" s="98"/>
    </row>
    <row r="328" ht="20.25" spans="1:11">
      <c r="A328" s="98"/>
      <c r="B328" s="98"/>
      <c r="C328" s="98"/>
      <c r="D328" s="98"/>
      <c r="E328" s="98"/>
      <c r="F328" s="98"/>
      <c r="G328" s="98"/>
      <c r="H328" s="98"/>
      <c r="I328" s="98"/>
      <c r="J328" s="98"/>
      <c r="K328" s="98"/>
    </row>
    <row r="329" ht="20.25" spans="1:11">
      <c r="A329" s="98"/>
      <c r="B329" s="98"/>
      <c r="C329" s="98"/>
      <c r="D329" s="98"/>
      <c r="E329" s="98"/>
      <c r="F329" s="98"/>
      <c r="G329" s="98"/>
      <c r="H329" s="98"/>
      <c r="I329" s="98"/>
      <c r="J329" s="98"/>
      <c r="K329" s="98"/>
    </row>
    <row r="330" ht="20.25" spans="1:11">
      <c r="A330" s="98"/>
      <c r="B330" s="98"/>
      <c r="C330" s="98"/>
      <c r="D330" s="98"/>
      <c r="E330" s="98"/>
      <c r="F330" s="98"/>
      <c r="G330" s="98"/>
      <c r="H330" s="98"/>
      <c r="I330" s="98"/>
      <c r="J330" s="98"/>
      <c r="K330" s="98"/>
    </row>
    <row r="331" ht="20.25" spans="1:11">
      <c r="A331" s="98"/>
      <c r="B331" s="98"/>
      <c r="C331" s="98"/>
      <c r="D331" s="98"/>
      <c r="E331" s="98"/>
      <c r="F331" s="98"/>
      <c r="G331" s="98"/>
      <c r="H331" s="98"/>
      <c r="I331" s="98"/>
      <c r="J331" s="98"/>
      <c r="K331" s="98"/>
    </row>
    <row r="332" ht="20.25" spans="1:11">
      <c r="A332" s="98"/>
      <c r="B332" s="98"/>
      <c r="C332" s="98"/>
      <c r="D332" s="98"/>
      <c r="E332" s="98"/>
      <c r="F332" s="98"/>
      <c r="G332" s="98"/>
      <c r="H332" s="98"/>
      <c r="I332" s="98"/>
      <c r="J332" s="98"/>
      <c r="K332" s="98"/>
    </row>
    <row r="333" ht="20.25" spans="1:11">
      <c r="A333" s="98"/>
      <c r="B333" s="98"/>
      <c r="C333" s="98"/>
      <c r="D333" s="98"/>
      <c r="E333" s="98"/>
      <c r="F333" s="98"/>
      <c r="G333" s="98"/>
      <c r="H333" s="98"/>
      <c r="I333" s="98"/>
      <c r="J333" s="98"/>
      <c r="K333" s="98"/>
    </row>
    <row r="334" ht="20.25" spans="1:11">
      <c r="A334" s="98"/>
      <c r="B334" s="98"/>
      <c r="C334" s="98"/>
      <c r="D334" s="98"/>
      <c r="E334" s="98"/>
      <c r="F334" s="98"/>
      <c r="G334" s="98"/>
      <c r="H334" s="98"/>
      <c r="I334" s="98"/>
      <c r="J334" s="98"/>
      <c r="K334" s="98"/>
    </row>
    <row r="335" ht="20.25" spans="1:11">
      <c r="A335" s="98"/>
      <c r="B335" s="98"/>
      <c r="C335" s="98"/>
      <c r="D335" s="98"/>
      <c r="E335" s="98"/>
      <c r="F335" s="98"/>
      <c r="G335" s="98"/>
      <c r="H335" s="98"/>
      <c r="I335" s="98"/>
      <c r="J335" s="98"/>
      <c r="K335" s="98"/>
    </row>
    <row r="336" ht="20.25" spans="1:11">
      <c r="A336" s="98"/>
      <c r="B336" s="98"/>
      <c r="C336" s="98"/>
      <c r="D336" s="98"/>
      <c r="E336" s="98"/>
      <c r="F336" s="98"/>
      <c r="G336" s="98"/>
      <c r="H336" s="98"/>
      <c r="I336" s="98"/>
      <c r="J336" s="98"/>
      <c r="K336" s="98"/>
    </row>
    <row r="337" ht="20.25" spans="1:11">
      <c r="A337" s="98"/>
      <c r="B337" s="98"/>
      <c r="C337" s="98"/>
      <c r="D337" s="98"/>
      <c r="E337" s="98"/>
      <c r="F337" s="98"/>
      <c r="G337" s="98"/>
      <c r="H337" s="98"/>
      <c r="I337" s="98"/>
      <c r="J337" s="98"/>
      <c r="K337" s="98"/>
    </row>
    <row r="338" ht="20.25" spans="1:11">
      <c r="A338" s="98"/>
      <c r="B338" s="98"/>
      <c r="C338" s="98"/>
      <c r="D338" s="98"/>
      <c r="E338" s="98"/>
      <c r="F338" s="98"/>
      <c r="G338" s="98"/>
      <c r="H338" s="98"/>
      <c r="I338" s="98"/>
      <c r="J338" s="98"/>
      <c r="K338" s="98"/>
    </row>
    <row r="339" ht="20.25" spans="1:11">
      <c r="A339" s="98"/>
      <c r="B339" s="98"/>
      <c r="C339" s="98"/>
      <c r="D339" s="98"/>
      <c r="E339" s="98"/>
      <c r="F339" s="98"/>
      <c r="G339" s="98"/>
      <c r="H339" s="98"/>
      <c r="I339" s="98"/>
      <c r="J339" s="98"/>
      <c r="K339" s="98"/>
    </row>
    <row r="340" ht="20.25" spans="1:11">
      <c r="A340" s="98"/>
      <c r="B340" s="98"/>
      <c r="C340" s="98"/>
      <c r="D340" s="98"/>
      <c r="E340" s="98"/>
      <c r="F340" s="98"/>
      <c r="G340" s="98"/>
      <c r="H340" s="98"/>
      <c r="I340" s="98"/>
      <c r="J340" s="98"/>
      <c r="K340" s="98"/>
    </row>
    <row r="341" ht="20.25" spans="1:11">
      <c r="A341" s="98"/>
      <c r="B341" s="98"/>
      <c r="C341" s="98"/>
      <c r="D341" s="98"/>
      <c r="E341" s="98"/>
      <c r="F341" s="98"/>
      <c r="G341" s="98"/>
      <c r="H341" s="98"/>
      <c r="I341" s="98"/>
      <c r="J341" s="98"/>
      <c r="K341" s="98"/>
    </row>
    <row r="342" ht="20.25" spans="1:11">
      <c r="A342" s="98"/>
      <c r="B342" s="98"/>
      <c r="C342" s="98"/>
      <c r="D342" s="98"/>
      <c r="E342" s="98"/>
      <c r="F342" s="98"/>
      <c r="G342" s="98"/>
      <c r="H342" s="98"/>
      <c r="I342" s="98"/>
      <c r="J342" s="98"/>
      <c r="K342" s="98"/>
    </row>
    <row r="343" ht="20.25" spans="1:11">
      <c r="A343" s="98"/>
      <c r="B343" s="98"/>
      <c r="C343" s="98"/>
      <c r="D343" s="98"/>
      <c r="E343" s="98"/>
      <c r="F343" s="98"/>
      <c r="G343" s="98"/>
      <c r="H343" s="98"/>
      <c r="I343" s="98"/>
      <c r="J343" s="98"/>
      <c r="K343" s="98"/>
    </row>
    <row r="344" ht="20.25" spans="1:11">
      <c r="A344" s="98"/>
      <c r="B344" s="98"/>
      <c r="C344" s="98"/>
      <c r="D344" s="98"/>
      <c r="E344" s="98"/>
      <c r="F344" s="98"/>
      <c r="G344" s="98"/>
      <c r="H344" s="98"/>
      <c r="I344" s="98"/>
      <c r="J344" s="98"/>
      <c r="K344" s="98"/>
    </row>
    <row r="345" ht="20.25" spans="1:11">
      <c r="A345" s="98"/>
      <c r="B345" s="98"/>
      <c r="C345" s="98"/>
      <c r="D345" s="98"/>
      <c r="E345" s="98"/>
      <c r="F345" s="98"/>
      <c r="G345" s="98"/>
      <c r="H345" s="98"/>
      <c r="I345" s="98"/>
      <c r="J345" s="98"/>
      <c r="K345" s="98"/>
    </row>
    <row r="346" ht="20.25" spans="1:11">
      <c r="A346" s="98"/>
      <c r="B346" s="98"/>
      <c r="C346" s="98"/>
      <c r="D346" s="98"/>
      <c r="E346" s="98"/>
      <c r="F346" s="98"/>
      <c r="G346" s="98"/>
      <c r="H346" s="98"/>
      <c r="I346" s="98"/>
      <c r="J346" s="98"/>
      <c r="K346" s="98"/>
    </row>
    <row r="347" ht="20.25" spans="1:11">
      <c r="A347" s="98"/>
      <c r="B347" s="98"/>
      <c r="C347" s="98"/>
      <c r="D347" s="98"/>
      <c r="E347" s="98"/>
      <c r="F347" s="98"/>
      <c r="G347" s="98"/>
      <c r="H347" s="98"/>
      <c r="I347" s="98"/>
      <c r="J347" s="98"/>
      <c r="K347" s="98"/>
    </row>
    <row r="348" ht="20.25" spans="1:11">
      <c r="A348" s="98"/>
      <c r="B348" s="98"/>
      <c r="C348" s="98"/>
      <c r="D348" s="98"/>
      <c r="E348" s="98"/>
      <c r="F348" s="98"/>
      <c r="G348" s="98"/>
      <c r="H348" s="98"/>
      <c r="I348" s="98"/>
      <c r="J348" s="98"/>
      <c r="K348" s="98"/>
    </row>
    <row r="349" ht="20.25" spans="1:11">
      <c r="A349" s="98"/>
      <c r="B349" s="98"/>
      <c r="C349" s="98"/>
      <c r="D349" s="98"/>
      <c r="E349" s="98"/>
      <c r="F349" s="98"/>
      <c r="G349" s="98"/>
      <c r="H349" s="98"/>
      <c r="I349" s="98"/>
      <c r="J349" s="98"/>
      <c r="K349" s="98"/>
    </row>
    <row r="350" ht="20.25" spans="1:11">
      <c r="A350" s="98"/>
      <c r="B350" s="98"/>
      <c r="C350" s="98"/>
      <c r="D350" s="98"/>
      <c r="E350" s="98"/>
      <c r="F350" s="98"/>
      <c r="G350" s="98"/>
      <c r="H350" s="98"/>
      <c r="I350" s="98"/>
      <c r="J350" s="98"/>
      <c r="K350" s="98"/>
    </row>
    <row r="351" ht="20.25" spans="1:11">
      <c r="A351" s="98"/>
      <c r="B351" s="98"/>
      <c r="C351" s="98"/>
      <c r="D351" s="98"/>
      <c r="E351" s="98"/>
      <c r="F351" s="98"/>
      <c r="G351" s="98"/>
      <c r="H351" s="98"/>
      <c r="I351" s="98"/>
      <c r="J351" s="98"/>
      <c r="K351" s="98"/>
    </row>
    <row r="352" ht="20.25" spans="1:11">
      <c r="A352" s="98"/>
      <c r="B352" s="98"/>
      <c r="C352" s="98"/>
      <c r="D352" s="98"/>
      <c r="E352" s="98"/>
      <c r="F352" s="98"/>
      <c r="G352" s="98"/>
      <c r="H352" s="98"/>
      <c r="I352" s="98"/>
      <c r="J352" s="98"/>
      <c r="K352" s="98"/>
    </row>
    <row r="353" ht="20.25" spans="1:11">
      <c r="A353" s="98"/>
      <c r="B353" s="98"/>
      <c r="C353" s="98"/>
      <c r="D353" s="98"/>
      <c r="E353" s="98"/>
      <c r="F353" s="98"/>
      <c r="G353" s="98"/>
      <c r="H353" s="98"/>
      <c r="I353" s="98"/>
      <c r="J353" s="98"/>
      <c r="K353" s="98"/>
    </row>
    <row r="354" ht="20.25" spans="1:11">
      <c r="A354" s="98"/>
      <c r="B354" s="98"/>
      <c r="C354" s="98"/>
      <c r="D354" s="98"/>
      <c r="E354" s="98"/>
      <c r="F354" s="98"/>
      <c r="G354" s="98"/>
      <c r="H354" s="98"/>
      <c r="I354" s="98"/>
      <c r="J354" s="98"/>
      <c r="K354" s="98"/>
    </row>
    <row r="355" ht="20.25" spans="1:11">
      <c r="A355" s="98"/>
      <c r="B355" s="98"/>
      <c r="C355" s="98"/>
      <c r="D355" s="98"/>
      <c r="E355" s="98"/>
      <c r="F355" s="98"/>
      <c r="G355" s="98"/>
      <c r="H355" s="98"/>
      <c r="I355" s="98"/>
      <c r="J355" s="98"/>
      <c r="K355" s="98"/>
    </row>
    <row r="356" ht="20.25" spans="1:11">
      <c r="A356" s="98"/>
      <c r="B356" s="98"/>
      <c r="C356" s="98"/>
      <c r="D356" s="98"/>
      <c r="E356" s="98"/>
      <c r="F356" s="98"/>
      <c r="G356" s="98"/>
      <c r="H356" s="98"/>
      <c r="I356" s="98"/>
      <c r="J356" s="98"/>
      <c r="K356" s="98"/>
    </row>
    <row r="357" ht="20.25" spans="1:11">
      <c r="A357" s="98"/>
      <c r="B357" s="98"/>
      <c r="C357" s="98"/>
      <c r="D357" s="98"/>
      <c r="E357" s="98"/>
      <c r="F357" s="98"/>
      <c r="G357" s="98"/>
      <c r="H357" s="98"/>
      <c r="I357" s="98"/>
      <c r="J357" s="98"/>
      <c r="K357" s="98"/>
    </row>
    <row r="358" ht="20.25" spans="1:11">
      <c r="A358" s="98"/>
      <c r="B358" s="98"/>
      <c r="C358" s="98"/>
      <c r="D358" s="98"/>
      <c r="E358" s="98"/>
      <c r="F358" s="98"/>
      <c r="G358" s="98"/>
      <c r="H358" s="98"/>
      <c r="I358" s="98"/>
      <c r="J358" s="98"/>
      <c r="K358" s="98"/>
    </row>
    <row r="359" ht="20.25" spans="1:11">
      <c r="A359" s="98"/>
      <c r="B359" s="98"/>
      <c r="C359" s="98"/>
      <c r="D359" s="98"/>
      <c r="E359" s="98"/>
      <c r="F359" s="98"/>
      <c r="G359" s="98"/>
      <c r="H359" s="98"/>
      <c r="I359" s="98"/>
      <c r="J359" s="98"/>
      <c r="K359" s="98"/>
    </row>
    <row r="360" ht="20.25" spans="1:11">
      <c r="A360" s="98"/>
      <c r="B360" s="98"/>
      <c r="C360" s="98"/>
      <c r="D360" s="98"/>
      <c r="E360" s="98"/>
      <c r="F360" s="98"/>
      <c r="G360" s="98"/>
      <c r="H360" s="98"/>
      <c r="I360" s="98"/>
      <c r="J360" s="98"/>
      <c r="K360" s="98"/>
    </row>
    <row r="361" ht="20.25" spans="1:11">
      <c r="A361" s="98"/>
      <c r="B361" s="98"/>
      <c r="C361" s="98"/>
      <c r="D361" s="98"/>
      <c r="E361" s="98"/>
      <c r="F361" s="98"/>
      <c r="G361" s="98"/>
      <c r="H361" s="98"/>
      <c r="I361" s="98"/>
      <c r="J361" s="98"/>
      <c r="K361" s="98"/>
    </row>
    <row r="362" ht="20.25" spans="1:11">
      <c r="A362" s="98"/>
      <c r="B362" s="98"/>
      <c r="C362" s="98"/>
      <c r="D362" s="98"/>
      <c r="E362" s="98"/>
      <c r="F362" s="98"/>
      <c r="G362" s="98"/>
      <c r="H362" s="98"/>
      <c r="I362" s="98"/>
      <c r="J362" s="98"/>
      <c r="K362" s="98"/>
    </row>
    <row r="363" ht="20.25" spans="1:11">
      <c r="A363" s="98"/>
      <c r="B363" s="98"/>
      <c r="C363" s="98"/>
      <c r="D363" s="98"/>
      <c r="E363" s="98"/>
      <c r="F363" s="98"/>
      <c r="G363" s="98"/>
      <c r="H363" s="98"/>
      <c r="I363" s="98"/>
      <c r="J363" s="98"/>
      <c r="K363" s="98"/>
    </row>
    <row r="364" ht="20.25" spans="1:11">
      <c r="A364" s="98"/>
      <c r="B364" s="98"/>
      <c r="C364" s="98"/>
      <c r="D364" s="98"/>
      <c r="E364" s="98"/>
      <c r="F364" s="98"/>
      <c r="G364" s="98"/>
      <c r="H364" s="98"/>
      <c r="I364" s="98"/>
      <c r="J364" s="98"/>
      <c r="K364" s="98"/>
    </row>
    <row r="365" ht="20.25" spans="1:11">
      <c r="A365" s="98"/>
      <c r="B365" s="98"/>
      <c r="C365" s="98"/>
      <c r="D365" s="98"/>
      <c r="E365" s="98"/>
      <c r="F365" s="98"/>
      <c r="G365" s="98"/>
      <c r="H365" s="98"/>
      <c r="I365" s="98"/>
      <c r="J365" s="98"/>
      <c r="K365" s="98"/>
    </row>
    <row r="366" ht="20.25" spans="1:11">
      <c r="A366" s="98"/>
      <c r="B366" s="98"/>
      <c r="C366" s="98"/>
      <c r="D366" s="98"/>
      <c r="E366" s="98"/>
      <c r="F366" s="98"/>
      <c r="G366" s="98"/>
      <c r="H366" s="98"/>
      <c r="I366" s="98"/>
      <c r="J366" s="98"/>
      <c r="K366" s="98"/>
    </row>
    <row r="367" ht="20.25" spans="1:11">
      <c r="A367" s="98"/>
      <c r="B367" s="98"/>
      <c r="C367" s="98"/>
      <c r="D367" s="98"/>
      <c r="E367" s="98"/>
      <c r="F367" s="98"/>
      <c r="G367" s="98"/>
      <c r="H367" s="98"/>
      <c r="I367" s="98"/>
      <c r="J367" s="98"/>
      <c r="K367" s="98"/>
    </row>
    <row r="368" ht="20.25" spans="1:11">
      <c r="A368" s="98"/>
      <c r="B368" s="98"/>
      <c r="C368" s="98"/>
      <c r="D368" s="98"/>
      <c r="E368" s="98"/>
      <c r="F368" s="98"/>
      <c r="G368" s="98"/>
      <c r="H368" s="98"/>
      <c r="I368" s="98"/>
      <c r="J368" s="98"/>
      <c r="K368" s="98"/>
    </row>
    <row r="369" ht="20.25" spans="1:11">
      <c r="A369" s="98"/>
      <c r="B369" s="98"/>
      <c r="C369" s="98"/>
      <c r="D369" s="98"/>
      <c r="E369" s="98"/>
      <c r="F369" s="98"/>
      <c r="G369" s="98"/>
      <c r="H369" s="98"/>
      <c r="I369" s="98"/>
      <c r="J369" s="98"/>
      <c r="K369" s="98"/>
    </row>
    <row r="370" ht="20.25" spans="1:11">
      <c r="A370" s="98"/>
      <c r="B370" s="98"/>
      <c r="C370" s="98"/>
      <c r="D370" s="98"/>
      <c r="E370" s="98"/>
      <c r="F370" s="98"/>
      <c r="G370" s="98"/>
      <c r="H370" s="98"/>
      <c r="I370" s="98"/>
      <c r="J370" s="98"/>
      <c r="K370" s="98"/>
    </row>
    <row r="371" ht="20.25" spans="1:11">
      <c r="A371" s="98"/>
      <c r="B371" s="98"/>
      <c r="C371" s="98"/>
      <c r="D371" s="98"/>
      <c r="E371" s="98"/>
      <c r="F371" s="98"/>
      <c r="G371" s="98"/>
      <c r="H371" s="98"/>
      <c r="I371" s="98"/>
      <c r="J371" s="98"/>
      <c r="K371" s="98"/>
    </row>
    <row r="372" ht="20.25" spans="1:11">
      <c r="A372" s="98"/>
      <c r="B372" s="98"/>
      <c r="C372" s="98"/>
      <c r="D372" s="98"/>
      <c r="E372" s="98"/>
      <c r="F372" s="98"/>
      <c r="G372" s="98"/>
      <c r="H372" s="98"/>
      <c r="I372" s="98"/>
      <c r="J372" s="98"/>
      <c r="K372" s="98"/>
    </row>
    <row r="373" ht="20.25" spans="1:11">
      <c r="A373" s="98"/>
      <c r="B373" s="98"/>
      <c r="C373" s="98"/>
      <c r="D373" s="98"/>
      <c r="E373" s="98"/>
      <c r="F373" s="98"/>
      <c r="G373" s="98"/>
      <c r="H373" s="98"/>
      <c r="I373" s="98"/>
      <c r="J373" s="98"/>
      <c r="K373" s="98"/>
    </row>
    <row r="374" ht="20.25" spans="1:11">
      <c r="A374" s="98"/>
      <c r="B374" s="98"/>
      <c r="C374" s="98"/>
      <c r="D374" s="98"/>
      <c r="E374" s="98"/>
      <c r="F374" s="98"/>
      <c r="G374" s="98"/>
      <c r="H374" s="98"/>
      <c r="I374" s="98"/>
      <c r="J374" s="98"/>
      <c r="K374" s="98"/>
    </row>
    <row r="375" ht="20.25" spans="1:11">
      <c r="A375" s="98"/>
      <c r="B375" s="98"/>
      <c r="C375" s="98"/>
      <c r="D375" s="98"/>
      <c r="E375" s="98"/>
      <c r="F375" s="98"/>
      <c r="G375" s="98"/>
      <c r="H375" s="98"/>
      <c r="I375" s="98"/>
      <c r="J375" s="98"/>
      <c r="K375" s="98"/>
    </row>
    <row r="376" ht="20.25" spans="1:11">
      <c r="A376" s="98"/>
      <c r="B376" s="98"/>
      <c r="C376" s="98"/>
      <c r="D376" s="98"/>
      <c r="E376" s="98"/>
      <c r="F376" s="98"/>
      <c r="G376" s="98"/>
      <c r="H376" s="98"/>
      <c r="I376" s="98"/>
      <c r="J376" s="98"/>
      <c r="K376" s="98"/>
    </row>
    <row r="377" ht="20.25" spans="1:11">
      <c r="A377" s="98"/>
      <c r="B377" s="98"/>
      <c r="C377" s="98"/>
      <c r="D377" s="98"/>
      <c r="E377" s="98"/>
      <c r="F377" s="98"/>
      <c r="G377" s="98"/>
      <c r="H377" s="98"/>
      <c r="I377" s="98"/>
      <c r="J377" s="98"/>
      <c r="K377" s="98"/>
    </row>
    <row r="378" ht="20.25" spans="1:11">
      <c r="A378" s="98"/>
      <c r="B378" s="98"/>
      <c r="C378" s="98"/>
      <c r="D378" s="98"/>
      <c r="E378" s="98"/>
      <c r="F378" s="98"/>
      <c r="G378" s="98"/>
      <c r="H378" s="98"/>
      <c r="I378" s="98"/>
      <c r="J378" s="98"/>
      <c r="K378" s="98"/>
    </row>
    <row r="379" ht="20.25" spans="1:11">
      <c r="A379" s="98"/>
      <c r="B379" s="98"/>
      <c r="C379" s="98"/>
      <c r="D379" s="98"/>
      <c r="E379" s="98"/>
      <c r="F379" s="98"/>
      <c r="G379" s="98"/>
      <c r="H379" s="98"/>
      <c r="I379" s="98"/>
      <c r="J379" s="98"/>
      <c r="K379" s="98"/>
    </row>
    <row r="380" ht="20.25" spans="1:11">
      <c r="A380" s="98"/>
      <c r="B380" s="98"/>
      <c r="C380" s="98"/>
      <c r="D380" s="98"/>
      <c r="E380" s="98"/>
      <c r="F380" s="98"/>
      <c r="G380" s="98"/>
      <c r="H380" s="98"/>
      <c r="I380" s="98"/>
      <c r="J380" s="98"/>
      <c r="K380" s="98"/>
    </row>
    <row r="381" ht="20.25" spans="1:11">
      <c r="A381" s="98"/>
      <c r="B381" s="98"/>
      <c r="C381" s="98"/>
      <c r="D381" s="98"/>
      <c r="E381" s="98"/>
      <c r="F381" s="98"/>
      <c r="G381" s="98"/>
      <c r="H381" s="98"/>
      <c r="I381" s="98"/>
      <c r="J381" s="98"/>
      <c r="K381" s="98"/>
    </row>
    <row r="382" ht="20.25" spans="1:11">
      <c r="A382" s="98"/>
      <c r="B382" s="98"/>
      <c r="C382" s="98"/>
      <c r="D382" s="98"/>
      <c r="E382" s="98"/>
      <c r="F382" s="98"/>
      <c r="G382" s="98"/>
      <c r="H382" s="98"/>
      <c r="I382" s="98"/>
      <c r="J382" s="98"/>
      <c r="K382" s="98"/>
    </row>
    <row r="383" ht="20.25" spans="1:11">
      <c r="A383" s="98"/>
      <c r="B383" s="98"/>
      <c r="C383" s="98"/>
      <c r="D383" s="98"/>
      <c r="E383" s="98"/>
      <c r="F383" s="98"/>
      <c r="G383" s="98"/>
      <c r="H383" s="98"/>
      <c r="I383" s="98"/>
      <c r="J383" s="98"/>
      <c r="K383" s="98"/>
    </row>
    <row r="384" ht="20.25" spans="1:11">
      <c r="A384" s="98"/>
      <c r="B384" s="98"/>
      <c r="C384" s="98"/>
      <c r="D384" s="98"/>
      <c r="E384" s="98"/>
      <c r="F384" s="98"/>
      <c r="G384" s="98"/>
      <c r="H384" s="98"/>
      <c r="I384" s="98"/>
      <c r="J384" s="98"/>
      <c r="K384" s="98"/>
    </row>
    <row r="385" ht="20.25" spans="1:11">
      <c r="A385" s="98"/>
      <c r="B385" s="98"/>
      <c r="C385" s="98"/>
      <c r="D385" s="98"/>
      <c r="E385" s="98"/>
      <c r="F385" s="98"/>
      <c r="G385" s="98"/>
      <c r="H385" s="98"/>
      <c r="I385" s="98"/>
      <c r="J385" s="98"/>
      <c r="K385" s="98"/>
    </row>
    <row r="386" ht="20.25" spans="1:11">
      <c r="A386" s="98"/>
      <c r="B386" s="98"/>
      <c r="C386" s="98"/>
      <c r="D386" s="98"/>
      <c r="E386" s="98"/>
      <c r="F386" s="98"/>
      <c r="G386" s="98"/>
      <c r="H386" s="98"/>
      <c r="I386" s="98"/>
      <c r="J386" s="98"/>
      <c r="K386" s="98"/>
    </row>
    <row r="387" ht="20.25" spans="1:11">
      <c r="A387" s="98"/>
      <c r="B387" s="98"/>
      <c r="C387" s="98"/>
      <c r="D387" s="98"/>
      <c r="E387" s="98"/>
      <c r="F387" s="98"/>
      <c r="G387" s="98"/>
      <c r="H387" s="98"/>
      <c r="I387" s="98"/>
      <c r="J387" s="98"/>
      <c r="K387" s="98"/>
    </row>
    <row r="388" ht="20.25" spans="1:11">
      <c r="A388" s="98"/>
      <c r="B388" s="98"/>
      <c r="C388" s="98"/>
      <c r="D388" s="98"/>
      <c r="E388" s="98"/>
      <c r="F388" s="98"/>
      <c r="G388" s="98"/>
      <c r="H388" s="98"/>
      <c r="I388" s="98"/>
      <c r="J388" s="98"/>
      <c r="K388" s="98"/>
    </row>
    <row r="389" ht="20.25" spans="1:11">
      <c r="A389" s="98"/>
      <c r="B389" s="98"/>
      <c r="C389" s="98"/>
      <c r="D389" s="98"/>
      <c r="E389" s="98"/>
      <c r="F389" s="98"/>
      <c r="G389" s="98"/>
      <c r="H389" s="98"/>
      <c r="I389" s="98"/>
      <c r="J389" s="98"/>
      <c r="K389" s="98"/>
    </row>
    <row r="390" ht="20.25" spans="1:11">
      <c r="A390" s="98"/>
      <c r="B390" s="98"/>
      <c r="C390" s="98"/>
      <c r="D390" s="98"/>
      <c r="E390" s="98"/>
      <c r="F390" s="98"/>
      <c r="G390" s="98"/>
      <c r="H390" s="98"/>
      <c r="I390" s="98"/>
      <c r="J390" s="98"/>
      <c r="K390" s="98"/>
    </row>
    <row r="391" ht="20.25" spans="1:11">
      <c r="A391" s="98"/>
      <c r="B391" s="98"/>
      <c r="C391" s="98"/>
      <c r="D391" s="98"/>
      <c r="E391" s="98"/>
      <c r="F391" s="98"/>
      <c r="G391" s="98"/>
      <c r="H391" s="98"/>
      <c r="I391" s="98"/>
      <c r="J391" s="98"/>
      <c r="K391" s="98"/>
    </row>
    <row r="392" ht="20.25" spans="1:11">
      <c r="A392" s="98"/>
      <c r="B392" s="98"/>
      <c r="C392" s="98"/>
      <c r="D392" s="98"/>
      <c r="E392" s="98"/>
      <c r="F392" s="98"/>
      <c r="G392" s="98"/>
      <c r="H392" s="98"/>
      <c r="I392" s="98"/>
      <c r="J392" s="98"/>
      <c r="K392" s="98"/>
    </row>
    <row r="393" ht="20.25" spans="1:11">
      <c r="A393" s="98"/>
      <c r="B393" s="98"/>
      <c r="C393" s="98"/>
      <c r="D393" s="98"/>
      <c r="E393" s="98"/>
      <c r="F393" s="98"/>
      <c r="G393" s="98"/>
      <c r="H393" s="98"/>
      <c r="I393" s="98"/>
      <c r="J393" s="98"/>
      <c r="K393" s="98"/>
    </row>
    <row r="394" ht="20.25" spans="1:11">
      <c r="A394" s="98"/>
      <c r="B394" s="98"/>
      <c r="C394" s="98"/>
      <c r="D394" s="98"/>
      <c r="E394" s="98"/>
      <c r="F394" s="98"/>
      <c r="G394" s="98"/>
      <c r="H394" s="98"/>
      <c r="I394" s="98"/>
      <c r="J394" s="98"/>
      <c r="K394" s="98"/>
    </row>
    <row r="395" ht="20.25" spans="1:11">
      <c r="A395" s="98"/>
      <c r="B395" s="98"/>
      <c r="C395" s="98"/>
      <c r="D395" s="98"/>
      <c r="E395" s="98"/>
      <c r="F395" s="98"/>
      <c r="G395" s="98"/>
      <c r="H395" s="98"/>
      <c r="I395" s="98"/>
      <c r="J395" s="98"/>
      <c r="K395" s="98"/>
    </row>
    <row r="396" ht="20.25" spans="1:11">
      <c r="A396" s="98"/>
      <c r="B396" s="98"/>
      <c r="C396" s="98"/>
      <c r="D396" s="98"/>
      <c r="E396" s="98"/>
      <c r="F396" s="98"/>
      <c r="G396" s="98"/>
      <c r="H396" s="98"/>
      <c r="I396" s="98"/>
      <c r="J396" s="98"/>
      <c r="K396" s="98"/>
    </row>
    <row r="397" ht="20.25" spans="1:11">
      <c r="A397" s="98"/>
      <c r="B397" s="98"/>
      <c r="C397" s="98"/>
      <c r="D397" s="98"/>
      <c r="E397" s="98"/>
      <c r="F397" s="98"/>
      <c r="G397" s="98"/>
      <c r="H397" s="98"/>
      <c r="I397" s="98"/>
      <c r="J397" s="98"/>
      <c r="K397" s="98"/>
    </row>
    <row r="398" ht="20.25" spans="1:11">
      <c r="A398" s="98"/>
      <c r="B398" s="98"/>
      <c r="C398" s="98"/>
      <c r="D398" s="98"/>
      <c r="E398" s="98"/>
      <c r="F398" s="98"/>
      <c r="G398" s="98"/>
      <c r="H398" s="98"/>
      <c r="I398" s="98"/>
      <c r="J398" s="98"/>
      <c r="K398" s="98"/>
    </row>
    <row r="399" ht="20.25" spans="1:11">
      <c r="A399" s="98"/>
      <c r="B399" s="98"/>
      <c r="C399" s="98"/>
      <c r="D399" s="98"/>
      <c r="E399" s="98"/>
      <c r="F399" s="98"/>
      <c r="G399" s="98"/>
      <c r="H399" s="98"/>
      <c r="I399" s="98"/>
      <c r="J399" s="98"/>
      <c r="K399" s="98"/>
    </row>
    <row r="400" ht="20.25" spans="1:11">
      <c r="A400" s="98"/>
      <c r="B400" s="98"/>
      <c r="C400" s="98"/>
      <c r="D400" s="98"/>
      <c r="E400" s="98"/>
      <c r="F400" s="98"/>
      <c r="G400" s="98"/>
      <c r="H400" s="98"/>
      <c r="I400" s="98"/>
      <c r="J400" s="98"/>
      <c r="K400" s="98"/>
    </row>
    <row r="401" ht="20.25" spans="1:11">
      <c r="A401" s="98"/>
      <c r="B401" s="98"/>
      <c r="C401" s="98"/>
      <c r="D401" s="98"/>
      <c r="E401" s="98"/>
      <c r="F401" s="98"/>
      <c r="G401" s="98"/>
      <c r="H401" s="98"/>
      <c r="I401" s="98"/>
      <c r="J401" s="98"/>
      <c r="K401" s="98"/>
    </row>
    <row r="402" ht="20.25" spans="1:11">
      <c r="A402" s="98"/>
      <c r="B402" s="98"/>
      <c r="C402" s="98"/>
      <c r="D402" s="98"/>
      <c r="E402" s="98"/>
      <c r="F402" s="98"/>
      <c r="G402" s="98"/>
      <c r="H402" s="98"/>
      <c r="I402" s="98"/>
      <c r="J402" s="98"/>
      <c r="K402" s="98"/>
    </row>
    <row r="403" ht="20.25" spans="1:11">
      <c r="A403" s="98"/>
      <c r="B403" s="98"/>
      <c r="C403" s="98"/>
      <c r="D403" s="98"/>
      <c r="E403" s="98"/>
      <c r="F403" s="98"/>
      <c r="G403" s="98"/>
      <c r="H403" s="98"/>
      <c r="I403" s="98"/>
      <c r="J403" s="98"/>
      <c r="K403" s="98"/>
    </row>
    <row r="404" ht="20.25" spans="1:11">
      <c r="A404" s="98"/>
      <c r="B404" s="98"/>
      <c r="C404" s="98"/>
      <c r="D404" s="98"/>
      <c r="E404" s="98"/>
      <c r="F404" s="98"/>
      <c r="G404" s="98"/>
      <c r="H404" s="98"/>
      <c r="I404" s="98"/>
      <c r="J404" s="98"/>
      <c r="K404" s="98"/>
    </row>
    <row r="405" ht="20.25" spans="1:11">
      <c r="A405" s="98"/>
      <c r="B405" s="98"/>
      <c r="C405" s="98"/>
      <c r="D405" s="98"/>
      <c r="E405" s="98"/>
      <c r="F405" s="98"/>
      <c r="G405" s="98"/>
      <c r="H405" s="98"/>
      <c r="I405" s="98"/>
      <c r="J405" s="98"/>
      <c r="K405" s="98"/>
    </row>
    <row r="406" ht="20.25" spans="1:11">
      <c r="A406" s="98"/>
      <c r="B406" s="98"/>
      <c r="C406" s="98"/>
      <c r="D406" s="98"/>
      <c r="E406" s="98"/>
      <c r="F406" s="98"/>
      <c r="G406" s="98"/>
      <c r="H406" s="98"/>
      <c r="I406" s="98"/>
      <c r="J406" s="98"/>
      <c r="K406" s="98"/>
    </row>
    <row r="407" ht="20.25" spans="1:11">
      <c r="A407" s="98"/>
      <c r="B407" s="98"/>
      <c r="C407" s="98"/>
      <c r="D407" s="98"/>
      <c r="E407" s="98"/>
      <c r="F407" s="98"/>
      <c r="G407" s="98"/>
      <c r="H407" s="98"/>
      <c r="I407" s="98"/>
      <c r="J407" s="98"/>
      <c r="K407" s="98"/>
    </row>
    <row r="408" ht="20.25" spans="1:11">
      <c r="A408" s="98"/>
      <c r="B408" s="98"/>
      <c r="C408" s="98"/>
      <c r="D408" s="98"/>
      <c r="E408" s="98"/>
      <c r="F408" s="98"/>
      <c r="G408" s="98"/>
      <c r="H408" s="98"/>
      <c r="I408" s="98"/>
      <c r="J408" s="98"/>
      <c r="K408" s="98"/>
    </row>
    <row r="409" ht="20.25" spans="1:11">
      <c r="A409" s="98"/>
      <c r="B409" s="98"/>
      <c r="C409" s="98"/>
      <c r="D409" s="98"/>
      <c r="E409" s="98"/>
      <c r="F409" s="98"/>
      <c r="G409" s="98"/>
      <c r="H409" s="98"/>
      <c r="I409" s="98"/>
      <c r="J409" s="98"/>
      <c r="K409" s="98"/>
    </row>
    <row r="410" ht="20.25" spans="1:11">
      <c r="A410" s="98"/>
      <c r="B410" s="98"/>
      <c r="C410" s="98"/>
      <c r="D410" s="98"/>
      <c r="E410" s="98"/>
      <c r="F410" s="98"/>
      <c r="G410" s="98"/>
      <c r="H410" s="98"/>
      <c r="I410" s="98"/>
      <c r="J410" s="98"/>
      <c r="K410" s="98"/>
    </row>
    <row r="411" ht="20.25" spans="1:11">
      <c r="A411" s="98"/>
      <c r="B411" s="98"/>
      <c r="C411" s="98"/>
      <c r="D411" s="98"/>
      <c r="E411" s="98"/>
      <c r="F411" s="98"/>
      <c r="G411" s="98"/>
      <c r="H411" s="98"/>
      <c r="I411" s="98"/>
      <c r="J411" s="98"/>
      <c r="K411" s="98"/>
    </row>
    <row r="412" ht="20.25" spans="1:11">
      <c r="A412" s="98"/>
      <c r="B412" s="98"/>
      <c r="C412" s="98"/>
      <c r="D412" s="98"/>
      <c r="E412" s="98"/>
      <c r="F412" s="98"/>
      <c r="G412" s="98"/>
      <c r="H412" s="98"/>
      <c r="I412" s="98"/>
      <c r="J412" s="98"/>
      <c r="K412" s="98"/>
    </row>
    <row r="413" ht="20.25" spans="1:11">
      <c r="A413" s="98"/>
      <c r="B413" s="98"/>
      <c r="C413" s="98"/>
      <c r="D413" s="98"/>
      <c r="E413" s="98"/>
      <c r="F413" s="98"/>
      <c r="G413" s="98"/>
      <c r="H413" s="98"/>
      <c r="I413" s="98"/>
      <c r="J413" s="98"/>
      <c r="K413" s="98"/>
    </row>
    <row r="414" ht="20.25" spans="1:11">
      <c r="A414" s="98"/>
      <c r="B414" s="98"/>
      <c r="C414" s="98"/>
      <c r="D414" s="98"/>
      <c r="E414" s="98"/>
      <c r="F414" s="98"/>
      <c r="G414" s="98"/>
      <c r="H414" s="98"/>
      <c r="I414" s="98"/>
      <c r="J414" s="98"/>
      <c r="K414" s="98"/>
    </row>
    <row r="415" ht="20.25" spans="1:11">
      <c r="A415" s="98"/>
      <c r="B415" s="98"/>
      <c r="C415" s="98"/>
      <c r="D415" s="98"/>
      <c r="E415" s="98"/>
      <c r="F415" s="98"/>
      <c r="G415" s="98"/>
      <c r="H415" s="98"/>
      <c r="I415" s="98"/>
      <c r="J415" s="98"/>
      <c r="K415" s="98"/>
    </row>
    <row r="416" ht="20.25" spans="1:11">
      <c r="A416" s="98"/>
      <c r="B416" s="98"/>
      <c r="C416" s="98"/>
      <c r="D416" s="98"/>
      <c r="E416" s="98"/>
      <c r="F416" s="98"/>
      <c r="G416" s="98"/>
      <c r="H416" s="98"/>
      <c r="I416" s="98"/>
      <c r="J416" s="98"/>
      <c r="K416" s="98"/>
    </row>
    <row r="417" ht="20.25" spans="1:11">
      <c r="A417" s="98"/>
      <c r="B417" s="98"/>
      <c r="C417" s="98"/>
      <c r="D417" s="98"/>
      <c r="E417" s="98"/>
      <c r="F417" s="98"/>
      <c r="G417" s="98"/>
      <c r="H417" s="98"/>
      <c r="I417" s="98"/>
      <c r="J417" s="98"/>
      <c r="K417" s="98"/>
    </row>
    <row r="418" ht="20.25" spans="1:11">
      <c r="A418" s="98"/>
      <c r="B418" s="98"/>
      <c r="C418" s="98"/>
      <c r="D418" s="98"/>
      <c r="E418" s="98"/>
      <c r="F418" s="98"/>
      <c r="G418" s="98"/>
      <c r="H418" s="98"/>
      <c r="I418" s="98"/>
      <c r="J418" s="98"/>
      <c r="K418" s="98"/>
    </row>
    <row r="419" ht="20.25" spans="1:11">
      <c r="A419" s="98"/>
      <c r="B419" s="98"/>
      <c r="C419" s="98"/>
      <c r="D419" s="98"/>
      <c r="E419" s="98"/>
      <c r="F419" s="98"/>
      <c r="G419" s="98"/>
      <c r="H419" s="98"/>
      <c r="I419" s="98"/>
      <c r="J419" s="98"/>
      <c r="K419" s="98"/>
    </row>
    <row r="420" ht="20.25" spans="1:11">
      <c r="A420" s="98"/>
      <c r="B420" s="98"/>
      <c r="C420" s="98"/>
      <c r="D420" s="98"/>
      <c r="E420" s="98"/>
      <c r="F420" s="98"/>
      <c r="G420" s="98"/>
      <c r="H420" s="98"/>
      <c r="I420" s="98"/>
      <c r="J420" s="98"/>
      <c r="K420" s="98"/>
    </row>
    <row r="421" ht="20.25" spans="1:11">
      <c r="A421" s="98"/>
      <c r="B421" s="98"/>
      <c r="C421" s="98"/>
      <c r="D421" s="98"/>
      <c r="E421" s="98"/>
      <c r="F421" s="98"/>
      <c r="G421" s="98"/>
      <c r="H421" s="98"/>
      <c r="I421" s="98"/>
      <c r="J421" s="98"/>
      <c r="K421" s="98"/>
    </row>
    <row r="422" ht="20.25" spans="1:11">
      <c r="A422" s="98"/>
      <c r="B422" s="98"/>
      <c r="C422" s="98"/>
      <c r="D422" s="98"/>
      <c r="E422" s="98"/>
      <c r="F422" s="98"/>
      <c r="G422" s="98"/>
      <c r="H422" s="98"/>
      <c r="I422" s="98"/>
      <c r="J422" s="98"/>
      <c r="K422" s="98"/>
    </row>
    <row r="423" ht="20.25" spans="1:11">
      <c r="A423" s="98"/>
      <c r="B423" s="98"/>
      <c r="C423" s="98"/>
      <c r="D423" s="98"/>
      <c r="E423" s="98"/>
      <c r="F423" s="98"/>
      <c r="G423" s="98"/>
      <c r="H423" s="98"/>
      <c r="I423" s="98"/>
      <c r="J423" s="98"/>
      <c r="K423" s="98"/>
    </row>
    <row r="424" ht="20.25" spans="1:11">
      <c r="A424" s="98"/>
      <c r="B424" s="98"/>
      <c r="C424" s="98"/>
      <c r="D424" s="98"/>
      <c r="E424" s="98"/>
      <c r="F424" s="98"/>
      <c r="G424" s="98"/>
      <c r="H424" s="98"/>
      <c r="I424" s="98"/>
      <c r="J424" s="98"/>
      <c r="K424" s="98"/>
    </row>
    <row r="425" ht="20.25" spans="1:11">
      <c r="A425" s="98"/>
      <c r="B425" s="98"/>
      <c r="C425" s="98"/>
      <c r="D425" s="98"/>
      <c r="E425" s="98"/>
      <c r="F425" s="98"/>
      <c r="G425" s="98"/>
      <c r="H425" s="98"/>
      <c r="I425" s="98"/>
      <c r="J425" s="98"/>
      <c r="K425" s="98"/>
    </row>
    <row r="426" ht="20.25" spans="1:11">
      <c r="A426" s="98"/>
      <c r="B426" s="98"/>
      <c r="C426" s="98"/>
      <c r="D426" s="98"/>
      <c r="E426" s="98"/>
      <c r="F426" s="98"/>
      <c r="G426" s="98"/>
      <c r="H426" s="98"/>
      <c r="I426" s="98"/>
      <c r="J426" s="98"/>
      <c r="K426" s="98"/>
    </row>
    <row r="427" ht="20.25" spans="1:11">
      <c r="A427" s="98"/>
      <c r="B427" s="98"/>
      <c r="C427" s="98"/>
      <c r="D427" s="98"/>
      <c r="E427" s="98"/>
      <c r="F427" s="98"/>
      <c r="G427" s="98"/>
      <c r="H427" s="98"/>
      <c r="I427" s="98"/>
      <c r="J427" s="98"/>
      <c r="K427" s="98"/>
    </row>
    <row r="428" ht="20.25" spans="1:11">
      <c r="A428" s="98"/>
      <c r="B428" s="98"/>
      <c r="C428" s="98"/>
      <c r="D428" s="98"/>
      <c r="E428" s="98"/>
      <c r="F428" s="98"/>
      <c r="G428" s="98"/>
      <c r="H428" s="98"/>
      <c r="I428" s="98"/>
      <c r="J428" s="98"/>
      <c r="K428" s="98"/>
    </row>
    <row r="429" ht="20.25" spans="1:11">
      <c r="A429" s="98"/>
      <c r="B429" s="98"/>
      <c r="C429" s="98"/>
      <c r="D429" s="98"/>
      <c r="E429" s="98"/>
      <c r="F429" s="98"/>
      <c r="G429" s="98"/>
      <c r="H429" s="98"/>
      <c r="I429" s="98"/>
      <c r="J429" s="98"/>
      <c r="K429" s="98"/>
    </row>
    <row r="430" ht="20.25" spans="1:11">
      <c r="A430" s="98"/>
      <c r="B430" s="98"/>
      <c r="C430" s="98"/>
      <c r="D430" s="98"/>
      <c r="E430" s="98"/>
      <c r="F430" s="98"/>
      <c r="G430" s="98"/>
      <c r="H430" s="98"/>
      <c r="I430" s="98"/>
      <c r="J430" s="98"/>
      <c r="K430" s="98"/>
    </row>
    <row r="431" ht="20.25" spans="1:11">
      <c r="A431" s="98"/>
      <c r="B431" s="98"/>
      <c r="C431" s="98"/>
      <c r="D431" s="98"/>
      <c r="E431" s="98"/>
      <c r="F431" s="98"/>
      <c r="G431" s="98"/>
      <c r="H431" s="98"/>
      <c r="I431" s="98"/>
      <c r="J431" s="98"/>
      <c r="K431" s="98"/>
    </row>
    <row r="432" ht="20.25" spans="1:11">
      <c r="A432" s="98"/>
      <c r="B432" s="98"/>
      <c r="C432" s="98"/>
      <c r="D432" s="98"/>
      <c r="E432" s="98"/>
      <c r="F432" s="98"/>
      <c r="G432" s="98"/>
      <c r="H432" s="98"/>
      <c r="I432" s="98"/>
      <c r="J432" s="98"/>
      <c r="K432" s="98"/>
    </row>
    <row r="433" ht="20.25" spans="1:11">
      <c r="A433" s="98"/>
      <c r="B433" s="98"/>
      <c r="C433" s="98"/>
      <c r="D433" s="98"/>
      <c r="E433" s="98"/>
      <c r="F433" s="98"/>
      <c r="G433" s="98"/>
      <c r="H433" s="98"/>
      <c r="I433" s="98"/>
      <c r="J433" s="98"/>
      <c r="K433" s="98"/>
    </row>
    <row r="434" ht="20.25" spans="1:11">
      <c r="A434" s="98"/>
      <c r="B434" s="98"/>
      <c r="C434" s="98"/>
      <c r="D434" s="98"/>
      <c r="E434" s="98"/>
      <c r="F434" s="98"/>
      <c r="G434" s="98"/>
      <c r="H434" s="98"/>
      <c r="I434" s="98"/>
      <c r="J434" s="98"/>
      <c r="K434" s="98"/>
    </row>
    <row r="435" ht="20.25" spans="1:11">
      <c r="A435" s="98"/>
      <c r="B435" s="98"/>
      <c r="C435" s="98"/>
      <c r="D435" s="98"/>
      <c r="E435" s="98"/>
      <c r="F435" s="98"/>
      <c r="G435" s="98"/>
      <c r="H435" s="98"/>
      <c r="I435" s="98"/>
      <c r="J435" s="98"/>
      <c r="K435" s="98"/>
    </row>
    <row r="436" ht="20.25" spans="1:11">
      <c r="A436" s="98"/>
      <c r="B436" s="98"/>
      <c r="C436" s="98"/>
      <c r="D436" s="98"/>
      <c r="E436" s="98"/>
      <c r="F436" s="98"/>
      <c r="G436" s="98"/>
      <c r="H436" s="98"/>
      <c r="I436" s="98"/>
      <c r="J436" s="98"/>
      <c r="K436" s="98"/>
    </row>
    <row r="437" ht="20.25" spans="1:11">
      <c r="A437" s="98"/>
      <c r="B437" s="98"/>
      <c r="C437" s="98"/>
      <c r="D437" s="98"/>
      <c r="E437" s="98"/>
      <c r="F437" s="98"/>
      <c r="G437" s="98"/>
      <c r="H437" s="98"/>
      <c r="I437" s="98"/>
      <c r="J437" s="98"/>
      <c r="K437" s="98"/>
    </row>
    <row r="438" ht="20.25" spans="1:11">
      <c r="A438" s="98"/>
      <c r="B438" s="98"/>
      <c r="C438" s="98"/>
      <c r="D438" s="98"/>
      <c r="E438" s="98"/>
      <c r="F438" s="98"/>
      <c r="G438" s="98"/>
      <c r="H438" s="98"/>
      <c r="I438" s="98"/>
      <c r="J438" s="98"/>
      <c r="K438" s="98"/>
    </row>
    <row r="439" ht="20.25" spans="1:11">
      <c r="A439" s="98"/>
      <c r="B439" s="98"/>
      <c r="C439" s="98"/>
      <c r="D439" s="98"/>
      <c r="E439" s="98"/>
      <c r="F439" s="98"/>
      <c r="G439" s="98"/>
      <c r="H439" s="98"/>
      <c r="I439" s="98"/>
      <c r="J439" s="98"/>
      <c r="K439" s="98"/>
    </row>
    <row r="440" ht="20.25" spans="1:11">
      <c r="A440" s="98"/>
      <c r="B440" s="98"/>
      <c r="C440" s="98"/>
      <c r="D440" s="98"/>
      <c r="E440" s="98"/>
      <c r="F440" s="98"/>
      <c r="G440" s="98"/>
      <c r="H440" s="98"/>
      <c r="I440" s="98"/>
      <c r="J440" s="98"/>
      <c r="K440" s="98"/>
    </row>
    <row r="441" ht="20.25" spans="1:11">
      <c r="A441" s="98"/>
      <c r="B441" s="98"/>
      <c r="C441" s="98"/>
      <c r="D441" s="98"/>
      <c r="E441" s="98"/>
      <c r="F441" s="98"/>
      <c r="G441" s="98"/>
      <c r="H441" s="98"/>
      <c r="I441" s="98"/>
      <c r="J441" s="98"/>
      <c r="K441" s="98"/>
    </row>
    <row r="442" ht="20.25" spans="1:11">
      <c r="A442" s="98"/>
      <c r="B442" s="98"/>
      <c r="C442" s="98"/>
      <c r="D442" s="98"/>
      <c r="E442" s="98"/>
      <c r="F442" s="98"/>
      <c r="G442" s="98"/>
      <c r="H442" s="98"/>
      <c r="I442" s="98"/>
      <c r="J442" s="98"/>
      <c r="K442" s="98"/>
    </row>
    <row r="443" ht="20.25" spans="1:11">
      <c r="A443" s="98"/>
      <c r="B443" s="98"/>
      <c r="C443" s="98"/>
      <c r="D443" s="98"/>
      <c r="E443" s="98"/>
      <c r="F443" s="98"/>
      <c r="G443" s="98"/>
      <c r="H443" s="98"/>
      <c r="I443" s="98"/>
      <c r="J443" s="98"/>
      <c r="K443" s="98"/>
    </row>
    <row r="444" ht="20.25" spans="1:11">
      <c r="A444" s="98"/>
      <c r="B444" s="98"/>
      <c r="C444" s="98"/>
      <c r="D444" s="98"/>
      <c r="E444" s="98"/>
      <c r="F444" s="98"/>
      <c r="G444" s="98"/>
      <c r="H444" s="98"/>
      <c r="I444" s="98"/>
      <c r="J444" s="98"/>
      <c r="K444" s="98"/>
    </row>
    <row r="445" ht="20.25" spans="1:11">
      <c r="A445" s="98"/>
      <c r="B445" s="98"/>
      <c r="C445" s="98"/>
      <c r="D445" s="98"/>
      <c r="E445" s="98"/>
      <c r="F445" s="98"/>
      <c r="G445" s="98"/>
      <c r="H445" s="98"/>
      <c r="I445" s="98"/>
      <c r="J445" s="98"/>
      <c r="K445" s="98"/>
    </row>
    <row r="446" ht="20.25" spans="1:11">
      <c r="A446" s="98"/>
      <c r="B446" s="98"/>
      <c r="C446" s="98"/>
      <c r="D446" s="98"/>
      <c r="E446" s="98"/>
      <c r="F446" s="98"/>
      <c r="G446" s="98"/>
      <c r="H446" s="98"/>
      <c r="I446" s="98"/>
      <c r="J446" s="98"/>
      <c r="K446" s="98"/>
    </row>
    <row r="447" ht="20.25" spans="1:11">
      <c r="A447" s="98"/>
      <c r="B447" s="98"/>
      <c r="C447" s="98"/>
      <c r="D447" s="98"/>
      <c r="E447" s="98"/>
      <c r="F447" s="98"/>
      <c r="G447" s="98"/>
      <c r="H447" s="98"/>
      <c r="I447" s="98"/>
      <c r="J447" s="98"/>
      <c r="K447" s="98"/>
    </row>
    <row r="448" ht="20.25" spans="1:11">
      <c r="A448" s="98"/>
      <c r="B448" s="98"/>
      <c r="C448" s="98"/>
      <c r="D448" s="98"/>
      <c r="E448" s="98"/>
      <c r="F448" s="98"/>
      <c r="G448" s="98"/>
      <c r="H448" s="98"/>
      <c r="I448" s="98"/>
      <c r="J448" s="98"/>
      <c r="K448" s="98"/>
    </row>
    <row r="449" ht="20.25" spans="1:11">
      <c r="A449" s="98"/>
      <c r="B449" s="98"/>
      <c r="C449" s="98"/>
      <c r="D449" s="98"/>
      <c r="E449" s="98"/>
      <c r="F449" s="98"/>
      <c r="G449" s="98"/>
      <c r="H449" s="98"/>
      <c r="I449" s="98"/>
      <c r="J449" s="98"/>
      <c r="K449" s="98"/>
    </row>
    <row r="450" ht="20.25" spans="1:11">
      <c r="A450" s="98"/>
      <c r="B450" s="98"/>
      <c r="C450" s="98"/>
      <c r="D450" s="98"/>
      <c r="E450" s="98"/>
      <c r="F450" s="98"/>
      <c r="G450" s="98"/>
      <c r="H450" s="98"/>
      <c r="I450" s="98"/>
      <c r="J450" s="98"/>
      <c r="K450" s="98"/>
    </row>
    <row r="451" ht="20.25" spans="1:11">
      <c r="A451" s="98"/>
      <c r="B451" s="98"/>
      <c r="C451" s="98"/>
      <c r="D451" s="98"/>
      <c r="E451" s="98"/>
      <c r="F451" s="98"/>
      <c r="G451" s="98"/>
      <c r="H451" s="98"/>
      <c r="I451" s="98"/>
      <c r="J451" s="98"/>
      <c r="K451" s="98"/>
    </row>
    <row r="452" ht="20.25" spans="1:11">
      <c r="A452" s="98"/>
      <c r="B452" s="98"/>
      <c r="C452" s="98"/>
      <c r="D452" s="98"/>
      <c r="E452" s="98"/>
      <c r="F452" s="98"/>
      <c r="G452" s="98"/>
      <c r="H452" s="98"/>
      <c r="I452" s="98"/>
      <c r="J452" s="98"/>
      <c r="K452" s="98"/>
    </row>
    <row r="453" ht="20.25" spans="1:11">
      <c r="A453" s="98"/>
      <c r="B453" s="98"/>
      <c r="C453" s="98"/>
      <c r="D453" s="98"/>
      <c r="E453" s="98"/>
      <c r="F453" s="98"/>
      <c r="G453" s="98"/>
      <c r="H453" s="98"/>
      <c r="I453" s="98"/>
      <c r="J453" s="98"/>
      <c r="K453" s="98"/>
    </row>
    <row r="454" ht="20.25" spans="1:11">
      <c r="A454" s="98"/>
      <c r="B454" s="98"/>
      <c r="C454" s="98"/>
      <c r="D454" s="98"/>
      <c r="E454" s="98"/>
      <c r="F454" s="98"/>
      <c r="G454" s="98"/>
      <c r="H454" s="98"/>
      <c r="I454" s="98"/>
      <c r="J454" s="98"/>
      <c r="K454" s="98"/>
    </row>
    <row r="455" ht="20.25" spans="1:11">
      <c r="A455" s="98"/>
      <c r="B455" s="98"/>
      <c r="C455" s="98"/>
      <c r="D455" s="98"/>
      <c r="E455" s="98"/>
      <c r="F455" s="98"/>
      <c r="G455" s="98"/>
      <c r="H455" s="98"/>
      <c r="I455" s="98"/>
      <c r="J455" s="98"/>
      <c r="K455" s="98"/>
    </row>
    <row r="456" ht="20.25" spans="1:11">
      <c r="A456" s="98"/>
      <c r="B456" s="98"/>
      <c r="C456" s="98"/>
      <c r="D456" s="98"/>
      <c r="E456" s="98"/>
      <c r="F456" s="98"/>
      <c r="G456" s="98"/>
      <c r="H456" s="98"/>
      <c r="I456" s="98"/>
      <c r="J456" s="98"/>
      <c r="K456" s="98"/>
    </row>
    <row r="457" ht="20.25" spans="1:11">
      <c r="A457" s="98"/>
      <c r="B457" s="98"/>
      <c r="C457" s="98"/>
      <c r="D457" s="98"/>
      <c r="E457" s="98"/>
      <c r="F457" s="98"/>
      <c r="G457" s="98"/>
      <c r="H457" s="98"/>
      <c r="I457" s="98"/>
      <c r="J457" s="98"/>
      <c r="K457" s="98"/>
    </row>
    <row r="458" ht="20.25" spans="1:11">
      <c r="A458" s="98"/>
      <c r="B458" s="98"/>
      <c r="C458" s="98"/>
      <c r="D458" s="98"/>
      <c r="E458" s="98"/>
      <c r="F458" s="98"/>
      <c r="G458" s="98"/>
      <c r="H458" s="98"/>
      <c r="I458" s="98"/>
      <c r="J458" s="98"/>
      <c r="K458" s="98"/>
    </row>
    <row r="459" ht="20.25" spans="1:11">
      <c r="A459" s="98"/>
      <c r="B459" s="98"/>
      <c r="C459" s="98"/>
      <c r="D459" s="98"/>
      <c r="E459" s="98"/>
      <c r="F459" s="98"/>
      <c r="G459" s="98"/>
      <c r="H459" s="98"/>
      <c r="I459" s="98"/>
      <c r="J459" s="98"/>
      <c r="K459" s="98"/>
    </row>
    <row r="460" ht="20.25" spans="1:11">
      <c r="A460" s="98"/>
      <c r="B460" s="98"/>
      <c r="C460" s="98"/>
      <c r="D460" s="98"/>
      <c r="E460" s="98"/>
      <c r="F460" s="98"/>
      <c r="G460" s="98"/>
      <c r="H460" s="98"/>
      <c r="I460" s="98"/>
      <c r="J460" s="98"/>
      <c r="K460" s="98"/>
    </row>
    <row r="461" ht="20.25" spans="1:11">
      <c r="A461" s="98"/>
      <c r="B461" s="98"/>
      <c r="C461" s="98"/>
      <c r="D461" s="98"/>
      <c r="E461" s="98"/>
      <c r="F461" s="98"/>
      <c r="G461" s="98"/>
      <c r="H461" s="98"/>
      <c r="I461" s="98"/>
      <c r="J461" s="98"/>
      <c r="K461" s="98"/>
    </row>
    <row r="462" ht="20.25" spans="1:11">
      <c r="A462" s="98"/>
      <c r="B462" s="98"/>
      <c r="C462" s="98"/>
      <c r="D462" s="98"/>
      <c r="E462" s="98"/>
      <c r="F462" s="98"/>
      <c r="G462" s="98"/>
      <c r="H462" s="98"/>
      <c r="I462" s="98"/>
      <c r="J462" s="98"/>
      <c r="K462" s="98"/>
    </row>
    <row r="463" ht="20.25" spans="1:11">
      <c r="A463" s="98"/>
      <c r="B463" s="98"/>
      <c r="C463" s="98"/>
      <c r="D463" s="98"/>
      <c r="E463" s="98"/>
      <c r="F463" s="98"/>
      <c r="G463" s="98"/>
      <c r="H463" s="98"/>
      <c r="I463" s="98"/>
      <c r="J463" s="98"/>
      <c r="K463" s="98"/>
    </row>
    <row r="464" ht="20.25" spans="1:11">
      <c r="A464" s="98"/>
      <c r="B464" s="98"/>
      <c r="C464" s="98"/>
      <c r="D464" s="98"/>
      <c r="E464" s="98"/>
      <c r="F464" s="98"/>
      <c r="G464" s="98"/>
      <c r="H464" s="98"/>
      <c r="I464" s="98"/>
      <c r="J464" s="98"/>
      <c r="K464" s="98"/>
    </row>
    <row r="465" ht="20.25" spans="1:11">
      <c r="A465" s="98"/>
      <c r="B465" s="98"/>
      <c r="C465" s="98"/>
      <c r="D465" s="98"/>
      <c r="E465" s="98"/>
      <c r="F465" s="98"/>
      <c r="G465" s="98"/>
      <c r="H465" s="98"/>
      <c r="I465" s="98"/>
      <c r="J465" s="98"/>
      <c r="K465" s="98"/>
    </row>
    <row r="466" ht="20.25" spans="1:11">
      <c r="A466" s="98"/>
      <c r="B466" s="98"/>
      <c r="C466" s="98"/>
      <c r="D466" s="98"/>
      <c r="E466" s="98"/>
      <c r="F466" s="98"/>
      <c r="G466" s="98"/>
      <c r="H466" s="98"/>
      <c r="I466" s="98"/>
      <c r="J466" s="98"/>
      <c r="K466" s="98"/>
    </row>
    <row r="467" ht="20.25" spans="1:11">
      <c r="A467" s="98"/>
      <c r="B467" s="98"/>
      <c r="C467" s="98"/>
      <c r="D467" s="98"/>
      <c r="E467" s="98"/>
      <c r="F467" s="98"/>
      <c r="G467" s="98"/>
      <c r="H467" s="98"/>
      <c r="I467" s="98"/>
      <c r="J467" s="98"/>
      <c r="K467" s="98"/>
    </row>
    <row r="468" ht="20.25" spans="1:11">
      <c r="A468" s="98"/>
      <c r="B468" s="98"/>
      <c r="C468" s="98"/>
      <c r="D468" s="98"/>
      <c r="E468" s="98"/>
      <c r="F468" s="98"/>
      <c r="G468" s="98"/>
      <c r="H468" s="98"/>
      <c r="I468" s="98"/>
      <c r="J468" s="98"/>
      <c r="K468" s="98"/>
    </row>
    <row r="469" ht="20.25" spans="1:11">
      <c r="A469" s="98"/>
      <c r="B469" s="98"/>
      <c r="C469" s="98"/>
      <c r="D469" s="98"/>
      <c r="E469" s="98"/>
      <c r="F469" s="98"/>
      <c r="G469" s="98"/>
      <c r="H469" s="98"/>
      <c r="I469" s="98"/>
      <c r="J469" s="98"/>
      <c r="K469" s="98"/>
    </row>
    <row r="470" ht="20.25" spans="1:11">
      <c r="A470" s="98"/>
      <c r="B470" s="98"/>
      <c r="C470" s="98"/>
      <c r="D470" s="98"/>
      <c r="E470" s="98"/>
      <c r="F470" s="98"/>
      <c r="G470" s="98"/>
      <c r="H470" s="98"/>
      <c r="I470" s="98"/>
      <c r="J470" s="98"/>
      <c r="K470" s="98"/>
    </row>
    <row r="471" ht="20.25" spans="1:11">
      <c r="A471" s="98"/>
      <c r="B471" s="98"/>
      <c r="C471" s="98"/>
      <c r="D471" s="98"/>
      <c r="E471" s="98"/>
      <c r="F471" s="98"/>
      <c r="G471" s="98"/>
      <c r="H471" s="98"/>
      <c r="I471" s="98"/>
      <c r="J471" s="98"/>
      <c r="K471" s="98"/>
    </row>
    <row r="472" ht="20.25" spans="1:11">
      <c r="A472" s="98"/>
      <c r="B472" s="98"/>
      <c r="C472" s="98"/>
      <c r="D472" s="98"/>
      <c r="E472" s="98"/>
      <c r="F472" s="98"/>
      <c r="G472" s="98"/>
      <c r="H472" s="98"/>
      <c r="I472" s="98"/>
      <c r="J472" s="98"/>
      <c r="K472" s="98"/>
    </row>
    <row r="473" ht="20.25" spans="1:11">
      <c r="A473" s="98"/>
      <c r="B473" s="98"/>
      <c r="C473" s="98"/>
      <c r="D473" s="98"/>
      <c r="E473" s="98"/>
      <c r="F473" s="98"/>
      <c r="G473" s="98"/>
      <c r="H473" s="98"/>
      <c r="I473" s="98"/>
      <c r="J473" s="98"/>
      <c r="K473" s="98"/>
    </row>
    <row r="474" ht="20.25" spans="1:11">
      <c r="A474" s="98"/>
      <c r="B474" s="98"/>
      <c r="C474" s="98"/>
      <c r="D474" s="98"/>
      <c r="E474" s="98"/>
      <c r="F474" s="98"/>
      <c r="G474" s="98"/>
      <c r="H474" s="98"/>
      <c r="I474" s="98"/>
      <c r="J474" s="98"/>
      <c r="K474" s="98"/>
    </row>
    <row r="475" ht="20.25" spans="1:11">
      <c r="A475" s="98"/>
      <c r="B475" s="98"/>
      <c r="C475" s="98"/>
      <c r="D475" s="98"/>
      <c r="E475" s="98"/>
      <c r="F475" s="98"/>
      <c r="G475" s="98"/>
      <c r="H475" s="98"/>
      <c r="I475" s="98"/>
      <c r="J475" s="98"/>
      <c r="K475" s="98"/>
    </row>
    <row r="476" ht="20.25" spans="1:11">
      <c r="A476" s="98"/>
      <c r="B476" s="98"/>
      <c r="C476" s="98"/>
      <c r="D476" s="98"/>
      <c r="E476" s="98"/>
      <c r="F476" s="98"/>
      <c r="G476" s="98"/>
      <c r="H476" s="98"/>
      <c r="I476" s="98"/>
      <c r="J476" s="98"/>
      <c r="K476" s="98"/>
    </row>
    <row r="477" ht="20.25" spans="1:11">
      <c r="A477" s="98"/>
      <c r="B477" s="98"/>
      <c r="C477" s="98"/>
      <c r="D477" s="98"/>
      <c r="E477" s="98"/>
      <c r="F477" s="98"/>
      <c r="G477" s="98"/>
      <c r="H477" s="98"/>
      <c r="I477" s="98"/>
      <c r="J477" s="98"/>
      <c r="K477" s="98"/>
    </row>
    <row r="478" ht="20.25" spans="1:11">
      <c r="A478" s="98"/>
      <c r="B478" s="98"/>
      <c r="C478" s="98"/>
      <c r="D478" s="98"/>
      <c r="E478" s="98"/>
      <c r="F478" s="98"/>
      <c r="G478" s="98"/>
      <c r="H478" s="98"/>
      <c r="I478" s="98"/>
      <c r="J478" s="98"/>
      <c r="K478" s="98"/>
    </row>
    <row r="479" ht="20.25" spans="1:11">
      <c r="A479" s="98"/>
      <c r="B479" s="98"/>
      <c r="C479" s="98"/>
      <c r="D479" s="98"/>
      <c r="E479" s="98"/>
      <c r="F479" s="98"/>
      <c r="G479" s="98"/>
      <c r="H479" s="98"/>
      <c r="I479" s="98"/>
      <c r="J479" s="98"/>
      <c r="K479" s="98"/>
    </row>
    <row r="480" ht="20.25" spans="1:11">
      <c r="A480" s="98"/>
      <c r="B480" s="98"/>
      <c r="C480" s="98"/>
      <c r="D480" s="98"/>
      <c r="E480" s="98"/>
      <c r="F480" s="98"/>
      <c r="G480" s="98"/>
      <c r="H480" s="98"/>
      <c r="I480" s="98"/>
      <c r="J480" s="98"/>
      <c r="K480" s="98"/>
    </row>
    <row r="481" ht="20.25" spans="1:11">
      <c r="A481" s="98"/>
      <c r="B481" s="98"/>
      <c r="C481" s="98"/>
      <c r="D481" s="98"/>
      <c r="E481" s="98"/>
      <c r="F481" s="98"/>
      <c r="G481" s="98"/>
      <c r="H481" s="98"/>
      <c r="I481" s="98"/>
      <c r="J481" s="98"/>
      <c r="K481" s="98"/>
    </row>
    <row r="482" ht="20.25" spans="1:11">
      <c r="A482" s="98"/>
      <c r="B482" s="98"/>
      <c r="C482" s="98"/>
      <c r="D482" s="98"/>
      <c r="E482" s="98"/>
      <c r="F482" s="98"/>
      <c r="G482" s="98"/>
      <c r="H482" s="98"/>
      <c r="I482" s="98"/>
      <c r="J482" s="98"/>
      <c r="K482" s="98"/>
    </row>
    <row r="483" ht="20.25" spans="1:11">
      <c r="A483" s="98"/>
      <c r="B483" s="98"/>
      <c r="C483" s="98"/>
      <c r="D483" s="98"/>
      <c r="E483" s="98"/>
      <c r="F483" s="98"/>
      <c r="G483" s="98"/>
      <c r="H483" s="98"/>
      <c r="I483" s="98"/>
      <c r="J483" s="98"/>
      <c r="K483" s="98"/>
    </row>
    <row r="484" ht="20.25" spans="1:11">
      <c r="A484" s="98"/>
      <c r="B484" s="98"/>
      <c r="C484" s="98"/>
      <c r="D484" s="98"/>
      <c r="E484" s="98"/>
      <c r="F484" s="98"/>
      <c r="G484" s="98"/>
      <c r="H484" s="98"/>
      <c r="I484" s="98"/>
      <c r="J484" s="98"/>
      <c r="K484" s="98"/>
    </row>
    <row r="485" ht="20.25" spans="1:11">
      <c r="A485" s="98"/>
      <c r="B485" s="98"/>
      <c r="C485" s="98"/>
      <c r="D485" s="98"/>
      <c r="E485" s="98"/>
      <c r="F485" s="98"/>
      <c r="G485" s="98"/>
      <c r="H485" s="98"/>
      <c r="I485" s="98"/>
      <c r="J485" s="98"/>
      <c r="K485" s="98"/>
    </row>
    <row r="486" ht="20.25" spans="1:11">
      <c r="A486" s="98"/>
      <c r="B486" s="98"/>
      <c r="C486" s="98"/>
      <c r="D486" s="98"/>
      <c r="E486" s="98"/>
      <c r="F486" s="98"/>
      <c r="G486" s="98"/>
      <c r="H486" s="98"/>
      <c r="I486" s="98"/>
      <c r="J486" s="98"/>
      <c r="K486" s="98"/>
    </row>
    <row r="487" ht="20.25" spans="1:11">
      <c r="A487" s="98"/>
      <c r="B487" s="98"/>
      <c r="C487" s="98"/>
      <c r="D487" s="98"/>
      <c r="E487" s="98"/>
      <c r="F487" s="98"/>
      <c r="G487" s="98"/>
      <c r="H487" s="98"/>
      <c r="I487" s="98"/>
      <c r="J487" s="98"/>
      <c r="K487" s="98"/>
    </row>
    <row r="488" ht="20.25" spans="1:11">
      <c r="A488" s="98"/>
      <c r="B488" s="98"/>
      <c r="C488" s="98"/>
      <c r="D488" s="98"/>
      <c r="E488" s="98"/>
      <c r="F488" s="98"/>
      <c r="G488" s="98"/>
      <c r="H488" s="98"/>
      <c r="I488" s="98"/>
      <c r="J488" s="98"/>
      <c r="K488" s="98"/>
    </row>
    <row r="489" ht="20.25" spans="1:11">
      <c r="A489" s="98"/>
      <c r="B489" s="98"/>
      <c r="C489" s="98"/>
      <c r="D489" s="98"/>
      <c r="E489" s="98"/>
      <c r="F489" s="98"/>
      <c r="G489" s="98"/>
      <c r="H489" s="98"/>
      <c r="I489" s="98"/>
      <c r="J489" s="98"/>
      <c r="K489" s="98"/>
    </row>
    <row r="490" ht="20.25" spans="1:11">
      <c r="A490" s="98"/>
      <c r="B490" s="98"/>
      <c r="C490" s="98"/>
      <c r="D490" s="98"/>
      <c r="E490" s="98"/>
      <c r="F490" s="98"/>
      <c r="G490" s="98"/>
      <c r="H490" s="98"/>
      <c r="I490" s="98"/>
      <c r="J490" s="98"/>
      <c r="K490" s="98"/>
    </row>
    <row r="491" ht="20.25" spans="1:11">
      <c r="A491" s="98"/>
      <c r="B491" s="98"/>
      <c r="C491" s="98"/>
      <c r="D491" s="98"/>
      <c r="E491" s="98"/>
      <c r="F491" s="98"/>
      <c r="G491" s="98"/>
      <c r="H491" s="98"/>
      <c r="I491" s="98"/>
      <c r="J491" s="98"/>
      <c r="K491" s="98"/>
    </row>
    <row r="492" ht="20.25" spans="1:11">
      <c r="A492" s="98"/>
      <c r="B492" s="98"/>
      <c r="C492" s="98"/>
      <c r="D492" s="98"/>
      <c r="E492" s="98"/>
      <c r="F492" s="98"/>
      <c r="G492" s="98"/>
      <c r="H492" s="98"/>
      <c r="I492" s="98"/>
      <c r="J492" s="98"/>
      <c r="K492" s="98"/>
    </row>
    <row r="493" ht="20.25" spans="1:11">
      <c r="A493" s="98"/>
      <c r="B493" s="98"/>
      <c r="C493" s="98"/>
      <c r="D493" s="98"/>
      <c r="E493" s="98"/>
      <c r="F493" s="98"/>
      <c r="G493" s="98"/>
      <c r="H493" s="98"/>
      <c r="I493" s="98"/>
      <c r="J493" s="98"/>
      <c r="K493" s="98"/>
    </row>
    <row r="494" ht="20.25" spans="1:11">
      <c r="A494" s="98"/>
      <c r="B494" s="98"/>
      <c r="C494" s="98"/>
      <c r="D494" s="98"/>
      <c r="E494" s="98"/>
      <c r="F494" s="98"/>
      <c r="G494" s="98"/>
      <c r="H494" s="98"/>
      <c r="I494" s="98"/>
      <c r="J494" s="98"/>
      <c r="K494" s="98"/>
    </row>
    <row r="495" ht="20.25" spans="1:11">
      <c r="A495" s="98"/>
      <c r="B495" s="98"/>
      <c r="C495" s="98"/>
      <c r="D495" s="98"/>
      <c r="E495" s="98"/>
      <c r="F495" s="98"/>
      <c r="G495" s="98"/>
      <c r="H495" s="98"/>
      <c r="I495" s="98"/>
      <c r="J495" s="98"/>
      <c r="K495" s="98"/>
    </row>
    <row r="496" ht="20.25" spans="1:11">
      <c r="A496" s="98"/>
      <c r="B496" s="98"/>
      <c r="C496" s="98"/>
      <c r="D496" s="98"/>
      <c r="E496" s="98"/>
      <c r="F496" s="98"/>
      <c r="G496" s="98"/>
      <c r="H496" s="98"/>
      <c r="I496" s="98"/>
      <c r="J496" s="98"/>
      <c r="K496" s="98"/>
    </row>
    <row r="497" ht="20.25" spans="1:11">
      <c r="A497" s="98"/>
      <c r="B497" s="98"/>
      <c r="C497" s="98"/>
      <c r="D497" s="98"/>
      <c r="E497" s="98"/>
      <c r="F497" s="98"/>
      <c r="G497" s="98"/>
      <c r="H497" s="98"/>
      <c r="I497" s="98"/>
      <c r="J497" s="98"/>
      <c r="K497" s="98"/>
    </row>
    <row r="498" ht="20.25" spans="1:11">
      <c r="A498" s="98"/>
      <c r="B498" s="98"/>
      <c r="C498" s="98"/>
      <c r="D498" s="98"/>
      <c r="E498" s="98"/>
      <c r="F498" s="98"/>
      <c r="G498" s="98"/>
      <c r="H498" s="98"/>
      <c r="I498" s="98"/>
      <c r="J498" s="98"/>
      <c r="K498" s="98"/>
    </row>
    <row r="499" ht="20.25" spans="1:11">
      <c r="A499" s="98"/>
      <c r="B499" s="98"/>
      <c r="C499" s="98"/>
      <c r="D499" s="98"/>
      <c r="E499" s="98"/>
      <c r="F499" s="98"/>
      <c r="G499" s="98"/>
      <c r="H499" s="98"/>
      <c r="I499" s="98"/>
      <c r="J499" s="98"/>
      <c r="K499" s="98"/>
    </row>
    <row r="500" ht="20.25" spans="1:11">
      <c r="A500" s="98"/>
      <c r="B500" s="98"/>
      <c r="C500" s="98"/>
      <c r="D500" s="98"/>
      <c r="E500" s="98"/>
      <c r="F500" s="98"/>
      <c r="G500" s="98"/>
      <c r="H500" s="98"/>
      <c r="I500" s="98"/>
      <c r="J500" s="98"/>
      <c r="K500" s="98"/>
    </row>
    <row r="501" ht="20.25" spans="1:11">
      <c r="A501" s="98"/>
      <c r="B501" s="98"/>
      <c r="C501" s="98"/>
      <c r="D501" s="98"/>
      <c r="E501" s="98"/>
      <c r="F501" s="98"/>
      <c r="G501" s="98"/>
      <c r="H501" s="98"/>
      <c r="I501" s="98"/>
      <c r="J501" s="98"/>
      <c r="K501" s="98"/>
    </row>
    <row r="502" ht="20.25" spans="1:11">
      <c r="A502" s="98"/>
      <c r="B502" s="98"/>
      <c r="C502" s="98"/>
      <c r="D502" s="98"/>
      <c r="E502" s="98"/>
      <c r="F502" s="98"/>
      <c r="G502" s="98"/>
      <c r="H502" s="98"/>
      <c r="I502" s="98"/>
      <c r="J502" s="98"/>
      <c r="K502" s="98"/>
    </row>
    <row r="503" ht="20.25" spans="1:11">
      <c r="A503" s="98"/>
      <c r="B503" s="98"/>
      <c r="C503" s="98"/>
      <c r="D503" s="98"/>
      <c r="E503" s="98"/>
      <c r="F503" s="98"/>
      <c r="G503" s="98"/>
      <c r="H503" s="98"/>
      <c r="I503" s="98"/>
      <c r="J503" s="98"/>
      <c r="K503" s="98"/>
    </row>
    <row r="504" ht="20.25" spans="1:11">
      <c r="A504" s="98"/>
      <c r="B504" s="98"/>
      <c r="C504" s="98"/>
      <c r="D504" s="98"/>
      <c r="E504" s="98"/>
      <c r="F504" s="98"/>
      <c r="G504" s="98"/>
      <c r="H504" s="98"/>
      <c r="I504" s="98"/>
      <c r="J504" s="98"/>
      <c r="K504" s="98"/>
    </row>
    <row r="505" ht="20.25" spans="1:11">
      <c r="A505" s="98"/>
      <c r="B505" s="98"/>
      <c r="C505" s="98"/>
      <c r="D505" s="98"/>
      <c r="E505" s="98"/>
      <c r="F505" s="98"/>
      <c r="G505" s="98"/>
      <c r="H505" s="98"/>
      <c r="I505" s="98"/>
      <c r="J505" s="98"/>
      <c r="K505" s="98"/>
    </row>
    <row r="506" ht="20.25" spans="1:11">
      <c r="A506" s="98"/>
      <c r="B506" s="98"/>
      <c r="C506" s="98"/>
      <c r="D506" s="98"/>
      <c r="E506" s="98"/>
      <c r="F506" s="98"/>
      <c r="G506" s="98"/>
      <c r="H506" s="98"/>
      <c r="I506" s="98"/>
      <c r="J506" s="98"/>
      <c r="K506" s="98"/>
    </row>
    <row r="507" ht="20.25" spans="1:11">
      <c r="A507" s="98"/>
      <c r="B507" s="98"/>
      <c r="C507" s="98"/>
      <c r="D507" s="98"/>
      <c r="E507" s="98"/>
      <c r="F507" s="98"/>
      <c r="G507" s="98"/>
      <c r="H507" s="98"/>
      <c r="I507" s="98"/>
      <c r="J507" s="98"/>
      <c r="K507" s="98"/>
    </row>
    <row r="508" ht="20.25" spans="1:11">
      <c r="A508" s="98"/>
      <c r="B508" s="98"/>
      <c r="C508" s="98"/>
      <c r="D508" s="98"/>
      <c r="E508" s="98"/>
      <c r="F508" s="98"/>
      <c r="G508" s="98"/>
      <c r="H508" s="98"/>
      <c r="I508" s="98"/>
      <c r="J508" s="98"/>
      <c r="K508" s="98"/>
    </row>
    <row r="509" ht="20.25" spans="1:11">
      <c r="A509" s="98"/>
      <c r="B509" s="98"/>
      <c r="C509" s="98"/>
      <c r="D509" s="98"/>
      <c r="E509" s="98"/>
      <c r="F509" s="98"/>
      <c r="G509" s="98"/>
      <c r="H509" s="98"/>
      <c r="I509" s="98"/>
      <c r="J509" s="98"/>
      <c r="K509" s="98"/>
    </row>
    <row r="510" ht="20.25" spans="1:11">
      <c r="A510" s="98"/>
      <c r="B510" s="98"/>
      <c r="C510" s="98"/>
      <c r="D510" s="98"/>
      <c r="E510" s="98"/>
      <c r="F510" s="98"/>
      <c r="G510" s="98"/>
      <c r="H510" s="98"/>
      <c r="I510" s="98"/>
      <c r="J510" s="98"/>
      <c r="K510" s="98"/>
    </row>
    <row r="511" ht="20.25" spans="1:11">
      <c r="A511" s="98"/>
      <c r="B511" s="98"/>
      <c r="C511" s="98"/>
      <c r="D511" s="98"/>
      <c r="E511" s="98"/>
      <c r="F511" s="98"/>
      <c r="G511" s="98"/>
      <c r="H511" s="98"/>
      <c r="I511" s="98"/>
      <c r="J511" s="98"/>
      <c r="K511" s="98"/>
    </row>
    <row r="512" ht="20.25" spans="1:11">
      <c r="A512" s="98"/>
      <c r="B512" s="98"/>
      <c r="C512" s="98"/>
      <c r="D512" s="98"/>
      <c r="E512" s="98"/>
      <c r="F512" s="98"/>
      <c r="G512" s="98"/>
      <c r="H512" s="98"/>
      <c r="I512" s="98"/>
      <c r="J512" s="98"/>
      <c r="K512" s="98"/>
    </row>
    <row r="513" ht="20.25" spans="1:11">
      <c r="A513" s="98"/>
      <c r="B513" s="98"/>
      <c r="C513" s="98"/>
      <c r="D513" s="98"/>
      <c r="E513" s="98"/>
      <c r="F513" s="98"/>
      <c r="G513" s="98"/>
      <c r="H513" s="98"/>
      <c r="I513" s="98"/>
      <c r="J513" s="98"/>
      <c r="K513" s="98"/>
    </row>
    <row r="514" ht="20.25" spans="1:11">
      <c r="A514" s="98"/>
      <c r="B514" s="98"/>
      <c r="C514" s="98"/>
      <c r="D514" s="98"/>
      <c r="E514" s="98"/>
      <c r="F514" s="98"/>
      <c r="G514" s="98"/>
      <c r="H514" s="98"/>
      <c r="I514" s="98"/>
      <c r="J514" s="98"/>
      <c r="K514" s="98"/>
    </row>
    <row r="515" ht="20.25" spans="1:11">
      <c r="A515" s="98"/>
      <c r="B515" s="98"/>
      <c r="C515" s="98"/>
      <c r="D515" s="98"/>
      <c r="E515" s="98"/>
      <c r="F515" s="98"/>
      <c r="G515" s="98"/>
      <c r="H515" s="98"/>
      <c r="I515" s="98"/>
      <c r="J515" s="98"/>
      <c r="K515" s="98"/>
    </row>
    <row r="516" ht="20.25" spans="1:11">
      <c r="A516" s="98"/>
      <c r="B516" s="98"/>
      <c r="C516" s="98"/>
      <c r="D516" s="98"/>
      <c r="E516" s="98"/>
      <c r="F516" s="98"/>
      <c r="G516" s="98"/>
      <c r="H516" s="98"/>
      <c r="I516" s="98"/>
      <c r="J516" s="98"/>
      <c r="K516" s="98"/>
    </row>
    <row r="517" ht="20.25" spans="1:11">
      <c r="A517" s="98"/>
      <c r="B517" s="98"/>
      <c r="C517" s="98"/>
      <c r="D517" s="98"/>
      <c r="E517" s="98"/>
      <c r="F517" s="98"/>
      <c r="G517" s="98"/>
      <c r="H517" s="98"/>
      <c r="I517" s="98"/>
      <c r="J517" s="98"/>
      <c r="K517" s="98"/>
    </row>
    <row r="518" ht="20.25" spans="1:11">
      <c r="A518" s="98"/>
      <c r="B518" s="98"/>
      <c r="C518" s="98"/>
      <c r="D518" s="98"/>
      <c r="E518" s="98"/>
      <c r="F518" s="98"/>
      <c r="G518" s="98"/>
      <c r="H518" s="98"/>
      <c r="I518" s="98"/>
      <c r="J518" s="98"/>
      <c r="K518" s="98"/>
    </row>
    <row r="519" ht="20.25" spans="1:11">
      <c r="A519" s="98"/>
      <c r="B519" s="98"/>
      <c r="C519" s="98"/>
      <c r="D519" s="98"/>
      <c r="E519" s="98"/>
      <c r="F519" s="98"/>
      <c r="G519" s="98"/>
      <c r="H519" s="98"/>
      <c r="I519" s="98"/>
      <c r="J519" s="98"/>
      <c r="K519" s="98"/>
    </row>
    <row r="520" ht="20.25" spans="1:11">
      <c r="A520" s="98"/>
      <c r="B520" s="98"/>
      <c r="C520" s="98"/>
      <c r="D520" s="98"/>
      <c r="E520" s="98"/>
      <c r="F520" s="98"/>
      <c r="G520" s="98"/>
      <c r="H520" s="98"/>
      <c r="I520" s="98"/>
      <c r="J520" s="98"/>
      <c r="K520" s="98"/>
    </row>
    <row r="521" ht="20.25" spans="1:11">
      <c r="A521" s="98"/>
      <c r="B521" s="98"/>
      <c r="C521" s="98"/>
      <c r="D521" s="98"/>
      <c r="E521" s="98"/>
      <c r="F521" s="98"/>
      <c r="G521" s="98"/>
      <c r="H521" s="98"/>
      <c r="I521" s="98"/>
      <c r="J521" s="98"/>
      <c r="K521" s="98"/>
    </row>
    <row r="522" ht="20.25" spans="1:11">
      <c r="A522" s="98"/>
      <c r="B522" s="98"/>
      <c r="C522" s="98"/>
      <c r="D522" s="98"/>
      <c r="E522" s="98"/>
      <c r="F522" s="98"/>
      <c r="G522" s="98"/>
      <c r="H522" s="98"/>
      <c r="I522" s="98"/>
      <c r="J522" s="98"/>
      <c r="K522" s="98"/>
    </row>
    <row r="523" ht="20.25" spans="1:11">
      <c r="A523" s="98"/>
      <c r="B523" s="98"/>
      <c r="C523" s="98"/>
      <c r="D523" s="98"/>
      <c r="E523" s="98"/>
      <c r="F523" s="98"/>
      <c r="G523" s="98"/>
      <c r="H523" s="98"/>
      <c r="I523" s="98"/>
      <c r="J523" s="98"/>
      <c r="K523" s="98"/>
    </row>
    <row r="524" ht="20.25" spans="1:11">
      <c r="A524" s="98"/>
      <c r="B524" s="98"/>
      <c r="C524" s="98"/>
      <c r="D524" s="98"/>
      <c r="E524" s="98"/>
      <c r="F524" s="98"/>
      <c r="G524" s="98"/>
      <c r="H524" s="98"/>
      <c r="I524" s="98"/>
      <c r="J524" s="98"/>
      <c r="K524" s="98"/>
    </row>
    <row r="525" ht="20.25" spans="1:11">
      <c r="A525" s="98"/>
      <c r="B525" s="98"/>
      <c r="C525" s="98"/>
      <c r="D525" s="98"/>
      <c r="E525" s="98"/>
      <c r="F525" s="98"/>
      <c r="G525" s="98"/>
      <c r="H525" s="98"/>
      <c r="I525" s="98"/>
      <c r="J525" s="98"/>
      <c r="K525" s="98"/>
    </row>
    <row r="526" ht="20.25" spans="1:11">
      <c r="A526" s="98"/>
      <c r="B526" s="98"/>
      <c r="C526" s="98"/>
      <c r="D526" s="98"/>
      <c r="E526" s="98"/>
      <c r="F526" s="98"/>
      <c r="G526" s="98"/>
      <c r="H526" s="98"/>
      <c r="I526" s="98"/>
      <c r="J526" s="98"/>
      <c r="K526" s="98"/>
    </row>
    <row r="527" ht="20.25" spans="1:11">
      <c r="A527" s="98"/>
      <c r="B527" s="98"/>
      <c r="C527" s="98"/>
      <c r="D527" s="98"/>
      <c r="E527" s="98"/>
      <c r="F527" s="98"/>
      <c r="G527" s="98"/>
      <c r="H527" s="98"/>
      <c r="I527" s="98"/>
      <c r="J527" s="98"/>
      <c r="K527" s="98"/>
    </row>
    <row r="528" ht="20.25" spans="1:11">
      <c r="A528" s="98"/>
      <c r="B528" s="98"/>
      <c r="C528" s="98"/>
      <c r="D528" s="98"/>
      <c r="E528" s="98"/>
      <c r="F528" s="98"/>
      <c r="G528" s="98"/>
      <c r="H528" s="98"/>
      <c r="I528" s="98"/>
      <c r="J528" s="98"/>
      <c r="K528" s="98"/>
    </row>
    <row r="529" ht="20.25" spans="1:11">
      <c r="A529" s="98"/>
      <c r="B529" s="98"/>
      <c r="C529" s="98"/>
      <c r="D529" s="98"/>
      <c r="E529" s="98"/>
      <c r="F529" s="98"/>
      <c r="G529" s="98"/>
      <c r="H529" s="98"/>
      <c r="I529" s="98"/>
      <c r="J529" s="98"/>
      <c r="K529" s="98"/>
    </row>
    <row r="530" ht="20.25" spans="1:11">
      <c r="A530" s="98"/>
      <c r="B530" s="98"/>
      <c r="C530" s="98"/>
      <c r="D530" s="98"/>
      <c r="E530" s="98"/>
      <c r="F530" s="98"/>
      <c r="G530" s="98"/>
      <c r="H530" s="98"/>
      <c r="I530" s="98"/>
      <c r="J530" s="98"/>
      <c r="K530" s="98"/>
    </row>
    <row r="531" ht="20.25" spans="1:11">
      <c r="A531" s="98"/>
      <c r="B531" s="98"/>
      <c r="C531" s="98"/>
      <c r="D531" s="98"/>
      <c r="E531" s="98"/>
      <c r="F531" s="98"/>
      <c r="G531" s="98"/>
      <c r="H531" s="98"/>
      <c r="I531" s="98"/>
      <c r="J531" s="98"/>
      <c r="K531" s="98"/>
    </row>
    <row r="532" ht="20.25" spans="1:11">
      <c r="A532" s="98"/>
      <c r="B532" s="98"/>
      <c r="C532" s="98"/>
      <c r="D532" s="98"/>
      <c r="E532" s="98"/>
      <c r="F532" s="98"/>
      <c r="G532" s="98"/>
      <c r="H532" s="98"/>
      <c r="I532" s="98"/>
      <c r="J532" s="98"/>
      <c r="K532" s="98"/>
    </row>
    <row r="533" ht="20.25" spans="1:11">
      <c r="A533" s="98"/>
      <c r="B533" s="98"/>
      <c r="C533" s="98"/>
      <c r="D533" s="98"/>
      <c r="E533" s="98"/>
      <c r="F533" s="98"/>
      <c r="G533" s="98"/>
      <c r="H533" s="98"/>
      <c r="I533" s="98"/>
      <c r="J533" s="98"/>
      <c r="K533" s="98"/>
    </row>
    <row r="534" ht="20.25" spans="1:11">
      <c r="A534" s="98"/>
      <c r="B534" s="98"/>
      <c r="C534" s="98"/>
      <c r="D534" s="98"/>
      <c r="E534" s="98"/>
      <c r="F534" s="98"/>
      <c r="G534" s="98"/>
      <c r="H534" s="98"/>
      <c r="I534" s="98"/>
      <c r="J534" s="98"/>
      <c r="K534" s="98"/>
    </row>
    <row r="535" ht="20.25" spans="1:11">
      <c r="A535" s="98"/>
      <c r="B535" s="98"/>
      <c r="C535" s="98"/>
      <c r="D535" s="98"/>
      <c r="E535" s="98"/>
      <c r="F535" s="98"/>
      <c r="G535" s="98"/>
      <c r="H535" s="98"/>
      <c r="I535" s="98"/>
      <c r="J535" s="98"/>
      <c r="K535" s="98"/>
    </row>
    <row r="536" ht="20.25" spans="1:11">
      <c r="A536" s="98"/>
      <c r="B536" s="98"/>
      <c r="C536" s="98"/>
      <c r="D536" s="98"/>
      <c r="E536" s="98"/>
      <c r="F536" s="98"/>
      <c r="G536" s="98"/>
      <c r="H536" s="98"/>
      <c r="I536" s="98"/>
      <c r="J536" s="98"/>
      <c r="K536" s="98"/>
    </row>
    <row r="537" ht="20.25" spans="1:11">
      <c r="A537" s="98"/>
      <c r="B537" s="98"/>
      <c r="C537" s="98"/>
      <c r="D537" s="98"/>
      <c r="E537" s="98"/>
      <c r="F537" s="98"/>
      <c r="G537" s="98"/>
      <c r="H537" s="98"/>
      <c r="I537" s="98"/>
      <c r="J537" s="98"/>
      <c r="K537" s="98"/>
    </row>
    <row r="538" ht="20.25" spans="1:11">
      <c r="A538" s="98"/>
      <c r="B538" s="98"/>
      <c r="C538" s="98"/>
      <c r="D538" s="98"/>
      <c r="E538" s="98"/>
      <c r="F538" s="98"/>
      <c r="G538" s="98"/>
      <c r="H538" s="98"/>
      <c r="I538" s="98"/>
      <c r="J538" s="98"/>
      <c r="K538" s="98"/>
    </row>
    <row r="539" ht="20.25" spans="1:11">
      <c r="A539" s="98"/>
      <c r="B539" s="98"/>
      <c r="C539" s="98"/>
      <c r="D539" s="98"/>
      <c r="E539" s="98"/>
      <c r="F539" s="98"/>
      <c r="G539" s="98"/>
      <c r="H539" s="98"/>
      <c r="I539" s="98"/>
      <c r="J539" s="98"/>
      <c r="K539" s="98"/>
    </row>
    <row r="540" ht="20.25" spans="1:11">
      <c r="A540" s="98"/>
      <c r="B540" s="98"/>
      <c r="C540" s="98"/>
      <c r="D540" s="98"/>
      <c r="E540" s="98"/>
      <c r="F540" s="98"/>
      <c r="G540" s="98"/>
      <c r="H540" s="98"/>
      <c r="I540" s="98"/>
      <c r="J540" s="98"/>
      <c r="K540" s="98"/>
    </row>
    <row r="541" ht="20.25" spans="1:11">
      <c r="A541" s="98"/>
      <c r="B541" s="98"/>
      <c r="C541" s="98"/>
      <c r="D541" s="98"/>
      <c r="E541" s="98"/>
      <c r="F541" s="98"/>
      <c r="G541" s="98"/>
      <c r="H541" s="98"/>
      <c r="I541" s="98"/>
      <c r="J541" s="98"/>
      <c r="K541" s="98"/>
    </row>
    <row r="542" ht="20.25" spans="1:11">
      <c r="A542" s="98"/>
      <c r="B542" s="98"/>
      <c r="C542" s="98"/>
      <c r="D542" s="98"/>
      <c r="E542" s="98"/>
      <c r="F542" s="98"/>
      <c r="G542" s="98"/>
      <c r="H542" s="98"/>
      <c r="I542" s="98"/>
      <c r="J542" s="98"/>
      <c r="K542" s="98"/>
    </row>
    <row r="543" ht="20.25" spans="1:11">
      <c r="A543" s="98"/>
      <c r="B543" s="98"/>
      <c r="C543" s="98"/>
      <c r="D543" s="98"/>
      <c r="E543" s="98"/>
      <c r="F543" s="98"/>
      <c r="G543" s="98"/>
      <c r="H543" s="98"/>
      <c r="I543" s="98"/>
      <c r="J543" s="98"/>
      <c r="K543" s="98"/>
    </row>
    <row r="544" ht="20.25" spans="1:11">
      <c r="A544" s="98"/>
      <c r="B544" s="98"/>
      <c r="C544" s="98"/>
      <c r="D544" s="98"/>
      <c r="E544" s="98"/>
      <c r="F544" s="98"/>
      <c r="G544" s="98"/>
      <c r="H544" s="98"/>
      <c r="I544" s="98"/>
      <c r="J544" s="98"/>
      <c r="K544" s="98"/>
    </row>
    <row r="545" ht="20.25" spans="1:11">
      <c r="A545" s="98"/>
      <c r="B545" s="98"/>
      <c r="C545" s="98"/>
      <c r="D545" s="98"/>
      <c r="E545" s="98"/>
      <c r="F545" s="98"/>
      <c r="G545" s="98"/>
      <c r="H545" s="98"/>
      <c r="I545" s="98"/>
      <c r="J545" s="98"/>
      <c r="K545" s="98"/>
    </row>
    <row r="546" ht="20.25" spans="1:11">
      <c r="A546" s="98"/>
      <c r="B546" s="98"/>
      <c r="C546" s="98"/>
      <c r="D546" s="98"/>
      <c r="E546" s="98"/>
      <c r="F546" s="98"/>
      <c r="G546" s="98"/>
      <c r="H546" s="98"/>
      <c r="I546" s="98"/>
      <c r="J546" s="98"/>
      <c r="K546" s="98"/>
    </row>
    <row r="547" ht="20.25" spans="1:11">
      <c r="A547" s="98"/>
      <c r="B547" s="98"/>
      <c r="C547" s="98"/>
      <c r="D547" s="98"/>
      <c r="E547" s="98"/>
      <c r="F547" s="98"/>
      <c r="G547" s="98"/>
      <c r="H547" s="98"/>
      <c r="I547" s="98"/>
      <c r="J547" s="98"/>
      <c r="K547" s="98"/>
    </row>
    <row r="548" ht="20.25" spans="1:11">
      <c r="A548" s="98"/>
      <c r="B548" s="98"/>
      <c r="C548" s="98"/>
      <c r="D548" s="98"/>
      <c r="E548" s="98"/>
      <c r="F548" s="98"/>
      <c r="G548" s="98"/>
      <c r="H548" s="98"/>
      <c r="I548" s="98"/>
      <c r="J548" s="98"/>
      <c r="K548" s="98"/>
    </row>
    <row r="549" ht="20.25" spans="1:11">
      <c r="A549" s="98"/>
      <c r="B549" s="98"/>
      <c r="C549" s="98"/>
      <c r="D549" s="98"/>
      <c r="E549" s="98"/>
      <c r="F549" s="98"/>
      <c r="G549" s="98"/>
      <c r="H549" s="98"/>
      <c r="I549" s="98"/>
      <c r="J549" s="98"/>
      <c r="K549" s="98"/>
    </row>
    <row r="550" ht="20.25" spans="1:11">
      <c r="A550" s="98"/>
      <c r="B550" s="98"/>
      <c r="C550" s="98"/>
      <c r="D550" s="98"/>
      <c r="E550" s="98"/>
      <c r="F550" s="98"/>
      <c r="G550" s="98"/>
      <c r="H550" s="98"/>
      <c r="I550" s="98"/>
      <c r="J550" s="98"/>
      <c r="K550" s="98"/>
    </row>
    <row r="551" ht="20.25" spans="1:11">
      <c r="A551" s="98"/>
      <c r="B551" s="98"/>
      <c r="C551" s="98"/>
      <c r="D551" s="98"/>
      <c r="E551" s="98"/>
      <c r="F551" s="98"/>
      <c r="G551" s="98"/>
      <c r="H551" s="98"/>
      <c r="I551" s="98"/>
      <c r="J551" s="98"/>
      <c r="K551" s="98"/>
    </row>
    <row r="552" ht="20.25" spans="1:11">
      <c r="A552" s="98"/>
      <c r="B552" s="98"/>
      <c r="C552" s="98"/>
      <c r="D552" s="98"/>
      <c r="E552" s="98"/>
      <c r="F552" s="98"/>
      <c r="G552" s="98"/>
      <c r="H552" s="98"/>
      <c r="I552" s="98"/>
      <c r="J552" s="98"/>
      <c r="K552" s="98"/>
    </row>
    <row r="553" ht="20.25" spans="1:11">
      <c r="A553" s="98"/>
      <c r="B553" s="98"/>
      <c r="C553" s="98"/>
      <c r="D553" s="98"/>
      <c r="E553" s="98"/>
      <c r="F553" s="98"/>
      <c r="G553" s="98"/>
      <c r="H553" s="98"/>
      <c r="I553" s="98"/>
      <c r="J553" s="98"/>
      <c r="K553" s="98"/>
    </row>
    <row r="554" ht="20.25" spans="1:11">
      <c r="A554" s="98"/>
      <c r="B554" s="98"/>
      <c r="C554" s="98"/>
      <c r="D554" s="98"/>
      <c r="E554" s="98"/>
      <c r="F554" s="98"/>
      <c r="G554" s="98"/>
      <c r="H554" s="98"/>
      <c r="I554" s="98"/>
      <c r="J554" s="98"/>
      <c r="K554" s="98"/>
    </row>
    <row r="555" ht="20.25" spans="1:11">
      <c r="A555" s="98"/>
      <c r="B555" s="98"/>
      <c r="C555" s="98"/>
      <c r="D555" s="98"/>
      <c r="E555" s="98"/>
      <c r="F555" s="98"/>
      <c r="G555" s="98"/>
      <c r="H555" s="98"/>
      <c r="I555" s="98"/>
      <c r="J555" s="98"/>
      <c r="K555" s="98"/>
    </row>
    <row r="556" ht="20.25" spans="1:11">
      <c r="A556" s="98"/>
      <c r="B556" s="98"/>
      <c r="C556" s="98"/>
      <c r="D556" s="98"/>
      <c r="E556" s="98"/>
      <c r="F556" s="98"/>
      <c r="G556" s="98"/>
      <c r="H556" s="98"/>
      <c r="I556" s="98"/>
      <c r="J556" s="98"/>
      <c r="K556" s="98"/>
    </row>
    <row r="557" ht="20.25" spans="1:11">
      <c r="A557" s="98"/>
      <c r="B557" s="98"/>
      <c r="C557" s="98"/>
      <c r="D557" s="98"/>
      <c r="E557" s="98"/>
      <c r="F557" s="98"/>
      <c r="G557" s="98"/>
      <c r="H557" s="98"/>
      <c r="I557" s="98"/>
      <c r="J557" s="98"/>
      <c r="K557" s="98"/>
    </row>
    <row r="558" ht="20.25" spans="1:11">
      <c r="A558" s="98"/>
      <c r="B558" s="98"/>
      <c r="C558" s="98"/>
      <c r="D558" s="98"/>
      <c r="E558" s="98"/>
      <c r="F558" s="98"/>
      <c r="G558" s="98"/>
      <c r="H558" s="98"/>
      <c r="I558" s="98"/>
      <c r="J558" s="98"/>
      <c r="K558" s="98"/>
    </row>
    <row r="559" ht="20.25" spans="1:11">
      <c r="A559" s="98"/>
      <c r="B559" s="98"/>
      <c r="C559" s="98"/>
      <c r="D559" s="98"/>
      <c r="E559" s="98"/>
      <c r="F559" s="98"/>
      <c r="G559" s="98"/>
      <c r="H559" s="98"/>
      <c r="I559" s="98"/>
      <c r="J559" s="98"/>
      <c r="K559" s="98"/>
    </row>
    <row r="560" ht="20.25" spans="1:11">
      <c r="A560" s="98"/>
      <c r="B560" s="98"/>
      <c r="C560" s="98"/>
      <c r="D560" s="98"/>
      <c r="E560" s="98"/>
      <c r="F560" s="98"/>
      <c r="G560" s="98"/>
      <c r="H560" s="98"/>
      <c r="I560" s="98"/>
      <c r="J560" s="98"/>
      <c r="K560" s="98"/>
    </row>
    <row r="561" ht="20.25" spans="1:11">
      <c r="A561" s="98"/>
      <c r="B561" s="98"/>
      <c r="C561" s="98"/>
      <c r="D561" s="98"/>
      <c r="E561" s="98"/>
      <c r="F561" s="98"/>
      <c r="G561" s="98"/>
      <c r="H561" s="98"/>
      <c r="I561" s="98"/>
      <c r="J561" s="98"/>
      <c r="K561" s="98"/>
    </row>
    <row r="562" ht="20.25" spans="1:11">
      <c r="A562" s="98"/>
      <c r="B562" s="98"/>
      <c r="C562" s="98"/>
      <c r="D562" s="98"/>
      <c r="E562" s="98"/>
      <c r="F562" s="98"/>
      <c r="G562" s="98"/>
      <c r="H562" s="98"/>
      <c r="I562" s="98"/>
      <c r="J562" s="98"/>
      <c r="K562" s="98"/>
    </row>
    <row r="563" ht="20.25" spans="1:11">
      <c r="A563" s="98"/>
      <c r="B563" s="98"/>
      <c r="C563" s="98"/>
      <c r="D563" s="98"/>
      <c r="E563" s="98"/>
      <c r="F563" s="98"/>
      <c r="G563" s="98"/>
      <c r="H563" s="98"/>
      <c r="I563" s="98"/>
      <c r="J563" s="98"/>
      <c r="K563" s="98"/>
    </row>
    <row r="564" ht="20.25" spans="1:11">
      <c r="A564" s="98"/>
      <c r="B564" s="98"/>
      <c r="C564" s="98"/>
      <c r="D564" s="98"/>
      <c r="E564" s="98"/>
      <c r="F564" s="98"/>
      <c r="G564" s="98"/>
      <c r="H564" s="98"/>
      <c r="I564" s="98"/>
      <c r="J564" s="98"/>
      <c r="K564" s="98"/>
    </row>
    <row r="565" ht="20.25" spans="1:11">
      <c r="A565" s="98"/>
      <c r="B565" s="98"/>
      <c r="C565" s="98"/>
      <c r="D565" s="98"/>
      <c r="E565" s="98"/>
      <c r="F565" s="98"/>
      <c r="G565" s="98"/>
      <c r="H565" s="98"/>
      <c r="I565" s="98"/>
      <c r="J565" s="98"/>
      <c r="K565" s="98"/>
    </row>
    <row r="566" ht="20.25" spans="1:11">
      <c r="A566" s="98"/>
      <c r="B566" s="98"/>
      <c r="C566" s="98"/>
      <c r="D566" s="98"/>
      <c r="E566" s="98"/>
      <c r="F566" s="98"/>
      <c r="G566" s="98"/>
      <c r="H566" s="98"/>
      <c r="I566" s="98"/>
      <c r="J566" s="98"/>
      <c r="K566" s="98"/>
    </row>
    <row r="567" ht="20.25" spans="1:11">
      <c r="A567" s="98"/>
      <c r="B567" s="98"/>
      <c r="C567" s="98"/>
      <c r="D567" s="98"/>
      <c r="E567" s="98"/>
      <c r="F567" s="98"/>
      <c r="G567" s="98"/>
      <c r="H567" s="98"/>
      <c r="I567" s="98"/>
      <c r="J567" s="98"/>
      <c r="K567" s="98"/>
    </row>
    <row r="568" ht="20.25" spans="1:11">
      <c r="A568" s="98"/>
      <c r="B568" s="98"/>
      <c r="C568" s="98"/>
      <c r="D568" s="98"/>
      <c r="E568" s="98"/>
      <c r="F568" s="98"/>
      <c r="G568" s="98"/>
      <c r="H568" s="98"/>
      <c r="I568" s="98"/>
      <c r="J568" s="98"/>
      <c r="K568" s="98"/>
    </row>
    <row r="569" ht="20.25" spans="1:11">
      <c r="A569" s="98"/>
      <c r="B569" s="98"/>
      <c r="C569" s="98"/>
      <c r="D569" s="98"/>
      <c r="E569" s="98"/>
      <c r="F569" s="98"/>
      <c r="G569" s="98"/>
      <c r="H569" s="98"/>
      <c r="I569" s="98"/>
      <c r="J569" s="98"/>
      <c r="K569" s="98"/>
    </row>
    <row r="570" ht="20.25" spans="1:11">
      <c r="A570" s="98"/>
      <c r="B570" s="98"/>
      <c r="C570" s="98"/>
      <c r="D570" s="98"/>
      <c r="E570" s="98"/>
      <c r="F570" s="98"/>
      <c r="G570" s="98"/>
      <c r="H570" s="98"/>
      <c r="I570" s="98"/>
      <c r="J570" s="98"/>
      <c r="K570" s="98"/>
    </row>
    <row r="571" ht="20.25" spans="1:11">
      <c r="A571" s="98"/>
      <c r="B571" s="98"/>
      <c r="C571" s="98"/>
      <c r="D571" s="98"/>
      <c r="E571" s="98"/>
      <c r="F571" s="98"/>
      <c r="G571" s="98"/>
      <c r="H571" s="98"/>
      <c r="I571" s="98"/>
      <c r="J571" s="98"/>
      <c r="K571" s="98"/>
    </row>
    <row r="572" ht="20.25" spans="1:11">
      <c r="A572" s="98"/>
      <c r="B572" s="98"/>
      <c r="C572" s="98"/>
      <c r="D572" s="98"/>
      <c r="E572" s="98"/>
      <c r="F572" s="98"/>
      <c r="G572" s="98"/>
      <c r="H572" s="98"/>
      <c r="I572" s="98"/>
      <c r="J572" s="98"/>
      <c r="K572" s="98"/>
    </row>
    <row r="573" ht="20.25" spans="1:11">
      <c r="A573" s="98"/>
      <c r="B573" s="98"/>
      <c r="C573" s="98"/>
      <c r="D573" s="98"/>
      <c r="E573" s="98"/>
      <c r="F573" s="98"/>
      <c r="G573" s="98"/>
      <c r="H573" s="98"/>
      <c r="I573" s="98"/>
      <c r="J573" s="98"/>
      <c r="K573" s="98"/>
    </row>
    <row r="574" ht="20.25" spans="1:11">
      <c r="A574" s="98"/>
      <c r="B574" s="98"/>
      <c r="C574" s="98"/>
      <c r="D574" s="98"/>
      <c r="E574" s="98"/>
      <c r="F574" s="98"/>
      <c r="G574" s="98"/>
      <c r="H574" s="98"/>
      <c r="I574" s="98"/>
      <c r="J574" s="98"/>
      <c r="K574" s="98"/>
    </row>
    <row r="575" ht="20.25" spans="1:11">
      <c r="A575" s="98"/>
      <c r="B575" s="98"/>
      <c r="C575" s="98"/>
      <c r="D575" s="98"/>
      <c r="E575" s="98"/>
      <c r="F575" s="98"/>
      <c r="G575" s="98"/>
      <c r="H575" s="98"/>
      <c r="I575" s="98"/>
      <c r="J575" s="98"/>
      <c r="K575" s="98"/>
    </row>
    <row r="576" ht="20.25" spans="1:11">
      <c r="A576" s="98"/>
      <c r="B576" s="98"/>
      <c r="C576" s="98"/>
      <c r="D576" s="98"/>
      <c r="E576" s="98"/>
      <c r="F576" s="98"/>
      <c r="G576" s="98"/>
      <c r="H576" s="98"/>
      <c r="I576" s="98"/>
      <c r="J576" s="98"/>
      <c r="K576" s="98"/>
    </row>
    <row r="577" ht="20.25" spans="1:11">
      <c r="A577" s="98"/>
      <c r="B577" s="98"/>
      <c r="C577" s="98"/>
      <c r="D577" s="98"/>
      <c r="E577" s="98"/>
      <c r="F577" s="98"/>
      <c r="G577" s="98"/>
      <c r="H577" s="98"/>
      <c r="I577" s="98"/>
      <c r="J577" s="98"/>
      <c r="K577" s="98"/>
    </row>
    <row r="578" ht="20.25" spans="1:11">
      <c r="A578" s="98"/>
      <c r="B578" s="98"/>
      <c r="C578" s="98"/>
      <c r="D578" s="98"/>
      <c r="E578" s="98"/>
      <c r="F578" s="98"/>
      <c r="G578" s="98"/>
      <c r="H578" s="98"/>
      <c r="I578" s="98"/>
      <c r="J578" s="98"/>
      <c r="K578" s="98"/>
    </row>
    <row r="579" ht="20.25" spans="1:11">
      <c r="A579" s="98"/>
      <c r="B579" s="98"/>
      <c r="C579" s="98"/>
      <c r="D579" s="98"/>
      <c r="E579" s="98"/>
      <c r="F579" s="98"/>
      <c r="G579" s="98"/>
      <c r="H579" s="98"/>
      <c r="I579" s="98"/>
      <c r="J579" s="98"/>
      <c r="K579" s="98"/>
    </row>
    <row r="580" ht="20.25" spans="1:11">
      <c r="A580" s="98"/>
      <c r="B580" s="98"/>
      <c r="C580" s="98"/>
      <c r="D580" s="98"/>
      <c r="E580" s="98"/>
      <c r="F580" s="98"/>
      <c r="G580" s="98"/>
      <c r="H580" s="98"/>
      <c r="I580" s="98"/>
      <c r="J580" s="98"/>
      <c r="K580" s="98"/>
    </row>
    <row r="581" ht="20.25" spans="1:11">
      <c r="A581" s="98"/>
      <c r="B581" s="98"/>
      <c r="C581" s="98"/>
      <c r="D581" s="98"/>
      <c r="E581" s="98"/>
      <c r="F581" s="98"/>
      <c r="G581" s="98"/>
      <c r="H581" s="98"/>
      <c r="I581" s="98"/>
      <c r="J581" s="98"/>
      <c r="K581" s="98"/>
    </row>
    <row r="582" ht="20.25" spans="1:11">
      <c r="A582" s="98"/>
      <c r="B582" s="98"/>
      <c r="C582" s="98"/>
      <c r="D582" s="98"/>
      <c r="E582" s="98"/>
      <c r="F582" s="98"/>
      <c r="G582" s="98"/>
      <c r="H582" s="98"/>
      <c r="I582" s="98"/>
      <c r="J582" s="98"/>
      <c r="K582" s="98"/>
    </row>
    <row r="583" ht="20.25" spans="1:11">
      <c r="A583" s="98"/>
      <c r="B583" s="98"/>
      <c r="C583" s="98"/>
      <c r="D583" s="98"/>
      <c r="E583" s="98"/>
      <c r="F583" s="98"/>
      <c r="G583" s="98"/>
      <c r="H583" s="98"/>
      <c r="I583" s="98"/>
      <c r="J583" s="98"/>
      <c r="K583" s="98"/>
    </row>
    <row r="584" ht="20.25" spans="1:11">
      <c r="A584" s="98"/>
      <c r="B584" s="98"/>
      <c r="C584" s="98"/>
      <c r="D584" s="98"/>
      <c r="E584" s="98"/>
      <c r="F584" s="98"/>
      <c r="G584" s="98"/>
      <c r="H584" s="98"/>
      <c r="I584" s="98"/>
      <c r="J584" s="98"/>
      <c r="K584" s="98"/>
    </row>
    <row r="585" ht="20.25" spans="1:11">
      <c r="A585" s="98"/>
      <c r="B585" s="98"/>
      <c r="C585" s="98"/>
      <c r="D585" s="98"/>
      <c r="E585" s="98"/>
      <c r="F585" s="98"/>
      <c r="G585" s="98"/>
      <c r="H585" s="98"/>
      <c r="I585" s="98"/>
      <c r="J585" s="98"/>
      <c r="K585" s="98"/>
    </row>
    <row r="586" ht="20.25" spans="1:11">
      <c r="A586" s="98"/>
      <c r="B586" s="98"/>
      <c r="C586" s="98"/>
      <c r="D586" s="98"/>
      <c r="E586" s="98"/>
      <c r="F586" s="98"/>
      <c r="G586" s="98"/>
      <c r="H586" s="98"/>
      <c r="I586" s="98"/>
      <c r="J586" s="98"/>
      <c r="K586" s="98"/>
    </row>
    <row r="587" ht="20.25" spans="1:11">
      <c r="A587" s="98"/>
      <c r="B587" s="98"/>
      <c r="C587" s="98"/>
      <c r="D587" s="98"/>
      <c r="E587" s="98"/>
      <c r="F587" s="98"/>
      <c r="G587" s="98"/>
      <c r="H587" s="98"/>
      <c r="I587" s="98"/>
      <c r="J587" s="98"/>
      <c r="K587" s="98"/>
    </row>
    <row r="588" ht="20.25" spans="1:11">
      <c r="A588" s="98"/>
      <c r="B588" s="98"/>
      <c r="C588" s="98"/>
      <c r="D588" s="98"/>
      <c r="E588" s="98"/>
      <c r="F588" s="98"/>
      <c r="G588" s="98"/>
      <c r="H588" s="98"/>
      <c r="I588" s="98"/>
      <c r="J588" s="98"/>
      <c r="K588" s="98"/>
    </row>
    <row r="589" ht="20.25" spans="1:11">
      <c r="A589" s="98"/>
      <c r="B589" s="98"/>
      <c r="C589" s="98"/>
      <c r="D589" s="98"/>
      <c r="E589" s="98"/>
      <c r="F589" s="98"/>
      <c r="G589" s="98"/>
      <c r="H589" s="98"/>
      <c r="I589" s="98"/>
      <c r="J589" s="98"/>
      <c r="K589" s="98"/>
    </row>
    <row r="590" ht="20.25" spans="1:11">
      <c r="A590" s="98"/>
      <c r="B590" s="98"/>
      <c r="C590" s="98"/>
      <c r="D590" s="98"/>
      <c r="E590" s="98"/>
      <c r="F590" s="98"/>
      <c r="G590" s="98"/>
      <c r="H590" s="98"/>
      <c r="I590" s="98"/>
      <c r="J590" s="98"/>
      <c r="K590" s="98"/>
    </row>
    <row r="591" ht="20.25" spans="1:11">
      <c r="A591" s="98"/>
      <c r="B591" s="98"/>
      <c r="C591" s="98"/>
      <c r="D591" s="98"/>
      <c r="E591" s="98"/>
      <c r="F591" s="98"/>
      <c r="G591" s="98"/>
      <c r="H591" s="98"/>
      <c r="I591" s="98"/>
      <c r="J591" s="98"/>
      <c r="K591" s="98"/>
    </row>
    <row r="592" ht="20.25" spans="1:11">
      <c r="A592" s="98"/>
      <c r="B592" s="98"/>
      <c r="C592" s="98"/>
      <c r="D592" s="98"/>
      <c r="E592" s="98"/>
      <c r="F592" s="98"/>
      <c r="G592" s="98"/>
      <c r="H592" s="98"/>
      <c r="I592" s="98"/>
      <c r="J592" s="98"/>
      <c r="K592" s="98"/>
    </row>
    <row r="593" ht="20.25" spans="1:11">
      <c r="A593" s="98"/>
      <c r="B593" s="98"/>
      <c r="C593" s="98"/>
      <c r="D593" s="98"/>
      <c r="E593" s="98"/>
      <c r="F593" s="98"/>
      <c r="G593" s="98"/>
      <c r="H593" s="98"/>
      <c r="I593" s="98"/>
      <c r="J593" s="98"/>
      <c r="K593" s="98"/>
    </row>
    <row r="594" ht="20.25" spans="1:11">
      <c r="A594" s="98"/>
      <c r="B594" s="98"/>
      <c r="C594" s="98"/>
      <c r="D594" s="98"/>
      <c r="E594" s="98"/>
      <c r="F594" s="98"/>
      <c r="G594" s="98"/>
      <c r="H594" s="98"/>
      <c r="I594" s="98"/>
      <c r="J594" s="98"/>
      <c r="K594" s="98"/>
    </row>
    <row r="595" ht="20.25" spans="1:11">
      <c r="A595" s="98"/>
      <c r="B595" s="98"/>
      <c r="C595" s="98"/>
      <c r="D595" s="98"/>
      <c r="E595" s="98"/>
      <c r="F595" s="98"/>
      <c r="G595" s="98"/>
      <c r="H595" s="98"/>
      <c r="I595" s="98"/>
      <c r="J595" s="98"/>
      <c r="K595" s="98"/>
    </row>
    <row r="596" ht="20.25" spans="1:11">
      <c r="A596" s="98"/>
      <c r="B596" s="98"/>
      <c r="C596" s="98"/>
      <c r="D596" s="98"/>
      <c r="E596" s="98"/>
      <c r="F596" s="98"/>
      <c r="G596" s="98"/>
      <c r="H596" s="98"/>
      <c r="I596" s="98"/>
      <c r="J596" s="98"/>
      <c r="K596" s="98"/>
    </row>
    <row r="597" ht="20.25" spans="1:11">
      <c r="A597" s="98"/>
      <c r="B597" s="98"/>
      <c r="C597" s="98"/>
      <c r="D597" s="98"/>
      <c r="E597" s="98"/>
      <c r="F597" s="98"/>
      <c r="G597" s="98"/>
      <c r="H597" s="98"/>
      <c r="I597" s="98"/>
      <c r="J597" s="98"/>
      <c r="K597" s="98"/>
    </row>
    <row r="598" ht="20.25" spans="1:11">
      <c r="A598" s="98"/>
      <c r="B598" s="98"/>
      <c r="C598" s="98"/>
      <c r="D598" s="98"/>
      <c r="E598" s="98"/>
      <c r="F598" s="98"/>
      <c r="G598" s="98"/>
      <c r="H598" s="98"/>
      <c r="I598" s="98"/>
      <c r="J598" s="98"/>
      <c r="K598" s="98"/>
    </row>
    <row r="599" ht="20.25" spans="1:11">
      <c r="A599" s="98"/>
      <c r="B599" s="98"/>
      <c r="C599" s="98"/>
      <c r="D599" s="98"/>
      <c r="E599" s="98"/>
      <c r="F599" s="98"/>
      <c r="G599" s="98"/>
      <c r="H599" s="98"/>
      <c r="I599" s="98"/>
      <c r="J599" s="98"/>
      <c r="K599" s="98"/>
    </row>
    <row r="600" ht="20.25" spans="1:11">
      <c r="A600" s="98"/>
      <c r="B600" s="98"/>
      <c r="C600" s="98"/>
      <c r="D600" s="98"/>
      <c r="E600" s="98"/>
      <c r="F600" s="98"/>
      <c r="G600" s="98"/>
      <c r="H600" s="98"/>
      <c r="I600" s="98"/>
      <c r="J600" s="98"/>
      <c r="K600" s="98"/>
    </row>
    <row r="601" ht="20.25" spans="1:11">
      <c r="A601" s="98"/>
      <c r="B601" s="98"/>
      <c r="C601" s="98"/>
      <c r="D601" s="98"/>
      <c r="E601" s="98"/>
      <c r="F601" s="98"/>
      <c r="G601" s="98"/>
      <c r="H601" s="98"/>
      <c r="I601" s="98"/>
      <c r="J601" s="98"/>
      <c r="K601" s="98"/>
    </row>
    <row r="602" ht="20.25" spans="1:11">
      <c r="A602" s="98"/>
      <c r="B602" s="98"/>
      <c r="C602" s="98"/>
      <c r="D602" s="98"/>
      <c r="E602" s="98"/>
      <c r="F602" s="98"/>
      <c r="G602" s="98"/>
      <c r="H602" s="98"/>
      <c r="I602" s="98"/>
      <c r="J602" s="98"/>
      <c r="K602" s="98"/>
    </row>
    <row r="603" ht="20.25" spans="1:11">
      <c r="A603" s="98"/>
      <c r="B603" s="98"/>
      <c r="C603" s="98"/>
      <c r="D603" s="98"/>
      <c r="E603" s="98"/>
      <c r="F603" s="98"/>
      <c r="G603" s="98"/>
      <c r="H603" s="98"/>
      <c r="I603" s="98"/>
      <c r="J603" s="98"/>
      <c r="K603" s="98"/>
    </row>
    <row r="604" ht="20.25" spans="1:11">
      <c r="A604" s="98"/>
      <c r="B604" s="98"/>
      <c r="C604" s="98"/>
      <c r="D604" s="98"/>
      <c r="E604" s="98"/>
      <c r="F604" s="98"/>
      <c r="G604" s="98"/>
      <c r="H604" s="98"/>
      <c r="I604" s="98"/>
      <c r="J604" s="98"/>
      <c r="K604" s="98"/>
    </row>
    <row r="605" ht="20.25" spans="1:11">
      <c r="A605" s="98"/>
      <c r="B605" s="98"/>
      <c r="C605" s="98"/>
      <c r="D605" s="98"/>
      <c r="E605" s="98"/>
      <c r="F605" s="98"/>
      <c r="G605" s="98"/>
      <c r="H605" s="98"/>
      <c r="I605" s="98"/>
      <c r="J605" s="98"/>
      <c r="K605" s="98"/>
    </row>
    <row r="606" ht="20.25" spans="1:11">
      <c r="A606" s="98"/>
      <c r="B606" s="98"/>
      <c r="C606" s="98"/>
      <c r="D606" s="98"/>
      <c r="E606" s="98"/>
      <c r="F606" s="98"/>
      <c r="G606" s="98"/>
      <c r="H606" s="98"/>
      <c r="I606" s="98"/>
      <c r="J606" s="98"/>
      <c r="K606" s="98"/>
    </row>
    <row r="607" ht="20.25" spans="1:11">
      <c r="A607" s="98"/>
      <c r="B607" s="98"/>
      <c r="C607" s="98"/>
      <c r="D607" s="98"/>
      <c r="E607" s="98"/>
      <c r="F607" s="98"/>
      <c r="G607" s="98"/>
      <c r="H607" s="98"/>
      <c r="I607" s="98"/>
      <c r="J607" s="98"/>
      <c r="K607" s="98"/>
    </row>
    <row r="608" ht="20.25" spans="1:11">
      <c r="A608" s="98"/>
      <c r="B608" s="98"/>
      <c r="C608" s="98"/>
      <c r="D608" s="98"/>
      <c r="E608" s="98"/>
      <c r="F608" s="98"/>
      <c r="G608" s="98"/>
      <c r="H608" s="98"/>
      <c r="I608" s="98"/>
      <c r="J608" s="98"/>
      <c r="K608" s="98"/>
    </row>
    <row r="609" ht="20.25" spans="1:11">
      <c r="A609" s="98"/>
      <c r="B609" s="98"/>
      <c r="C609" s="98"/>
      <c r="D609" s="98"/>
      <c r="E609" s="98"/>
      <c r="F609" s="98"/>
      <c r="G609" s="98"/>
      <c r="H609" s="98"/>
      <c r="I609" s="98"/>
      <c r="J609" s="98"/>
      <c r="K609" s="98"/>
    </row>
    <row r="610" ht="20.25" spans="1:11">
      <c r="A610" s="98"/>
      <c r="B610" s="98"/>
      <c r="C610" s="98"/>
      <c r="D610" s="98"/>
      <c r="E610" s="98"/>
      <c r="F610" s="98"/>
      <c r="G610" s="98"/>
      <c r="H610" s="98"/>
      <c r="I610" s="98"/>
      <c r="J610" s="98"/>
      <c r="K610" s="98"/>
    </row>
    <row r="611" ht="20.25" spans="1:11">
      <c r="A611" s="98"/>
      <c r="B611" s="98"/>
      <c r="C611" s="98"/>
      <c r="D611" s="98"/>
      <c r="E611" s="98"/>
      <c r="F611" s="98"/>
      <c r="G611" s="98"/>
      <c r="H611" s="98"/>
      <c r="I611" s="98"/>
      <c r="J611" s="98"/>
      <c r="K611" s="98"/>
    </row>
    <row r="612" ht="20.25" spans="1:11">
      <c r="A612" s="98"/>
      <c r="B612" s="98"/>
      <c r="C612" s="98"/>
      <c r="D612" s="98"/>
      <c r="E612" s="98"/>
      <c r="F612" s="98"/>
      <c r="G612" s="98"/>
      <c r="H612" s="98"/>
      <c r="I612" s="98"/>
      <c r="J612" s="98"/>
      <c r="K612" s="98"/>
    </row>
    <row r="613" ht="20.25" spans="1:11">
      <c r="A613" s="98"/>
      <c r="B613" s="98"/>
      <c r="C613" s="98"/>
      <c r="D613" s="98"/>
      <c r="E613" s="98"/>
      <c r="F613" s="98"/>
      <c r="G613" s="98"/>
      <c r="H613" s="98"/>
      <c r="I613" s="98"/>
      <c r="J613" s="98"/>
      <c r="K613" s="98"/>
    </row>
    <row r="614" ht="20.25" spans="1:11">
      <c r="A614" s="98"/>
      <c r="B614" s="98"/>
      <c r="C614" s="98"/>
      <c r="D614" s="98"/>
      <c r="E614" s="98"/>
      <c r="F614" s="98"/>
      <c r="G614" s="98"/>
      <c r="H614" s="98"/>
      <c r="I614" s="98"/>
      <c r="J614" s="98"/>
      <c r="K614" s="98"/>
    </row>
    <row r="615" ht="20.25" spans="1:11">
      <c r="A615" s="98"/>
      <c r="B615" s="98"/>
      <c r="C615" s="98"/>
      <c r="D615" s="98"/>
      <c r="E615" s="98"/>
      <c r="F615" s="98"/>
      <c r="G615" s="98"/>
      <c r="H615" s="98"/>
      <c r="I615" s="98"/>
      <c r="J615" s="98"/>
      <c r="K615" s="98"/>
    </row>
    <row r="616" ht="20.25" spans="1:11">
      <c r="A616" s="98"/>
      <c r="B616" s="98"/>
      <c r="C616" s="98"/>
      <c r="D616" s="98"/>
      <c r="E616" s="98"/>
      <c r="F616" s="98"/>
      <c r="G616" s="98"/>
      <c r="H616" s="98"/>
      <c r="I616" s="98"/>
      <c r="J616" s="98"/>
      <c r="K616" s="98"/>
    </row>
    <row r="617" ht="20.25" spans="1:11">
      <c r="A617" s="98"/>
      <c r="B617" s="98"/>
      <c r="C617" s="98"/>
      <c r="D617" s="98"/>
      <c r="E617" s="98"/>
      <c r="F617" s="98"/>
      <c r="G617" s="98"/>
      <c r="H617" s="98"/>
      <c r="I617" s="98"/>
      <c r="J617" s="98"/>
      <c r="K617" s="98"/>
    </row>
    <row r="618" ht="20.25" spans="1:11">
      <c r="A618" s="98"/>
      <c r="B618" s="98"/>
      <c r="C618" s="98"/>
      <c r="D618" s="98"/>
      <c r="E618" s="98"/>
      <c r="F618" s="98"/>
      <c r="G618" s="98"/>
      <c r="H618" s="98"/>
      <c r="I618" s="98"/>
      <c r="J618" s="98"/>
      <c r="K618" s="98"/>
    </row>
    <row r="619" ht="20.25" spans="1:11">
      <c r="A619" s="98"/>
      <c r="B619" s="98"/>
      <c r="C619" s="98"/>
      <c r="D619" s="98"/>
      <c r="E619" s="98"/>
      <c r="F619" s="98"/>
      <c r="G619" s="98"/>
      <c r="H619" s="98"/>
      <c r="I619" s="98"/>
      <c r="J619" s="98"/>
      <c r="K619" s="98"/>
    </row>
    <row r="620" ht="20.25" spans="1:11">
      <c r="A620" s="98"/>
      <c r="B620" s="98"/>
      <c r="C620" s="98"/>
      <c r="D620" s="98"/>
      <c r="E620" s="98"/>
      <c r="F620" s="98"/>
      <c r="G620" s="98"/>
      <c r="H620" s="98"/>
      <c r="I620" s="98"/>
      <c r="J620" s="98"/>
      <c r="K620" s="98"/>
    </row>
    <row r="621" ht="20.25" spans="1:11">
      <c r="A621" s="98"/>
      <c r="B621" s="98"/>
      <c r="C621" s="98"/>
      <c r="D621" s="98"/>
      <c r="E621" s="98"/>
      <c r="F621" s="98"/>
      <c r="G621" s="98"/>
      <c r="H621" s="98"/>
      <c r="I621" s="98"/>
      <c r="J621" s="98"/>
      <c r="K621" s="98"/>
    </row>
    <row r="622" ht="20.25" spans="1:11">
      <c r="A622" s="98"/>
      <c r="B622" s="98"/>
      <c r="C622" s="98"/>
      <c r="D622" s="98"/>
      <c r="E622" s="98"/>
      <c r="F622" s="98"/>
      <c r="G622" s="98"/>
      <c r="H622" s="98"/>
      <c r="I622" s="98"/>
      <c r="J622" s="98"/>
      <c r="K622" s="98"/>
    </row>
    <row r="623" ht="20.25" spans="1:11">
      <c r="A623" s="98"/>
      <c r="B623" s="98"/>
      <c r="C623" s="98"/>
      <c r="D623" s="98"/>
      <c r="E623" s="98"/>
      <c r="F623" s="98"/>
      <c r="G623" s="98"/>
      <c r="H623" s="98"/>
      <c r="I623" s="98"/>
      <c r="J623" s="98"/>
      <c r="K623" s="98"/>
    </row>
    <row r="624" ht="20.25" spans="1:11">
      <c r="A624" s="98"/>
      <c r="B624" s="98"/>
      <c r="C624" s="98"/>
      <c r="D624" s="98"/>
      <c r="E624" s="98"/>
      <c r="F624" s="98"/>
      <c r="G624" s="98"/>
      <c r="H624" s="98"/>
      <c r="I624" s="98"/>
      <c r="J624" s="98"/>
      <c r="K624" s="98"/>
    </row>
    <row r="625" ht="20.25" spans="1:11">
      <c r="A625" s="98"/>
      <c r="B625" s="98"/>
      <c r="C625" s="98"/>
      <c r="D625" s="98"/>
      <c r="E625" s="98"/>
      <c r="F625" s="98"/>
      <c r="G625" s="98"/>
      <c r="H625" s="98"/>
      <c r="I625" s="98"/>
      <c r="J625" s="98"/>
      <c r="K625" s="98"/>
    </row>
    <row r="626" ht="20.25" spans="1:11">
      <c r="A626" s="98"/>
      <c r="B626" s="98"/>
      <c r="C626" s="98"/>
      <c r="D626" s="98"/>
      <c r="E626" s="98"/>
      <c r="F626" s="98"/>
      <c r="G626" s="98"/>
      <c r="H626" s="98"/>
      <c r="I626" s="98"/>
      <c r="J626" s="98"/>
      <c r="K626" s="98"/>
    </row>
    <row r="627" ht="20.25" spans="1:11">
      <c r="A627" s="98"/>
      <c r="B627" s="98"/>
      <c r="C627" s="98"/>
      <c r="D627" s="98"/>
      <c r="E627" s="98"/>
      <c r="F627" s="98"/>
      <c r="G627" s="98"/>
      <c r="H627" s="98"/>
      <c r="I627" s="98"/>
      <c r="J627" s="98"/>
      <c r="K627" s="98"/>
    </row>
    <row r="628" ht="20.25" spans="1:11">
      <c r="A628" s="98"/>
      <c r="B628" s="98"/>
      <c r="C628" s="98"/>
      <c r="D628" s="98"/>
      <c r="E628" s="98"/>
      <c r="F628" s="98"/>
      <c r="G628" s="98"/>
      <c r="H628" s="98"/>
      <c r="I628" s="98"/>
      <c r="J628" s="98"/>
      <c r="K628" s="98"/>
    </row>
    <row r="629" ht="20.25" spans="1:11">
      <c r="A629" s="98"/>
      <c r="B629" s="98"/>
      <c r="C629" s="98"/>
      <c r="D629" s="98"/>
      <c r="E629" s="98"/>
      <c r="F629" s="98"/>
      <c r="G629" s="98"/>
      <c r="H629" s="98"/>
      <c r="I629" s="98"/>
      <c r="J629" s="98"/>
      <c r="K629" s="98"/>
    </row>
    <row r="630" ht="20.25" spans="1:11">
      <c r="A630" s="98"/>
      <c r="B630" s="98"/>
      <c r="C630" s="98"/>
      <c r="D630" s="98"/>
      <c r="E630" s="98"/>
      <c r="F630" s="98"/>
      <c r="G630" s="98"/>
      <c r="H630" s="98"/>
      <c r="I630" s="98"/>
      <c r="J630" s="98"/>
      <c r="K630" s="98"/>
    </row>
    <row r="631" ht="20.25" spans="1:11">
      <c r="A631" s="98"/>
      <c r="B631" s="98"/>
      <c r="C631" s="98"/>
      <c r="D631" s="98"/>
      <c r="E631" s="98"/>
      <c r="F631" s="98"/>
      <c r="G631" s="98"/>
      <c r="H631" s="98"/>
      <c r="I631" s="98"/>
      <c r="J631" s="98"/>
      <c r="K631" s="98"/>
    </row>
    <row r="632" ht="20.25" spans="1:11">
      <c r="A632" s="98"/>
      <c r="B632" s="98"/>
      <c r="C632" s="98"/>
      <c r="D632" s="98"/>
      <c r="E632" s="98"/>
      <c r="F632" s="98"/>
      <c r="G632" s="98"/>
      <c r="H632" s="98"/>
      <c r="I632" s="98"/>
      <c r="J632" s="98"/>
      <c r="K632" s="98"/>
    </row>
    <row r="633" ht="20.25" spans="1:11">
      <c r="A633" s="98"/>
      <c r="B633" s="98"/>
      <c r="C633" s="98"/>
      <c r="D633" s="98"/>
      <c r="E633" s="98"/>
      <c r="F633" s="98"/>
      <c r="G633" s="98"/>
      <c r="H633" s="98"/>
      <c r="I633" s="98"/>
      <c r="J633" s="98"/>
      <c r="K633" s="98"/>
    </row>
    <row r="634" ht="20.25" spans="1:11">
      <c r="A634" s="98"/>
      <c r="B634" s="98"/>
      <c r="C634" s="98"/>
      <c r="D634" s="98"/>
      <c r="E634" s="98"/>
      <c r="F634" s="98"/>
      <c r="G634" s="98"/>
      <c r="H634" s="98"/>
      <c r="I634" s="98"/>
      <c r="J634" s="98"/>
      <c r="K634" s="98"/>
    </row>
    <row r="635" ht="20.25" spans="1:11">
      <c r="A635" s="98"/>
      <c r="B635" s="98"/>
      <c r="C635" s="98"/>
      <c r="D635" s="98"/>
      <c r="E635" s="98"/>
      <c r="F635" s="98"/>
      <c r="G635" s="98"/>
      <c r="H635" s="98"/>
      <c r="I635" s="98"/>
      <c r="J635" s="98"/>
      <c r="K635" s="98"/>
    </row>
    <row r="636" ht="20.25" spans="1:11">
      <c r="A636" s="98"/>
      <c r="B636" s="98"/>
      <c r="C636" s="98"/>
      <c r="D636" s="98"/>
      <c r="E636" s="98"/>
      <c r="F636" s="98"/>
      <c r="G636" s="98"/>
      <c r="H636" s="98"/>
      <c r="I636" s="98"/>
      <c r="J636" s="98"/>
      <c r="K636" s="98"/>
    </row>
    <row r="637" ht="20.25" spans="1:11">
      <c r="A637" s="98"/>
      <c r="B637" s="98"/>
      <c r="C637" s="98"/>
      <c r="D637" s="98"/>
      <c r="E637" s="98"/>
      <c r="F637" s="98"/>
      <c r="G637" s="98"/>
      <c r="H637" s="98"/>
      <c r="I637" s="98"/>
      <c r="J637" s="98"/>
      <c r="K637" s="98"/>
    </row>
    <row r="638" ht="20.25" spans="1:11">
      <c r="A638" s="98"/>
      <c r="B638" s="98"/>
      <c r="C638" s="98"/>
      <c r="D638" s="98"/>
      <c r="E638" s="98"/>
      <c r="F638" s="98"/>
      <c r="G638" s="98"/>
      <c r="H638" s="98"/>
      <c r="I638" s="98"/>
      <c r="J638" s="98"/>
      <c r="K638" s="98"/>
    </row>
    <row r="639" ht="20.25" spans="1:11">
      <c r="A639" s="98"/>
      <c r="B639" s="98"/>
      <c r="C639" s="98"/>
      <c r="D639" s="98"/>
      <c r="E639" s="98"/>
      <c r="F639" s="98"/>
      <c r="G639" s="98"/>
      <c r="H639" s="98"/>
      <c r="I639" s="98"/>
      <c r="J639" s="98"/>
      <c r="K639" s="98"/>
    </row>
    <row r="640" ht="20.25" spans="1:11">
      <c r="A640" s="98"/>
      <c r="B640" s="98"/>
      <c r="C640" s="98"/>
      <c r="D640" s="98"/>
      <c r="E640" s="98"/>
      <c r="F640" s="98"/>
      <c r="G640" s="98"/>
      <c r="H640" s="98"/>
      <c r="I640" s="98"/>
      <c r="J640" s="98"/>
      <c r="K640" s="98"/>
    </row>
    <row r="641" ht="20.25" spans="1:11">
      <c r="A641" s="98"/>
      <c r="B641" s="98"/>
      <c r="C641" s="98"/>
      <c r="D641" s="98"/>
      <c r="E641" s="98"/>
      <c r="F641" s="98"/>
      <c r="G641" s="98"/>
      <c r="H641" s="98"/>
      <c r="I641" s="98"/>
      <c r="J641" s="98"/>
      <c r="K641" s="98"/>
    </row>
    <row r="642" ht="20.25" spans="1:11">
      <c r="A642" s="98"/>
      <c r="B642" s="98"/>
      <c r="C642" s="98"/>
      <c r="D642" s="98"/>
      <c r="E642" s="98"/>
      <c r="F642" s="98"/>
      <c r="G642" s="98"/>
      <c r="H642" s="98"/>
      <c r="I642" s="98"/>
      <c r="J642" s="98"/>
      <c r="K642" s="98"/>
    </row>
    <row r="643" ht="20.25" spans="1:11">
      <c r="A643" s="98"/>
      <c r="B643" s="98"/>
      <c r="C643" s="98"/>
      <c r="D643" s="98"/>
      <c r="E643" s="98"/>
      <c r="F643" s="98"/>
      <c r="G643" s="98"/>
      <c r="H643" s="98"/>
      <c r="I643" s="98"/>
      <c r="J643" s="98"/>
      <c r="K643" s="98"/>
    </row>
    <row r="644" ht="20.25" spans="1:11">
      <c r="A644" s="98"/>
      <c r="B644" s="98"/>
      <c r="C644" s="98"/>
      <c r="D644" s="98"/>
      <c r="E644" s="98"/>
      <c r="F644" s="98"/>
      <c r="G644" s="98"/>
      <c r="H644" s="98"/>
      <c r="I644" s="98"/>
      <c r="J644" s="98"/>
      <c r="K644" s="98"/>
    </row>
    <row r="645" ht="20.25" spans="1:11">
      <c r="A645" s="98"/>
      <c r="B645" s="98"/>
      <c r="C645" s="98"/>
      <c r="D645" s="98"/>
      <c r="E645" s="98"/>
      <c r="F645" s="98"/>
      <c r="G645" s="98"/>
      <c r="H645" s="98"/>
      <c r="I645" s="98"/>
      <c r="J645" s="98"/>
      <c r="K645" s="98"/>
    </row>
    <row r="646" ht="20.25" spans="1:11">
      <c r="A646" s="98"/>
      <c r="B646" s="98"/>
      <c r="C646" s="98"/>
      <c r="D646" s="98"/>
      <c r="E646" s="98"/>
      <c r="F646" s="98"/>
      <c r="G646" s="98"/>
      <c r="H646" s="98"/>
      <c r="I646" s="98"/>
      <c r="J646" s="98"/>
      <c r="K646" s="98"/>
    </row>
    <row r="647" ht="20.25" spans="1:11">
      <c r="A647" s="98"/>
      <c r="B647" s="98"/>
      <c r="C647" s="98"/>
      <c r="D647" s="98"/>
      <c r="E647" s="98"/>
      <c r="F647" s="98"/>
      <c r="G647" s="98"/>
      <c r="H647" s="98"/>
      <c r="I647" s="98"/>
      <c r="J647" s="98"/>
      <c r="K647" s="98"/>
    </row>
    <row r="648" ht="20.25" spans="1:11">
      <c r="A648" s="98"/>
      <c r="B648" s="98"/>
      <c r="C648" s="98"/>
      <c r="D648" s="98"/>
      <c r="E648" s="98"/>
      <c r="F648" s="98"/>
      <c r="G648" s="98"/>
      <c r="H648" s="98"/>
      <c r="I648" s="98"/>
      <c r="J648" s="98"/>
      <c r="K648" s="98"/>
    </row>
    <row r="649" ht="20.25" spans="1:11">
      <c r="A649" s="98"/>
      <c r="B649" s="98"/>
      <c r="C649" s="98"/>
      <c r="D649" s="98"/>
      <c r="E649" s="98"/>
      <c r="F649" s="98"/>
      <c r="G649" s="98"/>
      <c r="H649" s="98"/>
      <c r="I649" s="98"/>
      <c r="J649" s="98"/>
      <c r="K649" s="98"/>
    </row>
    <row r="650" ht="20.25" spans="1:11">
      <c r="A650" s="98"/>
      <c r="B650" s="98"/>
      <c r="C650" s="98"/>
      <c r="D650" s="98"/>
      <c r="E650" s="98"/>
      <c r="F650" s="98"/>
      <c r="G650" s="98"/>
      <c r="H650" s="98"/>
      <c r="I650" s="98"/>
      <c r="J650" s="98"/>
      <c r="K650" s="98"/>
    </row>
    <row r="651" ht="20.25" spans="1:11">
      <c r="A651" s="98"/>
      <c r="B651" s="98"/>
      <c r="C651" s="98"/>
      <c r="D651" s="98"/>
      <c r="E651" s="98"/>
      <c r="F651" s="98"/>
      <c r="G651" s="98"/>
      <c r="H651" s="98"/>
      <c r="I651" s="98"/>
      <c r="J651" s="98"/>
      <c r="K651" s="98"/>
    </row>
    <row r="652" ht="20.25" spans="1:11">
      <c r="A652" s="98"/>
      <c r="B652" s="98"/>
      <c r="C652" s="98"/>
      <c r="D652" s="98"/>
      <c r="E652" s="98"/>
      <c r="F652" s="98"/>
      <c r="G652" s="98"/>
      <c r="H652" s="98"/>
      <c r="I652" s="98"/>
      <c r="J652" s="98"/>
      <c r="K652" s="98"/>
    </row>
    <row r="653" ht="20.25" spans="1:11">
      <c r="A653" s="98"/>
      <c r="B653" s="98"/>
      <c r="C653" s="98"/>
      <c r="D653" s="98"/>
      <c r="E653" s="98"/>
      <c r="F653" s="98"/>
      <c r="G653" s="98"/>
      <c r="H653" s="98"/>
      <c r="I653" s="98"/>
      <c r="J653" s="98"/>
      <c r="K653" s="98"/>
    </row>
    <row r="654" ht="20.25" spans="1:11">
      <c r="A654" s="98"/>
      <c r="B654" s="98"/>
      <c r="C654" s="98"/>
      <c r="D654" s="98"/>
      <c r="E654" s="98"/>
      <c r="F654" s="98"/>
      <c r="G654" s="98"/>
      <c r="H654" s="98"/>
      <c r="I654" s="98"/>
      <c r="J654" s="98"/>
      <c r="K654" s="98"/>
    </row>
    <row r="655" ht="20.25" spans="1:11">
      <c r="A655" s="98"/>
      <c r="B655" s="98"/>
      <c r="C655" s="98"/>
      <c r="D655" s="98"/>
      <c r="E655" s="98"/>
      <c r="F655" s="98"/>
      <c r="G655" s="98"/>
      <c r="H655" s="98"/>
      <c r="I655" s="98"/>
      <c r="J655" s="98"/>
      <c r="K655" s="98"/>
    </row>
    <row r="656" ht="20.25" spans="1:11">
      <c r="A656" s="98"/>
      <c r="B656" s="98"/>
      <c r="C656" s="98"/>
      <c r="D656" s="98"/>
      <c r="E656" s="98"/>
      <c r="F656" s="98"/>
      <c r="G656" s="98"/>
      <c r="H656" s="98"/>
      <c r="I656" s="98"/>
      <c r="J656" s="98"/>
      <c r="K656" s="98"/>
    </row>
    <row r="657" ht="20.25" spans="1:11">
      <c r="A657" s="98"/>
      <c r="B657" s="98"/>
      <c r="C657" s="98"/>
      <c r="D657" s="98"/>
      <c r="E657" s="98"/>
      <c r="F657" s="98"/>
      <c r="G657" s="98"/>
      <c r="H657" s="98"/>
      <c r="I657" s="98"/>
      <c r="J657" s="98"/>
      <c r="K657" s="98"/>
    </row>
    <row r="658" ht="20.25" spans="1:11">
      <c r="A658" s="98"/>
      <c r="B658" s="98"/>
      <c r="C658" s="98"/>
      <c r="D658" s="98"/>
      <c r="E658" s="98"/>
      <c r="F658" s="98"/>
      <c r="G658" s="98"/>
      <c r="H658" s="98"/>
      <c r="I658" s="98"/>
      <c r="J658" s="98"/>
      <c r="K658" s="98"/>
    </row>
    <row r="659" ht="20.25" spans="1:11">
      <c r="A659" s="98"/>
      <c r="B659" s="98"/>
      <c r="C659" s="98"/>
      <c r="D659" s="98"/>
      <c r="E659" s="98"/>
      <c r="F659" s="98"/>
      <c r="G659" s="98"/>
      <c r="H659" s="98"/>
      <c r="I659" s="98"/>
      <c r="J659" s="98"/>
      <c r="K659" s="98"/>
    </row>
    <row r="660" ht="20.25" spans="1:11">
      <c r="A660" s="98"/>
      <c r="B660" s="98"/>
      <c r="C660" s="98"/>
      <c r="D660" s="98"/>
      <c r="E660" s="98"/>
      <c r="F660" s="98"/>
      <c r="G660" s="98"/>
      <c r="H660" s="98"/>
      <c r="I660" s="98"/>
      <c r="J660" s="98"/>
      <c r="K660" s="98"/>
    </row>
    <row r="661" ht="20.25" spans="1:11">
      <c r="A661" s="98"/>
      <c r="B661" s="98"/>
      <c r="C661" s="98"/>
      <c r="D661" s="98"/>
      <c r="E661" s="98"/>
      <c r="F661" s="98"/>
      <c r="G661" s="98"/>
      <c r="H661" s="98"/>
      <c r="I661" s="98"/>
      <c r="J661" s="98"/>
      <c r="K661" s="98"/>
    </row>
    <row r="662" ht="20.25" spans="1:11">
      <c r="A662" s="98"/>
      <c r="B662" s="98"/>
      <c r="C662" s="98"/>
      <c r="D662" s="98"/>
      <c r="E662" s="98"/>
      <c r="F662" s="98"/>
      <c r="G662" s="98"/>
      <c r="H662" s="98"/>
      <c r="I662" s="98"/>
      <c r="J662" s="98"/>
      <c r="K662" s="98"/>
    </row>
    <row r="663" ht="20.25" spans="1:11">
      <c r="A663" s="98"/>
      <c r="B663" s="98"/>
      <c r="C663" s="98"/>
      <c r="D663" s="98"/>
      <c r="E663" s="98"/>
      <c r="F663" s="98"/>
      <c r="G663" s="98"/>
      <c r="H663" s="98"/>
      <c r="I663" s="98"/>
      <c r="J663" s="98"/>
      <c r="K663" s="98"/>
    </row>
    <row r="664" ht="20.25" spans="1:11">
      <c r="A664" s="98"/>
      <c r="B664" s="98"/>
      <c r="C664" s="98"/>
      <c r="D664" s="98"/>
      <c r="E664" s="98"/>
      <c r="F664" s="98"/>
      <c r="G664" s="98"/>
      <c r="H664" s="98"/>
      <c r="I664" s="98"/>
      <c r="J664" s="98"/>
      <c r="K664" s="98"/>
    </row>
    <row r="665" ht="20.25" spans="1:11">
      <c r="A665" s="98"/>
      <c r="B665" s="98"/>
      <c r="C665" s="98"/>
      <c r="D665" s="98"/>
      <c r="E665" s="98"/>
      <c r="F665" s="98"/>
      <c r="G665" s="98"/>
      <c r="H665" s="98"/>
      <c r="I665" s="98"/>
      <c r="J665" s="98"/>
      <c r="K665" s="98"/>
    </row>
    <row r="666" ht="20.25" spans="1:11">
      <c r="A666" s="98"/>
      <c r="B666" s="98"/>
      <c r="C666" s="98"/>
      <c r="D666" s="98"/>
      <c r="E666" s="98"/>
      <c r="F666" s="98"/>
      <c r="G666" s="98"/>
      <c r="H666" s="98"/>
      <c r="I666" s="98"/>
      <c r="J666" s="98"/>
      <c r="K666" s="98"/>
    </row>
    <row r="667" ht="20.25" spans="1:11">
      <c r="A667" s="98"/>
      <c r="B667" s="98"/>
      <c r="C667" s="98"/>
      <c r="D667" s="98"/>
      <c r="E667" s="98"/>
      <c r="F667" s="98"/>
      <c r="G667" s="98"/>
      <c r="H667" s="98"/>
      <c r="I667" s="98"/>
      <c r="J667" s="98"/>
      <c r="K667" s="98"/>
    </row>
    <row r="668" ht="20.25" spans="1:11">
      <c r="A668" s="98"/>
      <c r="B668" s="98"/>
      <c r="C668" s="98"/>
      <c r="D668" s="98"/>
      <c r="E668" s="98"/>
      <c r="F668" s="98"/>
      <c r="G668" s="98"/>
      <c r="H668" s="98"/>
      <c r="I668" s="98"/>
      <c r="J668" s="98"/>
      <c r="K668" s="98"/>
    </row>
    <row r="669" ht="20.25" spans="1:11">
      <c r="A669" s="98"/>
      <c r="B669" s="98"/>
      <c r="C669" s="98"/>
      <c r="D669" s="98"/>
      <c r="E669" s="98"/>
      <c r="F669" s="98"/>
      <c r="G669" s="98"/>
      <c r="H669" s="98"/>
      <c r="I669" s="98"/>
      <c r="J669" s="98"/>
      <c r="K669" s="98"/>
    </row>
    <row r="670" ht="20.25" spans="1:11">
      <c r="A670" s="98"/>
      <c r="B670" s="98"/>
      <c r="C670" s="98"/>
      <c r="D670" s="98"/>
      <c r="E670" s="98"/>
      <c r="F670" s="98"/>
      <c r="G670" s="98"/>
      <c r="H670" s="98"/>
      <c r="I670" s="98"/>
      <c r="J670" s="98"/>
      <c r="K670" s="98"/>
    </row>
    <row r="671" ht="20.25" spans="1:11">
      <c r="A671" s="98"/>
      <c r="B671" s="98"/>
      <c r="C671" s="98"/>
      <c r="D671" s="98"/>
      <c r="E671" s="98"/>
      <c r="F671" s="98"/>
      <c r="G671" s="98"/>
      <c r="H671" s="98"/>
      <c r="I671" s="98"/>
      <c r="J671" s="98"/>
      <c r="K671" s="98"/>
    </row>
    <row r="672" ht="20.25" spans="1:11">
      <c r="A672" s="98"/>
      <c r="B672" s="98"/>
      <c r="C672" s="98"/>
      <c r="D672" s="98"/>
      <c r="E672" s="98"/>
      <c r="F672" s="98"/>
      <c r="G672" s="98"/>
      <c r="H672" s="98"/>
      <c r="I672" s="98"/>
      <c r="J672" s="98"/>
      <c r="K672" s="98"/>
    </row>
    <row r="673" ht="20.25" spans="1:11">
      <c r="A673" s="98"/>
      <c r="B673" s="98"/>
      <c r="C673" s="98"/>
      <c r="D673" s="98"/>
      <c r="E673" s="98"/>
      <c r="F673" s="98"/>
      <c r="G673" s="98"/>
      <c r="H673" s="98"/>
      <c r="I673" s="98"/>
      <c r="J673" s="98"/>
      <c r="K673" s="98"/>
    </row>
    <row r="674" ht="20.25" spans="1:11">
      <c r="A674" s="98"/>
      <c r="B674" s="98"/>
      <c r="C674" s="98"/>
      <c r="D674" s="98"/>
      <c r="E674" s="98"/>
      <c r="F674" s="98"/>
      <c r="G674" s="98"/>
      <c r="H674" s="98"/>
      <c r="I674" s="98"/>
      <c r="J674" s="98"/>
      <c r="K674" s="98"/>
    </row>
    <row r="675" ht="20.25" spans="1:11">
      <c r="A675" s="98"/>
      <c r="B675" s="98"/>
      <c r="C675" s="98"/>
      <c r="D675" s="98"/>
      <c r="E675" s="98"/>
      <c r="F675" s="98"/>
      <c r="G675" s="98"/>
      <c r="H675" s="98"/>
      <c r="I675" s="98"/>
      <c r="J675" s="98"/>
      <c r="K675" s="98"/>
    </row>
    <row r="676" ht="20.25" spans="1:11">
      <c r="A676" s="98"/>
      <c r="B676" s="98"/>
      <c r="C676" s="98"/>
      <c r="D676" s="98"/>
      <c r="E676" s="98"/>
      <c r="F676" s="98"/>
      <c r="G676" s="98"/>
      <c r="H676" s="98"/>
      <c r="I676" s="98"/>
      <c r="J676" s="98"/>
      <c r="K676" s="98"/>
    </row>
    <row r="677" ht="20.25" spans="1:11">
      <c r="A677" s="98"/>
      <c r="B677" s="98"/>
      <c r="C677" s="98"/>
      <c r="D677" s="98"/>
      <c r="E677" s="98"/>
      <c r="F677" s="98"/>
      <c r="G677" s="98"/>
      <c r="H677" s="98"/>
      <c r="I677" s="98"/>
      <c r="J677" s="98"/>
      <c r="K677" s="98"/>
    </row>
    <row r="678" ht="20.25" spans="1:11">
      <c r="A678" s="98"/>
      <c r="B678" s="98"/>
      <c r="C678" s="98"/>
      <c r="D678" s="98"/>
      <c r="E678" s="98"/>
      <c r="F678" s="98"/>
      <c r="G678" s="98"/>
      <c r="H678" s="98"/>
      <c r="I678" s="98"/>
      <c r="J678" s="98"/>
      <c r="K678" s="98"/>
    </row>
    <row r="679" ht="20.25" spans="1:11">
      <c r="A679" s="98"/>
      <c r="B679" s="98"/>
      <c r="C679" s="98"/>
      <c r="D679" s="98"/>
      <c r="E679" s="98"/>
      <c r="F679" s="98"/>
      <c r="G679" s="98"/>
      <c r="H679" s="98"/>
      <c r="I679" s="98"/>
      <c r="J679" s="98"/>
      <c r="K679" s="98"/>
    </row>
    <row r="680" ht="20.25" spans="1:11">
      <c r="A680" s="98"/>
      <c r="B680" s="98"/>
      <c r="C680" s="98"/>
      <c r="D680" s="98"/>
      <c r="E680" s="98"/>
      <c r="F680" s="98"/>
      <c r="G680" s="98"/>
      <c r="H680" s="98"/>
      <c r="I680" s="98"/>
      <c r="J680" s="98"/>
      <c r="K680" s="98"/>
    </row>
    <row r="681" ht="20.25" spans="1:11">
      <c r="A681" s="98"/>
      <c r="B681" s="98"/>
      <c r="C681" s="98"/>
      <c r="D681" s="98"/>
      <c r="E681" s="98"/>
      <c r="F681" s="98"/>
      <c r="G681" s="98"/>
      <c r="H681" s="98"/>
      <c r="I681" s="98"/>
      <c r="J681" s="98"/>
      <c r="K681" s="98"/>
    </row>
    <row r="682" ht="20.25" spans="1:11">
      <c r="A682" s="98"/>
      <c r="B682" s="98"/>
      <c r="C682" s="98"/>
      <c r="D682" s="98"/>
      <c r="E682" s="98"/>
      <c r="F682" s="98"/>
      <c r="G682" s="98"/>
      <c r="H682" s="98"/>
      <c r="I682" s="98"/>
      <c r="J682" s="98"/>
      <c r="K682" s="98"/>
    </row>
    <row r="683" ht="20.25" spans="1:11">
      <c r="A683" s="98"/>
      <c r="B683" s="98"/>
      <c r="C683" s="98"/>
      <c r="D683" s="98"/>
      <c r="E683" s="98"/>
      <c r="F683" s="98"/>
      <c r="G683" s="98"/>
      <c r="H683" s="98"/>
      <c r="I683" s="98"/>
      <c r="J683" s="98"/>
      <c r="K683" s="98"/>
    </row>
    <row r="684" ht="20.25" spans="1:11">
      <c r="A684" s="98"/>
      <c r="B684" s="98"/>
      <c r="C684" s="98"/>
      <c r="D684" s="98"/>
      <c r="E684" s="98"/>
      <c r="F684" s="98"/>
      <c r="G684" s="98"/>
      <c r="H684" s="98"/>
      <c r="I684" s="98"/>
      <c r="J684" s="98"/>
      <c r="K684" s="98"/>
    </row>
    <row r="685" ht="20.25" spans="1:11">
      <c r="A685" s="98"/>
      <c r="B685" s="98"/>
      <c r="C685" s="98"/>
      <c r="D685" s="98"/>
      <c r="E685" s="98"/>
      <c r="F685" s="98"/>
      <c r="G685" s="98"/>
      <c r="H685" s="98"/>
      <c r="I685" s="98"/>
      <c r="J685" s="98"/>
      <c r="K685" s="98"/>
    </row>
    <row r="686" ht="20.25" spans="1:11">
      <c r="A686" s="98"/>
      <c r="B686" s="98"/>
      <c r="C686" s="98"/>
      <c r="D686" s="98"/>
      <c r="E686" s="98"/>
      <c r="F686" s="98"/>
      <c r="G686" s="98"/>
      <c r="H686" s="98"/>
      <c r="I686" s="98"/>
      <c r="J686" s="98"/>
      <c r="K686" s="98"/>
    </row>
    <row r="687" ht="20.25" spans="1:11">
      <c r="A687" s="98"/>
      <c r="B687" s="98"/>
      <c r="C687" s="98"/>
      <c r="D687" s="98"/>
      <c r="E687" s="98"/>
      <c r="F687" s="98"/>
      <c r="G687" s="98"/>
      <c r="H687" s="98"/>
      <c r="I687" s="98"/>
      <c r="J687" s="98"/>
      <c r="K687" s="98"/>
    </row>
    <row r="688" ht="20.25" spans="1:11">
      <c r="A688" s="98"/>
      <c r="B688" s="98"/>
      <c r="C688" s="98"/>
      <c r="D688" s="98"/>
      <c r="E688" s="98"/>
      <c r="F688" s="98"/>
      <c r="G688" s="98"/>
      <c r="H688" s="98"/>
      <c r="I688" s="98"/>
      <c r="J688" s="98"/>
      <c r="K688" s="98"/>
    </row>
    <row r="689" ht="20.25" spans="1:11">
      <c r="A689" s="98"/>
      <c r="B689" s="98"/>
      <c r="C689" s="98"/>
      <c r="D689" s="98"/>
      <c r="E689" s="98"/>
      <c r="F689" s="98"/>
      <c r="G689" s="98"/>
      <c r="H689" s="98"/>
      <c r="I689" s="98"/>
      <c r="J689" s="98"/>
      <c r="K689" s="98"/>
    </row>
    <row r="690" ht="20.25" spans="1:11">
      <c r="A690" s="98"/>
      <c r="B690" s="98"/>
      <c r="C690" s="98"/>
      <c r="D690" s="98"/>
      <c r="E690" s="98"/>
      <c r="F690" s="98"/>
      <c r="G690" s="98"/>
      <c r="H690" s="98"/>
      <c r="I690" s="98"/>
      <c r="J690" s="98"/>
      <c r="K690" s="98"/>
    </row>
    <row r="691" ht="20.25" spans="1:11">
      <c r="A691" s="98"/>
      <c r="B691" s="98"/>
      <c r="C691" s="98"/>
      <c r="D691" s="98"/>
      <c r="E691" s="98"/>
      <c r="F691" s="98"/>
      <c r="G691" s="98"/>
      <c r="H691" s="98"/>
      <c r="I691" s="98"/>
      <c r="J691" s="98"/>
      <c r="K691" s="98"/>
    </row>
    <row r="692" ht="20.25" spans="1:11">
      <c r="A692" s="98"/>
      <c r="B692" s="98"/>
      <c r="C692" s="98"/>
      <c r="D692" s="98"/>
      <c r="E692" s="98"/>
      <c r="F692" s="98"/>
      <c r="G692" s="98"/>
      <c r="H692" s="98"/>
      <c r="I692" s="98"/>
      <c r="J692" s="98"/>
      <c r="K692" s="98"/>
    </row>
    <row r="693" ht="20.25" spans="1:11">
      <c r="A693" s="98"/>
      <c r="B693" s="98"/>
      <c r="C693" s="98"/>
      <c r="D693" s="98"/>
      <c r="E693" s="98"/>
      <c r="F693" s="98"/>
      <c r="G693" s="98"/>
      <c r="H693" s="98"/>
      <c r="I693" s="98"/>
      <c r="J693" s="98"/>
      <c r="K693" s="98"/>
    </row>
    <row r="694" ht="20.25" spans="1:11">
      <c r="A694" s="98"/>
      <c r="B694" s="98"/>
      <c r="C694" s="98"/>
      <c r="D694" s="98"/>
      <c r="E694" s="98"/>
      <c r="F694" s="98"/>
      <c r="G694" s="98"/>
      <c r="H694" s="98"/>
      <c r="I694" s="98"/>
      <c r="J694" s="98"/>
      <c r="K694" s="98"/>
    </row>
    <row r="695" ht="20.25" spans="1:11">
      <c r="A695" s="98"/>
      <c r="B695" s="98"/>
      <c r="C695" s="98"/>
      <c r="D695" s="98"/>
      <c r="E695" s="98"/>
      <c r="F695" s="98"/>
      <c r="G695" s="98"/>
      <c r="H695" s="98"/>
      <c r="I695" s="98"/>
      <c r="J695" s="98"/>
      <c r="K695" s="98"/>
    </row>
    <row r="696" ht="20.25" spans="1:11">
      <c r="A696" s="98"/>
      <c r="B696" s="98"/>
      <c r="C696" s="98"/>
      <c r="D696" s="98"/>
      <c r="E696" s="98"/>
      <c r="F696" s="98"/>
      <c r="G696" s="98"/>
      <c r="H696" s="98"/>
      <c r="I696" s="98"/>
      <c r="J696" s="98"/>
      <c r="K696" s="98"/>
    </row>
    <row r="697" ht="20.25" spans="1:11">
      <c r="A697" s="98"/>
      <c r="B697" s="98"/>
      <c r="C697" s="98"/>
      <c r="D697" s="98"/>
      <c r="E697" s="98"/>
      <c r="F697" s="98"/>
      <c r="G697" s="98"/>
      <c r="H697" s="98"/>
      <c r="I697" s="98"/>
      <c r="J697" s="98"/>
      <c r="K697" s="98"/>
    </row>
    <row r="698" ht="20.25" spans="1:11">
      <c r="A698" s="98"/>
      <c r="B698" s="98"/>
      <c r="C698" s="98"/>
      <c r="D698" s="98"/>
      <c r="E698" s="98"/>
      <c r="F698" s="98"/>
      <c r="G698" s="98"/>
      <c r="H698" s="98"/>
      <c r="I698" s="98"/>
      <c r="J698" s="98"/>
      <c r="K698" s="98"/>
    </row>
    <row r="699" ht="20.25" spans="1:11">
      <c r="A699" s="98"/>
      <c r="B699" s="98"/>
      <c r="C699" s="98"/>
      <c r="D699" s="98"/>
      <c r="E699" s="98"/>
      <c r="F699" s="98"/>
      <c r="G699" s="98"/>
      <c r="H699" s="98"/>
      <c r="I699" s="98"/>
      <c r="J699" s="98"/>
      <c r="K699" s="98"/>
    </row>
    <row r="700" ht="20.25" spans="1:11">
      <c r="A700" s="98"/>
      <c r="B700" s="98"/>
      <c r="C700" s="98"/>
      <c r="D700" s="98"/>
      <c r="E700" s="98"/>
      <c r="F700" s="98"/>
      <c r="G700" s="98"/>
      <c r="H700" s="98"/>
      <c r="I700" s="98"/>
      <c r="J700" s="98"/>
      <c r="K700" s="98"/>
    </row>
    <row r="701" ht="20.25" spans="1:11">
      <c r="A701" s="98"/>
      <c r="B701" s="98"/>
      <c r="C701" s="98"/>
      <c r="D701" s="98"/>
      <c r="E701" s="98"/>
      <c r="F701" s="98"/>
      <c r="G701" s="98"/>
      <c r="H701" s="98"/>
      <c r="I701" s="98"/>
      <c r="J701" s="98"/>
      <c r="K701" s="98"/>
    </row>
    <row r="702" ht="20.25" spans="1:11">
      <c r="A702" s="98"/>
      <c r="B702" s="98"/>
      <c r="C702" s="98"/>
      <c r="D702" s="98"/>
      <c r="E702" s="98"/>
      <c r="F702" s="98"/>
      <c r="G702" s="98"/>
      <c r="H702" s="98"/>
      <c r="I702" s="98"/>
      <c r="J702" s="98"/>
      <c r="K702" s="98"/>
    </row>
    <row r="703" ht="20.25" spans="1:11">
      <c r="A703" s="98"/>
      <c r="B703" s="98"/>
      <c r="C703" s="98"/>
      <c r="D703" s="98"/>
      <c r="E703" s="98"/>
      <c r="F703" s="98"/>
      <c r="G703" s="98"/>
      <c r="H703" s="98"/>
      <c r="I703" s="98"/>
      <c r="J703" s="98"/>
      <c r="K703" s="98"/>
    </row>
    <row r="704" ht="20.25" spans="1:11">
      <c r="A704" s="98"/>
      <c r="B704" s="98"/>
      <c r="C704" s="98"/>
      <c r="D704" s="98"/>
      <c r="E704" s="98"/>
      <c r="F704" s="98"/>
      <c r="G704" s="98"/>
      <c r="H704" s="98"/>
      <c r="I704" s="98"/>
      <c r="J704" s="98"/>
      <c r="K704" s="98"/>
    </row>
    <row r="705" ht="20.25" spans="1:11">
      <c r="A705" s="98"/>
      <c r="B705" s="98"/>
      <c r="C705" s="98"/>
      <c r="D705" s="98"/>
      <c r="E705" s="98"/>
      <c r="F705" s="98"/>
      <c r="G705" s="98"/>
      <c r="H705" s="98"/>
      <c r="I705" s="98"/>
      <c r="J705" s="98"/>
      <c r="K705" s="98"/>
    </row>
    <row r="706" ht="20.25" spans="1:11">
      <c r="A706" s="98"/>
      <c r="B706" s="98"/>
      <c r="C706" s="98"/>
      <c r="D706" s="98"/>
      <c r="E706" s="98"/>
      <c r="F706" s="98"/>
      <c r="G706" s="98"/>
      <c r="H706" s="98"/>
      <c r="I706" s="98"/>
      <c r="J706" s="98"/>
      <c r="K706" s="98"/>
    </row>
    <row r="707" ht="20.25" spans="1:11">
      <c r="A707" s="98"/>
      <c r="B707" s="98"/>
      <c r="C707" s="98"/>
      <c r="D707" s="98"/>
      <c r="E707" s="98"/>
      <c r="F707" s="98"/>
      <c r="G707" s="98"/>
      <c r="H707" s="98"/>
      <c r="I707" s="98"/>
      <c r="J707" s="98"/>
      <c r="K707" s="98"/>
    </row>
    <row r="708" ht="20.25" spans="1:11">
      <c r="A708" s="98"/>
      <c r="B708" s="98"/>
      <c r="C708" s="98"/>
      <c r="D708" s="98"/>
      <c r="E708" s="98"/>
      <c r="F708" s="98"/>
      <c r="G708" s="98"/>
      <c r="H708" s="98"/>
      <c r="I708" s="98"/>
      <c r="J708" s="98"/>
      <c r="K708" s="98"/>
    </row>
    <row r="709" ht="20.25" spans="1:11">
      <c r="A709" s="98"/>
      <c r="B709" s="98"/>
      <c r="C709" s="98"/>
      <c r="D709" s="98"/>
      <c r="E709" s="98"/>
      <c r="F709" s="98"/>
      <c r="G709" s="98"/>
      <c r="H709" s="98"/>
      <c r="I709" s="98"/>
      <c r="J709" s="98"/>
      <c r="K709" s="98"/>
    </row>
    <row r="710" ht="20.25" spans="1:11">
      <c r="A710" s="98"/>
      <c r="B710" s="98"/>
      <c r="C710" s="98"/>
      <c r="D710" s="98"/>
      <c r="E710" s="98"/>
      <c r="F710" s="98"/>
      <c r="G710" s="98"/>
      <c r="H710" s="98"/>
      <c r="I710" s="98"/>
      <c r="J710" s="98"/>
      <c r="K710" s="98"/>
    </row>
    <row r="711" ht="20.25" spans="1:11">
      <c r="A711" s="98"/>
      <c r="B711" s="98"/>
      <c r="C711" s="98"/>
      <c r="D711" s="98"/>
      <c r="E711" s="98"/>
      <c r="F711" s="98"/>
      <c r="G711" s="98"/>
      <c r="H711" s="98"/>
      <c r="I711" s="98"/>
      <c r="J711" s="98"/>
      <c r="K711" s="98"/>
    </row>
    <row r="712" ht="20.25" spans="1:11">
      <c r="A712" s="98"/>
      <c r="B712" s="98"/>
      <c r="C712" s="98"/>
      <c r="D712" s="98"/>
      <c r="E712" s="98"/>
      <c r="F712" s="98"/>
      <c r="G712" s="98"/>
      <c r="H712" s="98"/>
      <c r="I712" s="98"/>
      <c r="J712" s="98"/>
      <c r="K712" s="98"/>
    </row>
    <row r="713" ht="20.25" spans="1:11">
      <c r="A713" s="98"/>
      <c r="B713" s="98"/>
      <c r="C713" s="98"/>
      <c r="D713" s="98"/>
      <c r="E713" s="98"/>
      <c r="F713" s="98"/>
      <c r="G713" s="98"/>
      <c r="H713" s="98"/>
      <c r="I713" s="98"/>
      <c r="J713" s="98"/>
      <c r="K713" s="98"/>
    </row>
    <row r="714" ht="20.25" spans="1:11">
      <c r="A714" s="98"/>
      <c r="B714" s="98"/>
      <c r="C714" s="98"/>
      <c r="D714" s="98"/>
      <c r="E714" s="98"/>
      <c r="F714" s="98"/>
      <c r="G714" s="98"/>
      <c r="H714" s="98"/>
      <c r="I714" s="98"/>
      <c r="J714" s="98"/>
      <c r="K714" s="98"/>
    </row>
    <row r="715" ht="20.25" spans="1:11">
      <c r="A715" s="98"/>
      <c r="B715" s="98"/>
      <c r="C715" s="98"/>
      <c r="D715" s="98"/>
      <c r="E715" s="98"/>
      <c r="F715" s="98"/>
      <c r="G715" s="98"/>
      <c r="H715" s="98"/>
      <c r="I715" s="98"/>
      <c r="J715" s="98"/>
      <c r="K715" s="98"/>
    </row>
    <row r="716" ht="20.25" spans="1:11">
      <c r="A716" s="98"/>
      <c r="B716" s="98"/>
      <c r="C716" s="98"/>
      <c r="D716" s="98"/>
      <c r="E716" s="98"/>
      <c r="F716" s="98"/>
      <c r="G716" s="98"/>
      <c r="H716" s="98"/>
      <c r="I716" s="98"/>
      <c r="J716" s="98"/>
      <c r="K716" s="98"/>
    </row>
    <row r="717" ht="20.25" spans="1:11">
      <c r="A717" s="98"/>
      <c r="B717" s="98"/>
      <c r="C717" s="98"/>
      <c r="D717" s="98"/>
      <c r="E717" s="98"/>
      <c r="F717" s="98"/>
      <c r="G717" s="98"/>
      <c r="H717" s="98"/>
      <c r="I717" s="98"/>
      <c r="J717" s="98"/>
      <c r="K717" s="98"/>
    </row>
    <row r="718" ht="20.25" spans="1:11">
      <c r="A718" s="98"/>
      <c r="B718" s="98"/>
      <c r="C718" s="98"/>
      <c r="D718" s="98"/>
      <c r="E718" s="98"/>
      <c r="F718" s="98"/>
      <c r="G718" s="98"/>
      <c r="H718" s="98"/>
      <c r="I718" s="98"/>
      <c r="J718" s="98"/>
      <c r="K718" s="98"/>
    </row>
    <row r="719" ht="20.25" spans="1:11">
      <c r="A719" s="98"/>
      <c r="B719" s="98"/>
      <c r="C719" s="98"/>
      <c r="D719" s="98"/>
      <c r="E719" s="98"/>
      <c r="F719" s="98"/>
      <c r="G719" s="98"/>
      <c r="H719" s="98"/>
      <c r="I719" s="98"/>
      <c r="J719" s="98"/>
      <c r="K719" s="98"/>
    </row>
    <row r="720" ht="20.25" spans="1:11">
      <c r="A720" s="98"/>
      <c r="B720" s="98"/>
      <c r="C720" s="98"/>
      <c r="D720" s="98"/>
      <c r="E720" s="98"/>
      <c r="F720" s="98"/>
      <c r="G720" s="98"/>
      <c r="H720" s="98"/>
      <c r="I720" s="98"/>
      <c r="J720" s="98"/>
      <c r="K720" s="98"/>
    </row>
    <row r="721" ht="20.25" spans="1:11">
      <c r="A721" s="98"/>
      <c r="B721" s="98"/>
      <c r="C721" s="98"/>
      <c r="D721" s="98"/>
      <c r="E721" s="98"/>
      <c r="F721" s="98"/>
      <c r="G721" s="98"/>
      <c r="H721" s="98"/>
      <c r="I721" s="98"/>
      <c r="J721" s="98"/>
      <c r="K721" s="98"/>
    </row>
    <row r="722" ht="20.25" spans="1:11">
      <c r="A722" s="98"/>
      <c r="B722" s="98"/>
      <c r="C722" s="98"/>
      <c r="D722" s="98"/>
      <c r="E722" s="98"/>
      <c r="F722" s="98"/>
      <c r="G722" s="98"/>
      <c r="H722" s="98"/>
      <c r="I722" s="98"/>
      <c r="J722" s="98"/>
      <c r="K722" s="98"/>
    </row>
    <row r="723" ht="20.25" spans="1:11">
      <c r="A723" s="98"/>
      <c r="B723" s="98"/>
      <c r="C723" s="98"/>
      <c r="D723" s="98"/>
      <c r="E723" s="98"/>
      <c r="F723" s="98"/>
      <c r="G723" s="98"/>
      <c r="H723" s="98"/>
      <c r="I723" s="98"/>
      <c r="J723" s="98"/>
      <c r="K723" s="98"/>
    </row>
    <row r="724" ht="20.25" spans="1:11">
      <c r="A724" s="98"/>
      <c r="B724" s="98"/>
      <c r="C724" s="98"/>
      <c r="D724" s="98"/>
      <c r="E724" s="98"/>
      <c r="F724" s="98"/>
      <c r="G724" s="98"/>
      <c r="H724" s="98"/>
      <c r="I724" s="98"/>
      <c r="J724" s="98"/>
      <c r="K724" s="98"/>
    </row>
    <row r="725" ht="20.25" spans="1:11">
      <c r="A725" s="98"/>
      <c r="B725" s="98"/>
      <c r="C725" s="98"/>
      <c r="D725" s="98"/>
      <c r="E725" s="98"/>
      <c r="F725" s="98"/>
      <c r="G725" s="98"/>
      <c r="H725" s="98"/>
      <c r="I725" s="98"/>
      <c r="J725" s="98"/>
      <c r="K725" s="98"/>
    </row>
    <row r="726" ht="20.25" spans="1:11">
      <c r="A726" s="98"/>
      <c r="B726" s="98"/>
      <c r="C726" s="98"/>
      <c r="D726" s="98"/>
      <c r="E726" s="98"/>
      <c r="F726" s="98"/>
      <c r="G726" s="98"/>
      <c r="H726" s="98"/>
      <c r="I726" s="98"/>
      <c r="J726" s="98"/>
      <c r="K726" s="98"/>
    </row>
    <row r="727" ht="20.25" spans="1:11">
      <c r="A727" s="98"/>
      <c r="B727" s="98"/>
      <c r="C727" s="98"/>
      <c r="D727" s="98"/>
      <c r="E727" s="98"/>
      <c r="F727" s="98"/>
      <c r="G727" s="98"/>
      <c r="H727" s="98"/>
      <c r="I727" s="98"/>
      <c r="J727" s="98"/>
      <c r="K727" s="98"/>
    </row>
    <row r="728" ht="20.25" spans="1:11">
      <c r="A728" s="98"/>
      <c r="B728" s="98"/>
      <c r="C728" s="98"/>
      <c r="D728" s="98"/>
      <c r="E728" s="98"/>
      <c r="F728" s="98"/>
      <c r="G728" s="98"/>
      <c r="H728" s="98"/>
      <c r="I728" s="98"/>
      <c r="J728" s="98"/>
      <c r="K728" s="98"/>
    </row>
    <row r="729" ht="20.25" spans="1:11">
      <c r="A729" s="98"/>
      <c r="B729" s="98"/>
      <c r="C729" s="98"/>
      <c r="D729" s="98"/>
      <c r="E729" s="98"/>
      <c r="F729" s="98"/>
      <c r="G729" s="98"/>
      <c r="H729" s="98"/>
      <c r="I729" s="98"/>
      <c r="J729" s="98"/>
      <c r="K729" s="98"/>
    </row>
    <row r="730" ht="20.25" spans="1:11">
      <c r="A730" s="98"/>
      <c r="B730" s="98"/>
      <c r="C730" s="98"/>
      <c r="D730" s="98"/>
      <c r="E730" s="98"/>
      <c r="F730" s="98"/>
      <c r="G730" s="98"/>
      <c r="H730" s="98"/>
      <c r="I730" s="98"/>
      <c r="J730" s="98"/>
      <c r="K730" s="98"/>
    </row>
    <row r="731" ht="20.25" spans="1:11">
      <c r="A731" s="98"/>
      <c r="B731" s="98"/>
      <c r="C731" s="98"/>
      <c r="D731" s="98"/>
      <c r="E731" s="98"/>
      <c r="F731" s="98"/>
      <c r="G731" s="98"/>
      <c r="H731" s="98"/>
      <c r="I731" s="98"/>
      <c r="J731" s="98"/>
      <c r="K731" s="98"/>
    </row>
    <row r="732" ht="20.25" spans="1:11">
      <c r="A732" s="98"/>
      <c r="B732" s="98"/>
      <c r="C732" s="98"/>
      <c r="D732" s="98"/>
      <c r="E732" s="98"/>
      <c r="F732" s="98"/>
      <c r="G732" s="98"/>
      <c r="H732" s="98"/>
      <c r="I732" s="98"/>
      <c r="J732" s="98"/>
      <c r="K732" s="98"/>
    </row>
    <row r="733" ht="20.25" spans="1:11">
      <c r="A733" s="98"/>
      <c r="B733" s="98"/>
      <c r="C733" s="98"/>
      <c r="D733" s="98"/>
      <c r="E733" s="98"/>
      <c r="F733" s="98"/>
      <c r="G733" s="98"/>
      <c r="H733" s="98"/>
      <c r="I733" s="98"/>
      <c r="J733" s="98"/>
      <c r="K733" s="98"/>
    </row>
    <row r="734" ht="20.25" spans="1:11">
      <c r="A734" s="98"/>
      <c r="B734" s="98"/>
      <c r="C734" s="98"/>
      <c r="D734" s="98"/>
      <c r="E734" s="98"/>
      <c r="F734" s="98"/>
      <c r="G734" s="98"/>
      <c r="H734" s="98"/>
      <c r="I734" s="98"/>
      <c r="J734" s="98"/>
      <c r="K734" s="98"/>
    </row>
    <row r="735" ht="20.25" spans="1:11">
      <c r="A735" s="98"/>
      <c r="B735" s="98"/>
      <c r="C735" s="98"/>
      <c r="D735" s="98"/>
      <c r="E735" s="98"/>
      <c r="F735" s="98"/>
      <c r="G735" s="98"/>
      <c r="H735" s="98"/>
      <c r="I735" s="98"/>
      <c r="J735" s="98"/>
      <c r="K735" s="98"/>
    </row>
    <row r="736" ht="20.25" spans="1:11">
      <c r="A736" s="98"/>
      <c r="B736" s="98"/>
      <c r="C736" s="98"/>
      <c r="D736" s="98"/>
      <c r="E736" s="98"/>
      <c r="F736" s="98"/>
      <c r="G736" s="98"/>
      <c r="H736" s="98"/>
      <c r="I736" s="98"/>
      <c r="J736" s="98"/>
      <c r="K736" s="98"/>
    </row>
    <row r="737" ht="20.25" spans="1:11">
      <c r="A737" s="98"/>
      <c r="B737" s="98"/>
      <c r="C737" s="98"/>
      <c r="D737" s="98"/>
      <c r="E737" s="98"/>
      <c r="F737" s="98"/>
      <c r="G737" s="98"/>
      <c r="H737" s="98"/>
      <c r="I737" s="98"/>
      <c r="J737" s="98"/>
      <c r="K737" s="98"/>
    </row>
    <row r="738" ht="20.25" spans="1:11">
      <c r="A738" s="98"/>
      <c r="B738" s="98"/>
      <c r="C738" s="98"/>
      <c r="D738" s="98"/>
      <c r="E738" s="98"/>
      <c r="F738" s="98"/>
      <c r="G738" s="98"/>
      <c r="H738" s="98"/>
      <c r="I738" s="98"/>
      <c r="J738" s="98"/>
      <c r="K738" s="98"/>
    </row>
    <row r="739" ht="20.25" spans="1:11">
      <c r="A739" s="98"/>
      <c r="B739" s="98"/>
      <c r="C739" s="98"/>
      <c r="D739" s="98"/>
      <c r="E739" s="98"/>
      <c r="F739" s="98"/>
      <c r="G739" s="98"/>
      <c r="H739" s="98"/>
      <c r="I739" s="98"/>
      <c r="J739" s="98"/>
      <c r="K739" s="98"/>
    </row>
    <row r="740" ht="20.25" spans="1:11">
      <c r="A740" s="98"/>
      <c r="B740" s="98"/>
      <c r="C740" s="98"/>
      <c r="D740" s="98"/>
      <c r="E740" s="98"/>
      <c r="F740" s="98"/>
      <c r="G740" s="98"/>
      <c r="H740" s="98"/>
      <c r="I740" s="98"/>
      <c r="J740" s="98"/>
      <c r="K740" s="98"/>
    </row>
    <row r="741" ht="20.25" spans="1:11">
      <c r="A741" s="98"/>
      <c r="B741" s="98"/>
      <c r="C741" s="98"/>
      <c r="D741" s="98"/>
      <c r="E741" s="98"/>
      <c r="F741" s="98"/>
      <c r="G741" s="98"/>
      <c r="H741" s="98"/>
      <c r="I741" s="98"/>
      <c r="J741" s="98"/>
      <c r="K741" s="98"/>
    </row>
    <row r="742" ht="20.25" spans="1:11">
      <c r="A742" s="98"/>
      <c r="B742" s="98"/>
      <c r="C742" s="98"/>
      <c r="D742" s="98"/>
      <c r="E742" s="98"/>
      <c r="F742" s="98"/>
      <c r="G742" s="98"/>
      <c r="H742" s="98"/>
      <c r="I742" s="98"/>
      <c r="J742" s="98"/>
      <c r="K742" s="98"/>
    </row>
    <row r="743" ht="20.25" spans="1:11">
      <c r="A743" s="98"/>
      <c r="B743" s="98"/>
      <c r="C743" s="98"/>
      <c r="D743" s="98"/>
      <c r="E743" s="98"/>
      <c r="F743" s="98"/>
      <c r="G743" s="98"/>
      <c r="H743" s="98"/>
      <c r="I743" s="98"/>
      <c r="J743" s="98"/>
      <c r="K743" s="98"/>
    </row>
    <row r="744" ht="20.25" spans="1:11">
      <c r="A744" s="98"/>
      <c r="B744" s="98"/>
      <c r="C744" s="98"/>
      <c r="D744" s="98"/>
      <c r="E744" s="98"/>
      <c r="F744" s="98"/>
      <c r="G744" s="98"/>
      <c r="H744" s="98"/>
      <c r="I744" s="98"/>
      <c r="J744" s="98"/>
      <c r="K744" s="98"/>
    </row>
    <row r="745" ht="20.25" spans="1:11">
      <c r="A745" s="98"/>
      <c r="B745" s="98"/>
      <c r="C745" s="98"/>
      <c r="D745" s="98"/>
      <c r="E745" s="98"/>
      <c r="F745" s="98"/>
      <c r="G745" s="98"/>
      <c r="H745" s="98"/>
      <c r="I745" s="98"/>
      <c r="J745" s="98"/>
      <c r="K745" s="98"/>
    </row>
    <row r="746" ht="20.25" spans="1:11">
      <c r="A746" s="98"/>
      <c r="B746" s="98"/>
      <c r="C746" s="98"/>
      <c r="D746" s="98"/>
      <c r="E746" s="98"/>
      <c r="F746" s="98"/>
      <c r="G746" s="98"/>
      <c r="H746" s="98"/>
      <c r="I746" s="98"/>
      <c r="J746" s="98"/>
      <c r="K746" s="98"/>
    </row>
    <row r="747" ht="20.25" spans="1:11">
      <c r="A747" s="98"/>
      <c r="B747" s="98"/>
      <c r="C747" s="98"/>
      <c r="D747" s="98"/>
      <c r="E747" s="98"/>
      <c r="F747" s="98"/>
      <c r="G747" s="98"/>
      <c r="H747" s="98"/>
      <c r="I747" s="98"/>
      <c r="J747" s="98"/>
      <c r="K747" s="98"/>
    </row>
    <row r="748" ht="20.25" spans="1:11">
      <c r="A748" s="98"/>
      <c r="B748" s="98"/>
      <c r="C748" s="98"/>
      <c r="D748" s="98"/>
      <c r="E748" s="98"/>
      <c r="F748" s="98"/>
      <c r="G748" s="98"/>
      <c r="H748" s="98"/>
      <c r="I748" s="98"/>
      <c r="J748" s="98"/>
      <c r="K748" s="98"/>
    </row>
    <row r="749" ht="20.25" spans="1:11">
      <c r="A749" s="98"/>
      <c r="B749" s="98"/>
      <c r="C749" s="98"/>
      <c r="D749" s="98"/>
      <c r="E749" s="98"/>
      <c r="F749" s="98"/>
      <c r="G749" s="98"/>
      <c r="H749" s="98"/>
      <c r="I749" s="98"/>
      <c r="J749" s="98"/>
      <c r="K749" s="98"/>
    </row>
    <row r="750" ht="20.25" spans="1:11">
      <c r="A750" s="98"/>
      <c r="B750" s="98"/>
      <c r="C750" s="98"/>
      <c r="D750" s="98"/>
      <c r="E750" s="98"/>
      <c r="F750" s="98"/>
      <c r="G750" s="98"/>
      <c r="H750" s="98"/>
      <c r="I750" s="98"/>
      <c r="J750" s="98"/>
      <c r="K750" s="98"/>
    </row>
    <row r="751" ht="20.25" spans="1:11">
      <c r="A751" s="98"/>
      <c r="B751" s="98"/>
      <c r="C751" s="98"/>
      <c r="D751" s="98"/>
      <c r="E751" s="98"/>
      <c r="F751" s="98"/>
      <c r="G751" s="98"/>
      <c r="H751" s="98"/>
      <c r="I751" s="98"/>
      <c r="J751" s="98"/>
      <c r="K751" s="98"/>
    </row>
    <row r="752" ht="20.25" spans="1:11">
      <c r="A752" s="98"/>
      <c r="B752" s="98"/>
      <c r="C752" s="98"/>
      <c r="D752" s="98"/>
      <c r="E752" s="98"/>
      <c r="F752" s="98"/>
      <c r="G752" s="98"/>
      <c r="H752" s="98"/>
      <c r="I752" s="98"/>
      <c r="J752" s="98"/>
      <c r="K752" s="98"/>
    </row>
    <row r="753" ht="20.25" spans="1:11">
      <c r="A753" s="98"/>
      <c r="B753" s="98"/>
      <c r="C753" s="98"/>
      <c r="D753" s="98"/>
      <c r="E753" s="98"/>
      <c r="F753" s="98"/>
      <c r="G753" s="98"/>
      <c r="H753" s="98"/>
      <c r="I753" s="98"/>
      <c r="J753" s="98"/>
      <c r="K753" s="98"/>
    </row>
    <row r="754" ht="20.25" spans="1:11">
      <c r="A754" s="98"/>
      <c r="B754" s="98"/>
      <c r="C754" s="98"/>
      <c r="D754" s="98"/>
      <c r="E754" s="98"/>
      <c r="F754" s="98"/>
      <c r="G754" s="98"/>
      <c r="H754" s="98"/>
      <c r="I754" s="98"/>
      <c r="J754" s="98"/>
      <c r="K754" s="98"/>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50" customWidth="1"/>
    <col min="2" max="2" width="6.875" style="50" customWidth="1"/>
    <col min="3" max="3" width="18.5" style="50" customWidth="1"/>
    <col min="4" max="4" width="10.875" style="50" customWidth="1"/>
    <col min="5" max="5" width="6.75" style="50" customWidth="1"/>
    <col min="6" max="6" width="9.375" style="154" customWidth="1"/>
    <col min="7" max="7" width="8.875" style="50" customWidth="1"/>
    <col min="8" max="8" width="14" style="50" customWidth="1"/>
    <col min="9" max="9" width="9.375" style="50" customWidth="1"/>
    <col min="10" max="10" width="8.625" style="50" customWidth="1"/>
    <col min="11" max="11" width="12.875" style="347" customWidth="1"/>
    <col min="12" max="12" width="13.375" style="347" customWidth="1"/>
    <col min="13" max="14" width="7.625" style="347" customWidth="1"/>
    <col min="15" max="15" width="4.625" style="347" customWidth="1"/>
    <col min="16" max="16" width="7.625" style="348" customWidth="1"/>
    <col min="17" max="17" width="7.625" style="347" customWidth="1"/>
    <col min="18" max="18" width="7.625" style="50" customWidth="1"/>
    <col min="19" max="19" width="4.625" style="50" customWidth="1"/>
    <col min="20" max="20" width="9.625" style="50" customWidth="1"/>
    <col min="21" max="21" width="8.75" style="50" customWidth="1"/>
    <col min="22" max="22" width="11.5" style="50" customWidth="1"/>
    <col min="23" max="23" width="6.125" style="50" customWidth="1"/>
    <col min="24" max="24" width="4.625" style="50" customWidth="1"/>
    <col min="25" max="27" width="6.125" style="50" customWidth="1"/>
    <col min="28" max="28" width="9" style="50"/>
    <col min="29" max="29" width="9.125" style="349" customWidth="1"/>
    <col min="30" max="31" width="9" style="349"/>
    <col min="32" max="256" width="9" style="50"/>
    <col min="257" max="257" width="4.75" style="50" customWidth="1"/>
    <col min="258" max="258" width="6.875" style="50" customWidth="1"/>
    <col min="259" max="259" width="18.5" style="50" customWidth="1"/>
    <col min="260" max="260" width="10.875" style="50" customWidth="1"/>
    <col min="261" max="261" width="6.75" style="50" customWidth="1"/>
    <col min="262" max="262" width="9.375" style="50" customWidth="1"/>
    <col min="263" max="263" width="8.875" style="50" customWidth="1"/>
    <col min="264" max="264" width="14" style="50" customWidth="1"/>
    <col min="265" max="265" width="9.375" style="50" customWidth="1"/>
    <col min="266" max="266" width="8.625" style="50" customWidth="1"/>
    <col min="267" max="267" width="12.875" style="50" customWidth="1"/>
    <col min="268" max="268" width="13.375" style="50" customWidth="1"/>
    <col min="269" max="270" width="7.625" style="50" customWidth="1"/>
    <col min="271" max="271" width="4.625" style="50" customWidth="1"/>
    <col min="272" max="274" width="7.625" style="50" customWidth="1"/>
    <col min="275" max="275" width="4.625" style="50" customWidth="1"/>
    <col min="276" max="276" width="9.625" style="50" customWidth="1"/>
    <col min="277" max="277" width="8.75" style="50" customWidth="1"/>
    <col min="278" max="278" width="11.5" style="50" customWidth="1"/>
    <col min="279" max="279" width="6.125" style="50" customWidth="1"/>
    <col min="280" max="280" width="4.625" style="50" customWidth="1"/>
    <col min="281" max="283" width="6.125" style="50" customWidth="1"/>
    <col min="284" max="284" width="9" style="50"/>
    <col min="285" max="285" width="9.125" style="50" customWidth="1"/>
    <col min="286" max="512" width="9" style="50"/>
    <col min="513" max="513" width="4.75" style="50" customWidth="1"/>
    <col min="514" max="514" width="6.875" style="50" customWidth="1"/>
    <col min="515" max="515" width="18.5" style="50" customWidth="1"/>
    <col min="516" max="516" width="10.875" style="50" customWidth="1"/>
    <col min="517" max="517" width="6.75" style="50" customWidth="1"/>
    <col min="518" max="518" width="9.375" style="50" customWidth="1"/>
    <col min="519" max="519" width="8.875" style="50" customWidth="1"/>
    <col min="520" max="520" width="14" style="50" customWidth="1"/>
    <col min="521" max="521" width="9.375" style="50" customWidth="1"/>
    <col min="522" max="522" width="8.625" style="50" customWidth="1"/>
    <col min="523" max="523" width="12.875" style="50" customWidth="1"/>
    <col min="524" max="524" width="13.375" style="50" customWidth="1"/>
    <col min="525" max="526" width="7.625" style="50" customWidth="1"/>
    <col min="527" max="527" width="4.625" style="50" customWidth="1"/>
    <col min="528" max="530" width="7.625" style="50" customWidth="1"/>
    <col min="531" max="531" width="4.625" style="50" customWidth="1"/>
    <col min="532" max="532" width="9.625" style="50" customWidth="1"/>
    <col min="533" max="533" width="8.75" style="50" customWidth="1"/>
    <col min="534" max="534" width="11.5" style="50" customWidth="1"/>
    <col min="535" max="535" width="6.125" style="50" customWidth="1"/>
    <col min="536" max="536" width="4.625" style="50" customWidth="1"/>
    <col min="537" max="539" width="6.125" style="50" customWidth="1"/>
    <col min="540" max="540" width="9" style="50"/>
    <col min="541" max="541" width="9.125" style="50" customWidth="1"/>
    <col min="542" max="768" width="9" style="50"/>
    <col min="769" max="769" width="4.75" style="50" customWidth="1"/>
    <col min="770" max="770" width="6.875" style="50" customWidth="1"/>
    <col min="771" max="771" width="18.5" style="50" customWidth="1"/>
    <col min="772" max="772" width="10.875" style="50" customWidth="1"/>
    <col min="773" max="773" width="6.75" style="50" customWidth="1"/>
    <col min="774" max="774" width="9.375" style="50" customWidth="1"/>
    <col min="775" max="775" width="8.875" style="50" customWidth="1"/>
    <col min="776" max="776" width="14" style="50" customWidth="1"/>
    <col min="777" max="777" width="9.375" style="50" customWidth="1"/>
    <col min="778" max="778" width="8.625" style="50" customWidth="1"/>
    <col min="779" max="779" width="12.875" style="50" customWidth="1"/>
    <col min="780" max="780" width="13.375" style="50" customWidth="1"/>
    <col min="781" max="782" width="7.625" style="50" customWidth="1"/>
    <col min="783" max="783" width="4.625" style="50" customWidth="1"/>
    <col min="784" max="786" width="7.625" style="50" customWidth="1"/>
    <col min="787" max="787" width="4.625" style="50" customWidth="1"/>
    <col min="788" max="788" width="9.625" style="50" customWidth="1"/>
    <col min="789" max="789" width="8.75" style="50" customWidth="1"/>
    <col min="790" max="790" width="11.5" style="50" customWidth="1"/>
    <col min="791" max="791" width="6.125" style="50" customWidth="1"/>
    <col min="792" max="792" width="4.625" style="50" customWidth="1"/>
    <col min="793" max="795" width="6.125" style="50" customWidth="1"/>
    <col min="796" max="796" width="9" style="50"/>
    <col min="797" max="797" width="9.125" style="50" customWidth="1"/>
    <col min="798" max="1024" width="9" style="50"/>
    <col min="1025" max="1025" width="4.75" style="50" customWidth="1"/>
    <col min="1026" max="1026" width="6.875" style="50" customWidth="1"/>
    <col min="1027" max="1027" width="18.5" style="50" customWidth="1"/>
    <col min="1028" max="1028" width="10.875" style="50" customWidth="1"/>
    <col min="1029" max="1029" width="6.75" style="50" customWidth="1"/>
    <col min="1030" max="1030" width="9.375" style="50" customWidth="1"/>
    <col min="1031" max="1031" width="8.875" style="50" customWidth="1"/>
    <col min="1032" max="1032" width="14" style="50" customWidth="1"/>
    <col min="1033" max="1033" width="9.375" style="50" customWidth="1"/>
    <col min="1034" max="1034" width="8.625" style="50" customWidth="1"/>
    <col min="1035" max="1035" width="12.875" style="50" customWidth="1"/>
    <col min="1036" max="1036" width="13.375" style="50" customWidth="1"/>
    <col min="1037" max="1038" width="7.625" style="50" customWidth="1"/>
    <col min="1039" max="1039" width="4.625" style="50" customWidth="1"/>
    <col min="1040" max="1042" width="7.625" style="50" customWidth="1"/>
    <col min="1043" max="1043" width="4.625" style="50" customWidth="1"/>
    <col min="1044" max="1044" width="9.625" style="50" customWidth="1"/>
    <col min="1045" max="1045" width="8.75" style="50" customWidth="1"/>
    <col min="1046" max="1046" width="11.5" style="50" customWidth="1"/>
    <col min="1047" max="1047" width="6.125" style="50" customWidth="1"/>
    <col min="1048" max="1048" width="4.625" style="50" customWidth="1"/>
    <col min="1049" max="1051" width="6.125" style="50" customWidth="1"/>
    <col min="1052" max="1052" width="9" style="50"/>
    <col min="1053" max="1053" width="9.125" style="50" customWidth="1"/>
    <col min="1054" max="1280" width="9" style="50"/>
    <col min="1281" max="1281" width="4.75" style="50" customWidth="1"/>
    <col min="1282" max="1282" width="6.875" style="50" customWidth="1"/>
    <col min="1283" max="1283" width="18.5" style="50" customWidth="1"/>
    <col min="1284" max="1284" width="10.875" style="50" customWidth="1"/>
    <col min="1285" max="1285" width="6.75" style="50" customWidth="1"/>
    <col min="1286" max="1286" width="9.375" style="50" customWidth="1"/>
    <col min="1287" max="1287" width="8.875" style="50" customWidth="1"/>
    <col min="1288" max="1288" width="14" style="50" customWidth="1"/>
    <col min="1289" max="1289" width="9.375" style="50" customWidth="1"/>
    <col min="1290" max="1290" width="8.625" style="50" customWidth="1"/>
    <col min="1291" max="1291" width="12.875" style="50" customWidth="1"/>
    <col min="1292" max="1292" width="13.375" style="50" customWidth="1"/>
    <col min="1293" max="1294" width="7.625" style="50" customWidth="1"/>
    <col min="1295" max="1295" width="4.625" style="50" customWidth="1"/>
    <col min="1296" max="1298" width="7.625" style="50" customWidth="1"/>
    <col min="1299" max="1299" width="4.625" style="50" customWidth="1"/>
    <col min="1300" max="1300" width="9.625" style="50" customWidth="1"/>
    <col min="1301" max="1301" width="8.75" style="50" customWidth="1"/>
    <col min="1302" max="1302" width="11.5" style="50" customWidth="1"/>
    <col min="1303" max="1303" width="6.125" style="50" customWidth="1"/>
    <col min="1304" max="1304" width="4.625" style="50" customWidth="1"/>
    <col min="1305" max="1307" width="6.125" style="50" customWidth="1"/>
    <col min="1308" max="1308" width="9" style="50"/>
    <col min="1309" max="1309" width="9.125" style="50" customWidth="1"/>
    <col min="1310" max="1536" width="9" style="50"/>
    <col min="1537" max="1537" width="4.75" style="50" customWidth="1"/>
    <col min="1538" max="1538" width="6.875" style="50" customWidth="1"/>
    <col min="1539" max="1539" width="18.5" style="50" customWidth="1"/>
    <col min="1540" max="1540" width="10.875" style="50" customWidth="1"/>
    <col min="1541" max="1541" width="6.75" style="50" customWidth="1"/>
    <col min="1542" max="1542" width="9.375" style="50" customWidth="1"/>
    <col min="1543" max="1543" width="8.875" style="50" customWidth="1"/>
    <col min="1544" max="1544" width="14" style="50" customWidth="1"/>
    <col min="1545" max="1545" width="9.375" style="50" customWidth="1"/>
    <col min="1546" max="1546" width="8.625" style="50" customWidth="1"/>
    <col min="1547" max="1547" width="12.875" style="50" customWidth="1"/>
    <col min="1548" max="1548" width="13.375" style="50" customWidth="1"/>
    <col min="1549" max="1550" width="7.625" style="50" customWidth="1"/>
    <col min="1551" max="1551" width="4.625" style="50" customWidth="1"/>
    <col min="1552" max="1554" width="7.625" style="50" customWidth="1"/>
    <col min="1555" max="1555" width="4.625" style="50" customWidth="1"/>
    <col min="1556" max="1556" width="9.625" style="50" customWidth="1"/>
    <col min="1557" max="1557" width="8.75" style="50" customWidth="1"/>
    <col min="1558" max="1558" width="11.5" style="50" customWidth="1"/>
    <col min="1559" max="1559" width="6.125" style="50" customWidth="1"/>
    <col min="1560" max="1560" width="4.625" style="50" customWidth="1"/>
    <col min="1561" max="1563" width="6.125" style="50" customWidth="1"/>
    <col min="1564" max="1564" width="9" style="50"/>
    <col min="1565" max="1565" width="9.125" style="50" customWidth="1"/>
    <col min="1566" max="1792" width="9" style="50"/>
    <col min="1793" max="1793" width="4.75" style="50" customWidth="1"/>
    <col min="1794" max="1794" width="6.875" style="50" customWidth="1"/>
    <col min="1795" max="1795" width="18.5" style="50" customWidth="1"/>
    <col min="1796" max="1796" width="10.875" style="50" customWidth="1"/>
    <col min="1797" max="1797" width="6.75" style="50" customWidth="1"/>
    <col min="1798" max="1798" width="9.375" style="50" customWidth="1"/>
    <col min="1799" max="1799" width="8.875" style="50" customWidth="1"/>
    <col min="1800" max="1800" width="14" style="50" customWidth="1"/>
    <col min="1801" max="1801" width="9.375" style="50" customWidth="1"/>
    <col min="1802" max="1802" width="8.625" style="50" customWidth="1"/>
    <col min="1803" max="1803" width="12.875" style="50" customWidth="1"/>
    <col min="1804" max="1804" width="13.375" style="50" customWidth="1"/>
    <col min="1805" max="1806" width="7.625" style="50" customWidth="1"/>
    <col min="1807" max="1807" width="4.625" style="50" customWidth="1"/>
    <col min="1808" max="1810" width="7.625" style="50" customWidth="1"/>
    <col min="1811" max="1811" width="4.625" style="50" customWidth="1"/>
    <col min="1812" max="1812" width="9.625" style="50" customWidth="1"/>
    <col min="1813" max="1813" width="8.75" style="50" customWidth="1"/>
    <col min="1814" max="1814" width="11.5" style="50" customWidth="1"/>
    <col min="1815" max="1815" width="6.125" style="50" customWidth="1"/>
    <col min="1816" max="1816" width="4.625" style="50" customWidth="1"/>
    <col min="1817" max="1819" width="6.125" style="50" customWidth="1"/>
    <col min="1820" max="1820" width="9" style="50"/>
    <col min="1821" max="1821" width="9.125" style="50" customWidth="1"/>
    <col min="1822" max="2048" width="9" style="50"/>
    <col min="2049" max="2049" width="4.75" style="50" customWidth="1"/>
    <col min="2050" max="2050" width="6.875" style="50" customWidth="1"/>
    <col min="2051" max="2051" width="18.5" style="50" customWidth="1"/>
    <col min="2052" max="2052" width="10.875" style="50" customWidth="1"/>
    <col min="2053" max="2053" width="6.75" style="50" customWidth="1"/>
    <col min="2054" max="2054" width="9.375" style="50" customWidth="1"/>
    <col min="2055" max="2055" width="8.875" style="50" customWidth="1"/>
    <col min="2056" max="2056" width="14" style="50" customWidth="1"/>
    <col min="2057" max="2057" width="9.375" style="50" customWidth="1"/>
    <col min="2058" max="2058" width="8.625" style="50" customWidth="1"/>
    <col min="2059" max="2059" width="12.875" style="50" customWidth="1"/>
    <col min="2060" max="2060" width="13.375" style="50" customWidth="1"/>
    <col min="2061" max="2062" width="7.625" style="50" customWidth="1"/>
    <col min="2063" max="2063" width="4.625" style="50" customWidth="1"/>
    <col min="2064" max="2066" width="7.625" style="50" customWidth="1"/>
    <col min="2067" max="2067" width="4.625" style="50" customWidth="1"/>
    <col min="2068" max="2068" width="9.625" style="50" customWidth="1"/>
    <col min="2069" max="2069" width="8.75" style="50" customWidth="1"/>
    <col min="2070" max="2070" width="11.5" style="50" customWidth="1"/>
    <col min="2071" max="2071" width="6.125" style="50" customWidth="1"/>
    <col min="2072" max="2072" width="4.625" style="50" customWidth="1"/>
    <col min="2073" max="2075" width="6.125" style="50" customWidth="1"/>
    <col min="2076" max="2076" width="9" style="50"/>
    <col min="2077" max="2077" width="9.125" style="50" customWidth="1"/>
    <col min="2078" max="2304" width="9" style="50"/>
    <col min="2305" max="2305" width="4.75" style="50" customWidth="1"/>
    <col min="2306" max="2306" width="6.875" style="50" customWidth="1"/>
    <col min="2307" max="2307" width="18.5" style="50" customWidth="1"/>
    <col min="2308" max="2308" width="10.875" style="50" customWidth="1"/>
    <col min="2309" max="2309" width="6.75" style="50" customWidth="1"/>
    <col min="2310" max="2310" width="9.375" style="50" customWidth="1"/>
    <col min="2311" max="2311" width="8.875" style="50" customWidth="1"/>
    <col min="2312" max="2312" width="14" style="50" customWidth="1"/>
    <col min="2313" max="2313" width="9.375" style="50" customWidth="1"/>
    <col min="2314" max="2314" width="8.625" style="50" customWidth="1"/>
    <col min="2315" max="2315" width="12.875" style="50" customWidth="1"/>
    <col min="2316" max="2316" width="13.375" style="50" customWidth="1"/>
    <col min="2317" max="2318" width="7.625" style="50" customWidth="1"/>
    <col min="2319" max="2319" width="4.625" style="50" customWidth="1"/>
    <col min="2320" max="2322" width="7.625" style="50" customWidth="1"/>
    <col min="2323" max="2323" width="4.625" style="50" customWidth="1"/>
    <col min="2324" max="2324" width="9.625" style="50" customWidth="1"/>
    <col min="2325" max="2325" width="8.75" style="50" customWidth="1"/>
    <col min="2326" max="2326" width="11.5" style="50" customWidth="1"/>
    <col min="2327" max="2327" width="6.125" style="50" customWidth="1"/>
    <col min="2328" max="2328" width="4.625" style="50" customWidth="1"/>
    <col min="2329" max="2331" width="6.125" style="50" customWidth="1"/>
    <col min="2332" max="2332" width="9" style="50"/>
    <col min="2333" max="2333" width="9.125" style="50" customWidth="1"/>
    <col min="2334" max="2560" width="9" style="50"/>
    <col min="2561" max="2561" width="4.75" style="50" customWidth="1"/>
    <col min="2562" max="2562" width="6.875" style="50" customWidth="1"/>
    <col min="2563" max="2563" width="18.5" style="50" customWidth="1"/>
    <col min="2564" max="2564" width="10.875" style="50" customWidth="1"/>
    <col min="2565" max="2565" width="6.75" style="50" customWidth="1"/>
    <col min="2566" max="2566" width="9.375" style="50" customWidth="1"/>
    <col min="2567" max="2567" width="8.875" style="50" customWidth="1"/>
    <col min="2568" max="2568" width="14" style="50" customWidth="1"/>
    <col min="2569" max="2569" width="9.375" style="50" customWidth="1"/>
    <col min="2570" max="2570" width="8.625" style="50" customWidth="1"/>
    <col min="2571" max="2571" width="12.875" style="50" customWidth="1"/>
    <col min="2572" max="2572" width="13.375" style="50" customWidth="1"/>
    <col min="2573" max="2574" width="7.625" style="50" customWidth="1"/>
    <col min="2575" max="2575" width="4.625" style="50" customWidth="1"/>
    <col min="2576" max="2578" width="7.625" style="50" customWidth="1"/>
    <col min="2579" max="2579" width="4.625" style="50" customWidth="1"/>
    <col min="2580" max="2580" width="9.625" style="50" customWidth="1"/>
    <col min="2581" max="2581" width="8.75" style="50" customWidth="1"/>
    <col min="2582" max="2582" width="11.5" style="50" customWidth="1"/>
    <col min="2583" max="2583" width="6.125" style="50" customWidth="1"/>
    <col min="2584" max="2584" width="4.625" style="50" customWidth="1"/>
    <col min="2585" max="2587" width="6.125" style="50" customWidth="1"/>
    <col min="2588" max="2588" width="9" style="50"/>
    <col min="2589" max="2589" width="9.125" style="50" customWidth="1"/>
    <col min="2590" max="2816" width="9" style="50"/>
    <col min="2817" max="2817" width="4.75" style="50" customWidth="1"/>
    <col min="2818" max="2818" width="6.875" style="50" customWidth="1"/>
    <col min="2819" max="2819" width="18.5" style="50" customWidth="1"/>
    <col min="2820" max="2820" width="10.875" style="50" customWidth="1"/>
    <col min="2821" max="2821" width="6.75" style="50" customWidth="1"/>
    <col min="2822" max="2822" width="9.375" style="50" customWidth="1"/>
    <col min="2823" max="2823" width="8.875" style="50" customWidth="1"/>
    <col min="2824" max="2824" width="14" style="50" customWidth="1"/>
    <col min="2825" max="2825" width="9.375" style="50" customWidth="1"/>
    <col min="2826" max="2826" width="8.625" style="50" customWidth="1"/>
    <col min="2827" max="2827" width="12.875" style="50" customWidth="1"/>
    <col min="2828" max="2828" width="13.375" style="50" customWidth="1"/>
    <col min="2829" max="2830" width="7.625" style="50" customWidth="1"/>
    <col min="2831" max="2831" width="4.625" style="50" customWidth="1"/>
    <col min="2832" max="2834" width="7.625" style="50" customWidth="1"/>
    <col min="2835" max="2835" width="4.625" style="50" customWidth="1"/>
    <col min="2836" max="2836" width="9.625" style="50" customWidth="1"/>
    <col min="2837" max="2837" width="8.75" style="50" customWidth="1"/>
    <col min="2838" max="2838" width="11.5" style="50" customWidth="1"/>
    <col min="2839" max="2839" width="6.125" style="50" customWidth="1"/>
    <col min="2840" max="2840" width="4.625" style="50" customWidth="1"/>
    <col min="2841" max="2843" width="6.125" style="50" customWidth="1"/>
    <col min="2844" max="2844" width="9" style="50"/>
    <col min="2845" max="2845" width="9.125" style="50" customWidth="1"/>
    <col min="2846" max="3072" width="9" style="50"/>
    <col min="3073" max="3073" width="4.75" style="50" customWidth="1"/>
    <col min="3074" max="3074" width="6.875" style="50" customWidth="1"/>
    <col min="3075" max="3075" width="18.5" style="50" customWidth="1"/>
    <col min="3076" max="3076" width="10.875" style="50" customWidth="1"/>
    <col min="3077" max="3077" width="6.75" style="50" customWidth="1"/>
    <col min="3078" max="3078" width="9.375" style="50" customWidth="1"/>
    <col min="3079" max="3079" width="8.875" style="50" customWidth="1"/>
    <col min="3080" max="3080" width="14" style="50" customWidth="1"/>
    <col min="3081" max="3081" width="9.375" style="50" customWidth="1"/>
    <col min="3082" max="3082" width="8.625" style="50" customWidth="1"/>
    <col min="3083" max="3083" width="12.875" style="50" customWidth="1"/>
    <col min="3084" max="3084" width="13.375" style="50" customWidth="1"/>
    <col min="3085" max="3086" width="7.625" style="50" customWidth="1"/>
    <col min="3087" max="3087" width="4.625" style="50" customWidth="1"/>
    <col min="3088" max="3090" width="7.625" style="50" customWidth="1"/>
    <col min="3091" max="3091" width="4.625" style="50" customWidth="1"/>
    <col min="3092" max="3092" width="9.625" style="50" customWidth="1"/>
    <col min="3093" max="3093" width="8.75" style="50" customWidth="1"/>
    <col min="3094" max="3094" width="11.5" style="50" customWidth="1"/>
    <col min="3095" max="3095" width="6.125" style="50" customWidth="1"/>
    <col min="3096" max="3096" width="4.625" style="50" customWidth="1"/>
    <col min="3097" max="3099" width="6.125" style="50" customWidth="1"/>
    <col min="3100" max="3100" width="9" style="50"/>
    <col min="3101" max="3101" width="9.125" style="50" customWidth="1"/>
    <col min="3102" max="3328" width="9" style="50"/>
    <col min="3329" max="3329" width="4.75" style="50" customWidth="1"/>
    <col min="3330" max="3330" width="6.875" style="50" customWidth="1"/>
    <col min="3331" max="3331" width="18.5" style="50" customWidth="1"/>
    <col min="3332" max="3332" width="10.875" style="50" customWidth="1"/>
    <col min="3333" max="3333" width="6.75" style="50" customWidth="1"/>
    <col min="3334" max="3334" width="9.375" style="50" customWidth="1"/>
    <col min="3335" max="3335" width="8.875" style="50" customWidth="1"/>
    <col min="3336" max="3336" width="14" style="50" customWidth="1"/>
    <col min="3337" max="3337" width="9.375" style="50" customWidth="1"/>
    <col min="3338" max="3338" width="8.625" style="50" customWidth="1"/>
    <col min="3339" max="3339" width="12.875" style="50" customWidth="1"/>
    <col min="3340" max="3340" width="13.375" style="50" customWidth="1"/>
    <col min="3341" max="3342" width="7.625" style="50" customWidth="1"/>
    <col min="3343" max="3343" width="4.625" style="50" customWidth="1"/>
    <col min="3344" max="3346" width="7.625" style="50" customWidth="1"/>
    <col min="3347" max="3347" width="4.625" style="50" customWidth="1"/>
    <col min="3348" max="3348" width="9.625" style="50" customWidth="1"/>
    <col min="3349" max="3349" width="8.75" style="50" customWidth="1"/>
    <col min="3350" max="3350" width="11.5" style="50" customWidth="1"/>
    <col min="3351" max="3351" width="6.125" style="50" customWidth="1"/>
    <col min="3352" max="3352" width="4.625" style="50" customWidth="1"/>
    <col min="3353" max="3355" width="6.125" style="50" customWidth="1"/>
    <col min="3356" max="3356" width="9" style="50"/>
    <col min="3357" max="3357" width="9.125" style="50" customWidth="1"/>
    <col min="3358" max="3584" width="9" style="50"/>
    <col min="3585" max="3585" width="4.75" style="50" customWidth="1"/>
    <col min="3586" max="3586" width="6.875" style="50" customWidth="1"/>
    <col min="3587" max="3587" width="18.5" style="50" customWidth="1"/>
    <col min="3588" max="3588" width="10.875" style="50" customWidth="1"/>
    <col min="3589" max="3589" width="6.75" style="50" customWidth="1"/>
    <col min="3590" max="3590" width="9.375" style="50" customWidth="1"/>
    <col min="3591" max="3591" width="8.875" style="50" customWidth="1"/>
    <col min="3592" max="3592" width="14" style="50" customWidth="1"/>
    <col min="3593" max="3593" width="9.375" style="50" customWidth="1"/>
    <col min="3594" max="3594" width="8.625" style="50" customWidth="1"/>
    <col min="3595" max="3595" width="12.875" style="50" customWidth="1"/>
    <col min="3596" max="3596" width="13.375" style="50" customWidth="1"/>
    <col min="3597" max="3598" width="7.625" style="50" customWidth="1"/>
    <col min="3599" max="3599" width="4.625" style="50" customWidth="1"/>
    <col min="3600" max="3602" width="7.625" style="50" customWidth="1"/>
    <col min="3603" max="3603" width="4.625" style="50" customWidth="1"/>
    <col min="3604" max="3604" width="9.625" style="50" customWidth="1"/>
    <col min="3605" max="3605" width="8.75" style="50" customWidth="1"/>
    <col min="3606" max="3606" width="11.5" style="50" customWidth="1"/>
    <col min="3607" max="3607" width="6.125" style="50" customWidth="1"/>
    <col min="3608" max="3608" width="4.625" style="50" customWidth="1"/>
    <col min="3609" max="3611" width="6.125" style="50" customWidth="1"/>
    <col min="3612" max="3612" width="9" style="50"/>
    <col min="3613" max="3613" width="9.125" style="50" customWidth="1"/>
    <col min="3614" max="3840" width="9" style="50"/>
    <col min="3841" max="3841" width="4.75" style="50" customWidth="1"/>
    <col min="3842" max="3842" width="6.875" style="50" customWidth="1"/>
    <col min="3843" max="3843" width="18.5" style="50" customWidth="1"/>
    <col min="3844" max="3844" width="10.875" style="50" customWidth="1"/>
    <col min="3845" max="3845" width="6.75" style="50" customWidth="1"/>
    <col min="3846" max="3846" width="9.375" style="50" customWidth="1"/>
    <col min="3847" max="3847" width="8.875" style="50" customWidth="1"/>
    <col min="3848" max="3848" width="14" style="50" customWidth="1"/>
    <col min="3849" max="3849" width="9.375" style="50" customWidth="1"/>
    <col min="3850" max="3850" width="8.625" style="50" customWidth="1"/>
    <col min="3851" max="3851" width="12.875" style="50" customWidth="1"/>
    <col min="3852" max="3852" width="13.375" style="50" customWidth="1"/>
    <col min="3853" max="3854" width="7.625" style="50" customWidth="1"/>
    <col min="3855" max="3855" width="4.625" style="50" customWidth="1"/>
    <col min="3856" max="3858" width="7.625" style="50" customWidth="1"/>
    <col min="3859" max="3859" width="4.625" style="50" customWidth="1"/>
    <col min="3860" max="3860" width="9.625" style="50" customWidth="1"/>
    <col min="3861" max="3861" width="8.75" style="50" customWidth="1"/>
    <col min="3862" max="3862" width="11.5" style="50" customWidth="1"/>
    <col min="3863" max="3863" width="6.125" style="50" customWidth="1"/>
    <col min="3864" max="3864" width="4.625" style="50" customWidth="1"/>
    <col min="3865" max="3867" width="6.125" style="50" customWidth="1"/>
    <col min="3868" max="3868" width="9" style="50"/>
    <col min="3869" max="3869" width="9.125" style="50" customWidth="1"/>
    <col min="3870" max="4096" width="9" style="50"/>
    <col min="4097" max="4097" width="4.75" style="50" customWidth="1"/>
    <col min="4098" max="4098" width="6.875" style="50" customWidth="1"/>
    <col min="4099" max="4099" width="18.5" style="50" customWidth="1"/>
    <col min="4100" max="4100" width="10.875" style="50" customWidth="1"/>
    <col min="4101" max="4101" width="6.75" style="50" customWidth="1"/>
    <col min="4102" max="4102" width="9.375" style="50" customWidth="1"/>
    <col min="4103" max="4103" width="8.875" style="50" customWidth="1"/>
    <col min="4104" max="4104" width="14" style="50" customWidth="1"/>
    <col min="4105" max="4105" width="9.375" style="50" customWidth="1"/>
    <col min="4106" max="4106" width="8.625" style="50" customWidth="1"/>
    <col min="4107" max="4107" width="12.875" style="50" customWidth="1"/>
    <col min="4108" max="4108" width="13.375" style="50" customWidth="1"/>
    <col min="4109" max="4110" width="7.625" style="50" customWidth="1"/>
    <col min="4111" max="4111" width="4.625" style="50" customWidth="1"/>
    <col min="4112" max="4114" width="7.625" style="50" customWidth="1"/>
    <col min="4115" max="4115" width="4.625" style="50" customWidth="1"/>
    <col min="4116" max="4116" width="9.625" style="50" customWidth="1"/>
    <col min="4117" max="4117" width="8.75" style="50" customWidth="1"/>
    <col min="4118" max="4118" width="11.5" style="50" customWidth="1"/>
    <col min="4119" max="4119" width="6.125" style="50" customWidth="1"/>
    <col min="4120" max="4120" width="4.625" style="50" customWidth="1"/>
    <col min="4121" max="4123" width="6.125" style="50" customWidth="1"/>
    <col min="4124" max="4124" width="9" style="50"/>
    <col min="4125" max="4125" width="9.125" style="50" customWidth="1"/>
    <col min="4126" max="4352" width="9" style="50"/>
    <col min="4353" max="4353" width="4.75" style="50" customWidth="1"/>
    <col min="4354" max="4354" width="6.875" style="50" customWidth="1"/>
    <col min="4355" max="4355" width="18.5" style="50" customWidth="1"/>
    <col min="4356" max="4356" width="10.875" style="50" customWidth="1"/>
    <col min="4357" max="4357" width="6.75" style="50" customWidth="1"/>
    <col min="4358" max="4358" width="9.375" style="50" customWidth="1"/>
    <col min="4359" max="4359" width="8.875" style="50" customWidth="1"/>
    <col min="4360" max="4360" width="14" style="50" customWidth="1"/>
    <col min="4361" max="4361" width="9.375" style="50" customWidth="1"/>
    <col min="4362" max="4362" width="8.625" style="50" customWidth="1"/>
    <col min="4363" max="4363" width="12.875" style="50" customWidth="1"/>
    <col min="4364" max="4364" width="13.375" style="50" customWidth="1"/>
    <col min="4365" max="4366" width="7.625" style="50" customWidth="1"/>
    <col min="4367" max="4367" width="4.625" style="50" customWidth="1"/>
    <col min="4368" max="4370" width="7.625" style="50" customWidth="1"/>
    <col min="4371" max="4371" width="4.625" style="50" customWidth="1"/>
    <col min="4372" max="4372" width="9.625" style="50" customWidth="1"/>
    <col min="4373" max="4373" width="8.75" style="50" customWidth="1"/>
    <col min="4374" max="4374" width="11.5" style="50" customWidth="1"/>
    <col min="4375" max="4375" width="6.125" style="50" customWidth="1"/>
    <col min="4376" max="4376" width="4.625" style="50" customWidth="1"/>
    <col min="4377" max="4379" width="6.125" style="50" customWidth="1"/>
    <col min="4380" max="4380" width="9" style="50"/>
    <col min="4381" max="4381" width="9.125" style="50" customWidth="1"/>
    <col min="4382" max="4608" width="9" style="50"/>
    <col min="4609" max="4609" width="4.75" style="50" customWidth="1"/>
    <col min="4610" max="4610" width="6.875" style="50" customWidth="1"/>
    <col min="4611" max="4611" width="18.5" style="50" customWidth="1"/>
    <col min="4612" max="4612" width="10.875" style="50" customWidth="1"/>
    <col min="4613" max="4613" width="6.75" style="50" customWidth="1"/>
    <col min="4614" max="4614" width="9.375" style="50" customWidth="1"/>
    <col min="4615" max="4615" width="8.875" style="50" customWidth="1"/>
    <col min="4616" max="4616" width="14" style="50" customWidth="1"/>
    <col min="4617" max="4617" width="9.375" style="50" customWidth="1"/>
    <col min="4618" max="4618" width="8.625" style="50" customWidth="1"/>
    <col min="4619" max="4619" width="12.875" style="50" customWidth="1"/>
    <col min="4620" max="4620" width="13.375" style="50" customWidth="1"/>
    <col min="4621" max="4622" width="7.625" style="50" customWidth="1"/>
    <col min="4623" max="4623" width="4.625" style="50" customWidth="1"/>
    <col min="4624" max="4626" width="7.625" style="50" customWidth="1"/>
    <col min="4627" max="4627" width="4.625" style="50" customWidth="1"/>
    <col min="4628" max="4628" width="9.625" style="50" customWidth="1"/>
    <col min="4629" max="4629" width="8.75" style="50" customWidth="1"/>
    <col min="4630" max="4630" width="11.5" style="50" customWidth="1"/>
    <col min="4631" max="4631" width="6.125" style="50" customWidth="1"/>
    <col min="4632" max="4632" width="4.625" style="50" customWidth="1"/>
    <col min="4633" max="4635" width="6.125" style="50" customWidth="1"/>
    <col min="4636" max="4636" width="9" style="50"/>
    <col min="4637" max="4637" width="9.125" style="50" customWidth="1"/>
    <col min="4638" max="4864" width="9" style="50"/>
    <col min="4865" max="4865" width="4.75" style="50" customWidth="1"/>
    <col min="4866" max="4866" width="6.875" style="50" customWidth="1"/>
    <col min="4867" max="4867" width="18.5" style="50" customWidth="1"/>
    <col min="4868" max="4868" width="10.875" style="50" customWidth="1"/>
    <col min="4869" max="4869" width="6.75" style="50" customWidth="1"/>
    <col min="4870" max="4870" width="9.375" style="50" customWidth="1"/>
    <col min="4871" max="4871" width="8.875" style="50" customWidth="1"/>
    <col min="4872" max="4872" width="14" style="50" customWidth="1"/>
    <col min="4873" max="4873" width="9.375" style="50" customWidth="1"/>
    <col min="4874" max="4874" width="8.625" style="50" customWidth="1"/>
    <col min="4875" max="4875" width="12.875" style="50" customWidth="1"/>
    <col min="4876" max="4876" width="13.375" style="50" customWidth="1"/>
    <col min="4877" max="4878" width="7.625" style="50" customWidth="1"/>
    <col min="4879" max="4879" width="4.625" style="50" customWidth="1"/>
    <col min="4880" max="4882" width="7.625" style="50" customWidth="1"/>
    <col min="4883" max="4883" width="4.625" style="50" customWidth="1"/>
    <col min="4884" max="4884" width="9.625" style="50" customWidth="1"/>
    <col min="4885" max="4885" width="8.75" style="50" customWidth="1"/>
    <col min="4886" max="4886" width="11.5" style="50" customWidth="1"/>
    <col min="4887" max="4887" width="6.125" style="50" customWidth="1"/>
    <col min="4888" max="4888" width="4.625" style="50" customWidth="1"/>
    <col min="4889" max="4891" width="6.125" style="50" customWidth="1"/>
    <col min="4892" max="4892" width="9" style="50"/>
    <col min="4893" max="4893" width="9.125" style="50" customWidth="1"/>
    <col min="4894" max="5120" width="9" style="50"/>
    <col min="5121" max="5121" width="4.75" style="50" customWidth="1"/>
    <col min="5122" max="5122" width="6.875" style="50" customWidth="1"/>
    <col min="5123" max="5123" width="18.5" style="50" customWidth="1"/>
    <col min="5124" max="5124" width="10.875" style="50" customWidth="1"/>
    <col min="5125" max="5125" width="6.75" style="50" customWidth="1"/>
    <col min="5126" max="5126" width="9.375" style="50" customWidth="1"/>
    <col min="5127" max="5127" width="8.875" style="50" customWidth="1"/>
    <col min="5128" max="5128" width="14" style="50" customWidth="1"/>
    <col min="5129" max="5129" width="9.375" style="50" customWidth="1"/>
    <col min="5130" max="5130" width="8.625" style="50" customWidth="1"/>
    <col min="5131" max="5131" width="12.875" style="50" customWidth="1"/>
    <col min="5132" max="5132" width="13.375" style="50" customWidth="1"/>
    <col min="5133" max="5134" width="7.625" style="50" customWidth="1"/>
    <col min="5135" max="5135" width="4.625" style="50" customWidth="1"/>
    <col min="5136" max="5138" width="7.625" style="50" customWidth="1"/>
    <col min="5139" max="5139" width="4.625" style="50" customWidth="1"/>
    <col min="5140" max="5140" width="9.625" style="50" customWidth="1"/>
    <col min="5141" max="5141" width="8.75" style="50" customWidth="1"/>
    <col min="5142" max="5142" width="11.5" style="50" customWidth="1"/>
    <col min="5143" max="5143" width="6.125" style="50" customWidth="1"/>
    <col min="5144" max="5144" width="4.625" style="50" customWidth="1"/>
    <col min="5145" max="5147" width="6.125" style="50" customWidth="1"/>
    <col min="5148" max="5148" width="9" style="50"/>
    <col min="5149" max="5149" width="9.125" style="50" customWidth="1"/>
    <col min="5150" max="5376" width="9" style="50"/>
    <col min="5377" max="5377" width="4.75" style="50" customWidth="1"/>
    <col min="5378" max="5378" width="6.875" style="50" customWidth="1"/>
    <col min="5379" max="5379" width="18.5" style="50" customWidth="1"/>
    <col min="5380" max="5380" width="10.875" style="50" customWidth="1"/>
    <col min="5381" max="5381" width="6.75" style="50" customWidth="1"/>
    <col min="5382" max="5382" width="9.375" style="50" customWidth="1"/>
    <col min="5383" max="5383" width="8.875" style="50" customWidth="1"/>
    <col min="5384" max="5384" width="14" style="50" customWidth="1"/>
    <col min="5385" max="5385" width="9.375" style="50" customWidth="1"/>
    <col min="5386" max="5386" width="8.625" style="50" customWidth="1"/>
    <col min="5387" max="5387" width="12.875" style="50" customWidth="1"/>
    <col min="5388" max="5388" width="13.375" style="50" customWidth="1"/>
    <col min="5389" max="5390" width="7.625" style="50" customWidth="1"/>
    <col min="5391" max="5391" width="4.625" style="50" customWidth="1"/>
    <col min="5392" max="5394" width="7.625" style="50" customWidth="1"/>
    <col min="5395" max="5395" width="4.625" style="50" customWidth="1"/>
    <col min="5396" max="5396" width="9.625" style="50" customWidth="1"/>
    <col min="5397" max="5397" width="8.75" style="50" customWidth="1"/>
    <col min="5398" max="5398" width="11.5" style="50" customWidth="1"/>
    <col min="5399" max="5399" width="6.125" style="50" customWidth="1"/>
    <col min="5400" max="5400" width="4.625" style="50" customWidth="1"/>
    <col min="5401" max="5403" width="6.125" style="50" customWidth="1"/>
    <col min="5404" max="5404" width="9" style="50"/>
    <col min="5405" max="5405" width="9.125" style="50" customWidth="1"/>
    <col min="5406" max="5632" width="9" style="50"/>
    <col min="5633" max="5633" width="4.75" style="50" customWidth="1"/>
    <col min="5634" max="5634" width="6.875" style="50" customWidth="1"/>
    <col min="5635" max="5635" width="18.5" style="50" customWidth="1"/>
    <col min="5636" max="5636" width="10.875" style="50" customWidth="1"/>
    <col min="5637" max="5637" width="6.75" style="50" customWidth="1"/>
    <col min="5638" max="5638" width="9.375" style="50" customWidth="1"/>
    <col min="5639" max="5639" width="8.875" style="50" customWidth="1"/>
    <col min="5640" max="5640" width="14" style="50" customWidth="1"/>
    <col min="5641" max="5641" width="9.375" style="50" customWidth="1"/>
    <col min="5642" max="5642" width="8.625" style="50" customWidth="1"/>
    <col min="5643" max="5643" width="12.875" style="50" customWidth="1"/>
    <col min="5644" max="5644" width="13.375" style="50" customWidth="1"/>
    <col min="5645" max="5646" width="7.625" style="50" customWidth="1"/>
    <col min="5647" max="5647" width="4.625" style="50" customWidth="1"/>
    <col min="5648" max="5650" width="7.625" style="50" customWidth="1"/>
    <col min="5651" max="5651" width="4.625" style="50" customWidth="1"/>
    <col min="5652" max="5652" width="9.625" style="50" customWidth="1"/>
    <col min="5653" max="5653" width="8.75" style="50" customWidth="1"/>
    <col min="5654" max="5654" width="11.5" style="50" customWidth="1"/>
    <col min="5655" max="5655" width="6.125" style="50" customWidth="1"/>
    <col min="5656" max="5656" width="4.625" style="50" customWidth="1"/>
    <col min="5657" max="5659" width="6.125" style="50" customWidth="1"/>
    <col min="5660" max="5660" width="9" style="50"/>
    <col min="5661" max="5661" width="9.125" style="50" customWidth="1"/>
    <col min="5662" max="5888" width="9" style="50"/>
    <col min="5889" max="5889" width="4.75" style="50" customWidth="1"/>
    <col min="5890" max="5890" width="6.875" style="50" customWidth="1"/>
    <col min="5891" max="5891" width="18.5" style="50" customWidth="1"/>
    <col min="5892" max="5892" width="10.875" style="50" customWidth="1"/>
    <col min="5893" max="5893" width="6.75" style="50" customWidth="1"/>
    <col min="5894" max="5894" width="9.375" style="50" customWidth="1"/>
    <col min="5895" max="5895" width="8.875" style="50" customWidth="1"/>
    <col min="5896" max="5896" width="14" style="50" customWidth="1"/>
    <col min="5897" max="5897" width="9.375" style="50" customWidth="1"/>
    <col min="5898" max="5898" width="8.625" style="50" customWidth="1"/>
    <col min="5899" max="5899" width="12.875" style="50" customWidth="1"/>
    <col min="5900" max="5900" width="13.375" style="50" customWidth="1"/>
    <col min="5901" max="5902" width="7.625" style="50" customWidth="1"/>
    <col min="5903" max="5903" width="4.625" style="50" customWidth="1"/>
    <col min="5904" max="5906" width="7.625" style="50" customWidth="1"/>
    <col min="5907" max="5907" width="4.625" style="50" customWidth="1"/>
    <col min="5908" max="5908" width="9.625" style="50" customWidth="1"/>
    <col min="5909" max="5909" width="8.75" style="50" customWidth="1"/>
    <col min="5910" max="5910" width="11.5" style="50" customWidth="1"/>
    <col min="5911" max="5911" width="6.125" style="50" customWidth="1"/>
    <col min="5912" max="5912" width="4.625" style="50" customWidth="1"/>
    <col min="5913" max="5915" width="6.125" style="50" customWidth="1"/>
    <col min="5916" max="5916" width="9" style="50"/>
    <col min="5917" max="5917" width="9.125" style="50" customWidth="1"/>
    <col min="5918" max="6144" width="9" style="50"/>
    <col min="6145" max="6145" width="4.75" style="50" customWidth="1"/>
    <col min="6146" max="6146" width="6.875" style="50" customWidth="1"/>
    <col min="6147" max="6147" width="18.5" style="50" customWidth="1"/>
    <col min="6148" max="6148" width="10.875" style="50" customWidth="1"/>
    <col min="6149" max="6149" width="6.75" style="50" customWidth="1"/>
    <col min="6150" max="6150" width="9.375" style="50" customWidth="1"/>
    <col min="6151" max="6151" width="8.875" style="50" customWidth="1"/>
    <col min="6152" max="6152" width="14" style="50" customWidth="1"/>
    <col min="6153" max="6153" width="9.375" style="50" customWidth="1"/>
    <col min="6154" max="6154" width="8.625" style="50" customWidth="1"/>
    <col min="6155" max="6155" width="12.875" style="50" customWidth="1"/>
    <col min="6156" max="6156" width="13.375" style="50" customWidth="1"/>
    <col min="6157" max="6158" width="7.625" style="50" customWidth="1"/>
    <col min="6159" max="6159" width="4.625" style="50" customWidth="1"/>
    <col min="6160" max="6162" width="7.625" style="50" customWidth="1"/>
    <col min="6163" max="6163" width="4.625" style="50" customWidth="1"/>
    <col min="6164" max="6164" width="9.625" style="50" customWidth="1"/>
    <col min="6165" max="6165" width="8.75" style="50" customWidth="1"/>
    <col min="6166" max="6166" width="11.5" style="50" customWidth="1"/>
    <col min="6167" max="6167" width="6.125" style="50" customWidth="1"/>
    <col min="6168" max="6168" width="4.625" style="50" customWidth="1"/>
    <col min="6169" max="6171" width="6.125" style="50" customWidth="1"/>
    <col min="6172" max="6172" width="9" style="50"/>
    <col min="6173" max="6173" width="9.125" style="50" customWidth="1"/>
    <col min="6174" max="6400" width="9" style="50"/>
    <col min="6401" max="6401" width="4.75" style="50" customWidth="1"/>
    <col min="6402" max="6402" width="6.875" style="50" customWidth="1"/>
    <col min="6403" max="6403" width="18.5" style="50" customWidth="1"/>
    <col min="6404" max="6404" width="10.875" style="50" customWidth="1"/>
    <col min="6405" max="6405" width="6.75" style="50" customWidth="1"/>
    <col min="6406" max="6406" width="9.375" style="50" customWidth="1"/>
    <col min="6407" max="6407" width="8.875" style="50" customWidth="1"/>
    <col min="6408" max="6408" width="14" style="50" customWidth="1"/>
    <col min="6409" max="6409" width="9.375" style="50" customWidth="1"/>
    <col min="6410" max="6410" width="8.625" style="50" customWidth="1"/>
    <col min="6411" max="6411" width="12.875" style="50" customWidth="1"/>
    <col min="6412" max="6412" width="13.375" style="50" customWidth="1"/>
    <col min="6413" max="6414" width="7.625" style="50" customWidth="1"/>
    <col min="6415" max="6415" width="4.625" style="50" customWidth="1"/>
    <col min="6416" max="6418" width="7.625" style="50" customWidth="1"/>
    <col min="6419" max="6419" width="4.625" style="50" customWidth="1"/>
    <col min="6420" max="6420" width="9.625" style="50" customWidth="1"/>
    <col min="6421" max="6421" width="8.75" style="50" customWidth="1"/>
    <col min="6422" max="6422" width="11.5" style="50" customWidth="1"/>
    <col min="6423" max="6423" width="6.125" style="50" customWidth="1"/>
    <col min="6424" max="6424" width="4.625" style="50" customWidth="1"/>
    <col min="6425" max="6427" width="6.125" style="50" customWidth="1"/>
    <col min="6428" max="6428" width="9" style="50"/>
    <col min="6429" max="6429" width="9.125" style="50" customWidth="1"/>
    <col min="6430" max="6656" width="9" style="50"/>
    <col min="6657" max="6657" width="4.75" style="50" customWidth="1"/>
    <col min="6658" max="6658" width="6.875" style="50" customWidth="1"/>
    <col min="6659" max="6659" width="18.5" style="50" customWidth="1"/>
    <col min="6660" max="6660" width="10.875" style="50" customWidth="1"/>
    <col min="6661" max="6661" width="6.75" style="50" customWidth="1"/>
    <col min="6662" max="6662" width="9.375" style="50" customWidth="1"/>
    <col min="6663" max="6663" width="8.875" style="50" customWidth="1"/>
    <col min="6664" max="6664" width="14" style="50" customWidth="1"/>
    <col min="6665" max="6665" width="9.375" style="50" customWidth="1"/>
    <col min="6666" max="6666" width="8.625" style="50" customWidth="1"/>
    <col min="6667" max="6667" width="12.875" style="50" customWidth="1"/>
    <col min="6668" max="6668" width="13.375" style="50" customWidth="1"/>
    <col min="6669" max="6670" width="7.625" style="50" customWidth="1"/>
    <col min="6671" max="6671" width="4.625" style="50" customWidth="1"/>
    <col min="6672" max="6674" width="7.625" style="50" customWidth="1"/>
    <col min="6675" max="6675" width="4.625" style="50" customWidth="1"/>
    <col min="6676" max="6676" width="9.625" style="50" customWidth="1"/>
    <col min="6677" max="6677" width="8.75" style="50" customWidth="1"/>
    <col min="6678" max="6678" width="11.5" style="50" customWidth="1"/>
    <col min="6679" max="6679" width="6.125" style="50" customWidth="1"/>
    <col min="6680" max="6680" width="4.625" style="50" customWidth="1"/>
    <col min="6681" max="6683" width="6.125" style="50" customWidth="1"/>
    <col min="6684" max="6684" width="9" style="50"/>
    <col min="6685" max="6685" width="9.125" style="50" customWidth="1"/>
    <col min="6686" max="6912" width="9" style="50"/>
    <col min="6913" max="6913" width="4.75" style="50" customWidth="1"/>
    <col min="6914" max="6914" width="6.875" style="50" customWidth="1"/>
    <col min="6915" max="6915" width="18.5" style="50" customWidth="1"/>
    <col min="6916" max="6916" width="10.875" style="50" customWidth="1"/>
    <col min="6917" max="6917" width="6.75" style="50" customWidth="1"/>
    <col min="6918" max="6918" width="9.375" style="50" customWidth="1"/>
    <col min="6919" max="6919" width="8.875" style="50" customWidth="1"/>
    <col min="6920" max="6920" width="14" style="50" customWidth="1"/>
    <col min="6921" max="6921" width="9.375" style="50" customWidth="1"/>
    <col min="6922" max="6922" width="8.625" style="50" customWidth="1"/>
    <col min="6923" max="6923" width="12.875" style="50" customWidth="1"/>
    <col min="6924" max="6924" width="13.375" style="50" customWidth="1"/>
    <col min="6925" max="6926" width="7.625" style="50" customWidth="1"/>
    <col min="6927" max="6927" width="4.625" style="50" customWidth="1"/>
    <col min="6928" max="6930" width="7.625" style="50" customWidth="1"/>
    <col min="6931" max="6931" width="4.625" style="50" customWidth="1"/>
    <col min="6932" max="6932" width="9.625" style="50" customWidth="1"/>
    <col min="6933" max="6933" width="8.75" style="50" customWidth="1"/>
    <col min="6934" max="6934" width="11.5" style="50" customWidth="1"/>
    <col min="6935" max="6935" width="6.125" style="50" customWidth="1"/>
    <col min="6936" max="6936" width="4.625" style="50" customWidth="1"/>
    <col min="6937" max="6939" width="6.125" style="50" customWidth="1"/>
    <col min="6940" max="6940" width="9" style="50"/>
    <col min="6941" max="6941" width="9.125" style="50" customWidth="1"/>
    <col min="6942" max="7168" width="9" style="50"/>
    <col min="7169" max="7169" width="4.75" style="50" customWidth="1"/>
    <col min="7170" max="7170" width="6.875" style="50" customWidth="1"/>
    <col min="7171" max="7171" width="18.5" style="50" customWidth="1"/>
    <col min="7172" max="7172" width="10.875" style="50" customWidth="1"/>
    <col min="7173" max="7173" width="6.75" style="50" customWidth="1"/>
    <col min="7174" max="7174" width="9.375" style="50" customWidth="1"/>
    <col min="7175" max="7175" width="8.875" style="50" customWidth="1"/>
    <col min="7176" max="7176" width="14" style="50" customWidth="1"/>
    <col min="7177" max="7177" width="9.375" style="50" customWidth="1"/>
    <col min="7178" max="7178" width="8.625" style="50" customWidth="1"/>
    <col min="7179" max="7179" width="12.875" style="50" customWidth="1"/>
    <col min="7180" max="7180" width="13.375" style="50" customWidth="1"/>
    <col min="7181" max="7182" width="7.625" style="50" customWidth="1"/>
    <col min="7183" max="7183" width="4.625" style="50" customWidth="1"/>
    <col min="7184" max="7186" width="7.625" style="50" customWidth="1"/>
    <col min="7187" max="7187" width="4.625" style="50" customWidth="1"/>
    <col min="7188" max="7188" width="9.625" style="50" customWidth="1"/>
    <col min="7189" max="7189" width="8.75" style="50" customWidth="1"/>
    <col min="7190" max="7190" width="11.5" style="50" customWidth="1"/>
    <col min="7191" max="7191" width="6.125" style="50" customWidth="1"/>
    <col min="7192" max="7192" width="4.625" style="50" customWidth="1"/>
    <col min="7193" max="7195" width="6.125" style="50" customWidth="1"/>
    <col min="7196" max="7196" width="9" style="50"/>
    <col min="7197" max="7197" width="9.125" style="50" customWidth="1"/>
    <col min="7198" max="7424" width="9" style="50"/>
    <col min="7425" max="7425" width="4.75" style="50" customWidth="1"/>
    <col min="7426" max="7426" width="6.875" style="50" customWidth="1"/>
    <col min="7427" max="7427" width="18.5" style="50" customWidth="1"/>
    <col min="7428" max="7428" width="10.875" style="50" customWidth="1"/>
    <col min="7429" max="7429" width="6.75" style="50" customWidth="1"/>
    <col min="7430" max="7430" width="9.375" style="50" customWidth="1"/>
    <col min="7431" max="7431" width="8.875" style="50" customWidth="1"/>
    <col min="7432" max="7432" width="14" style="50" customWidth="1"/>
    <col min="7433" max="7433" width="9.375" style="50" customWidth="1"/>
    <col min="7434" max="7434" width="8.625" style="50" customWidth="1"/>
    <col min="7435" max="7435" width="12.875" style="50" customWidth="1"/>
    <col min="7436" max="7436" width="13.375" style="50" customWidth="1"/>
    <col min="7437" max="7438" width="7.625" style="50" customWidth="1"/>
    <col min="7439" max="7439" width="4.625" style="50" customWidth="1"/>
    <col min="7440" max="7442" width="7.625" style="50" customWidth="1"/>
    <col min="7443" max="7443" width="4.625" style="50" customWidth="1"/>
    <col min="7444" max="7444" width="9.625" style="50" customWidth="1"/>
    <col min="7445" max="7445" width="8.75" style="50" customWidth="1"/>
    <col min="7446" max="7446" width="11.5" style="50" customWidth="1"/>
    <col min="7447" max="7447" width="6.125" style="50" customWidth="1"/>
    <col min="7448" max="7448" width="4.625" style="50" customWidth="1"/>
    <col min="7449" max="7451" width="6.125" style="50" customWidth="1"/>
    <col min="7452" max="7452" width="9" style="50"/>
    <col min="7453" max="7453" width="9.125" style="50" customWidth="1"/>
    <col min="7454" max="7680" width="9" style="50"/>
    <col min="7681" max="7681" width="4.75" style="50" customWidth="1"/>
    <col min="7682" max="7682" width="6.875" style="50" customWidth="1"/>
    <col min="7683" max="7683" width="18.5" style="50" customWidth="1"/>
    <col min="7684" max="7684" width="10.875" style="50" customWidth="1"/>
    <col min="7685" max="7685" width="6.75" style="50" customWidth="1"/>
    <col min="7686" max="7686" width="9.375" style="50" customWidth="1"/>
    <col min="7687" max="7687" width="8.875" style="50" customWidth="1"/>
    <col min="7688" max="7688" width="14" style="50" customWidth="1"/>
    <col min="7689" max="7689" width="9.375" style="50" customWidth="1"/>
    <col min="7690" max="7690" width="8.625" style="50" customWidth="1"/>
    <col min="7691" max="7691" width="12.875" style="50" customWidth="1"/>
    <col min="7692" max="7692" width="13.375" style="50" customWidth="1"/>
    <col min="7693" max="7694" width="7.625" style="50" customWidth="1"/>
    <col min="7695" max="7695" width="4.625" style="50" customWidth="1"/>
    <col min="7696" max="7698" width="7.625" style="50" customWidth="1"/>
    <col min="7699" max="7699" width="4.625" style="50" customWidth="1"/>
    <col min="7700" max="7700" width="9.625" style="50" customWidth="1"/>
    <col min="7701" max="7701" width="8.75" style="50" customWidth="1"/>
    <col min="7702" max="7702" width="11.5" style="50" customWidth="1"/>
    <col min="7703" max="7703" width="6.125" style="50" customWidth="1"/>
    <col min="7704" max="7704" width="4.625" style="50" customWidth="1"/>
    <col min="7705" max="7707" width="6.125" style="50" customWidth="1"/>
    <col min="7708" max="7708" width="9" style="50"/>
    <col min="7709" max="7709" width="9.125" style="50" customWidth="1"/>
    <col min="7710" max="7936" width="9" style="50"/>
    <col min="7937" max="7937" width="4.75" style="50" customWidth="1"/>
    <col min="7938" max="7938" width="6.875" style="50" customWidth="1"/>
    <col min="7939" max="7939" width="18.5" style="50" customWidth="1"/>
    <col min="7940" max="7940" width="10.875" style="50" customWidth="1"/>
    <col min="7941" max="7941" width="6.75" style="50" customWidth="1"/>
    <col min="7942" max="7942" width="9.375" style="50" customWidth="1"/>
    <col min="7943" max="7943" width="8.875" style="50" customWidth="1"/>
    <col min="7944" max="7944" width="14" style="50" customWidth="1"/>
    <col min="7945" max="7945" width="9.375" style="50" customWidth="1"/>
    <col min="7946" max="7946" width="8.625" style="50" customWidth="1"/>
    <col min="7947" max="7947" width="12.875" style="50" customWidth="1"/>
    <col min="7948" max="7948" width="13.375" style="50" customWidth="1"/>
    <col min="7949" max="7950" width="7.625" style="50" customWidth="1"/>
    <col min="7951" max="7951" width="4.625" style="50" customWidth="1"/>
    <col min="7952" max="7954" width="7.625" style="50" customWidth="1"/>
    <col min="7955" max="7955" width="4.625" style="50" customWidth="1"/>
    <col min="7956" max="7956" width="9.625" style="50" customWidth="1"/>
    <col min="7957" max="7957" width="8.75" style="50" customWidth="1"/>
    <col min="7958" max="7958" width="11.5" style="50" customWidth="1"/>
    <col min="7959" max="7959" width="6.125" style="50" customWidth="1"/>
    <col min="7960" max="7960" width="4.625" style="50" customWidth="1"/>
    <col min="7961" max="7963" width="6.125" style="50" customWidth="1"/>
    <col min="7964" max="7964" width="9" style="50"/>
    <col min="7965" max="7965" width="9.125" style="50" customWidth="1"/>
    <col min="7966" max="8192" width="9" style="50"/>
    <col min="8193" max="8193" width="4.75" style="50" customWidth="1"/>
    <col min="8194" max="8194" width="6.875" style="50" customWidth="1"/>
    <col min="8195" max="8195" width="18.5" style="50" customWidth="1"/>
    <col min="8196" max="8196" width="10.875" style="50" customWidth="1"/>
    <col min="8197" max="8197" width="6.75" style="50" customWidth="1"/>
    <col min="8198" max="8198" width="9.375" style="50" customWidth="1"/>
    <col min="8199" max="8199" width="8.875" style="50" customWidth="1"/>
    <col min="8200" max="8200" width="14" style="50" customWidth="1"/>
    <col min="8201" max="8201" width="9.375" style="50" customWidth="1"/>
    <col min="8202" max="8202" width="8.625" style="50" customWidth="1"/>
    <col min="8203" max="8203" width="12.875" style="50" customWidth="1"/>
    <col min="8204" max="8204" width="13.375" style="50" customWidth="1"/>
    <col min="8205" max="8206" width="7.625" style="50" customWidth="1"/>
    <col min="8207" max="8207" width="4.625" style="50" customWidth="1"/>
    <col min="8208" max="8210" width="7.625" style="50" customWidth="1"/>
    <col min="8211" max="8211" width="4.625" style="50" customWidth="1"/>
    <col min="8212" max="8212" width="9.625" style="50" customWidth="1"/>
    <col min="8213" max="8213" width="8.75" style="50" customWidth="1"/>
    <col min="8214" max="8214" width="11.5" style="50" customWidth="1"/>
    <col min="8215" max="8215" width="6.125" style="50" customWidth="1"/>
    <col min="8216" max="8216" width="4.625" style="50" customWidth="1"/>
    <col min="8217" max="8219" width="6.125" style="50" customWidth="1"/>
    <col min="8220" max="8220" width="9" style="50"/>
    <col min="8221" max="8221" width="9.125" style="50" customWidth="1"/>
    <col min="8222" max="8448" width="9" style="50"/>
    <col min="8449" max="8449" width="4.75" style="50" customWidth="1"/>
    <col min="8450" max="8450" width="6.875" style="50" customWidth="1"/>
    <col min="8451" max="8451" width="18.5" style="50" customWidth="1"/>
    <col min="8452" max="8452" width="10.875" style="50" customWidth="1"/>
    <col min="8453" max="8453" width="6.75" style="50" customWidth="1"/>
    <col min="8454" max="8454" width="9.375" style="50" customWidth="1"/>
    <col min="8455" max="8455" width="8.875" style="50" customWidth="1"/>
    <col min="8456" max="8456" width="14" style="50" customWidth="1"/>
    <col min="8457" max="8457" width="9.375" style="50" customWidth="1"/>
    <col min="8458" max="8458" width="8.625" style="50" customWidth="1"/>
    <col min="8459" max="8459" width="12.875" style="50" customWidth="1"/>
    <col min="8460" max="8460" width="13.375" style="50" customWidth="1"/>
    <col min="8461" max="8462" width="7.625" style="50" customWidth="1"/>
    <col min="8463" max="8463" width="4.625" style="50" customWidth="1"/>
    <col min="8464" max="8466" width="7.625" style="50" customWidth="1"/>
    <col min="8467" max="8467" width="4.625" style="50" customWidth="1"/>
    <col min="8468" max="8468" width="9.625" style="50" customWidth="1"/>
    <col min="8469" max="8469" width="8.75" style="50" customWidth="1"/>
    <col min="8470" max="8470" width="11.5" style="50" customWidth="1"/>
    <col min="8471" max="8471" width="6.125" style="50" customWidth="1"/>
    <col min="8472" max="8472" width="4.625" style="50" customWidth="1"/>
    <col min="8473" max="8475" width="6.125" style="50" customWidth="1"/>
    <col min="8476" max="8476" width="9" style="50"/>
    <col min="8477" max="8477" width="9.125" style="50" customWidth="1"/>
    <col min="8478" max="8704" width="9" style="50"/>
    <col min="8705" max="8705" width="4.75" style="50" customWidth="1"/>
    <col min="8706" max="8706" width="6.875" style="50" customWidth="1"/>
    <col min="8707" max="8707" width="18.5" style="50" customWidth="1"/>
    <col min="8708" max="8708" width="10.875" style="50" customWidth="1"/>
    <col min="8709" max="8709" width="6.75" style="50" customWidth="1"/>
    <col min="8710" max="8710" width="9.375" style="50" customWidth="1"/>
    <col min="8711" max="8711" width="8.875" style="50" customWidth="1"/>
    <col min="8712" max="8712" width="14" style="50" customWidth="1"/>
    <col min="8713" max="8713" width="9.375" style="50" customWidth="1"/>
    <col min="8714" max="8714" width="8.625" style="50" customWidth="1"/>
    <col min="8715" max="8715" width="12.875" style="50" customWidth="1"/>
    <col min="8716" max="8716" width="13.375" style="50" customWidth="1"/>
    <col min="8717" max="8718" width="7.625" style="50" customWidth="1"/>
    <col min="8719" max="8719" width="4.625" style="50" customWidth="1"/>
    <col min="8720" max="8722" width="7.625" style="50" customWidth="1"/>
    <col min="8723" max="8723" width="4.625" style="50" customWidth="1"/>
    <col min="8724" max="8724" width="9.625" style="50" customWidth="1"/>
    <col min="8725" max="8725" width="8.75" style="50" customWidth="1"/>
    <col min="8726" max="8726" width="11.5" style="50" customWidth="1"/>
    <col min="8727" max="8727" width="6.125" style="50" customWidth="1"/>
    <col min="8728" max="8728" width="4.625" style="50" customWidth="1"/>
    <col min="8729" max="8731" width="6.125" style="50" customWidth="1"/>
    <col min="8732" max="8732" width="9" style="50"/>
    <col min="8733" max="8733" width="9.125" style="50" customWidth="1"/>
    <col min="8734" max="8960" width="9" style="50"/>
    <col min="8961" max="8961" width="4.75" style="50" customWidth="1"/>
    <col min="8962" max="8962" width="6.875" style="50" customWidth="1"/>
    <col min="8963" max="8963" width="18.5" style="50" customWidth="1"/>
    <col min="8964" max="8964" width="10.875" style="50" customWidth="1"/>
    <col min="8965" max="8965" width="6.75" style="50" customWidth="1"/>
    <col min="8966" max="8966" width="9.375" style="50" customWidth="1"/>
    <col min="8967" max="8967" width="8.875" style="50" customWidth="1"/>
    <col min="8968" max="8968" width="14" style="50" customWidth="1"/>
    <col min="8969" max="8969" width="9.375" style="50" customWidth="1"/>
    <col min="8970" max="8970" width="8.625" style="50" customWidth="1"/>
    <col min="8971" max="8971" width="12.875" style="50" customWidth="1"/>
    <col min="8972" max="8972" width="13.375" style="50" customWidth="1"/>
    <col min="8973" max="8974" width="7.625" style="50" customWidth="1"/>
    <col min="8975" max="8975" width="4.625" style="50" customWidth="1"/>
    <col min="8976" max="8978" width="7.625" style="50" customWidth="1"/>
    <col min="8979" max="8979" width="4.625" style="50" customWidth="1"/>
    <col min="8980" max="8980" width="9.625" style="50" customWidth="1"/>
    <col min="8981" max="8981" width="8.75" style="50" customWidth="1"/>
    <col min="8982" max="8982" width="11.5" style="50" customWidth="1"/>
    <col min="8983" max="8983" width="6.125" style="50" customWidth="1"/>
    <col min="8984" max="8984" width="4.625" style="50" customWidth="1"/>
    <col min="8985" max="8987" width="6.125" style="50" customWidth="1"/>
    <col min="8988" max="8988" width="9" style="50"/>
    <col min="8989" max="8989" width="9.125" style="50" customWidth="1"/>
    <col min="8990" max="9216" width="9" style="50"/>
    <col min="9217" max="9217" width="4.75" style="50" customWidth="1"/>
    <col min="9218" max="9218" width="6.875" style="50" customWidth="1"/>
    <col min="9219" max="9219" width="18.5" style="50" customWidth="1"/>
    <col min="9220" max="9220" width="10.875" style="50" customWidth="1"/>
    <col min="9221" max="9221" width="6.75" style="50" customWidth="1"/>
    <col min="9222" max="9222" width="9.375" style="50" customWidth="1"/>
    <col min="9223" max="9223" width="8.875" style="50" customWidth="1"/>
    <col min="9224" max="9224" width="14" style="50" customWidth="1"/>
    <col min="9225" max="9225" width="9.375" style="50" customWidth="1"/>
    <col min="9226" max="9226" width="8.625" style="50" customWidth="1"/>
    <col min="9227" max="9227" width="12.875" style="50" customWidth="1"/>
    <col min="9228" max="9228" width="13.375" style="50" customWidth="1"/>
    <col min="9229" max="9230" width="7.625" style="50" customWidth="1"/>
    <col min="9231" max="9231" width="4.625" style="50" customWidth="1"/>
    <col min="9232" max="9234" width="7.625" style="50" customWidth="1"/>
    <col min="9235" max="9235" width="4.625" style="50" customWidth="1"/>
    <col min="9236" max="9236" width="9.625" style="50" customWidth="1"/>
    <col min="9237" max="9237" width="8.75" style="50" customWidth="1"/>
    <col min="9238" max="9238" width="11.5" style="50" customWidth="1"/>
    <col min="9239" max="9239" width="6.125" style="50" customWidth="1"/>
    <col min="9240" max="9240" width="4.625" style="50" customWidth="1"/>
    <col min="9241" max="9243" width="6.125" style="50" customWidth="1"/>
    <col min="9244" max="9244" width="9" style="50"/>
    <col min="9245" max="9245" width="9.125" style="50" customWidth="1"/>
    <col min="9246" max="9472" width="9" style="50"/>
    <col min="9473" max="9473" width="4.75" style="50" customWidth="1"/>
    <col min="9474" max="9474" width="6.875" style="50" customWidth="1"/>
    <col min="9475" max="9475" width="18.5" style="50" customWidth="1"/>
    <col min="9476" max="9476" width="10.875" style="50" customWidth="1"/>
    <col min="9477" max="9477" width="6.75" style="50" customWidth="1"/>
    <col min="9478" max="9478" width="9.375" style="50" customWidth="1"/>
    <col min="9479" max="9479" width="8.875" style="50" customWidth="1"/>
    <col min="9480" max="9480" width="14" style="50" customWidth="1"/>
    <col min="9481" max="9481" width="9.375" style="50" customWidth="1"/>
    <col min="9482" max="9482" width="8.625" style="50" customWidth="1"/>
    <col min="9483" max="9483" width="12.875" style="50" customWidth="1"/>
    <col min="9484" max="9484" width="13.375" style="50" customWidth="1"/>
    <col min="9485" max="9486" width="7.625" style="50" customWidth="1"/>
    <col min="9487" max="9487" width="4.625" style="50" customWidth="1"/>
    <col min="9488" max="9490" width="7.625" style="50" customWidth="1"/>
    <col min="9491" max="9491" width="4.625" style="50" customWidth="1"/>
    <col min="9492" max="9492" width="9.625" style="50" customWidth="1"/>
    <col min="9493" max="9493" width="8.75" style="50" customWidth="1"/>
    <col min="9494" max="9494" width="11.5" style="50" customWidth="1"/>
    <col min="9495" max="9495" width="6.125" style="50" customWidth="1"/>
    <col min="9496" max="9496" width="4.625" style="50" customWidth="1"/>
    <col min="9497" max="9499" width="6.125" style="50" customWidth="1"/>
    <col min="9500" max="9500" width="9" style="50"/>
    <col min="9501" max="9501" width="9.125" style="50" customWidth="1"/>
    <col min="9502" max="9728" width="9" style="50"/>
    <col min="9729" max="9729" width="4.75" style="50" customWidth="1"/>
    <col min="9730" max="9730" width="6.875" style="50" customWidth="1"/>
    <col min="9731" max="9731" width="18.5" style="50" customWidth="1"/>
    <col min="9732" max="9732" width="10.875" style="50" customWidth="1"/>
    <col min="9733" max="9733" width="6.75" style="50" customWidth="1"/>
    <col min="9734" max="9734" width="9.375" style="50" customWidth="1"/>
    <col min="9735" max="9735" width="8.875" style="50" customWidth="1"/>
    <col min="9736" max="9736" width="14" style="50" customWidth="1"/>
    <col min="9737" max="9737" width="9.375" style="50" customWidth="1"/>
    <col min="9738" max="9738" width="8.625" style="50" customWidth="1"/>
    <col min="9739" max="9739" width="12.875" style="50" customWidth="1"/>
    <col min="9740" max="9740" width="13.375" style="50" customWidth="1"/>
    <col min="9741" max="9742" width="7.625" style="50" customWidth="1"/>
    <col min="9743" max="9743" width="4.625" style="50" customWidth="1"/>
    <col min="9744" max="9746" width="7.625" style="50" customWidth="1"/>
    <col min="9747" max="9747" width="4.625" style="50" customWidth="1"/>
    <col min="9748" max="9748" width="9.625" style="50" customWidth="1"/>
    <col min="9749" max="9749" width="8.75" style="50" customWidth="1"/>
    <col min="9750" max="9750" width="11.5" style="50" customWidth="1"/>
    <col min="9751" max="9751" width="6.125" style="50" customWidth="1"/>
    <col min="9752" max="9752" width="4.625" style="50" customWidth="1"/>
    <col min="9753" max="9755" width="6.125" style="50" customWidth="1"/>
    <col min="9756" max="9756" width="9" style="50"/>
    <col min="9757" max="9757" width="9.125" style="50" customWidth="1"/>
    <col min="9758" max="9984" width="9" style="50"/>
    <col min="9985" max="9985" width="4.75" style="50" customWidth="1"/>
    <col min="9986" max="9986" width="6.875" style="50" customWidth="1"/>
    <col min="9987" max="9987" width="18.5" style="50" customWidth="1"/>
    <col min="9988" max="9988" width="10.875" style="50" customWidth="1"/>
    <col min="9989" max="9989" width="6.75" style="50" customWidth="1"/>
    <col min="9990" max="9990" width="9.375" style="50" customWidth="1"/>
    <col min="9991" max="9991" width="8.875" style="50" customWidth="1"/>
    <col min="9992" max="9992" width="14" style="50" customWidth="1"/>
    <col min="9993" max="9993" width="9.375" style="50" customWidth="1"/>
    <col min="9994" max="9994" width="8.625" style="50" customWidth="1"/>
    <col min="9995" max="9995" width="12.875" style="50" customWidth="1"/>
    <col min="9996" max="9996" width="13.375" style="50" customWidth="1"/>
    <col min="9997" max="9998" width="7.625" style="50" customWidth="1"/>
    <col min="9999" max="9999" width="4.625" style="50" customWidth="1"/>
    <col min="10000" max="10002" width="7.625" style="50" customWidth="1"/>
    <col min="10003" max="10003" width="4.625" style="50" customWidth="1"/>
    <col min="10004" max="10004" width="9.625" style="50" customWidth="1"/>
    <col min="10005" max="10005" width="8.75" style="50" customWidth="1"/>
    <col min="10006" max="10006" width="11.5" style="50" customWidth="1"/>
    <col min="10007" max="10007" width="6.125" style="50" customWidth="1"/>
    <col min="10008" max="10008" width="4.625" style="50" customWidth="1"/>
    <col min="10009" max="10011" width="6.125" style="50" customWidth="1"/>
    <col min="10012" max="10012" width="9" style="50"/>
    <col min="10013" max="10013" width="9.125" style="50" customWidth="1"/>
    <col min="10014" max="10240" width="9" style="50"/>
    <col min="10241" max="10241" width="4.75" style="50" customWidth="1"/>
    <col min="10242" max="10242" width="6.875" style="50" customWidth="1"/>
    <col min="10243" max="10243" width="18.5" style="50" customWidth="1"/>
    <col min="10244" max="10244" width="10.875" style="50" customWidth="1"/>
    <col min="10245" max="10245" width="6.75" style="50" customWidth="1"/>
    <col min="10246" max="10246" width="9.375" style="50" customWidth="1"/>
    <col min="10247" max="10247" width="8.875" style="50" customWidth="1"/>
    <col min="10248" max="10248" width="14" style="50" customWidth="1"/>
    <col min="10249" max="10249" width="9.375" style="50" customWidth="1"/>
    <col min="10250" max="10250" width="8.625" style="50" customWidth="1"/>
    <col min="10251" max="10251" width="12.875" style="50" customWidth="1"/>
    <col min="10252" max="10252" width="13.375" style="50" customWidth="1"/>
    <col min="10253" max="10254" width="7.625" style="50" customWidth="1"/>
    <col min="10255" max="10255" width="4.625" style="50" customWidth="1"/>
    <col min="10256" max="10258" width="7.625" style="50" customWidth="1"/>
    <col min="10259" max="10259" width="4.625" style="50" customWidth="1"/>
    <col min="10260" max="10260" width="9.625" style="50" customWidth="1"/>
    <col min="10261" max="10261" width="8.75" style="50" customWidth="1"/>
    <col min="10262" max="10262" width="11.5" style="50" customWidth="1"/>
    <col min="10263" max="10263" width="6.125" style="50" customWidth="1"/>
    <col min="10264" max="10264" width="4.625" style="50" customWidth="1"/>
    <col min="10265" max="10267" width="6.125" style="50" customWidth="1"/>
    <col min="10268" max="10268" width="9" style="50"/>
    <col min="10269" max="10269" width="9.125" style="50" customWidth="1"/>
    <col min="10270" max="10496" width="9" style="50"/>
    <col min="10497" max="10497" width="4.75" style="50" customWidth="1"/>
    <col min="10498" max="10498" width="6.875" style="50" customWidth="1"/>
    <col min="10499" max="10499" width="18.5" style="50" customWidth="1"/>
    <col min="10500" max="10500" width="10.875" style="50" customWidth="1"/>
    <col min="10501" max="10501" width="6.75" style="50" customWidth="1"/>
    <col min="10502" max="10502" width="9.375" style="50" customWidth="1"/>
    <col min="10503" max="10503" width="8.875" style="50" customWidth="1"/>
    <col min="10504" max="10504" width="14" style="50" customWidth="1"/>
    <col min="10505" max="10505" width="9.375" style="50" customWidth="1"/>
    <col min="10506" max="10506" width="8.625" style="50" customWidth="1"/>
    <col min="10507" max="10507" width="12.875" style="50" customWidth="1"/>
    <col min="10508" max="10508" width="13.375" style="50" customWidth="1"/>
    <col min="10509" max="10510" width="7.625" style="50" customWidth="1"/>
    <col min="10511" max="10511" width="4.625" style="50" customWidth="1"/>
    <col min="10512" max="10514" width="7.625" style="50" customWidth="1"/>
    <col min="10515" max="10515" width="4.625" style="50" customWidth="1"/>
    <col min="10516" max="10516" width="9.625" style="50" customWidth="1"/>
    <col min="10517" max="10517" width="8.75" style="50" customWidth="1"/>
    <col min="10518" max="10518" width="11.5" style="50" customWidth="1"/>
    <col min="10519" max="10519" width="6.125" style="50" customWidth="1"/>
    <col min="10520" max="10520" width="4.625" style="50" customWidth="1"/>
    <col min="10521" max="10523" width="6.125" style="50" customWidth="1"/>
    <col min="10524" max="10524" width="9" style="50"/>
    <col min="10525" max="10525" width="9.125" style="50" customWidth="1"/>
    <col min="10526" max="10752" width="9" style="50"/>
    <col min="10753" max="10753" width="4.75" style="50" customWidth="1"/>
    <col min="10754" max="10754" width="6.875" style="50" customWidth="1"/>
    <col min="10755" max="10755" width="18.5" style="50" customWidth="1"/>
    <col min="10756" max="10756" width="10.875" style="50" customWidth="1"/>
    <col min="10757" max="10757" width="6.75" style="50" customWidth="1"/>
    <col min="10758" max="10758" width="9.375" style="50" customWidth="1"/>
    <col min="10759" max="10759" width="8.875" style="50" customWidth="1"/>
    <col min="10760" max="10760" width="14" style="50" customWidth="1"/>
    <col min="10761" max="10761" width="9.375" style="50" customWidth="1"/>
    <col min="10762" max="10762" width="8.625" style="50" customWidth="1"/>
    <col min="10763" max="10763" width="12.875" style="50" customWidth="1"/>
    <col min="10764" max="10764" width="13.375" style="50" customWidth="1"/>
    <col min="10765" max="10766" width="7.625" style="50" customWidth="1"/>
    <col min="10767" max="10767" width="4.625" style="50" customWidth="1"/>
    <col min="10768" max="10770" width="7.625" style="50" customWidth="1"/>
    <col min="10771" max="10771" width="4.625" style="50" customWidth="1"/>
    <col min="10772" max="10772" width="9.625" style="50" customWidth="1"/>
    <col min="10773" max="10773" width="8.75" style="50" customWidth="1"/>
    <col min="10774" max="10774" width="11.5" style="50" customWidth="1"/>
    <col min="10775" max="10775" width="6.125" style="50" customWidth="1"/>
    <col min="10776" max="10776" width="4.625" style="50" customWidth="1"/>
    <col min="10777" max="10779" width="6.125" style="50" customWidth="1"/>
    <col min="10780" max="10780" width="9" style="50"/>
    <col min="10781" max="10781" width="9.125" style="50" customWidth="1"/>
    <col min="10782" max="11008" width="9" style="50"/>
    <col min="11009" max="11009" width="4.75" style="50" customWidth="1"/>
    <col min="11010" max="11010" width="6.875" style="50" customWidth="1"/>
    <col min="11011" max="11011" width="18.5" style="50" customWidth="1"/>
    <col min="11012" max="11012" width="10.875" style="50" customWidth="1"/>
    <col min="11013" max="11013" width="6.75" style="50" customWidth="1"/>
    <col min="11014" max="11014" width="9.375" style="50" customWidth="1"/>
    <col min="11015" max="11015" width="8.875" style="50" customWidth="1"/>
    <col min="11016" max="11016" width="14" style="50" customWidth="1"/>
    <col min="11017" max="11017" width="9.375" style="50" customWidth="1"/>
    <col min="11018" max="11018" width="8.625" style="50" customWidth="1"/>
    <col min="11019" max="11019" width="12.875" style="50" customWidth="1"/>
    <col min="11020" max="11020" width="13.375" style="50" customWidth="1"/>
    <col min="11021" max="11022" width="7.625" style="50" customWidth="1"/>
    <col min="11023" max="11023" width="4.625" style="50" customWidth="1"/>
    <col min="11024" max="11026" width="7.625" style="50" customWidth="1"/>
    <col min="11027" max="11027" width="4.625" style="50" customWidth="1"/>
    <col min="11028" max="11028" width="9.625" style="50" customWidth="1"/>
    <col min="11029" max="11029" width="8.75" style="50" customWidth="1"/>
    <col min="11030" max="11030" width="11.5" style="50" customWidth="1"/>
    <col min="11031" max="11031" width="6.125" style="50" customWidth="1"/>
    <col min="11032" max="11032" width="4.625" style="50" customWidth="1"/>
    <col min="11033" max="11035" width="6.125" style="50" customWidth="1"/>
    <col min="11036" max="11036" width="9" style="50"/>
    <col min="11037" max="11037" width="9.125" style="50" customWidth="1"/>
    <col min="11038" max="11264" width="9" style="50"/>
    <col min="11265" max="11265" width="4.75" style="50" customWidth="1"/>
    <col min="11266" max="11266" width="6.875" style="50" customWidth="1"/>
    <col min="11267" max="11267" width="18.5" style="50" customWidth="1"/>
    <col min="11268" max="11268" width="10.875" style="50" customWidth="1"/>
    <col min="11269" max="11269" width="6.75" style="50" customWidth="1"/>
    <col min="11270" max="11270" width="9.375" style="50" customWidth="1"/>
    <col min="11271" max="11271" width="8.875" style="50" customWidth="1"/>
    <col min="11272" max="11272" width="14" style="50" customWidth="1"/>
    <col min="11273" max="11273" width="9.375" style="50" customWidth="1"/>
    <col min="11274" max="11274" width="8.625" style="50" customWidth="1"/>
    <col min="11275" max="11275" width="12.875" style="50" customWidth="1"/>
    <col min="11276" max="11276" width="13.375" style="50" customWidth="1"/>
    <col min="11277" max="11278" width="7.625" style="50" customWidth="1"/>
    <col min="11279" max="11279" width="4.625" style="50" customWidth="1"/>
    <col min="11280" max="11282" width="7.625" style="50" customWidth="1"/>
    <col min="11283" max="11283" width="4.625" style="50" customWidth="1"/>
    <col min="11284" max="11284" width="9.625" style="50" customWidth="1"/>
    <col min="11285" max="11285" width="8.75" style="50" customWidth="1"/>
    <col min="11286" max="11286" width="11.5" style="50" customWidth="1"/>
    <col min="11287" max="11287" width="6.125" style="50" customWidth="1"/>
    <col min="11288" max="11288" width="4.625" style="50" customWidth="1"/>
    <col min="11289" max="11291" width="6.125" style="50" customWidth="1"/>
    <col min="11292" max="11292" width="9" style="50"/>
    <col min="11293" max="11293" width="9.125" style="50" customWidth="1"/>
    <col min="11294" max="11520" width="9" style="50"/>
    <col min="11521" max="11521" width="4.75" style="50" customWidth="1"/>
    <col min="11522" max="11522" width="6.875" style="50" customWidth="1"/>
    <col min="11523" max="11523" width="18.5" style="50" customWidth="1"/>
    <col min="11524" max="11524" width="10.875" style="50" customWidth="1"/>
    <col min="11525" max="11525" width="6.75" style="50" customWidth="1"/>
    <col min="11526" max="11526" width="9.375" style="50" customWidth="1"/>
    <col min="11527" max="11527" width="8.875" style="50" customWidth="1"/>
    <col min="11528" max="11528" width="14" style="50" customWidth="1"/>
    <col min="11529" max="11529" width="9.375" style="50" customWidth="1"/>
    <col min="11530" max="11530" width="8.625" style="50" customWidth="1"/>
    <col min="11531" max="11531" width="12.875" style="50" customWidth="1"/>
    <col min="11532" max="11532" width="13.375" style="50" customWidth="1"/>
    <col min="11533" max="11534" width="7.625" style="50" customWidth="1"/>
    <col min="11535" max="11535" width="4.625" style="50" customWidth="1"/>
    <col min="11536" max="11538" width="7.625" style="50" customWidth="1"/>
    <col min="11539" max="11539" width="4.625" style="50" customWidth="1"/>
    <col min="11540" max="11540" width="9.625" style="50" customWidth="1"/>
    <col min="11541" max="11541" width="8.75" style="50" customWidth="1"/>
    <col min="11542" max="11542" width="11.5" style="50" customWidth="1"/>
    <col min="11543" max="11543" width="6.125" style="50" customWidth="1"/>
    <col min="11544" max="11544" width="4.625" style="50" customWidth="1"/>
    <col min="11545" max="11547" width="6.125" style="50" customWidth="1"/>
    <col min="11548" max="11548" width="9" style="50"/>
    <col min="11549" max="11549" width="9.125" style="50" customWidth="1"/>
    <col min="11550" max="11776" width="9" style="50"/>
    <col min="11777" max="11777" width="4.75" style="50" customWidth="1"/>
    <col min="11778" max="11778" width="6.875" style="50" customWidth="1"/>
    <col min="11779" max="11779" width="18.5" style="50" customWidth="1"/>
    <col min="11780" max="11780" width="10.875" style="50" customWidth="1"/>
    <col min="11781" max="11781" width="6.75" style="50" customWidth="1"/>
    <col min="11782" max="11782" width="9.375" style="50" customWidth="1"/>
    <col min="11783" max="11783" width="8.875" style="50" customWidth="1"/>
    <col min="11784" max="11784" width="14" style="50" customWidth="1"/>
    <col min="11785" max="11785" width="9.375" style="50" customWidth="1"/>
    <col min="11786" max="11786" width="8.625" style="50" customWidth="1"/>
    <col min="11787" max="11787" width="12.875" style="50" customWidth="1"/>
    <col min="11788" max="11788" width="13.375" style="50" customWidth="1"/>
    <col min="11789" max="11790" width="7.625" style="50" customWidth="1"/>
    <col min="11791" max="11791" width="4.625" style="50" customWidth="1"/>
    <col min="11792" max="11794" width="7.625" style="50" customWidth="1"/>
    <col min="11795" max="11795" width="4.625" style="50" customWidth="1"/>
    <col min="11796" max="11796" width="9.625" style="50" customWidth="1"/>
    <col min="11797" max="11797" width="8.75" style="50" customWidth="1"/>
    <col min="11798" max="11798" width="11.5" style="50" customWidth="1"/>
    <col min="11799" max="11799" width="6.125" style="50" customWidth="1"/>
    <col min="11800" max="11800" width="4.625" style="50" customWidth="1"/>
    <col min="11801" max="11803" width="6.125" style="50" customWidth="1"/>
    <col min="11804" max="11804" width="9" style="50"/>
    <col min="11805" max="11805" width="9.125" style="50" customWidth="1"/>
    <col min="11806" max="12032" width="9" style="50"/>
    <col min="12033" max="12033" width="4.75" style="50" customWidth="1"/>
    <col min="12034" max="12034" width="6.875" style="50" customWidth="1"/>
    <col min="12035" max="12035" width="18.5" style="50" customWidth="1"/>
    <col min="12036" max="12036" width="10.875" style="50" customWidth="1"/>
    <col min="12037" max="12037" width="6.75" style="50" customWidth="1"/>
    <col min="12038" max="12038" width="9.375" style="50" customWidth="1"/>
    <col min="12039" max="12039" width="8.875" style="50" customWidth="1"/>
    <col min="12040" max="12040" width="14" style="50" customWidth="1"/>
    <col min="12041" max="12041" width="9.375" style="50" customWidth="1"/>
    <col min="12042" max="12042" width="8.625" style="50" customWidth="1"/>
    <col min="12043" max="12043" width="12.875" style="50" customWidth="1"/>
    <col min="12044" max="12044" width="13.375" style="50" customWidth="1"/>
    <col min="12045" max="12046" width="7.625" style="50" customWidth="1"/>
    <col min="12047" max="12047" width="4.625" style="50" customWidth="1"/>
    <col min="12048" max="12050" width="7.625" style="50" customWidth="1"/>
    <col min="12051" max="12051" width="4.625" style="50" customWidth="1"/>
    <col min="12052" max="12052" width="9.625" style="50" customWidth="1"/>
    <col min="12053" max="12053" width="8.75" style="50" customWidth="1"/>
    <col min="12054" max="12054" width="11.5" style="50" customWidth="1"/>
    <col min="12055" max="12055" width="6.125" style="50" customWidth="1"/>
    <col min="12056" max="12056" width="4.625" style="50" customWidth="1"/>
    <col min="12057" max="12059" width="6.125" style="50" customWidth="1"/>
    <col min="12060" max="12060" width="9" style="50"/>
    <col min="12061" max="12061" width="9.125" style="50" customWidth="1"/>
    <col min="12062" max="12288" width="9" style="50"/>
    <col min="12289" max="12289" width="4.75" style="50" customWidth="1"/>
    <col min="12290" max="12290" width="6.875" style="50" customWidth="1"/>
    <col min="12291" max="12291" width="18.5" style="50" customWidth="1"/>
    <col min="12292" max="12292" width="10.875" style="50" customWidth="1"/>
    <col min="12293" max="12293" width="6.75" style="50" customWidth="1"/>
    <col min="12294" max="12294" width="9.375" style="50" customWidth="1"/>
    <col min="12295" max="12295" width="8.875" style="50" customWidth="1"/>
    <col min="12296" max="12296" width="14" style="50" customWidth="1"/>
    <col min="12297" max="12297" width="9.375" style="50" customWidth="1"/>
    <col min="12298" max="12298" width="8.625" style="50" customWidth="1"/>
    <col min="12299" max="12299" width="12.875" style="50" customWidth="1"/>
    <col min="12300" max="12300" width="13.375" style="50" customWidth="1"/>
    <col min="12301" max="12302" width="7.625" style="50" customWidth="1"/>
    <col min="12303" max="12303" width="4.625" style="50" customWidth="1"/>
    <col min="12304" max="12306" width="7.625" style="50" customWidth="1"/>
    <col min="12307" max="12307" width="4.625" style="50" customWidth="1"/>
    <col min="12308" max="12308" width="9.625" style="50" customWidth="1"/>
    <col min="12309" max="12309" width="8.75" style="50" customWidth="1"/>
    <col min="12310" max="12310" width="11.5" style="50" customWidth="1"/>
    <col min="12311" max="12311" width="6.125" style="50" customWidth="1"/>
    <col min="12312" max="12312" width="4.625" style="50" customWidth="1"/>
    <col min="12313" max="12315" width="6.125" style="50" customWidth="1"/>
    <col min="12316" max="12316" width="9" style="50"/>
    <col min="12317" max="12317" width="9.125" style="50" customWidth="1"/>
    <col min="12318" max="12544" width="9" style="50"/>
    <col min="12545" max="12545" width="4.75" style="50" customWidth="1"/>
    <col min="12546" max="12546" width="6.875" style="50" customWidth="1"/>
    <col min="12547" max="12547" width="18.5" style="50" customWidth="1"/>
    <col min="12548" max="12548" width="10.875" style="50" customWidth="1"/>
    <col min="12549" max="12549" width="6.75" style="50" customWidth="1"/>
    <col min="12550" max="12550" width="9.375" style="50" customWidth="1"/>
    <col min="12551" max="12551" width="8.875" style="50" customWidth="1"/>
    <col min="12552" max="12552" width="14" style="50" customWidth="1"/>
    <col min="12553" max="12553" width="9.375" style="50" customWidth="1"/>
    <col min="12554" max="12554" width="8.625" style="50" customWidth="1"/>
    <col min="12555" max="12555" width="12.875" style="50" customWidth="1"/>
    <col min="12556" max="12556" width="13.375" style="50" customWidth="1"/>
    <col min="12557" max="12558" width="7.625" style="50" customWidth="1"/>
    <col min="12559" max="12559" width="4.625" style="50" customWidth="1"/>
    <col min="12560" max="12562" width="7.625" style="50" customWidth="1"/>
    <col min="12563" max="12563" width="4.625" style="50" customWidth="1"/>
    <col min="12564" max="12564" width="9.625" style="50" customWidth="1"/>
    <col min="12565" max="12565" width="8.75" style="50" customWidth="1"/>
    <col min="12566" max="12566" width="11.5" style="50" customWidth="1"/>
    <col min="12567" max="12567" width="6.125" style="50" customWidth="1"/>
    <col min="12568" max="12568" width="4.625" style="50" customWidth="1"/>
    <col min="12569" max="12571" width="6.125" style="50" customWidth="1"/>
    <col min="12572" max="12572" width="9" style="50"/>
    <col min="12573" max="12573" width="9.125" style="50" customWidth="1"/>
    <col min="12574" max="12800" width="9" style="50"/>
    <col min="12801" max="12801" width="4.75" style="50" customWidth="1"/>
    <col min="12802" max="12802" width="6.875" style="50" customWidth="1"/>
    <col min="12803" max="12803" width="18.5" style="50" customWidth="1"/>
    <col min="12804" max="12804" width="10.875" style="50" customWidth="1"/>
    <col min="12805" max="12805" width="6.75" style="50" customWidth="1"/>
    <col min="12806" max="12806" width="9.375" style="50" customWidth="1"/>
    <col min="12807" max="12807" width="8.875" style="50" customWidth="1"/>
    <col min="12808" max="12808" width="14" style="50" customWidth="1"/>
    <col min="12809" max="12809" width="9.375" style="50" customWidth="1"/>
    <col min="12810" max="12810" width="8.625" style="50" customWidth="1"/>
    <col min="12811" max="12811" width="12.875" style="50" customWidth="1"/>
    <col min="12812" max="12812" width="13.375" style="50" customWidth="1"/>
    <col min="12813" max="12814" width="7.625" style="50" customWidth="1"/>
    <col min="12815" max="12815" width="4.625" style="50" customWidth="1"/>
    <col min="12816" max="12818" width="7.625" style="50" customWidth="1"/>
    <col min="12819" max="12819" width="4.625" style="50" customWidth="1"/>
    <col min="12820" max="12820" width="9.625" style="50" customWidth="1"/>
    <col min="12821" max="12821" width="8.75" style="50" customWidth="1"/>
    <col min="12822" max="12822" width="11.5" style="50" customWidth="1"/>
    <col min="12823" max="12823" width="6.125" style="50" customWidth="1"/>
    <col min="12824" max="12824" width="4.625" style="50" customWidth="1"/>
    <col min="12825" max="12827" width="6.125" style="50" customWidth="1"/>
    <col min="12828" max="12828" width="9" style="50"/>
    <col min="12829" max="12829" width="9.125" style="50" customWidth="1"/>
    <col min="12830" max="13056" width="9" style="50"/>
    <col min="13057" max="13057" width="4.75" style="50" customWidth="1"/>
    <col min="13058" max="13058" width="6.875" style="50" customWidth="1"/>
    <col min="13059" max="13059" width="18.5" style="50" customWidth="1"/>
    <col min="13060" max="13060" width="10.875" style="50" customWidth="1"/>
    <col min="13061" max="13061" width="6.75" style="50" customWidth="1"/>
    <col min="13062" max="13062" width="9.375" style="50" customWidth="1"/>
    <col min="13063" max="13063" width="8.875" style="50" customWidth="1"/>
    <col min="13064" max="13064" width="14" style="50" customWidth="1"/>
    <col min="13065" max="13065" width="9.375" style="50" customWidth="1"/>
    <col min="13066" max="13066" width="8.625" style="50" customWidth="1"/>
    <col min="13067" max="13067" width="12.875" style="50" customWidth="1"/>
    <col min="13068" max="13068" width="13.375" style="50" customWidth="1"/>
    <col min="13069" max="13070" width="7.625" style="50" customWidth="1"/>
    <col min="13071" max="13071" width="4.625" style="50" customWidth="1"/>
    <col min="13072" max="13074" width="7.625" style="50" customWidth="1"/>
    <col min="13075" max="13075" width="4.625" style="50" customWidth="1"/>
    <col min="13076" max="13076" width="9.625" style="50" customWidth="1"/>
    <col min="13077" max="13077" width="8.75" style="50" customWidth="1"/>
    <col min="13078" max="13078" width="11.5" style="50" customWidth="1"/>
    <col min="13079" max="13079" width="6.125" style="50" customWidth="1"/>
    <col min="13080" max="13080" width="4.625" style="50" customWidth="1"/>
    <col min="13081" max="13083" width="6.125" style="50" customWidth="1"/>
    <col min="13084" max="13084" width="9" style="50"/>
    <col min="13085" max="13085" width="9.125" style="50" customWidth="1"/>
    <col min="13086" max="13312" width="9" style="50"/>
    <col min="13313" max="13313" width="4.75" style="50" customWidth="1"/>
    <col min="13314" max="13314" width="6.875" style="50" customWidth="1"/>
    <col min="13315" max="13315" width="18.5" style="50" customWidth="1"/>
    <col min="13316" max="13316" width="10.875" style="50" customWidth="1"/>
    <col min="13317" max="13317" width="6.75" style="50" customWidth="1"/>
    <col min="13318" max="13318" width="9.375" style="50" customWidth="1"/>
    <col min="13319" max="13319" width="8.875" style="50" customWidth="1"/>
    <col min="13320" max="13320" width="14" style="50" customWidth="1"/>
    <col min="13321" max="13321" width="9.375" style="50" customWidth="1"/>
    <col min="13322" max="13322" width="8.625" style="50" customWidth="1"/>
    <col min="13323" max="13323" width="12.875" style="50" customWidth="1"/>
    <col min="13324" max="13324" width="13.375" style="50" customWidth="1"/>
    <col min="13325" max="13326" width="7.625" style="50" customWidth="1"/>
    <col min="13327" max="13327" width="4.625" style="50" customWidth="1"/>
    <col min="13328" max="13330" width="7.625" style="50" customWidth="1"/>
    <col min="13331" max="13331" width="4.625" style="50" customWidth="1"/>
    <col min="13332" max="13332" width="9.625" style="50" customWidth="1"/>
    <col min="13333" max="13333" width="8.75" style="50" customWidth="1"/>
    <col min="13334" max="13334" width="11.5" style="50" customWidth="1"/>
    <col min="13335" max="13335" width="6.125" style="50" customWidth="1"/>
    <col min="13336" max="13336" width="4.625" style="50" customWidth="1"/>
    <col min="13337" max="13339" width="6.125" style="50" customWidth="1"/>
    <col min="13340" max="13340" width="9" style="50"/>
    <col min="13341" max="13341" width="9.125" style="50" customWidth="1"/>
    <col min="13342" max="13568" width="9" style="50"/>
    <col min="13569" max="13569" width="4.75" style="50" customWidth="1"/>
    <col min="13570" max="13570" width="6.875" style="50" customWidth="1"/>
    <col min="13571" max="13571" width="18.5" style="50" customWidth="1"/>
    <col min="13572" max="13572" width="10.875" style="50" customWidth="1"/>
    <col min="13573" max="13573" width="6.75" style="50" customWidth="1"/>
    <col min="13574" max="13574" width="9.375" style="50" customWidth="1"/>
    <col min="13575" max="13575" width="8.875" style="50" customWidth="1"/>
    <col min="13576" max="13576" width="14" style="50" customWidth="1"/>
    <col min="13577" max="13577" width="9.375" style="50" customWidth="1"/>
    <col min="13578" max="13578" width="8.625" style="50" customWidth="1"/>
    <col min="13579" max="13579" width="12.875" style="50" customWidth="1"/>
    <col min="13580" max="13580" width="13.375" style="50" customWidth="1"/>
    <col min="13581" max="13582" width="7.625" style="50" customWidth="1"/>
    <col min="13583" max="13583" width="4.625" style="50" customWidth="1"/>
    <col min="13584" max="13586" width="7.625" style="50" customWidth="1"/>
    <col min="13587" max="13587" width="4.625" style="50" customWidth="1"/>
    <col min="13588" max="13588" width="9.625" style="50" customWidth="1"/>
    <col min="13589" max="13589" width="8.75" style="50" customWidth="1"/>
    <col min="13590" max="13590" width="11.5" style="50" customWidth="1"/>
    <col min="13591" max="13591" width="6.125" style="50" customWidth="1"/>
    <col min="13592" max="13592" width="4.625" style="50" customWidth="1"/>
    <col min="13593" max="13595" width="6.125" style="50" customWidth="1"/>
    <col min="13596" max="13596" width="9" style="50"/>
    <col min="13597" max="13597" width="9.125" style="50" customWidth="1"/>
    <col min="13598" max="13824" width="9" style="50"/>
    <col min="13825" max="13825" width="4.75" style="50" customWidth="1"/>
    <col min="13826" max="13826" width="6.875" style="50" customWidth="1"/>
    <col min="13827" max="13827" width="18.5" style="50" customWidth="1"/>
    <col min="13828" max="13828" width="10.875" style="50" customWidth="1"/>
    <col min="13829" max="13829" width="6.75" style="50" customWidth="1"/>
    <col min="13830" max="13830" width="9.375" style="50" customWidth="1"/>
    <col min="13831" max="13831" width="8.875" style="50" customWidth="1"/>
    <col min="13832" max="13832" width="14" style="50" customWidth="1"/>
    <col min="13833" max="13833" width="9.375" style="50" customWidth="1"/>
    <col min="13834" max="13834" width="8.625" style="50" customWidth="1"/>
    <col min="13835" max="13835" width="12.875" style="50" customWidth="1"/>
    <col min="13836" max="13836" width="13.375" style="50" customWidth="1"/>
    <col min="13837" max="13838" width="7.625" style="50" customWidth="1"/>
    <col min="13839" max="13839" width="4.625" style="50" customWidth="1"/>
    <col min="13840" max="13842" width="7.625" style="50" customWidth="1"/>
    <col min="13843" max="13843" width="4.625" style="50" customWidth="1"/>
    <col min="13844" max="13844" width="9.625" style="50" customWidth="1"/>
    <col min="13845" max="13845" width="8.75" style="50" customWidth="1"/>
    <col min="13846" max="13846" width="11.5" style="50" customWidth="1"/>
    <col min="13847" max="13847" width="6.125" style="50" customWidth="1"/>
    <col min="13848" max="13848" width="4.625" style="50" customWidth="1"/>
    <col min="13849" max="13851" width="6.125" style="50" customWidth="1"/>
    <col min="13852" max="13852" width="9" style="50"/>
    <col min="13853" max="13853" width="9.125" style="50" customWidth="1"/>
    <col min="13854" max="14080" width="9" style="50"/>
    <col min="14081" max="14081" width="4.75" style="50" customWidth="1"/>
    <col min="14082" max="14082" width="6.875" style="50" customWidth="1"/>
    <col min="14083" max="14083" width="18.5" style="50" customWidth="1"/>
    <col min="14084" max="14084" width="10.875" style="50" customWidth="1"/>
    <col min="14085" max="14085" width="6.75" style="50" customWidth="1"/>
    <col min="14086" max="14086" width="9.375" style="50" customWidth="1"/>
    <col min="14087" max="14087" width="8.875" style="50" customWidth="1"/>
    <col min="14088" max="14088" width="14" style="50" customWidth="1"/>
    <col min="14089" max="14089" width="9.375" style="50" customWidth="1"/>
    <col min="14090" max="14090" width="8.625" style="50" customWidth="1"/>
    <col min="14091" max="14091" width="12.875" style="50" customWidth="1"/>
    <col min="14092" max="14092" width="13.375" style="50" customWidth="1"/>
    <col min="14093" max="14094" width="7.625" style="50" customWidth="1"/>
    <col min="14095" max="14095" width="4.625" style="50" customWidth="1"/>
    <col min="14096" max="14098" width="7.625" style="50" customWidth="1"/>
    <col min="14099" max="14099" width="4.625" style="50" customWidth="1"/>
    <col min="14100" max="14100" width="9.625" style="50" customWidth="1"/>
    <col min="14101" max="14101" width="8.75" style="50" customWidth="1"/>
    <col min="14102" max="14102" width="11.5" style="50" customWidth="1"/>
    <col min="14103" max="14103" width="6.125" style="50" customWidth="1"/>
    <col min="14104" max="14104" width="4.625" style="50" customWidth="1"/>
    <col min="14105" max="14107" width="6.125" style="50" customWidth="1"/>
    <col min="14108" max="14108" width="9" style="50"/>
    <col min="14109" max="14109" width="9.125" style="50" customWidth="1"/>
    <col min="14110" max="14336" width="9" style="50"/>
    <col min="14337" max="14337" width="4.75" style="50" customWidth="1"/>
    <col min="14338" max="14338" width="6.875" style="50" customWidth="1"/>
    <col min="14339" max="14339" width="18.5" style="50" customWidth="1"/>
    <col min="14340" max="14340" width="10.875" style="50" customWidth="1"/>
    <col min="14341" max="14341" width="6.75" style="50" customWidth="1"/>
    <col min="14342" max="14342" width="9.375" style="50" customWidth="1"/>
    <col min="14343" max="14343" width="8.875" style="50" customWidth="1"/>
    <col min="14344" max="14344" width="14" style="50" customWidth="1"/>
    <col min="14345" max="14345" width="9.375" style="50" customWidth="1"/>
    <col min="14346" max="14346" width="8.625" style="50" customWidth="1"/>
    <col min="14347" max="14347" width="12.875" style="50" customWidth="1"/>
    <col min="14348" max="14348" width="13.375" style="50" customWidth="1"/>
    <col min="14349" max="14350" width="7.625" style="50" customWidth="1"/>
    <col min="14351" max="14351" width="4.625" style="50" customWidth="1"/>
    <col min="14352" max="14354" width="7.625" style="50" customWidth="1"/>
    <col min="14355" max="14355" width="4.625" style="50" customWidth="1"/>
    <col min="14356" max="14356" width="9.625" style="50" customWidth="1"/>
    <col min="14357" max="14357" width="8.75" style="50" customWidth="1"/>
    <col min="14358" max="14358" width="11.5" style="50" customWidth="1"/>
    <col min="14359" max="14359" width="6.125" style="50" customWidth="1"/>
    <col min="14360" max="14360" width="4.625" style="50" customWidth="1"/>
    <col min="14361" max="14363" width="6.125" style="50" customWidth="1"/>
    <col min="14364" max="14364" width="9" style="50"/>
    <col min="14365" max="14365" width="9.125" style="50" customWidth="1"/>
    <col min="14366" max="14592" width="9" style="50"/>
    <col min="14593" max="14593" width="4.75" style="50" customWidth="1"/>
    <col min="14594" max="14594" width="6.875" style="50" customWidth="1"/>
    <col min="14595" max="14595" width="18.5" style="50" customWidth="1"/>
    <col min="14596" max="14596" width="10.875" style="50" customWidth="1"/>
    <col min="14597" max="14597" width="6.75" style="50" customWidth="1"/>
    <col min="14598" max="14598" width="9.375" style="50" customWidth="1"/>
    <col min="14599" max="14599" width="8.875" style="50" customWidth="1"/>
    <col min="14600" max="14600" width="14" style="50" customWidth="1"/>
    <col min="14601" max="14601" width="9.375" style="50" customWidth="1"/>
    <col min="14602" max="14602" width="8.625" style="50" customWidth="1"/>
    <col min="14603" max="14603" width="12.875" style="50" customWidth="1"/>
    <col min="14604" max="14604" width="13.375" style="50" customWidth="1"/>
    <col min="14605" max="14606" width="7.625" style="50" customWidth="1"/>
    <col min="14607" max="14607" width="4.625" style="50" customWidth="1"/>
    <col min="14608" max="14610" width="7.625" style="50" customWidth="1"/>
    <col min="14611" max="14611" width="4.625" style="50" customWidth="1"/>
    <col min="14612" max="14612" width="9.625" style="50" customWidth="1"/>
    <col min="14613" max="14613" width="8.75" style="50" customWidth="1"/>
    <col min="14614" max="14614" width="11.5" style="50" customWidth="1"/>
    <col min="14615" max="14615" width="6.125" style="50" customWidth="1"/>
    <col min="14616" max="14616" width="4.625" style="50" customWidth="1"/>
    <col min="14617" max="14619" width="6.125" style="50" customWidth="1"/>
    <col min="14620" max="14620" width="9" style="50"/>
    <col min="14621" max="14621" width="9.125" style="50" customWidth="1"/>
    <col min="14622" max="14848" width="9" style="50"/>
    <col min="14849" max="14849" width="4.75" style="50" customWidth="1"/>
    <col min="14850" max="14850" width="6.875" style="50" customWidth="1"/>
    <col min="14851" max="14851" width="18.5" style="50" customWidth="1"/>
    <col min="14852" max="14852" width="10.875" style="50" customWidth="1"/>
    <col min="14853" max="14853" width="6.75" style="50" customWidth="1"/>
    <col min="14854" max="14854" width="9.375" style="50" customWidth="1"/>
    <col min="14855" max="14855" width="8.875" style="50" customWidth="1"/>
    <col min="14856" max="14856" width="14" style="50" customWidth="1"/>
    <col min="14857" max="14857" width="9.375" style="50" customWidth="1"/>
    <col min="14858" max="14858" width="8.625" style="50" customWidth="1"/>
    <col min="14859" max="14859" width="12.875" style="50" customWidth="1"/>
    <col min="14860" max="14860" width="13.375" style="50" customWidth="1"/>
    <col min="14861" max="14862" width="7.625" style="50" customWidth="1"/>
    <col min="14863" max="14863" width="4.625" style="50" customWidth="1"/>
    <col min="14864" max="14866" width="7.625" style="50" customWidth="1"/>
    <col min="14867" max="14867" width="4.625" style="50" customWidth="1"/>
    <col min="14868" max="14868" width="9.625" style="50" customWidth="1"/>
    <col min="14869" max="14869" width="8.75" style="50" customWidth="1"/>
    <col min="14870" max="14870" width="11.5" style="50" customWidth="1"/>
    <col min="14871" max="14871" width="6.125" style="50" customWidth="1"/>
    <col min="14872" max="14872" width="4.625" style="50" customWidth="1"/>
    <col min="14873" max="14875" width="6.125" style="50" customWidth="1"/>
    <col min="14876" max="14876" width="9" style="50"/>
    <col min="14877" max="14877" width="9.125" style="50" customWidth="1"/>
    <col min="14878" max="15104" width="9" style="50"/>
    <col min="15105" max="15105" width="4.75" style="50" customWidth="1"/>
    <col min="15106" max="15106" width="6.875" style="50" customWidth="1"/>
    <col min="15107" max="15107" width="18.5" style="50" customWidth="1"/>
    <col min="15108" max="15108" width="10.875" style="50" customWidth="1"/>
    <col min="15109" max="15109" width="6.75" style="50" customWidth="1"/>
    <col min="15110" max="15110" width="9.375" style="50" customWidth="1"/>
    <col min="15111" max="15111" width="8.875" style="50" customWidth="1"/>
    <col min="15112" max="15112" width="14" style="50" customWidth="1"/>
    <col min="15113" max="15113" width="9.375" style="50" customWidth="1"/>
    <col min="15114" max="15114" width="8.625" style="50" customWidth="1"/>
    <col min="15115" max="15115" width="12.875" style="50" customWidth="1"/>
    <col min="15116" max="15116" width="13.375" style="50" customWidth="1"/>
    <col min="15117" max="15118" width="7.625" style="50" customWidth="1"/>
    <col min="15119" max="15119" width="4.625" style="50" customWidth="1"/>
    <col min="15120" max="15122" width="7.625" style="50" customWidth="1"/>
    <col min="15123" max="15123" width="4.625" style="50" customWidth="1"/>
    <col min="15124" max="15124" width="9.625" style="50" customWidth="1"/>
    <col min="15125" max="15125" width="8.75" style="50" customWidth="1"/>
    <col min="15126" max="15126" width="11.5" style="50" customWidth="1"/>
    <col min="15127" max="15127" width="6.125" style="50" customWidth="1"/>
    <col min="15128" max="15128" width="4.625" style="50" customWidth="1"/>
    <col min="15129" max="15131" width="6.125" style="50" customWidth="1"/>
    <col min="15132" max="15132" width="9" style="50"/>
    <col min="15133" max="15133" width="9.125" style="50" customWidth="1"/>
    <col min="15134" max="15360" width="9" style="50"/>
    <col min="15361" max="15361" width="4.75" style="50" customWidth="1"/>
    <col min="15362" max="15362" width="6.875" style="50" customWidth="1"/>
    <col min="15363" max="15363" width="18.5" style="50" customWidth="1"/>
    <col min="15364" max="15364" width="10.875" style="50" customWidth="1"/>
    <col min="15365" max="15365" width="6.75" style="50" customWidth="1"/>
    <col min="15366" max="15366" width="9.375" style="50" customWidth="1"/>
    <col min="15367" max="15367" width="8.875" style="50" customWidth="1"/>
    <col min="15368" max="15368" width="14" style="50" customWidth="1"/>
    <col min="15369" max="15369" width="9.375" style="50" customWidth="1"/>
    <col min="15370" max="15370" width="8.625" style="50" customWidth="1"/>
    <col min="15371" max="15371" width="12.875" style="50" customWidth="1"/>
    <col min="15372" max="15372" width="13.375" style="50" customWidth="1"/>
    <col min="15373" max="15374" width="7.625" style="50" customWidth="1"/>
    <col min="15375" max="15375" width="4.625" style="50" customWidth="1"/>
    <col min="15376" max="15378" width="7.625" style="50" customWidth="1"/>
    <col min="15379" max="15379" width="4.625" style="50" customWidth="1"/>
    <col min="15380" max="15380" width="9.625" style="50" customWidth="1"/>
    <col min="15381" max="15381" width="8.75" style="50" customWidth="1"/>
    <col min="15382" max="15382" width="11.5" style="50" customWidth="1"/>
    <col min="15383" max="15383" width="6.125" style="50" customWidth="1"/>
    <col min="15384" max="15384" width="4.625" style="50" customWidth="1"/>
    <col min="15385" max="15387" width="6.125" style="50" customWidth="1"/>
    <col min="15388" max="15388" width="9" style="50"/>
    <col min="15389" max="15389" width="9.125" style="50" customWidth="1"/>
    <col min="15390" max="15616" width="9" style="50"/>
    <col min="15617" max="15617" width="4.75" style="50" customWidth="1"/>
    <col min="15618" max="15618" width="6.875" style="50" customWidth="1"/>
    <col min="15619" max="15619" width="18.5" style="50" customWidth="1"/>
    <col min="15620" max="15620" width="10.875" style="50" customWidth="1"/>
    <col min="15621" max="15621" width="6.75" style="50" customWidth="1"/>
    <col min="15622" max="15622" width="9.375" style="50" customWidth="1"/>
    <col min="15623" max="15623" width="8.875" style="50" customWidth="1"/>
    <col min="15624" max="15624" width="14" style="50" customWidth="1"/>
    <col min="15625" max="15625" width="9.375" style="50" customWidth="1"/>
    <col min="15626" max="15626" width="8.625" style="50" customWidth="1"/>
    <col min="15627" max="15627" width="12.875" style="50" customWidth="1"/>
    <col min="15628" max="15628" width="13.375" style="50" customWidth="1"/>
    <col min="15629" max="15630" width="7.625" style="50" customWidth="1"/>
    <col min="15631" max="15631" width="4.625" style="50" customWidth="1"/>
    <col min="15632" max="15634" width="7.625" style="50" customWidth="1"/>
    <col min="15635" max="15635" width="4.625" style="50" customWidth="1"/>
    <col min="15636" max="15636" width="9.625" style="50" customWidth="1"/>
    <col min="15637" max="15637" width="8.75" style="50" customWidth="1"/>
    <col min="15638" max="15638" width="11.5" style="50" customWidth="1"/>
    <col min="15639" max="15639" width="6.125" style="50" customWidth="1"/>
    <col min="15640" max="15640" width="4.625" style="50" customWidth="1"/>
    <col min="15641" max="15643" width="6.125" style="50" customWidth="1"/>
    <col min="15644" max="15644" width="9" style="50"/>
    <col min="15645" max="15645" width="9.125" style="50" customWidth="1"/>
    <col min="15646" max="15872" width="9" style="50"/>
    <col min="15873" max="15873" width="4.75" style="50" customWidth="1"/>
    <col min="15874" max="15874" width="6.875" style="50" customWidth="1"/>
    <col min="15875" max="15875" width="18.5" style="50" customWidth="1"/>
    <col min="15876" max="15876" width="10.875" style="50" customWidth="1"/>
    <col min="15877" max="15877" width="6.75" style="50" customWidth="1"/>
    <col min="15878" max="15878" width="9.375" style="50" customWidth="1"/>
    <col min="15879" max="15879" width="8.875" style="50" customWidth="1"/>
    <col min="15880" max="15880" width="14" style="50" customWidth="1"/>
    <col min="15881" max="15881" width="9.375" style="50" customWidth="1"/>
    <col min="15882" max="15882" width="8.625" style="50" customWidth="1"/>
    <col min="15883" max="15883" width="12.875" style="50" customWidth="1"/>
    <col min="15884" max="15884" width="13.375" style="50" customWidth="1"/>
    <col min="15885" max="15886" width="7.625" style="50" customWidth="1"/>
    <col min="15887" max="15887" width="4.625" style="50" customWidth="1"/>
    <col min="15888" max="15890" width="7.625" style="50" customWidth="1"/>
    <col min="15891" max="15891" width="4.625" style="50" customWidth="1"/>
    <col min="15892" max="15892" width="9.625" style="50" customWidth="1"/>
    <col min="15893" max="15893" width="8.75" style="50" customWidth="1"/>
    <col min="15894" max="15894" width="11.5" style="50" customWidth="1"/>
    <col min="15895" max="15895" width="6.125" style="50" customWidth="1"/>
    <col min="15896" max="15896" width="4.625" style="50" customWidth="1"/>
    <col min="15897" max="15899" width="6.125" style="50" customWidth="1"/>
    <col min="15900" max="15900" width="9" style="50"/>
    <col min="15901" max="15901" width="9.125" style="50" customWidth="1"/>
    <col min="15902" max="16128" width="9" style="50"/>
    <col min="16129" max="16129" width="4.75" style="50" customWidth="1"/>
    <col min="16130" max="16130" width="6.875" style="50" customWidth="1"/>
    <col min="16131" max="16131" width="18.5" style="50" customWidth="1"/>
    <col min="16132" max="16132" width="10.875" style="50" customWidth="1"/>
    <col min="16133" max="16133" width="6.75" style="50" customWidth="1"/>
    <col min="16134" max="16134" width="9.375" style="50" customWidth="1"/>
    <col min="16135" max="16135" width="8.875" style="50" customWidth="1"/>
    <col min="16136" max="16136" width="14" style="50" customWidth="1"/>
    <col min="16137" max="16137" width="9.375" style="50" customWidth="1"/>
    <col min="16138" max="16138" width="8.625" style="50" customWidth="1"/>
    <col min="16139" max="16139" width="12.875" style="50" customWidth="1"/>
    <col min="16140" max="16140" width="13.375" style="50" customWidth="1"/>
    <col min="16141" max="16142" width="7.625" style="50" customWidth="1"/>
    <col min="16143" max="16143" width="4.625" style="50" customWidth="1"/>
    <col min="16144" max="16146" width="7.625" style="50" customWidth="1"/>
    <col min="16147" max="16147" width="4.625" style="50" customWidth="1"/>
    <col min="16148" max="16148" width="9.625" style="50" customWidth="1"/>
    <col min="16149" max="16149" width="8.75" style="50" customWidth="1"/>
    <col min="16150" max="16150" width="11.5" style="50" customWidth="1"/>
    <col min="16151" max="16151" width="6.125" style="50" customWidth="1"/>
    <col min="16152" max="16152" width="4.625" style="50" customWidth="1"/>
    <col min="16153" max="16155" width="6.125" style="50" customWidth="1"/>
    <col min="16156" max="16156" width="9" style="50"/>
    <col min="16157" max="16157" width="9.125" style="50" customWidth="1"/>
    <col min="16158" max="16384" width="9" style="50"/>
  </cols>
  <sheetData>
    <row r="1" ht="20.25" spans="1:11">
      <c r="A1" s="156" t="s">
        <v>608</v>
      </c>
      <c r="B1" s="156"/>
      <c r="C1" s="156"/>
      <c r="D1" s="156"/>
      <c r="E1" s="156"/>
      <c r="F1" s="156"/>
      <c r="G1" s="156"/>
      <c r="H1" s="156"/>
      <c r="I1" s="156"/>
      <c r="J1" s="156"/>
      <c r="K1" s="347" t="s">
        <v>640</v>
      </c>
    </row>
    <row r="2" ht="20.1" customHeight="1" spans="1:10">
      <c r="A2" s="157" t="str">
        <f>'作(4)'!F4</f>
        <v>版本型录号</v>
      </c>
      <c r="B2" s="157"/>
      <c r="C2" s="157" t="e">
        <f>'作(4)'!H4</f>
        <v>#REF!</v>
      </c>
      <c r="D2" s="157"/>
      <c r="E2" s="157"/>
      <c r="F2" s="157"/>
      <c r="G2" s="157"/>
      <c r="H2" s="157" t="s">
        <v>636</v>
      </c>
      <c r="I2" s="157"/>
      <c r="J2" s="157">
        <f>+'作(4)'!O38</f>
        <v>0</v>
      </c>
    </row>
    <row r="3" ht="23.25" customHeight="1" spans="1:31">
      <c r="A3" s="158" t="str">
        <f>'作(4)'!A4</f>
        <v>客户姓名：</v>
      </c>
      <c r="B3" s="159"/>
      <c r="C3" s="159" t="e">
        <f>'作(4)'!C4</f>
        <v>#REF!</v>
      </c>
      <c r="D3" s="159"/>
      <c r="E3" s="159"/>
      <c r="F3" s="206"/>
      <c r="G3" s="159" t="str">
        <f>'作(4)'!F5</f>
        <v>下单日期：</v>
      </c>
      <c r="H3" s="350" t="str">
        <f>'作(4)'!H5</f>
        <v>  </v>
      </c>
      <c r="I3" s="159" t="s">
        <v>628</v>
      </c>
      <c r="J3" s="230" t="s">
        <v>623</v>
      </c>
      <c r="K3" s="348"/>
      <c r="L3" s="369" t="s">
        <v>641</v>
      </c>
      <c r="M3" s="370" t="s">
        <v>642</v>
      </c>
      <c r="N3" s="370" t="s">
        <v>643</v>
      </c>
      <c r="O3" s="370" t="s">
        <v>644</v>
      </c>
      <c r="P3" s="370" t="s">
        <v>645</v>
      </c>
      <c r="Q3" s="370" t="s">
        <v>646</v>
      </c>
      <c r="R3" s="392" t="s">
        <v>647</v>
      </c>
      <c r="S3" s="392" t="s">
        <v>648</v>
      </c>
      <c r="T3" s="370" t="s">
        <v>649</v>
      </c>
      <c r="U3" s="370"/>
      <c r="V3" s="370"/>
      <c r="W3" s="370"/>
      <c r="X3" s="370" t="s">
        <v>650</v>
      </c>
      <c r="Y3" s="370"/>
      <c r="Z3" s="370"/>
      <c r="AA3" s="370"/>
      <c r="AB3" s="398"/>
      <c r="AC3" s="399" t="s">
        <v>651</v>
      </c>
      <c r="AD3" s="399"/>
      <c r="AE3" s="400"/>
    </row>
    <row r="4" ht="23.25" customHeight="1" spans="1:31">
      <c r="A4" s="351" t="str">
        <f>'作(4)'!A5</f>
        <v>图纸编号：</v>
      </c>
      <c r="B4" s="352"/>
      <c r="C4" s="352" t="e">
        <f>'作(4)'!C5</f>
        <v>#REF!</v>
      </c>
      <c r="D4" s="352"/>
      <c r="E4" s="352"/>
      <c r="F4" s="353"/>
      <c r="G4" s="352" t="str">
        <f>'作(4)'!J5</f>
        <v>城市</v>
      </c>
      <c r="H4" s="354" t="e">
        <f>'作(4)'!K5</f>
        <v>#REF!</v>
      </c>
      <c r="I4" s="352"/>
      <c r="J4" s="371"/>
      <c r="K4" s="348"/>
      <c r="L4" s="372"/>
      <c r="M4" s="373"/>
      <c r="N4" s="373"/>
      <c r="O4" s="373"/>
      <c r="P4" s="373"/>
      <c r="Q4" s="373"/>
      <c r="R4" s="393"/>
      <c r="S4" s="393"/>
      <c r="T4" s="394" t="s">
        <v>652</v>
      </c>
      <c r="U4" s="394" t="s">
        <v>653</v>
      </c>
      <c r="V4" s="394" t="s">
        <v>654</v>
      </c>
      <c r="W4" s="394" t="s">
        <v>655</v>
      </c>
      <c r="X4" s="394" t="s">
        <v>652</v>
      </c>
      <c r="Y4" s="394" t="s">
        <v>653</v>
      </c>
      <c r="Z4" s="394" t="s">
        <v>656</v>
      </c>
      <c r="AA4" s="394" t="s">
        <v>655</v>
      </c>
      <c r="AB4" s="73"/>
      <c r="AC4" s="394" t="s">
        <v>652</v>
      </c>
      <c r="AD4" s="394" t="s">
        <v>653</v>
      </c>
      <c r="AE4" s="401" t="s">
        <v>656</v>
      </c>
    </row>
    <row r="5" ht="23.25" customHeight="1" spans="1:31">
      <c r="A5" s="351" t="s">
        <v>483</v>
      </c>
      <c r="B5" s="352" t="s">
        <v>23</v>
      </c>
      <c r="C5" s="355" t="s">
        <v>481</v>
      </c>
      <c r="D5" s="352" t="s">
        <v>657</v>
      </c>
      <c r="E5" s="352"/>
      <c r="F5" s="353" t="s">
        <v>83</v>
      </c>
      <c r="G5" s="352" t="s">
        <v>314</v>
      </c>
      <c r="H5" s="352" t="s">
        <v>658</v>
      </c>
      <c r="I5" s="352"/>
      <c r="J5" s="371"/>
      <c r="K5" s="374" t="s">
        <v>659</v>
      </c>
      <c r="L5" s="375" t="str">
        <f>O5&amp;N5</f>
        <v>L02象牙白</v>
      </c>
      <c r="M5" s="376" t="s">
        <v>660</v>
      </c>
      <c r="N5" s="377" t="s">
        <v>661</v>
      </c>
      <c r="O5" s="377" t="s">
        <v>662</v>
      </c>
      <c r="P5" s="376" t="s">
        <v>663</v>
      </c>
      <c r="Q5" s="377" t="s">
        <v>664</v>
      </c>
      <c r="R5" s="377">
        <v>370</v>
      </c>
      <c r="S5" s="377">
        <v>1</v>
      </c>
      <c r="T5" s="377" t="s">
        <v>665</v>
      </c>
      <c r="U5" s="377" t="s">
        <v>666</v>
      </c>
      <c r="V5" s="377" t="s">
        <v>667</v>
      </c>
      <c r="W5" s="376" t="s">
        <v>668</v>
      </c>
      <c r="X5" s="377">
        <v>1</v>
      </c>
      <c r="Y5" s="377">
        <v>0.5</v>
      </c>
      <c r="Z5" s="402">
        <v>0.6</v>
      </c>
      <c r="AA5" s="376" t="s">
        <v>668</v>
      </c>
      <c r="AB5" s="73"/>
      <c r="AC5" s="403">
        <f t="shared" ref="AC5:AC17" si="0">+X5/(X5+Y5+Z5)*R5*S5/1000*$J$2</f>
        <v>0</v>
      </c>
      <c r="AD5" s="403">
        <f t="shared" ref="AD5:AD17" si="1">+Y5/(X5+Y5+Z5)*R5*S5/1000*$J$2</f>
        <v>0</v>
      </c>
      <c r="AE5" s="404">
        <f t="shared" ref="AE5:AE17" si="2">+Z5/(X5+Y5+Z5)*R5*S5/1000*$J$2</f>
        <v>0</v>
      </c>
    </row>
    <row r="6" ht="23.25" customHeight="1" spans="1:31">
      <c r="A6" s="356" t="s">
        <v>669</v>
      </c>
      <c r="B6" s="171">
        <v>1</v>
      </c>
      <c r="C6" s="357" t="str">
        <f>'作(4)'!I8</f>
        <v>18A暖白双贴三聚氰胺刨花板</v>
      </c>
      <c r="D6" s="171" t="s">
        <v>670</v>
      </c>
      <c r="E6" s="171"/>
      <c r="F6" s="358">
        <f>+ROUNDUP('作(4)'!N38,1)</f>
        <v>0</v>
      </c>
      <c r="G6" s="171" t="s">
        <v>485</v>
      </c>
      <c r="H6" s="359">
        <f>'作(4)'!$F$6</f>
        <v>0</v>
      </c>
      <c r="I6" s="359"/>
      <c r="J6" s="378"/>
      <c r="K6" s="348" t="s">
        <v>671</v>
      </c>
      <c r="L6" s="375" t="str">
        <f t="shared" ref="L6:L23" si="3">O6&amp;N6</f>
        <v>L12纯白</v>
      </c>
      <c r="M6" s="376"/>
      <c r="N6" s="377" t="s">
        <v>672</v>
      </c>
      <c r="O6" s="377" t="s">
        <v>673</v>
      </c>
      <c r="P6" s="376" t="s">
        <v>663</v>
      </c>
      <c r="Q6" s="377" t="s">
        <v>664</v>
      </c>
      <c r="R6" s="377">
        <v>370</v>
      </c>
      <c r="S6" s="377">
        <v>1</v>
      </c>
      <c r="T6" s="377" t="s">
        <v>674</v>
      </c>
      <c r="U6" s="377" t="s">
        <v>675</v>
      </c>
      <c r="V6" s="377" t="s">
        <v>676</v>
      </c>
      <c r="W6" s="376"/>
      <c r="X6" s="377">
        <v>1</v>
      </c>
      <c r="Y6" s="377">
        <v>0.5</v>
      </c>
      <c r="Z6" s="402">
        <v>0.5</v>
      </c>
      <c r="AA6" s="376"/>
      <c r="AB6" s="73"/>
      <c r="AC6" s="403">
        <f t="shared" si="0"/>
        <v>0</v>
      </c>
      <c r="AD6" s="403">
        <f t="shared" si="1"/>
        <v>0</v>
      </c>
      <c r="AE6" s="404">
        <f t="shared" si="2"/>
        <v>0</v>
      </c>
    </row>
    <row r="7" ht="23.25" customHeight="1" spans="1:31">
      <c r="A7" s="356"/>
      <c r="B7" s="171">
        <v>2</v>
      </c>
      <c r="C7" s="171" t="s">
        <v>350</v>
      </c>
      <c r="D7" s="357" t="s">
        <v>677</v>
      </c>
      <c r="E7" s="357"/>
      <c r="F7" s="360">
        <f>+'作(4)'!M38</f>
        <v>0</v>
      </c>
      <c r="G7" s="171" t="s">
        <v>486</v>
      </c>
      <c r="H7" s="359"/>
      <c r="I7" s="359"/>
      <c r="J7" s="378"/>
      <c r="K7" s="348" t="s">
        <v>659</v>
      </c>
      <c r="L7" s="375" t="str">
        <f t="shared" si="3"/>
        <v>L01珍珠白</v>
      </c>
      <c r="M7" s="376"/>
      <c r="N7" s="377" t="s">
        <v>678</v>
      </c>
      <c r="O7" s="377" t="s">
        <v>679</v>
      </c>
      <c r="P7" s="376" t="s">
        <v>663</v>
      </c>
      <c r="Q7" s="377" t="s">
        <v>664</v>
      </c>
      <c r="R7" s="377">
        <v>310</v>
      </c>
      <c r="S7" s="377">
        <v>1</v>
      </c>
      <c r="T7" s="377" t="s">
        <v>680</v>
      </c>
      <c r="U7" s="377" t="s">
        <v>666</v>
      </c>
      <c r="V7" s="377" t="s">
        <v>667</v>
      </c>
      <c r="W7" s="376" t="s">
        <v>668</v>
      </c>
      <c r="X7" s="377">
        <v>1</v>
      </c>
      <c r="Y7" s="377">
        <v>0.5</v>
      </c>
      <c r="Z7" s="402">
        <v>0.6</v>
      </c>
      <c r="AA7" s="376" t="s">
        <v>668</v>
      </c>
      <c r="AB7" s="73"/>
      <c r="AC7" s="403">
        <f t="shared" si="0"/>
        <v>0</v>
      </c>
      <c r="AD7" s="403">
        <f t="shared" si="1"/>
        <v>0</v>
      </c>
      <c r="AE7" s="404">
        <f t="shared" si="2"/>
        <v>0</v>
      </c>
    </row>
    <row r="8" ht="23.25" customHeight="1" spans="1:31">
      <c r="A8" s="356"/>
      <c r="B8" s="171">
        <v>3</v>
      </c>
      <c r="C8" s="171" t="s">
        <v>681</v>
      </c>
      <c r="D8" s="171" t="s">
        <v>682</v>
      </c>
      <c r="E8" s="171"/>
      <c r="F8" s="360">
        <f>F7*4.1</f>
        <v>0</v>
      </c>
      <c r="G8" s="171" t="s">
        <v>488</v>
      </c>
      <c r="H8" s="359"/>
      <c r="I8" s="359"/>
      <c r="J8" s="378"/>
      <c r="K8" s="348"/>
      <c r="L8" s="375" t="str">
        <f t="shared" si="3"/>
        <v>L02象牙白</v>
      </c>
      <c r="M8" s="376"/>
      <c r="N8" s="377" t="s">
        <v>661</v>
      </c>
      <c r="O8" s="377" t="s">
        <v>662</v>
      </c>
      <c r="P8" s="376" t="s">
        <v>663</v>
      </c>
      <c r="Q8" s="377" t="s">
        <v>664</v>
      </c>
      <c r="R8" s="377">
        <v>310</v>
      </c>
      <c r="S8" s="377">
        <v>1</v>
      </c>
      <c r="T8" s="377" t="s">
        <v>665</v>
      </c>
      <c r="U8" s="377" t="s">
        <v>666</v>
      </c>
      <c r="V8" s="377" t="s">
        <v>667</v>
      </c>
      <c r="W8" s="376"/>
      <c r="X8" s="377">
        <v>1</v>
      </c>
      <c r="Y8" s="377">
        <v>0.5</v>
      </c>
      <c r="Z8" s="402">
        <v>0.6</v>
      </c>
      <c r="AA8" s="376"/>
      <c r="AB8" s="73"/>
      <c r="AC8" s="403">
        <f t="shared" si="0"/>
        <v>0</v>
      </c>
      <c r="AD8" s="403">
        <f t="shared" si="1"/>
        <v>0</v>
      </c>
      <c r="AE8" s="404">
        <f t="shared" si="2"/>
        <v>0</v>
      </c>
    </row>
    <row r="9" ht="23.25" customHeight="1" spans="1:31">
      <c r="A9" s="356" t="s">
        <v>683</v>
      </c>
      <c r="B9" s="171">
        <v>1</v>
      </c>
      <c r="C9" s="361" t="s">
        <v>684</v>
      </c>
      <c r="D9" s="361" t="s">
        <v>685</v>
      </c>
      <c r="E9" s="361"/>
      <c r="F9" s="360">
        <f>+AC28</f>
        <v>0</v>
      </c>
      <c r="G9" s="171" t="s">
        <v>686</v>
      </c>
      <c r="H9" s="171"/>
      <c r="I9" s="171"/>
      <c r="J9" s="379"/>
      <c r="K9" s="348"/>
      <c r="L9" s="375" t="str">
        <f t="shared" si="3"/>
        <v>L05浅灰</v>
      </c>
      <c r="M9" s="376"/>
      <c r="N9" s="377" t="s">
        <v>687</v>
      </c>
      <c r="O9" s="377" t="s">
        <v>688</v>
      </c>
      <c r="P9" s="376" t="s">
        <v>663</v>
      </c>
      <c r="Q9" s="377" t="s">
        <v>664</v>
      </c>
      <c r="R9" s="377">
        <v>310</v>
      </c>
      <c r="S9" s="377">
        <v>1</v>
      </c>
      <c r="T9" s="377" t="s">
        <v>689</v>
      </c>
      <c r="U9" s="377" t="s">
        <v>690</v>
      </c>
      <c r="V9" s="377" t="s">
        <v>667</v>
      </c>
      <c r="W9" s="376"/>
      <c r="X9" s="377">
        <v>1</v>
      </c>
      <c r="Y9" s="377">
        <v>0.5</v>
      </c>
      <c r="Z9" s="402">
        <v>0.6</v>
      </c>
      <c r="AA9" s="376"/>
      <c r="AB9" s="73"/>
      <c r="AC9" s="403">
        <f t="shared" si="0"/>
        <v>0</v>
      </c>
      <c r="AD9" s="403">
        <f t="shared" si="1"/>
        <v>0</v>
      </c>
      <c r="AE9" s="404">
        <f t="shared" si="2"/>
        <v>0</v>
      </c>
    </row>
    <row r="10" ht="23.25" customHeight="1" spans="1:31">
      <c r="A10" s="356"/>
      <c r="B10" s="171">
        <v>2</v>
      </c>
      <c r="C10" s="361" t="s">
        <v>684</v>
      </c>
      <c r="D10" s="361" t="s">
        <v>691</v>
      </c>
      <c r="E10" s="361"/>
      <c r="F10" s="360">
        <f>+AC29</f>
        <v>0</v>
      </c>
      <c r="G10" s="171" t="s">
        <v>686</v>
      </c>
      <c r="H10" s="171"/>
      <c r="I10" s="171"/>
      <c r="J10" s="379"/>
      <c r="K10" s="348"/>
      <c r="L10" s="375" t="str">
        <f t="shared" si="3"/>
        <v>L06卡布奇诺</v>
      </c>
      <c r="M10" s="376" t="s">
        <v>692</v>
      </c>
      <c r="N10" s="377" t="s">
        <v>693</v>
      </c>
      <c r="O10" s="377" t="s">
        <v>694</v>
      </c>
      <c r="P10" s="376" t="s">
        <v>663</v>
      </c>
      <c r="Q10" s="377" t="s">
        <v>664</v>
      </c>
      <c r="R10" s="377">
        <v>310</v>
      </c>
      <c r="S10" s="377">
        <v>1</v>
      </c>
      <c r="T10" s="377" t="s">
        <v>695</v>
      </c>
      <c r="U10" s="377" t="s">
        <v>690</v>
      </c>
      <c r="V10" s="377" t="s">
        <v>667</v>
      </c>
      <c r="W10" s="376"/>
      <c r="X10" s="377">
        <v>1</v>
      </c>
      <c r="Y10" s="377">
        <v>0.5</v>
      </c>
      <c r="Z10" s="402">
        <v>0.6</v>
      </c>
      <c r="AA10" s="376"/>
      <c r="AB10" s="73"/>
      <c r="AC10" s="403">
        <f t="shared" si="0"/>
        <v>0</v>
      </c>
      <c r="AD10" s="403">
        <f t="shared" si="1"/>
        <v>0</v>
      </c>
      <c r="AE10" s="404">
        <f t="shared" si="2"/>
        <v>0</v>
      </c>
    </row>
    <row r="11" ht="23.25" customHeight="1" spans="1:31">
      <c r="A11" s="356"/>
      <c r="B11" s="171">
        <v>6</v>
      </c>
      <c r="C11" s="357" t="s">
        <v>696</v>
      </c>
      <c r="D11" s="171" t="str">
        <f>T30</f>
        <v>T20975</v>
      </c>
      <c r="E11" s="171"/>
      <c r="F11" s="360">
        <f>AC30</f>
        <v>0</v>
      </c>
      <c r="G11" s="171" t="s">
        <v>686</v>
      </c>
      <c r="H11" s="171"/>
      <c r="I11" s="171"/>
      <c r="J11" s="379"/>
      <c r="K11" s="348"/>
      <c r="L11" s="375" t="str">
        <f t="shared" si="3"/>
        <v>L11纯黑</v>
      </c>
      <c r="M11" s="376"/>
      <c r="N11" s="377" t="s">
        <v>697</v>
      </c>
      <c r="O11" s="377" t="s">
        <v>698</v>
      </c>
      <c r="P11" s="376" t="s">
        <v>663</v>
      </c>
      <c r="Q11" s="377" t="s">
        <v>664</v>
      </c>
      <c r="R11" s="377">
        <v>310</v>
      </c>
      <c r="S11" s="377">
        <v>1</v>
      </c>
      <c r="T11" s="377" t="s">
        <v>699</v>
      </c>
      <c r="U11" s="377" t="s">
        <v>690</v>
      </c>
      <c r="V11" s="377" t="s">
        <v>667</v>
      </c>
      <c r="W11" s="376"/>
      <c r="X11" s="377">
        <v>1</v>
      </c>
      <c r="Y11" s="377">
        <v>0.5</v>
      </c>
      <c r="Z11" s="402">
        <v>0.6</v>
      </c>
      <c r="AA11" s="376"/>
      <c r="AB11" s="73"/>
      <c r="AC11" s="403">
        <f t="shared" si="0"/>
        <v>0</v>
      </c>
      <c r="AD11" s="403">
        <f t="shared" si="1"/>
        <v>0</v>
      </c>
      <c r="AE11" s="404">
        <f t="shared" si="2"/>
        <v>0</v>
      </c>
    </row>
    <row r="12" ht="23.25" customHeight="1" spans="1:31">
      <c r="A12" s="356"/>
      <c r="B12" s="171">
        <v>7</v>
      </c>
      <c r="C12" s="357"/>
      <c r="D12" s="171" t="str">
        <f>U30</f>
        <v>PR66</v>
      </c>
      <c r="E12" s="171"/>
      <c r="F12" s="360">
        <f>AD30</f>
        <v>0</v>
      </c>
      <c r="G12" s="171" t="s">
        <v>686</v>
      </c>
      <c r="H12" s="171"/>
      <c r="I12" s="171"/>
      <c r="J12" s="379"/>
      <c r="K12" s="348"/>
      <c r="L12" s="375" t="str">
        <f t="shared" si="3"/>
        <v>L12纯白</v>
      </c>
      <c r="M12" s="376"/>
      <c r="N12" s="377" t="s">
        <v>672</v>
      </c>
      <c r="O12" s="377" t="s">
        <v>673</v>
      </c>
      <c r="P12" s="376" t="s">
        <v>663</v>
      </c>
      <c r="Q12" s="377" t="s">
        <v>664</v>
      </c>
      <c r="R12" s="377">
        <v>310</v>
      </c>
      <c r="S12" s="377">
        <v>1</v>
      </c>
      <c r="T12" s="377" t="s">
        <v>674</v>
      </c>
      <c r="U12" s="377" t="s">
        <v>675</v>
      </c>
      <c r="V12" s="377" t="s">
        <v>676</v>
      </c>
      <c r="W12" s="376"/>
      <c r="X12" s="377">
        <v>1</v>
      </c>
      <c r="Y12" s="377">
        <v>0.5</v>
      </c>
      <c r="Z12" s="402">
        <v>0.5</v>
      </c>
      <c r="AA12" s="376"/>
      <c r="AB12" s="73"/>
      <c r="AC12" s="403">
        <f t="shared" si="0"/>
        <v>0</v>
      </c>
      <c r="AD12" s="403">
        <f t="shared" si="1"/>
        <v>0</v>
      </c>
      <c r="AE12" s="404">
        <f t="shared" si="2"/>
        <v>0</v>
      </c>
    </row>
    <row r="13" ht="23.25" customHeight="1" spans="1:31">
      <c r="A13" s="356"/>
      <c r="B13" s="171">
        <v>8</v>
      </c>
      <c r="C13" s="357"/>
      <c r="D13" s="171" t="str">
        <f>V30</f>
        <v>PX705/PX707</v>
      </c>
      <c r="E13" s="171"/>
      <c r="F13" s="360">
        <f>AE30</f>
        <v>0</v>
      </c>
      <c r="G13" s="171" t="s">
        <v>686</v>
      </c>
      <c r="H13" s="171"/>
      <c r="I13" s="171"/>
      <c r="J13" s="379"/>
      <c r="K13" s="348"/>
      <c r="L13" s="375" t="str">
        <f t="shared" si="3"/>
        <v>G01珍珠白</v>
      </c>
      <c r="M13" s="376"/>
      <c r="N13" s="377" t="s">
        <v>678</v>
      </c>
      <c r="O13" s="377" t="s">
        <v>700</v>
      </c>
      <c r="P13" s="376" t="s">
        <v>663</v>
      </c>
      <c r="Q13" s="377" t="s">
        <v>664</v>
      </c>
      <c r="R13" s="377">
        <v>325</v>
      </c>
      <c r="S13" s="377">
        <v>2</v>
      </c>
      <c r="T13" s="377" t="s">
        <v>680</v>
      </c>
      <c r="U13" s="377" t="s">
        <v>666</v>
      </c>
      <c r="V13" s="377" t="s">
        <v>667</v>
      </c>
      <c r="W13" s="376" t="s">
        <v>668</v>
      </c>
      <c r="X13" s="377">
        <v>1</v>
      </c>
      <c r="Y13" s="377">
        <v>0.5</v>
      </c>
      <c r="Z13" s="402">
        <v>0.6</v>
      </c>
      <c r="AA13" s="376" t="s">
        <v>668</v>
      </c>
      <c r="AB13" s="73"/>
      <c r="AC13" s="403">
        <f t="shared" si="0"/>
        <v>0</v>
      </c>
      <c r="AD13" s="403">
        <f t="shared" si="1"/>
        <v>0</v>
      </c>
      <c r="AE13" s="404">
        <f t="shared" si="2"/>
        <v>0</v>
      </c>
    </row>
    <row r="14" ht="23.25" customHeight="1" spans="1:31">
      <c r="A14" s="356"/>
      <c r="B14" s="171"/>
      <c r="C14" s="357"/>
      <c r="D14" s="171" t="str">
        <f>+IF($K$5=$K$6,"","慢干水")</f>
        <v>慢干水</v>
      </c>
      <c r="E14" s="171"/>
      <c r="F14" s="360">
        <f>IF(D14="","",F13*0.34)</f>
        <v>0</v>
      </c>
      <c r="G14" s="171" t="s">
        <v>686</v>
      </c>
      <c r="H14" s="171"/>
      <c r="I14" s="171"/>
      <c r="J14" s="379"/>
      <c r="K14" s="348"/>
      <c r="L14" s="375" t="str">
        <f t="shared" si="3"/>
        <v>G02象牙白</v>
      </c>
      <c r="M14" s="376"/>
      <c r="N14" s="377" t="s">
        <v>661</v>
      </c>
      <c r="O14" s="377" t="s">
        <v>701</v>
      </c>
      <c r="P14" s="376"/>
      <c r="Q14" s="377" t="s">
        <v>664</v>
      </c>
      <c r="R14" s="377">
        <v>325</v>
      </c>
      <c r="S14" s="377">
        <v>2</v>
      </c>
      <c r="T14" s="377" t="s">
        <v>665</v>
      </c>
      <c r="U14" s="377" t="s">
        <v>666</v>
      </c>
      <c r="V14" s="377" t="s">
        <v>667</v>
      </c>
      <c r="W14" s="376"/>
      <c r="X14" s="377">
        <v>1</v>
      </c>
      <c r="Y14" s="377">
        <v>0.5</v>
      </c>
      <c r="Z14" s="402">
        <v>0.6</v>
      </c>
      <c r="AA14" s="376"/>
      <c r="AB14" s="73"/>
      <c r="AC14" s="403">
        <f t="shared" si="0"/>
        <v>0</v>
      </c>
      <c r="AD14" s="403">
        <f t="shared" si="1"/>
        <v>0</v>
      </c>
      <c r="AE14" s="404">
        <f t="shared" si="2"/>
        <v>0</v>
      </c>
    </row>
    <row r="15" ht="23.25" customHeight="1" spans="1:31">
      <c r="A15" s="356"/>
      <c r="B15" s="171">
        <v>9</v>
      </c>
      <c r="C15" s="357" t="s">
        <v>702</v>
      </c>
      <c r="D15" s="171" t="e">
        <f>VLOOKUP($H$6,$L$1:$AE$26,9,0)</f>
        <v>#N/A</v>
      </c>
      <c r="E15" s="171"/>
      <c r="F15" s="360" t="e">
        <f>VLOOKUP($H$6,$L$1:$AE$26,18,0)</f>
        <v>#N/A</v>
      </c>
      <c r="G15" s="171" t="s">
        <v>686</v>
      </c>
      <c r="H15" s="171"/>
      <c r="I15" s="171"/>
      <c r="J15" s="379"/>
      <c r="K15" s="348"/>
      <c r="L15" s="375" t="str">
        <f t="shared" si="3"/>
        <v>G06卡布奇诺</v>
      </c>
      <c r="M15" s="376"/>
      <c r="N15" s="377" t="s">
        <v>693</v>
      </c>
      <c r="O15" s="377" t="s">
        <v>703</v>
      </c>
      <c r="P15" s="376"/>
      <c r="Q15" s="377" t="s">
        <v>664</v>
      </c>
      <c r="R15" s="377">
        <v>325</v>
      </c>
      <c r="S15" s="377">
        <v>2</v>
      </c>
      <c r="T15" s="377" t="s">
        <v>695</v>
      </c>
      <c r="U15" s="377" t="s">
        <v>690</v>
      </c>
      <c r="V15" s="377" t="s">
        <v>667</v>
      </c>
      <c r="W15" s="376"/>
      <c r="X15" s="377">
        <v>1</v>
      </c>
      <c r="Y15" s="377">
        <v>0.5</v>
      </c>
      <c r="Z15" s="402">
        <v>0.8</v>
      </c>
      <c r="AA15" s="376"/>
      <c r="AB15" s="73"/>
      <c r="AC15" s="403">
        <f t="shared" si="0"/>
        <v>0</v>
      </c>
      <c r="AD15" s="403">
        <f t="shared" si="1"/>
        <v>0</v>
      </c>
      <c r="AE15" s="404">
        <f t="shared" si="2"/>
        <v>0</v>
      </c>
    </row>
    <row r="16" ht="23.25" customHeight="1" spans="1:31">
      <c r="A16" s="356"/>
      <c r="B16" s="171">
        <v>10</v>
      </c>
      <c r="C16" s="357"/>
      <c r="D16" s="171" t="e">
        <f>VLOOKUP($H$6,$L$1:$AE$26,10,0)</f>
        <v>#N/A</v>
      </c>
      <c r="E16" s="171"/>
      <c r="F16" s="360" t="e">
        <f>VLOOKUP($H$6,$L$1:$AE$25,19,0)</f>
        <v>#N/A</v>
      </c>
      <c r="G16" s="171" t="s">
        <v>686</v>
      </c>
      <c r="H16" s="171"/>
      <c r="I16" s="171"/>
      <c r="J16" s="379"/>
      <c r="K16" s="348"/>
      <c r="L16" s="375" t="str">
        <f t="shared" si="3"/>
        <v>G07深灰</v>
      </c>
      <c r="M16" s="376"/>
      <c r="N16" s="377" t="s">
        <v>704</v>
      </c>
      <c r="O16" s="377" t="s">
        <v>705</v>
      </c>
      <c r="P16" s="376"/>
      <c r="Q16" s="377" t="s">
        <v>664</v>
      </c>
      <c r="R16" s="377">
        <v>325</v>
      </c>
      <c r="S16" s="377">
        <v>2</v>
      </c>
      <c r="T16" s="377" t="s">
        <v>706</v>
      </c>
      <c r="U16" s="377" t="s">
        <v>690</v>
      </c>
      <c r="V16" s="377" t="s">
        <v>667</v>
      </c>
      <c r="W16" s="376"/>
      <c r="X16" s="377">
        <v>1</v>
      </c>
      <c r="Y16" s="377">
        <v>0.5</v>
      </c>
      <c r="Z16" s="402">
        <v>0.8</v>
      </c>
      <c r="AA16" s="376"/>
      <c r="AB16" s="73"/>
      <c r="AC16" s="403">
        <f t="shared" si="0"/>
        <v>0</v>
      </c>
      <c r="AD16" s="403">
        <f t="shared" si="1"/>
        <v>0</v>
      </c>
      <c r="AE16" s="404">
        <f t="shared" si="2"/>
        <v>0</v>
      </c>
    </row>
    <row r="17" ht="23.25" customHeight="1" spans="1:31">
      <c r="A17" s="356"/>
      <c r="B17" s="171">
        <v>11</v>
      </c>
      <c r="C17" s="357"/>
      <c r="D17" s="171" t="e">
        <f>VLOOKUP($H$6,$L$1:$AE$26,11,0)</f>
        <v>#N/A</v>
      </c>
      <c r="E17" s="171"/>
      <c r="F17" s="360" t="e">
        <f>VLOOKUP($H$6,$L$1:$AE$26,20,0)</f>
        <v>#N/A</v>
      </c>
      <c r="G17" s="171" t="s">
        <v>686</v>
      </c>
      <c r="H17" s="171"/>
      <c r="I17" s="171"/>
      <c r="J17" s="379"/>
      <c r="K17" s="348"/>
      <c r="L17" s="375" t="str">
        <f t="shared" si="3"/>
        <v>G08柠檬绿</v>
      </c>
      <c r="M17" s="376"/>
      <c r="N17" s="377" t="s">
        <v>707</v>
      </c>
      <c r="O17" s="377" t="s">
        <v>708</v>
      </c>
      <c r="P17" s="376"/>
      <c r="Q17" s="377" t="s">
        <v>664</v>
      </c>
      <c r="R17" s="377">
        <v>325</v>
      </c>
      <c r="S17" s="377">
        <v>2</v>
      </c>
      <c r="T17" s="377" t="s">
        <v>709</v>
      </c>
      <c r="U17" s="377" t="s">
        <v>690</v>
      </c>
      <c r="V17" s="377" t="s">
        <v>667</v>
      </c>
      <c r="W17" s="376"/>
      <c r="X17" s="377">
        <v>1</v>
      </c>
      <c r="Y17" s="377">
        <v>0.5</v>
      </c>
      <c r="Z17" s="402">
        <v>0.7</v>
      </c>
      <c r="AA17" s="376"/>
      <c r="AB17" s="73"/>
      <c r="AC17" s="403">
        <f t="shared" si="0"/>
        <v>0</v>
      </c>
      <c r="AD17" s="403">
        <f t="shared" si="1"/>
        <v>0</v>
      </c>
      <c r="AE17" s="404">
        <f t="shared" si="2"/>
        <v>0</v>
      </c>
    </row>
    <row r="18" ht="23.25" customHeight="1" spans="1:31">
      <c r="A18" s="356"/>
      <c r="B18" s="171">
        <v>11</v>
      </c>
      <c r="C18" s="357"/>
      <c r="D18" s="171" t="e">
        <f>+IF(D17="RTS-10SL","",IF($K$5=$K$6,"","慢干水"))</f>
        <v>#N/A</v>
      </c>
      <c r="E18" s="171"/>
      <c r="F18" s="360" t="e">
        <f>IF(D18="","",F17*0.34)</f>
        <v>#N/A</v>
      </c>
      <c r="G18" s="171" t="e">
        <f>IF(D18="","","千克")</f>
        <v>#N/A</v>
      </c>
      <c r="H18" s="171"/>
      <c r="I18" s="171"/>
      <c r="J18" s="379"/>
      <c r="K18" s="348"/>
      <c r="L18" s="375" t="str">
        <f t="shared" si="3"/>
        <v>G09法拉利红</v>
      </c>
      <c r="M18" s="376"/>
      <c r="N18" s="377" t="s">
        <v>710</v>
      </c>
      <c r="O18" s="377" t="s">
        <v>711</v>
      </c>
      <c r="P18" s="376"/>
      <c r="Q18" s="377" t="s">
        <v>664</v>
      </c>
      <c r="R18" s="377">
        <v>325</v>
      </c>
      <c r="S18" s="377">
        <v>2</v>
      </c>
      <c r="T18" s="377" t="s">
        <v>712</v>
      </c>
      <c r="U18" s="377" t="s">
        <v>690</v>
      </c>
      <c r="V18" s="377" t="s">
        <v>667</v>
      </c>
      <c r="W18" s="376"/>
      <c r="X18" s="377">
        <v>1</v>
      </c>
      <c r="Y18" s="377">
        <v>0.5</v>
      </c>
      <c r="Z18" s="402">
        <v>0.8</v>
      </c>
      <c r="AA18" s="376"/>
      <c r="AB18" s="73"/>
      <c r="AC18" s="403">
        <f t="shared" ref="AC18:AC23" si="4">+X18/(X18+Y18+Z18)*R18*S18/1000*$J$2</f>
        <v>0</v>
      </c>
      <c r="AD18" s="403">
        <f t="shared" ref="AD18:AD23" si="5">+Y18/(X18+Y18+Z18)*R18*S18/1000*$J$2</f>
        <v>0</v>
      </c>
      <c r="AE18" s="404">
        <f t="shared" ref="AE18:AE23" si="6">+Z18/(X18+Y18+Z18)*R18*S18/1000*$J$2</f>
        <v>0</v>
      </c>
    </row>
    <row r="19" ht="23.25" customHeight="1" spans="1:31">
      <c r="A19" s="356"/>
      <c r="B19" s="362"/>
      <c r="C19" s="357" t="str">
        <f>+IF(MIDB(H6,1,1)="G","抛光液","")</f>
        <v/>
      </c>
      <c r="D19" s="171"/>
      <c r="E19" s="171"/>
      <c r="F19" s="363" t="str">
        <f>+IF(MIDB(H6,1,1)="G",J2*0.05,"")</f>
        <v/>
      </c>
      <c r="G19" s="171" t="str">
        <f>+IF(MIDB(H6,1,1)="G","千克","")</f>
        <v/>
      </c>
      <c r="H19" s="362"/>
      <c r="I19" s="362"/>
      <c r="J19" s="380"/>
      <c r="K19" s="348"/>
      <c r="L19" s="375" t="str">
        <f t="shared" si="3"/>
        <v>G10酒红</v>
      </c>
      <c r="M19" s="376"/>
      <c r="N19" s="377" t="s">
        <v>713</v>
      </c>
      <c r="O19" s="377" t="s">
        <v>714</v>
      </c>
      <c r="P19" s="376"/>
      <c r="Q19" s="377" t="s">
        <v>664</v>
      </c>
      <c r="R19" s="377">
        <v>325</v>
      </c>
      <c r="S19" s="377">
        <v>2</v>
      </c>
      <c r="T19" s="377" t="s">
        <v>715</v>
      </c>
      <c r="U19" s="377" t="s">
        <v>690</v>
      </c>
      <c r="V19" s="377" t="s">
        <v>667</v>
      </c>
      <c r="W19" s="376"/>
      <c r="X19" s="377">
        <v>1</v>
      </c>
      <c r="Y19" s="377">
        <v>0.5</v>
      </c>
      <c r="Z19" s="402">
        <v>0.8</v>
      </c>
      <c r="AA19" s="376"/>
      <c r="AB19" s="73"/>
      <c r="AC19" s="403">
        <f t="shared" si="4"/>
        <v>0</v>
      </c>
      <c r="AD19" s="403">
        <f t="shared" si="5"/>
        <v>0</v>
      </c>
      <c r="AE19" s="404">
        <f t="shared" si="6"/>
        <v>0</v>
      </c>
    </row>
    <row r="20" ht="23.25" customHeight="1" spans="1:31">
      <c r="A20" s="356"/>
      <c r="B20" s="362"/>
      <c r="C20" s="357" t="str">
        <f>+IF(MIDB(H6,1,1)="G","白细腊","")</f>
        <v/>
      </c>
      <c r="D20" s="171"/>
      <c r="E20" s="171"/>
      <c r="F20" s="363" t="str">
        <f>+IF(MIDB(H6,1,1)="G",J2*0.07,"")</f>
        <v/>
      </c>
      <c r="G20" s="171" t="str">
        <f>+IF(MIDB(H6,1,1)="G","千克","")</f>
        <v/>
      </c>
      <c r="H20" s="362"/>
      <c r="I20" s="362"/>
      <c r="J20" s="380"/>
      <c r="K20" s="348"/>
      <c r="L20" s="375" t="str">
        <f t="shared" si="3"/>
        <v>G11纯黑</v>
      </c>
      <c r="M20" s="376"/>
      <c r="N20" s="377" t="s">
        <v>697</v>
      </c>
      <c r="O20" s="377" t="s">
        <v>716</v>
      </c>
      <c r="P20" s="376"/>
      <c r="Q20" s="377" t="s">
        <v>664</v>
      </c>
      <c r="R20" s="377">
        <v>325</v>
      </c>
      <c r="S20" s="377">
        <v>2</v>
      </c>
      <c r="T20" s="377" t="s">
        <v>717</v>
      </c>
      <c r="U20" s="377" t="s">
        <v>690</v>
      </c>
      <c r="V20" s="377" t="s">
        <v>667</v>
      </c>
      <c r="W20" s="376"/>
      <c r="X20" s="377">
        <v>1</v>
      </c>
      <c r="Y20" s="377">
        <v>1</v>
      </c>
      <c r="Z20" s="402">
        <v>0.8</v>
      </c>
      <c r="AA20" s="376"/>
      <c r="AB20" s="73"/>
      <c r="AC20" s="403">
        <f t="shared" si="4"/>
        <v>0</v>
      </c>
      <c r="AD20" s="403">
        <f t="shared" si="5"/>
        <v>0</v>
      </c>
      <c r="AE20" s="404">
        <f t="shared" si="6"/>
        <v>0</v>
      </c>
    </row>
    <row r="21" ht="23.25" customHeight="1" spans="1:31">
      <c r="A21" s="364" t="s">
        <v>490</v>
      </c>
      <c r="B21" s="362"/>
      <c r="C21" s="362" t="str">
        <f>+IF('作(4)'!Q38&gt;0,"拉手","")</f>
        <v/>
      </c>
      <c r="D21" s="362" t="str">
        <f>+IF('作(4)'!Q38&gt;0,"LC-003","")</f>
        <v/>
      </c>
      <c r="E21" s="362"/>
      <c r="F21" s="358" t="str">
        <f>+IF('作(4)'!Q38&gt;0,'作(4)'!Q38,"")</f>
        <v/>
      </c>
      <c r="G21" s="362" t="str">
        <f>+IF('作(4)'!Q38&gt;0,"米","")</f>
        <v/>
      </c>
      <c r="H21" s="362"/>
      <c r="I21" s="362"/>
      <c r="J21" s="380"/>
      <c r="K21" s="348"/>
      <c r="L21" s="375" t="str">
        <f t="shared" si="3"/>
        <v>G10酒红</v>
      </c>
      <c r="M21" s="376"/>
      <c r="N21" s="377" t="s">
        <v>713</v>
      </c>
      <c r="O21" s="377" t="s">
        <v>714</v>
      </c>
      <c r="P21" s="376"/>
      <c r="Q21" s="377" t="s">
        <v>664</v>
      </c>
      <c r="R21" s="377">
        <v>325</v>
      </c>
      <c r="S21" s="377">
        <v>2</v>
      </c>
      <c r="T21" s="377" t="s">
        <v>715</v>
      </c>
      <c r="U21" s="377" t="s">
        <v>690</v>
      </c>
      <c r="V21" s="377" t="s">
        <v>667</v>
      </c>
      <c r="W21" s="376"/>
      <c r="X21" s="377">
        <v>1</v>
      </c>
      <c r="Y21" s="377">
        <v>0.5</v>
      </c>
      <c r="Z21" s="402">
        <v>0.8</v>
      </c>
      <c r="AA21" s="376"/>
      <c r="AB21" s="73"/>
      <c r="AC21" s="403">
        <f t="shared" si="4"/>
        <v>0</v>
      </c>
      <c r="AD21" s="403">
        <f t="shared" si="5"/>
        <v>0</v>
      </c>
      <c r="AE21" s="404">
        <f t="shared" si="6"/>
        <v>0</v>
      </c>
    </row>
    <row r="22" ht="23.25" customHeight="1" spans="1:31">
      <c r="A22" s="365"/>
      <c r="B22" s="366"/>
      <c r="C22" s="366"/>
      <c r="D22" s="366" t="str">
        <f>+IF('作(4)'!Q38&gt;0,"普施宝免钉胶","")</f>
        <v/>
      </c>
      <c r="E22" s="366"/>
      <c r="F22" s="367"/>
      <c r="G22" s="366" t="str">
        <f>+IF('作(4)'!Q38&gt;0,"支","")</f>
        <v/>
      </c>
      <c r="H22" s="366"/>
      <c r="I22" s="366"/>
      <c r="J22" s="381"/>
      <c r="K22" s="348"/>
      <c r="L22" s="375" t="str">
        <f t="shared" si="3"/>
        <v>G11纯黑</v>
      </c>
      <c r="M22" s="376"/>
      <c r="N22" s="377" t="s">
        <v>697</v>
      </c>
      <c r="O22" s="377" t="s">
        <v>716</v>
      </c>
      <c r="P22" s="376"/>
      <c r="Q22" s="377" t="s">
        <v>664</v>
      </c>
      <c r="R22" s="377">
        <v>325</v>
      </c>
      <c r="S22" s="377">
        <v>2</v>
      </c>
      <c r="T22" s="377" t="s">
        <v>717</v>
      </c>
      <c r="U22" s="377" t="s">
        <v>690</v>
      </c>
      <c r="V22" s="377" t="s">
        <v>667</v>
      </c>
      <c r="W22" s="376"/>
      <c r="X22" s="377">
        <v>1</v>
      </c>
      <c r="Y22" s="377">
        <v>1</v>
      </c>
      <c r="Z22" s="402">
        <v>0.8</v>
      </c>
      <c r="AA22" s="376"/>
      <c r="AB22" s="73"/>
      <c r="AC22" s="403">
        <f t="shared" si="4"/>
        <v>0</v>
      </c>
      <c r="AD22" s="403">
        <f t="shared" si="5"/>
        <v>0</v>
      </c>
      <c r="AE22" s="404">
        <f t="shared" si="6"/>
        <v>0</v>
      </c>
    </row>
    <row r="23" ht="24" customHeight="1" spans="1:31">
      <c r="A23" s="194"/>
      <c r="B23" s="194"/>
      <c r="C23" s="195" t="s">
        <v>495</v>
      </c>
      <c r="D23" s="196" t="s">
        <v>624</v>
      </c>
      <c r="E23" s="196"/>
      <c r="F23" s="368"/>
      <c r="G23" s="195"/>
      <c r="H23" s="196"/>
      <c r="I23" s="196"/>
      <c r="J23" s="222"/>
      <c r="K23" s="348"/>
      <c r="L23" s="375" t="str">
        <f t="shared" si="3"/>
        <v>G12纯白</v>
      </c>
      <c r="M23" s="376"/>
      <c r="N23" s="377" t="s">
        <v>672</v>
      </c>
      <c r="O23" s="377" t="s">
        <v>718</v>
      </c>
      <c r="P23" s="376"/>
      <c r="Q23" s="377" t="s">
        <v>664</v>
      </c>
      <c r="R23" s="377">
        <v>325</v>
      </c>
      <c r="S23" s="377">
        <v>2</v>
      </c>
      <c r="T23" s="377" t="s">
        <v>719</v>
      </c>
      <c r="U23" s="377" t="s">
        <v>720</v>
      </c>
      <c r="V23" s="377" t="s">
        <v>721</v>
      </c>
      <c r="W23" s="376"/>
      <c r="X23" s="377">
        <v>1</v>
      </c>
      <c r="Y23" s="377">
        <v>0.5</v>
      </c>
      <c r="Z23" s="402">
        <v>0.6</v>
      </c>
      <c r="AA23" s="376"/>
      <c r="AB23" s="73"/>
      <c r="AC23" s="403">
        <f t="shared" si="4"/>
        <v>0</v>
      </c>
      <c r="AD23" s="403">
        <f t="shared" si="5"/>
        <v>0</v>
      </c>
      <c r="AE23" s="404">
        <f t="shared" si="6"/>
        <v>0</v>
      </c>
    </row>
    <row r="24" ht="15" customHeight="1" spans="1:31">
      <c r="A24" s="194"/>
      <c r="B24" s="194"/>
      <c r="C24" s="195"/>
      <c r="D24" s="195"/>
      <c r="E24" s="198"/>
      <c r="F24" s="368"/>
      <c r="G24" s="195"/>
      <c r="H24" s="157"/>
      <c r="I24" s="157"/>
      <c r="J24" s="222"/>
      <c r="K24" s="348"/>
      <c r="L24" s="375"/>
      <c r="M24" s="376"/>
      <c r="N24" s="377"/>
      <c r="O24" s="377"/>
      <c r="P24" s="376"/>
      <c r="Q24" s="377"/>
      <c r="R24" s="377"/>
      <c r="S24" s="377"/>
      <c r="T24" s="377"/>
      <c r="U24" s="377"/>
      <c r="V24" s="377"/>
      <c r="W24" s="376"/>
      <c r="X24" s="377"/>
      <c r="Y24" s="377"/>
      <c r="Z24" s="402"/>
      <c r="AA24" s="376"/>
      <c r="AB24" s="73"/>
      <c r="AC24" s="403"/>
      <c r="AD24" s="403"/>
      <c r="AE24" s="404"/>
    </row>
    <row r="25" ht="15" customHeight="1" spans="1:31">
      <c r="A25" s="194"/>
      <c r="B25" s="194"/>
      <c r="C25" s="195" t="s">
        <v>618</v>
      </c>
      <c r="D25" s="199"/>
      <c r="E25" s="199"/>
      <c r="F25" s="368"/>
      <c r="G25" s="225"/>
      <c r="H25" s="196"/>
      <c r="I25" s="196"/>
      <c r="J25" s="222"/>
      <c r="K25" s="348"/>
      <c r="L25" s="375"/>
      <c r="M25" s="376"/>
      <c r="N25" s="377"/>
      <c r="O25" s="377"/>
      <c r="P25" s="376"/>
      <c r="Q25" s="377"/>
      <c r="R25" s="377"/>
      <c r="S25" s="377"/>
      <c r="T25" s="377"/>
      <c r="U25" s="377"/>
      <c r="V25" s="377"/>
      <c r="W25" s="376"/>
      <c r="X25" s="377"/>
      <c r="Y25" s="377"/>
      <c r="Z25" s="402"/>
      <c r="AA25" s="376"/>
      <c r="AB25" s="73"/>
      <c r="AC25" s="403"/>
      <c r="AD25" s="403"/>
      <c r="AE25" s="404"/>
    </row>
    <row r="26" ht="15" spans="1:31">
      <c r="A26" s="200"/>
      <c r="B26" s="200"/>
      <c r="C26" s="200"/>
      <c r="D26" s="200"/>
      <c r="E26" s="200"/>
      <c r="F26" s="201"/>
      <c r="G26" s="200"/>
      <c r="H26" s="200"/>
      <c r="I26" s="200"/>
      <c r="J26" s="200"/>
      <c r="L26" s="382"/>
      <c r="M26" s="383"/>
      <c r="N26" s="384"/>
      <c r="O26" s="384"/>
      <c r="P26" s="383"/>
      <c r="Q26" s="384"/>
      <c r="R26" s="384"/>
      <c r="S26" s="384"/>
      <c r="T26" s="384"/>
      <c r="U26" s="384"/>
      <c r="V26" s="384"/>
      <c r="W26" s="383"/>
      <c r="X26" s="384"/>
      <c r="Y26" s="384"/>
      <c r="Z26" s="405"/>
      <c r="AA26" s="383"/>
      <c r="AB26" s="406"/>
      <c r="AC26" s="407"/>
      <c r="AD26" s="407"/>
      <c r="AE26" s="408"/>
    </row>
    <row r="27" ht="15"/>
    <row r="28" ht="54" spans="12:31">
      <c r="L28" s="385"/>
      <c r="M28" s="386" t="s">
        <v>722</v>
      </c>
      <c r="N28" s="386" t="s">
        <v>723</v>
      </c>
      <c r="O28" s="387" t="s">
        <v>724</v>
      </c>
      <c r="P28" s="387" t="s">
        <v>725</v>
      </c>
      <c r="Q28" s="387" t="s">
        <v>726</v>
      </c>
      <c r="R28" s="387">
        <v>35</v>
      </c>
      <c r="S28" s="387">
        <v>1</v>
      </c>
      <c r="T28" s="387" t="s">
        <v>727</v>
      </c>
      <c r="U28" s="387"/>
      <c r="V28" s="395"/>
      <c r="W28" s="387"/>
      <c r="X28" s="387"/>
      <c r="Y28" s="387"/>
      <c r="Z28" s="387"/>
      <c r="AA28" s="387"/>
      <c r="AB28" s="398"/>
      <c r="AC28" s="409">
        <f>+R28*S28/1000*$J$2</f>
        <v>0</v>
      </c>
      <c r="AD28" s="409"/>
      <c r="AE28" s="410"/>
    </row>
    <row r="29" ht="27" spans="12:31">
      <c r="L29" s="375"/>
      <c r="M29" s="388"/>
      <c r="N29" s="388"/>
      <c r="O29" s="389" t="s">
        <v>684</v>
      </c>
      <c r="P29" s="389" t="s">
        <v>725</v>
      </c>
      <c r="Q29" s="389" t="s">
        <v>726</v>
      </c>
      <c r="R29" s="389">
        <v>35</v>
      </c>
      <c r="S29" s="389">
        <v>1</v>
      </c>
      <c r="T29" s="389" t="s">
        <v>728</v>
      </c>
      <c r="U29" s="389"/>
      <c r="V29" s="396"/>
      <c r="W29" s="389"/>
      <c r="X29" s="389"/>
      <c r="Y29" s="389"/>
      <c r="Z29" s="389"/>
      <c r="AA29" s="389"/>
      <c r="AB29" s="73"/>
      <c r="AC29" s="403">
        <f>+R29*S29/1000*$J$2</f>
        <v>0</v>
      </c>
      <c r="AD29" s="403"/>
      <c r="AE29" s="404"/>
    </row>
    <row r="30" ht="27" spans="12:31">
      <c r="L30" s="375"/>
      <c r="M30" s="388"/>
      <c r="N30" s="388"/>
      <c r="O30" s="389" t="s">
        <v>729</v>
      </c>
      <c r="P30" s="389" t="s">
        <v>664</v>
      </c>
      <c r="Q30" s="389" t="s">
        <v>730</v>
      </c>
      <c r="R30" s="389">
        <v>323</v>
      </c>
      <c r="S30" s="389">
        <v>1</v>
      </c>
      <c r="T30" s="389" t="s">
        <v>731</v>
      </c>
      <c r="U30" s="389" t="s">
        <v>732</v>
      </c>
      <c r="V30" s="396" t="s">
        <v>733</v>
      </c>
      <c r="W30" s="389"/>
      <c r="X30" s="389">
        <v>1</v>
      </c>
      <c r="Y30" s="389">
        <v>0.4</v>
      </c>
      <c r="Z30" s="389">
        <v>0.35</v>
      </c>
      <c r="AA30" s="389"/>
      <c r="AB30" s="73"/>
      <c r="AC30" s="403">
        <f>+X30/(X30+Y30+Z30)*R30*S30/1000*$J$2</f>
        <v>0</v>
      </c>
      <c r="AD30" s="403">
        <f>+Y30/(X30+Y30+Z30)*R30*S30/1000*$J$2</f>
        <v>0</v>
      </c>
      <c r="AE30" s="404">
        <f>+Z30/(X30+Y30+Z30)*R30*S30/1000*$J$2</f>
        <v>0</v>
      </c>
    </row>
    <row r="31" ht="40.5" spans="12:31">
      <c r="L31" s="375"/>
      <c r="M31" s="388" t="s">
        <v>722</v>
      </c>
      <c r="N31" s="388" t="s">
        <v>734</v>
      </c>
      <c r="O31" s="389" t="s">
        <v>724</v>
      </c>
      <c r="P31" s="389" t="s">
        <v>725</v>
      </c>
      <c r="Q31" s="389" t="s">
        <v>726</v>
      </c>
      <c r="R31" s="389">
        <v>35</v>
      </c>
      <c r="S31" s="389">
        <v>1</v>
      </c>
      <c r="T31" s="389" t="s">
        <v>727</v>
      </c>
      <c r="U31" s="389"/>
      <c r="V31" s="396"/>
      <c r="W31" s="389"/>
      <c r="X31" s="389"/>
      <c r="Y31" s="389"/>
      <c r="Z31" s="389"/>
      <c r="AA31" s="389"/>
      <c r="AB31" s="73"/>
      <c r="AC31" s="403">
        <f>+R31*S31/1000*$J$2</f>
        <v>0</v>
      </c>
      <c r="AD31" s="403"/>
      <c r="AE31" s="404"/>
    </row>
    <row r="32" ht="27" spans="12:31">
      <c r="L32" s="375"/>
      <c r="M32" s="388"/>
      <c r="N32" s="388"/>
      <c r="O32" s="389" t="s">
        <v>684</v>
      </c>
      <c r="P32" s="389" t="s">
        <v>725</v>
      </c>
      <c r="Q32" s="389" t="s">
        <v>726</v>
      </c>
      <c r="R32" s="389">
        <v>35</v>
      </c>
      <c r="S32" s="389">
        <v>1</v>
      </c>
      <c r="T32" s="389" t="s">
        <v>728</v>
      </c>
      <c r="U32" s="389"/>
      <c r="V32" s="396"/>
      <c r="W32" s="389"/>
      <c r="X32" s="389"/>
      <c r="Y32" s="389"/>
      <c r="Z32" s="389"/>
      <c r="AA32" s="389"/>
      <c r="AB32" s="73"/>
      <c r="AC32" s="403">
        <f>+R32*S32/1000*$J$2</f>
        <v>0</v>
      </c>
      <c r="AD32" s="403"/>
      <c r="AE32" s="404"/>
    </row>
    <row r="33" ht="27.75" spans="12:31">
      <c r="L33" s="382"/>
      <c r="M33" s="390"/>
      <c r="N33" s="390"/>
      <c r="O33" s="391" t="s">
        <v>729</v>
      </c>
      <c r="P33" s="391" t="s">
        <v>664</v>
      </c>
      <c r="Q33" s="391" t="s">
        <v>730</v>
      </c>
      <c r="R33" s="391">
        <v>323</v>
      </c>
      <c r="S33" s="391">
        <v>1</v>
      </c>
      <c r="T33" s="391" t="s">
        <v>731</v>
      </c>
      <c r="U33" s="391" t="s">
        <v>732</v>
      </c>
      <c r="V33" s="397" t="s">
        <v>733</v>
      </c>
      <c r="W33" s="391"/>
      <c r="X33" s="391">
        <v>1</v>
      </c>
      <c r="Y33" s="391">
        <v>0.4</v>
      </c>
      <c r="Z33" s="391">
        <v>0.35</v>
      </c>
      <c r="AA33" s="391"/>
      <c r="AB33" s="406"/>
      <c r="AC33" s="407">
        <f>+X33/(X33+Y33+Z33)*R33*S33/1000*$J$2</f>
        <v>0</v>
      </c>
      <c r="AD33" s="407">
        <f>+Y33/(X33+Y33+Z33)*R33*S33/1000*$J$2</f>
        <v>0</v>
      </c>
      <c r="AE33" s="40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336" t="s">
        <v>735</v>
      </c>
      <c r="B1" s="336"/>
      <c r="C1" s="336"/>
      <c r="D1" s="336"/>
      <c r="E1" s="336"/>
      <c r="F1" s="336"/>
      <c r="G1" s="336"/>
      <c r="H1" s="336"/>
      <c r="I1" s="336"/>
    </row>
    <row r="2" customHeight="1" spans="7:9">
      <c r="G2" s="337" t="s">
        <v>621</v>
      </c>
      <c r="H2" s="338">
        <v>1</v>
      </c>
      <c r="I2" s="335" t="s">
        <v>622</v>
      </c>
    </row>
    <row r="3" customHeight="1" spans="1:9">
      <c r="A3" s="339" t="s">
        <v>3</v>
      </c>
      <c r="B3" s="339" t="e">
        <f>'作(5)'!C4</f>
        <v>#REF!</v>
      </c>
      <c r="C3" s="339"/>
      <c r="D3" s="339" t="s">
        <v>59</v>
      </c>
      <c r="E3" s="339" t="e">
        <f>'作(5)'!C5</f>
        <v>#REF!</v>
      </c>
      <c r="F3" s="339"/>
      <c r="G3" s="339" t="s">
        <v>300</v>
      </c>
      <c r="H3" s="339"/>
      <c r="I3" s="339"/>
    </row>
    <row r="4" customHeight="1" spans="1:9">
      <c r="A4" s="339" t="s">
        <v>301</v>
      </c>
      <c r="B4" s="339" t="str">
        <f>'作(5)'!K6</f>
        <v>左岸都市I</v>
      </c>
      <c r="C4" s="339"/>
      <c r="D4" s="339" t="s">
        <v>302</v>
      </c>
      <c r="E4" s="339" t="str">
        <f>'作(5)'!F6</f>
        <v>樱桃山纹N03-V</v>
      </c>
      <c r="F4" s="339"/>
      <c r="G4" s="339" t="s">
        <v>6</v>
      </c>
      <c r="H4" s="340">
        <f>'作(5)'!H5</f>
        <v>0</v>
      </c>
      <c r="I4" s="339"/>
    </row>
    <row r="5" customHeight="1" spans="1:9">
      <c r="A5" s="339" t="s">
        <v>4</v>
      </c>
      <c r="B5" s="339" t="e">
        <f>#REF!</f>
        <v>#REF!</v>
      </c>
      <c r="C5" s="339"/>
      <c r="D5" s="339" t="s">
        <v>5</v>
      </c>
      <c r="E5" s="339">
        <f>'料单 (5)'!D4</f>
        <v>0</v>
      </c>
      <c r="F5" s="339"/>
      <c r="G5" s="339" t="s">
        <v>7</v>
      </c>
      <c r="H5" s="339" t="e">
        <f>'料单 (5)'!L4</f>
        <v>#REF!</v>
      </c>
      <c r="I5" s="339"/>
    </row>
    <row r="6" customHeight="1" spans="1:9">
      <c r="A6" s="341" t="s">
        <v>9</v>
      </c>
      <c r="B6" s="339" t="s">
        <v>10</v>
      </c>
      <c r="C6" s="339" t="s">
        <v>304</v>
      </c>
      <c r="D6" s="339" t="s">
        <v>305</v>
      </c>
      <c r="E6" s="339" t="s">
        <v>12</v>
      </c>
      <c r="F6" s="339" t="s">
        <v>306</v>
      </c>
      <c r="G6" s="339" t="s">
        <v>307</v>
      </c>
      <c r="H6" s="339"/>
      <c r="I6" s="339"/>
    </row>
    <row r="7" customHeight="1" spans="1:9">
      <c r="A7" s="341" t="s">
        <v>23</v>
      </c>
      <c r="B7" s="341" t="s">
        <v>24</v>
      </c>
      <c r="C7" s="341" t="s">
        <v>25</v>
      </c>
      <c r="D7" s="339" t="s">
        <v>300</v>
      </c>
      <c r="E7" s="339" t="s">
        <v>26</v>
      </c>
      <c r="F7" s="341" t="s">
        <v>28</v>
      </c>
      <c r="G7" s="341" t="s">
        <v>29</v>
      </c>
      <c r="H7" s="341" t="s">
        <v>30</v>
      </c>
      <c r="I7" s="341"/>
    </row>
    <row r="8" customHeight="1" spans="1:9">
      <c r="A8" s="341">
        <v>1</v>
      </c>
      <c r="B8" s="341" t="s">
        <v>31</v>
      </c>
      <c r="C8" s="342" t="str">
        <f>'作(5)'!K4</f>
        <v>0块</v>
      </c>
      <c r="D8" s="341"/>
      <c r="E8" s="341"/>
      <c r="F8" s="341"/>
      <c r="G8" s="341"/>
      <c r="H8" s="339"/>
      <c r="I8" s="339"/>
    </row>
    <row r="9" customHeight="1" spans="1:9">
      <c r="A9" s="341">
        <v>2</v>
      </c>
      <c r="B9" s="341" t="s">
        <v>503</v>
      </c>
      <c r="C9" s="342"/>
      <c r="D9" s="341"/>
      <c r="E9" s="341"/>
      <c r="F9" s="341"/>
      <c r="G9" s="341"/>
      <c r="H9" s="339"/>
      <c r="I9" s="339"/>
    </row>
    <row r="10" customHeight="1" spans="1:9">
      <c r="A10" s="341">
        <v>3</v>
      </c>
      <c r="B10" s="341" t="s">
        <v>504</v>
      </c>
      <c r="C10" s="342"/>
      <c r="D10" s="341"/>
      <c r="E10" s="341"/>
      <c r="F10" s="341"/>
      <c r="G10" s="341"/>
      <c r="H10" s="339"/>
      <c r="I10" s="339"/>
    </row>
    <row r="11" customHeight="1" spans="1:9">
      <c r="A11" s="341">
        <v>4</v>
      </c>
      <c r="B11" s="341" t="s">
        <v>505</v>
      </c>
      <c r="C11" s="342"/>
      <c r="D11" s="341"/>
      <c r="E11" s="341"/>
      <c r="F11" s="341"/>
      <c r="G11" s="341"/>
      <c r="H11" s="339"/>
      <c r="I11" s="339"/>
    </row>
    <row r="12" customHeight="1" spans="1:9">
      <c r="A12" s="341">
        <v>5</v>
      </c>
      <c r="B12" s="341" t="s">
        <v>506</v>
      </c>
      <c r="C12" s="342"/>
      <c r="D12" s="341"/>
      <c r="E12" s="341"/>
      <c r="F12" s="341"/>
      <c r="G12" s="341"/>
      <c r="H12" s="339"/>
      <c r="I12" s="339"/>
    </row>
    <row r="13" customHeight="1" spans="1:9">
      <c r="A13" s="341">
        <v>6</v>
      </c>
      <c r="B13" s="341" t="s">
        <v>507</v>
      </c>
      <c r="C13" s="342" t="str">
        <f>C8</f>
        <v>0块</v>
      </c>
      <c r="D13" s="341"/>
      <c r="E13" s="341"/>
      <c r="F13" s="341"/>
      <c r="G13" s="341"/>
      <c r="H13" s="339"/>
      <c r="I13" s="339"/>
    </row>
    <row r="14" customHeight="1" spans="1:9">
      <c r="A14" s="341">
        <v>7</v>
      </c>
      <c r="B14" s="341" t="s">
        <v>508</v>
      </c>
      <c r="C14" s="342" t="str">
        <f>C13</f>
        <v>0块</v>
      </c>
      <c r="D14" s="341"/>
      <c r="E14" s="341"/>
      <c r="F14" s="341"/>
      <c r="G14" s="341"/>
      <c r="H14" s="339"/>
      <c r="I14" s="339"/>
    </row>
    <row r="15" customHeight="1" spans="1:9">
      <c r="A15" s="341">
        <v>8</v>
      </c>
      <c r="B15" s="341" t="s">
        <v>509</v>
      </c>
      <c r="C15" s="342" t="str">
        <f>C14</f>
        <v>0块</v>
      </c>
      <c r="D15" s="341"/>
      <c r="E15" s="341"/>
      <c r="F15" s="341"/>
      <c r="G15" s="341"/>
      <c r="H15" s="339"/>
      <c r="I15" s="339"/>
    </row>
    <row r="16" customHeight="1" spans="1:9">
      <c r="A16" s="341">
        <v>9</v>
      </c>
      <c r="B16" s="341" t="s">
        <v>510</v>
      </c>
      <c r="C16" s="342" t="str">
        <f>C15</f>
        <v>0块</v>
      </c>
      <c r="D16" s="341"/>
      <c r="E16" s="342"/>
      <c r="F16" s="341"/>
      <c r="G16" s="341"/>
      <c r="H16" s="339"/>
      <c r="I16" s="339"/>
    </row>
    <row r="17" customHeight="1" spans="1:9">
      <c r="A17" s="341">
        <v>10</v>
      </c>
      <c r="B17" s="341" t="s">
        <v>511</v>
      </c>
      <c r="C17" s="342" t="str">
        <f>C16</f>
        <v>0块</v>
      </c>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512</v>
      </c>
      <c r="C22" s="342"/>
      <c r="D22" s="341"/>
      <c r="E22" s="341"/>
      <c r="F22" s="341"/>
      <c r="G22" s="341"/>
      <c r="H22" s="339"/>
      <c r="I22" s="339"/>
    </row>
    <row r="23" customHeight="1" spans="1:9">
      <c r="A23" s="341">
        <v>16</v>
      </c>
      <c r="B23" s="341" t="s">
        <v>513</v>
      </c>
      <c r="C23" s="342"/>
      <c r="D23" s="341"/>
      <c r="E23" s="341"/>
      <c r="F23" s="341"/>
      <c r="G23" s="341"/>
      <c r="H23" s="339"/>
      <c r="I23" s="339"/>
    </row>
    <row r="24" customHeight="1" spans="1:9">
      <c r="A24" s="341">
        <v>17</v>
      </c>
      <c r="B24" s="341" t="s">
        <v>514</v>
      </c>
      <c r="C24" s="342"/>
      <c r="D24" s="341"/>
      <c r="E24" s="341"/>
      <c r="F24" s="341"/>
      <c r="G24" s="341"/>
      <c r="H24" s="339"/>
      <c r="I24" s="339"/>
    </row>
    <row r="25" customHeight="1" spans="1:9">
      <c r="A25" s="341">
        <v>18</v>
      </c>
      <c r="B25" s="341" t="s">
        <v>515</v>
      </c>
      <c r="C25" s="342" t="str">
        <f>C17</f>
        <v>0块</v>
      </c>
      <c r="D25" s="341"/>
      <c r="E25" s="341"/>
      <c r="F25" s="341"/>
      <c r="G25" s="341"/>
      <c r="H25" s="339"/>
      <c r="I25" s="339"/>
    </row>
    <row r="26" customHeight="1" spans="1:9">
      <c r="A26" s="341">
        <v>19</v>
      </c>
      <c r="B26" s="341" t="s">
        <v>516</v>
      </c>
      <c r="C26" s="342" t="str">
        <f t="shared" ref="C26:C35" si="0">C25</f>
        <v>0块</v>
      </c>
      <c r="D26" s="341"/>
      <c r="E26" s="341"/>
      <c r="F26" s="341"/>
      <c r="G26" s="341"/>
      <c r="H26" s="339"/>
      <c r="I26" s="339"/>
    </row>
    <row r="27" customHeight="1" spans="1:9">
      <c r="A27" s="341">
        <v>20</v>
      </c>
      <c r="B27" s="341" t="s">
        <v>517</v>
      </c>
      <c r="C27" s="342" t="str">
        <f t="shared" si="0"/>
        <v>0块</v>
      </c>
      <c r="D27" s="341"/>
      <c r="E27" s="341"/>
      <c r="F27" s="341"/>
      <c r="G27" s="341"/>
      <c r="H27" s="339"/>
      <c r="I27" s="339"/>
    </row>
    <row r="28" customHeight="1" spans="1:9">
      <c r="A28" s="341">
        <v>21</v>
      </c>
      <c r="B28" s="341" t="s">
        <v>518</v>
      </c>
      <c r="C28" s="342" t="str">
        <f t="shared" si="0"/>
        <v>0块</v>
      </c>
      <c r="D28" s="341"/>
      <c r="E28" s="341"/>
      <c r="F28" s="341"/>
      <c r="G28" s="341"/>
      <c r="H28" s="339"/>
      <c r="I28" s="339"/>
    </row>
    <row r="29" customHeight="1" spans="1:9">
      <c r="A29" s="341">
        <v>22</v>
      </c>
      <c r="B29" s="341" t="s">
        <v>519</v>
      </c>
      <c r="C29" s="342" t="str">
        <f t="shared" si="0"/>
        <v>0块</v>
      </c>
      <c r="D29" s="341"/>
      <c r="E29" s="341"/>
      <c r="F29" s="341"/>
      <c r="G29" s="341"/>
      <c r="H29" s="339"/>
      <c r="I29" s="339"/>
    </row>
    <row r="30" customHeight="1" spans="1:9">
      <c r="A30" s="341">
        <v>23</v>
      </c>
      <c r="B30" s="341" t="s">
        <v>520</v>
      </c>
      <c r="C30" s="342" t="str">
        <f t="shared" si="0"/>
        <v>0块</v>
      </c>
      <c r="D30" s="341"/>
      <c r="E30" s="341"/>
      <c r="F30" s="341"/>
      <c r="G30" s="341"/>
      <c r="H30" s="339"/>
      <c r="I30" s="339"/>
    </row>
    <row r="31" customHeight="1" spans="1:9">
      <c r="A31" s="341">
        <v>24</v>
      </c>
      <c r="B31" s="341" t="s">
        <v>521</v>
      </c>
      <c r="C31" s="342" t="str">
        <f t="shared" si="0"/>
        <v>0块</v>
      </c>
      <c r="D31" s="341"/>
      <c r="E31" s="341"/>
      <c r="F31" s="341"/>
      <c r="G31" s="341"/>
      <c r="H31" s="339"/>
      <c r="I31" s="339"/>
    </row>
    <row r="32" customHeight="1" spans="1:9">
      <c r="A32" s="341">
        <v>25</v>
      </c>
      <c r="B32" s="341" t="s">
        <v>522</v>
      </c>
      <c r="C32" s="342" t="str">
        <f t="shared" si="0"/>
        <v>0块</v>
      </c>
      <c r="D32" s="341"/>
      <c r="E32" s="341"/>
      <c r="F32" s="341"/>
      <c r="G32" s="341"/>
      <c r="H32" s="339"/>
      <c r="I32" s="339"/>
    </row>
    <row r="33" customHeight="1" spans="1:9">
      <c r="A33" s="341">
        <v>26</v>
      </c>
      <c r="B33" s="341" t="s">
        <v>523</v>
      </c>
      <c r="C33" s="341" t="str">
        <f t="shared" si="0"/>
        <v>0块</v>
      </c>
      <c r="D33" s="341"/>
      <c r="E33" s="341"/>
      <c r="F33" s="341"/>
      <c r="G33" s="341"/>
      <c r="H33" s="339"/>
      <c r="I33" s="339"/>
    </row>
    <row r="34" customHeight="1" spans="1:9">
      <c r="A34" s="341">
        <v>27</v>
      </c>
      <c r="B34" s="341" t="s">
        <v>524</v>
      </c>
      <c r="C34" s="341" t="str">
        <f t="shared" si="0"/>
        <v>0块</v>
      </c>
      <c r="D34" s="341"/>
      <c r="E34" s="341"/>
      <c r="F34" s="341"/>
      <c r="G34" s="341"/>
      <c r="H34" s="339"/>
      <c r="I34" s="339"/>
    </row>
    <row r="35" customHeight="1" spans="1:9">
      <c r="A35" s="341">
        <v>28</v>
      </c>
      <c r="B35" s="341" t="s">
        <v>525</v>
      </c>
      <c r="C35" s="341" t="str">
        <f t="shared" si="0"/>
        <v>0块</v>
      </c>
      <c r="D35" s="341"/>
      <c r="E35" s="341"/>
      <c r="F35" s="341"/>
      <c r="G35" s="341"/>
      <c r="H35" s="339"/>
      <c r="I35" s="339"/>
    </row>
    <row r="36" customHeight="1" spans="1:9">
      <c r="A36" s="341">
        <v>29</v>
      </c>
      <c r="B36" s="341" t="s">
        <v>526</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527</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528</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529</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4" t="s">
        <v>624</v>
      </c>
      <c r="D47" s="345"/>
      <c r="E47" s="346" t="s">
        <v>530</v>
      </c>
      <c r="F47" s="343"/>
      <c r="G47" s="343"/>
      <c r="H47" s="343"/>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271" customWidth="1"/>
    <col min="2" max="2" width="6.25" style="271" customWidth="1"/>
    <col min="3" max="3" width="6.375" style="271" customWidth="1"/>
    <col min="4" max="4" width="5.375" style="271" customWidth="1"/>
    <col min="5" max="5" width="5.875" style="271" customWidth="1"/>
    <col min="6" max="6" width="5.75" style="271" customWidth="1"/>
    <col min="7" max="7" width="5.25" style="271" customWidth="1"/>
    <col min="8" max="9" width="7.125" style="271" customWidth="1"/>
    <col min="10" max="10" width="9" style="271"/>
    <col min="11" max="11" width="12.25" style="271" customWidth="1"/>
    <col min="12" max="17" width="9" style="271"/>
    <col min="18" max="18" width="19" style="271" customWidth="1"/>
    <col min="19" max="16384" width="9" style="271"/>
  </cols>
  <sheetData>
    <row r="1" ht="12.95" customHeight="1" spans="1:5">
      <c r="A1" s="272"/>
      <c r="B1" s="272"/>
      <c r="C1" s="272"/>
      <c r="D1" s="272"/>
      <c r="E1" s="272"/>
    </row>
    <row r="2" ht="12.95" customHeight="1" spans="1:11">
      <c r="A2" s="273"/>
      <c r="B2" s="273"/>
      <c r="C2" s="273"/>
      <c r="D2" s="273"/>
      <c r="E2" s="272"/>
      <c r="F2" s="274" t="s">
        <v>625</v>
      </c>
      <c r="G2" s="274"/>
      <c r="H2" s="274"/>
      <c r="I2" s="274"/>
      <c r="J2" s="274"/>
      <c r="K2" s="274"/>
    </row>
    <row r="3" ht="20.25" spans="1:18">
      <c r="A3" s="275" t="s">
        <v>736</v>
      </c>
      <c r="B3" s="275"/>
      <c r="C3" s="275"/>
      <c r="D3" s="275"/>
      <c r="E3" s="275"/>
      <c r="F3" s="275"/>
      <c r="G3" s="275"/>
      <c r="H3" s="275"/>
      <c r="I3" s="275"/>
      <c r="J3" s="275"/>
      <c r="K3" s="275"/>
      <c r="R3" s="271" t="s">
        <v>737</v>
      </c>
    </row>
    <row r="4" ht="18" customHeight="1" spans="1:18">
      <c r="A4" s="276" t="s">
        <v>533</v>
      </c>
      <c r="B4" s="276"/>
      <c r="C4" s="277" t="e">
        <f>#REF!</f>
        <v>#REF!</v>
      </c>
      <c r="D4" s="277"/>
      <c r="E4" s="277"/>
      <c r="F4" s="278" t="s">
        <v>738</v>
      </c>
      <c r="G4" s="278"/>
      <c r="H4" s="277"/>
      <c r="I4" s="277"/>
      <c r="J4" s="276" t="s">
        <v>534</v>
      </c>
      <c r="K4" s="315" t="str">
        <f>SUM(G10:G37)&amp;"块"</f>
        <v>0块</v>
      </c>
      <c r="R4" s="271" t="s">
        <v>739</v>
      </c>
    </row>
    <row r="5" ht="19.5" customHeight="1" spans="1:18">
      <c r="A5" s="278" t="s">
        <v>740</v>
      </c>
      <c r="B5" s="278"/>
      <c r="C5" s="279" t="e">
        <f>#REF!</f>
        <v>#REF!</v>
      </c>
      <c r="D5" s="279"/>
      <c r="E5" s="279"/>
      <c r="F5" s="278" t="s">
        <v>57</v>
      </c>
      <c r="G5" s="278"/>
      <c r="H5" s="280"/>
      <c r="I5" s="281"/>
      <c r="J5" s="276" t="s">
        <v>741</v>
      </c>
      <c r="K5" s="316" t="e">
        <f>#REF!</f>
        <v>#REF!</v>
      </c>
      <c r="L5" s="271" t="s">
        <v>742</v>
      </c>
      <c r="R5" s="271" t="s">
        <v>743</v>
      </c>
    </row>
    <row r="6" ht="19.5" customHeight="1" spans="1:18">
      <c r="A6" s="278" t="s">
        <v>538</v>
      </c>
      <c r="B6" s="278"/>
      <c r="C6" s="281" t="s">
        <v>744</v>
      </c>
      <c r="D6" s="281"/>
      <c r="E6" s="281"/>
      <c r="F6" s="282" t="s">
        <v>739</v>
      </c>
      <c r="G6" s="282"/>
      <c r="H6" s="282"/>
      <c r="I6" s="277" t="s">
        <v>366</v>
      </c>
      <c r="J6" s="317" t="s">
        <v>745</v>
      </c>
      <c r="K6" s="318" t="s">
        <v>746</v>
      </c>
      <c r="M6" s="271" t="s">
        <v>747</v>
      </c>
      <c r="R6" s="271" t="s">
        <v>748</v>
      </c>
    </row>
    <row r="7" ht="24.75" customHeight="1" spans="1:18">
      <c r="A7" s="283" t="s">
        <v>364</v>
      </c>
      <c r="B7" s="283"/>
      <c r="C7" s="283"/>
      <c r="D7" s="283"/>
      <c r="E7" s="283"/>
      <c r="F7" s="283"/>
      <c r="G7" s="283"/>
      <c r="H7" s="283"/>
      <c r="I7" s="283"/>
      <c r="J7" s="283"/>
      <c r="K7" s="283"/>
      <c r="R7" s="271" t="s">
        <v>749</v>
      </c>
    </row>
    <row r="8" ht="18" customHeight="1" spans="1:18">
      <c r="A8" s="284" t="s">
        <v>361</v>
      </c>
      <c r="B8" s="285" t="s">
        <v>362</v>
      </c>
      <c r="C8" s="285"/>
      <c r="D8" s="285"/>
      <c r="E8" s="285" t="s">
        <v>363</v>
      </c>
      <c r="F8" s="285"/>
      <c r="G8" s="285"/>
      <c r="H8" s="286" t="s">
        <v>750</v>
      </c>
      <c r="I8" s="319"/>
      <c r="J8" s="319" t="s">
        <v>751</v>
      </c>
      <c r="K8" s="320"/>
      <c r="R8" s="271" t="s">
        <v>752</v>
      </c>
    </row>
    <row r="9" ht="22.5" customHeight="1" spans="1:16">
      <c r="A9" s="287" t="s">
        <v>369</v>
      </c>
      <c r="B9" s="288" t="s">
        <v>370</v>
      </c>
      <c r="C9" s="288" t="s">
        <v>371</v>
      </c>
      <c r="D9" s="288" t="s">
        <v>83</v>
      </c>
      <c r="E9" s="288" t="s">
        <v>370</v>
      </c>
      <c r="F9" s="289" t="s">
        <v>371</v>
      </c>
      <c r="G9" s="288" t="s">
        <v>83</v>
      </c>
      <c r="H9" s="290" t="s">
        <v>753</v>
      </c>
      <c r="I9" s="321"/>
      <c r="J9" s="290" t="s">
        <v>30</v>
      </c>
      <c r="K9" s="322"/>
      <c r="L9" s="323" t="s">
        <v>350</v>
      </c>
      <c r="M9" s="323" t="s">
        <v>379</v>
      </c>
      <c r="N9" s="324" t="s">
        <v>546</v>
      </c>
      <c r="O9" s="271" t="s">
        <v>754</v>
      </c>
      <c r="P9" s="271" t="s">
        <v>755</v>
      </c>
    </row>
    <row r="10" ht="17.1" customHeight="1" spans="1:16">
      <c r="A10" s="291"/>
      <c r="B10" s="292"/>
      <c r="C10" s="292"/>
      <c r="D10" s="292"/>
      <c r="E10" s="292">
        <f>C10+10</f>
        <v>10</v>
      </c>
      <c r="F10" s="293">
        <f>B10+10</f>
        <v>10</v>
      </c>
      <c r="G10" s="292">
        <f>D10</f>
        <v>0</v>
      </c>
      <c r="H10" s="294"/>
      <c r="I10" s="325"/>
      <c r="J10" s="326"/>
      <c r="K10" s="327"/>
      <c r="L10" s="271">
        <f>((B10+C10)*2+240)*G10/1000</f>
        <v>0</v>
      </c>
      <c r="M10" s="271">
        <f>B10*C10*D10/1000000</f>
        <v>0</v>
      </c>
      <c r="N10" s="271">
        <f>E10*F10*G10/1000000/2.88/0.85</f>
        <v>0</v>
      </c>
      <c r="O10" s="271">
        <f>(B10*C10*D10/1000000)*2</f>
        <v>0</v>
      </c>
      <c r="P10" s="271">
        <f>O10/0.6</f>
        <v>0</v>
      </c>
    </row>
    <row r="11" ht="17.1" customHeight="1" spans="1:16">
      <c r="A11" s="291"/>
      <c r="B11" s="292"/>
      <c r="C11" s="292"/>
      <c r="D11" s="292"/>
      <c r="E11" s="292">
        <f t="shared" ref="E11:E33" si="0">C11+10</f>
        <v>10</v>
      </c>
      <c r="F11" s="293">
        <f t="shared" ref="F11:F33" si="1">B11+10</f>
        <v>10</v>
      </c>
      <c r="G11" s="292">
        <f t="shared" ref="G11:G33" si="2">D11</f>
        <v>0</v>
      </c>
      <c r="H11" s="294"/>
      <c r="I11" s="325"/>
      <c r="J11" s="326"/>
      <c r="K11" s="327"/>
      <c r="L11" s="271">
        <f t="shared" ref="L11:L37" si="3">((B11+C11)*2+240)*G11/1000</f>
        <v>0</v>
      </c>
      <c r="M11" s="271">
        <f t="shared" ref="M11:M37" si="4">B11*C11*D11/1000000</f>
        <v>0</v>
      </c>
      <c r="N11" s="271">
        <f t="shared" ref="N11:N37" si="5">E11*F11*G11/1000000/2.88/0.85</f>
        <v>0</v>
      </c>
      <c r="O11" s="271">
        <f t="shared" ref="O11:O37" si="6">(B11*C11*D11/1000000)*2</f>
        <v>0</v>
      </c>
      <c r="P11" s="271">
        <f t="shared" ref="P11:P37" si="7">O11/0.6</f>
        <v>0</v>
      </c>
    </row>
    <row r="12" ht="17.1" customHeight="1" spans="1:16">
      <c r="A12" s="291"/>
      <c r="B12" s="292"/>
      <c r="C12" s="292"/>
      <c r="D12" s="292"/>
      <c r="E12" s="292">
        <f t="shared" si="0"/>
        <v>10</v>
      </c>
      <c r="F12" s="293">
        <f t="shared" si="1"/>
        <v>10</v>
      </c>
      <c r="G12" s="292">
        <f t="shared" si="2"/>
        <v>0</v>
      </c>
      <c r="H12" s="294"/>
      <c r="I12" s="325"/>
      <c r="J12" s="326"/>
      <c r="K12" s="327"/>
      <c r="L12" s="271">
        <f t="shared" si="3"/>
        <v>0</v>
      </c>
      <c r="M12" s="271">
        <f t="shared" si="4"/>
        <v>0</v>
      </c>
      <c r="N12" s="271">
        <f t="shared" si="5"/>
        <v>0</v>
      </c>
      <c r="O12" s="271">
        <f t="shared" si="6"/>
        <v>0</v>
      </c>
      <c r="P12" s="271">
        <f t="shared" si="7"/>
        <v>0</v>
      </c>
    </row>
    <row r="13" ht="17.1" customHeight="1" spans="1:16">
      <c r="A13" s="291"/>
      <c r="B13" s="292"/>
      <c r="C13" s="292"/>
      <c r="D13" s="292"/>
      <c r="E13" s="292">
        <f t="shared" si="0"/>
        <v>10</v>
      </c>
      <c r="F13" s="293">
        <f t="shared" si="1"/>
        <v>10</v>
      </c>
      <c r="G13" s="292">
        <f t="shared" si="2"/>
        <v>0</v>
      </c>
      <c r="H13" s="294"/>
      <c r="I13" s="325"/>
      <c r="J13" s="326"/>
      <c r="K13" s="327"/>
      <c r="L13" s="271">
        <f t="shared" si="3"/>
        <v>0</v>
      </c>
      <c r="M13" s="271">
        <f t="shared" si="4"/>
        <v>0</v>
      </c>
      <c r="N13" s="271">
        <f t="shared" si="5"/>
        <v>0</v>
      </c>
      <c r="O13" s="271">
        <f t="shared" si="6"/>
        <v>0</v>
      </c>
      <c r="P13" s="271">
        <f t="shared" si="7"/>
        <v>0</v>
      </c>
    </row>
    <row r="14" ht="17.1" customHeight="1" spans="1:16">
      <c r="A14" s="291"/>
      <c r="B14" s="292"/>
      <c r="C14" s="292"/>
      <c r="D14" s="292"/>
      <c r="E14" s="292">
        <f t="shared" si="0"/>
        <v>10</v>
      </c>
      <c r="F14" s="293">
        <f t="shared" si="1"/>
        <v>10</v>
      </c>
      <c r="G14" s="292">
        <f t="shared" si="2"/>
        <v>0</v>
      </c>
      <c r="H14" s="294"/>
      <c r="I14" s="325"/>
      <c r="J14" s="326"/>
      <c r="K14" s="327"/>
      <c r="L14" s="271">
        <f t="shared" si="3"/>
        <v>0</v>
      </c>
      <c r="M14" s="271">
        <f t="shared" si="4"/>
        <v>0</v>
      </c>
      <c r="N14" s="271">
        <f t="shared" si="5"/>
        <v>0</v>
      </c>
      <c r="O14" s="271">
        <f t="shared" si="6"/>
        <v>0</v>
      </c>
      <c r="P14" s="271">
        <f t="shared" si="7"/>
        <v>0</v>
      </c>
    </row>
    <row r="15" ht="17.1" customHeight="1" spans="1:16">
      <c r="A15" s="291"/>
      <c r="B15" s="292"/>
      <c r="C15" s="292"/>
      <c r="D15" s="292"/>
      <c r="E15" s="292">
        <f t="shared" si="0"/>
        <v>10</v>
      </c>
      <c r="F15" s="293">
        <f t="shared" si="1"/>
        <v>10</v>
      </c>
      <c r="G15" s="292">
        <f t="shared" si="2"/>
        <v>0</v>
      </c>
      <c r="H15" s="294"/>
      <c r="I15" s="325"/>
      <c r="J15" s="326"/>
      <c r="K15" s="327"/>
      <c r="L15" s="271">
        <f t="shared" si="3"/>
        <v>0</v>
      </c>
      <c r="M15" s="271">
        <f t="shared" si="4"/>
        <v>0</v>
      </c>
      <c r="N15" s="271">
        <f t="shared" si="5"/>
        <v>0</v>
      </c>
      <c r="O15" s="271">
        <f t="shared" si="6"/>
        <v>0</v>
      </c>
      <c r="P15" s="271">
        <f t="shared" si="7"/>
        <v>0</v>
      </c>
    </row>
    <row r="16" ht="17.1" customHeight="1" spans="1:16">
      <c r="A16" s="291"/>
      <c r="B16" s="292"/>
      <c r="C16" s="292"/>
      <c r="D16" s="292"/>
      <c r="E16" s="292">
        <f t="shared" si="0"/>
        <v>10</v>
      </c>
      <c r="F16" s="293">
        <f t="shared" si="1"/>
        <v>10</v>
      </c>
      <c r="G16" s="292">
        <f t="shared" si="2"/>
        <v>0</v>
      </c>
      <c r="H16" s="294"/>
      <c r="I16" s="325"/>
      <c r="J16" s="326"/>
      <c r="K16" s="327"/>
      <c r="L16" s="271">
        <f t="shared" si="3"/>
        <v>0</v>
      </c>
      <c r="M16" s="271">
        <f t="shared" si="4"/>
        <v>0</v>
      </c>
      <c r="N16" s="271">
        <f t="shared" si="5"/>
        <v>0</v>
      </c>
      <c r="O16" s="271">
        <f t="shared" si="6"/>
        <v>0</v>
      </c>
      <c r="P16" s="271">
        <f t="shared" si="7"/>
        <v>0</v>
      </c>
    </row>
    <row r="17" ht="17.1" customHeight="1" spans="1:16">
      <c r="A17" s="291"/>
      <c r="B17" s="292"/>
      <c r="C17" s="292"/>
      <c r="D17" s="292"/>
      <c r="E17" s="292">
        <f t="shared" si="0"/>
        <v>10</v>
      </c>
      <c r="F17" s="293">
        <f t="shared" si="1"/>
        <v>10</v>
      </c>
      <c r="G17" s="292">
        <f t="shared" si="2"/>
        <v>0</v>
      </c>
      <c r="H17" s="294"/>
      <c r="I17" s="325"/>
      <c r="J17" s="326"/>
      <c r="K17" s="327"/>
      <c r="L17" s="271">
        <f t="shared" si="3"/>
        <v>0</v>
      </c>
      <c r="M17" s="271">
        <f t="shared" si="4"/>
        <v>0</v>
      </c>
      <c r="N17" s="271">
        <f t="shared" si="5"/>
        <v>0</v>
      </c>
      <c r="O17" s="271">
        <f t="shared" si="6"/>
        <v>0</v>
      </c>
      <c r="P17" s="271">
        <f t="shared" si="7"/>
        <v>0</v>
      </c>
    </row>
    <row r="18" ht="17.1" customHeight="1" spans="1:16">
      <c r="A18" s="291"/>
      <c r="B18" s="292"/>
      <c r="C18" s="292"/>
      <c r="D18" s="292"/>
      <c r="E18" s="292">
        <f t="shared" si="0"/>
        <v>10</v>
      </c>
      <c r="F18" s="293">
        <f t="shared" si="1"/>
        <v>10</v>
      </c>
      <c r="G18" s="292">
        <f t="shared" si="2"/>
        <v>0</v>
      </c>
      <c r="H18" s="294"/>
      <c r="I18" s="325"/>
      <c r="J18" s="326"/>
      <c r="K18" s="327"/>
      <c r="L18" s="271">
        <f t="shared" si="3"/>
        <v>0</v>
      </c>
      <c r="M18" s="271">
        <f t="shared" si="4"/>
        <v>0</v>
      </c>
      <c r="N18" s="271">
        <f t="shared" si="5"/>
        <v>0</v>
      </c>
      <c r="O18" s="271">
        <f t="shared" si="6"/>
        <v>0</v>
      </c>
      <c r="P18" s="271">
        <f t="shared" si="7"/>
        <v>0</v>
      </c>
    </row>
    <row r="19" ht="17.1" customHeight="1" spans="1:16">
      <c r="A19" s="291"/>
      <c r="B19" s="292"/>
      <c r="C19" s="292"/>
      <c r="D19" s="292"/>
      <c r="E19" s="292">
        <f t="shared" si="0"/>
        <v>10</v>
      </c>
      <c r="F19" s="293">
        <f t="shared" si="1"/>
        <v>10</v>
      </c>
      <c r="G19" s="292">
        <f t="shared" si="2"/>
        <v>0</v>
      </c>
      <c r="H19" s="294"/>
      <c r="I19" s="325"/>
      <c r="J19" s="326"/>
      <c r="K19" s="327"/>
      <c r="L19" s="271">
        <f t="shared" si="3"/>
        <v>0</v>
      </c>
      <c r="M19" s="271">
        <f t="shared" si="4"/>
        <v>0</v>
      </c>
      <c r="N19" s="271">
        <f t="shared" si="5"/>
        <v>0</v>
      </c>
      <c r="O19" s="271">
        <f t="shared" si="6"/>
        <v>0</v>
      </c>
      <c r="P19" s="271">
        <f t="shared" si="7"/>
        <v>0</v>
      </c>
    </row>
    <row r="20" ht="17.1" customHeight="1" spans="1:16">
      <c r="A20" s="291"/>
      <c r="B20" s="292"/>
      <c r="C20" s="292"/>
      <c r="D20" s="292"/>
      <c r="E20" s="292">
        <f t="shared" si="0"/>
        <v>10</v>
      </c>
      <c r="F20" s="293">
        <f t="shared" si="1"/>
        <v>10</v>
      </c>
      <c r="G20" s="292">
        <f t="shared" si="2"/>
        <v>0</v>
      </c>
      <c r="H20" s="294"/>
      <c r="I20" s="325"/>
      <c r="J20" s="326"/>
      <c r="K20" s="327"/>
      <c r="L20" s="271">
        <f t="shared" si="3"/>
        <v>0</v>
      </c>
      <c r="M20" s="271">
        <f t="shared" si="4"/>
        <v>0</v>
      </c>
      <c r="N20" s="271">
        <f t="shared" si="5"/>
        <v>0</v>
      </c>
      <c r="O20" s="271">
        <f t="shared" si="6"/>
        <v>0</v>
      </c>
      <c r="P20" s="271">
        <f t="shared" si="7"/>
        <v>0</v>
      </c>
    </row>
    <row r="21" ht="17.1" customHeight="1" spans="1:16">
      <c r="A21" s="291"/>
      <c r="B21" s="292"/>
      <c r="C21" s="292"/>
      <c r="D21" s="292"/>
      <c r="E21" s="292">
        <f t="shared" si="0"/>
        <v>10</v>
      </c>
      <c r="F21" s="293">
        <f t="shared" si="1"/>
        <v>10</v>
      </c>
      <c r="G21" s="292">
        <f t="shared" si="2"/>
        <v>0</v>
      </c>
      <c r="H21" s="294"/>
      <c r="I21" s="325"/>
      <c r="J21" s="326"/>
      <c r="K21" s="327"/>
      <c r="L21" s="271">
        <f t="shared" si="3"/>
        <v>0</v>
      </c>
      <c r="M21" s="271">
        <f t="shared" si="4"/>
        <v>0</v>
      </c>
      <c r="N21" s="271">
        <f t="shared" si="5"/>
        <v>0</v>
      </c>
      <c r="O21" s="271">
        <f t="shared" si="6"/>
        <v>0</v>
      </c>
      <c r="P21" s="271">
        <f t="shared" si="7"/>
        <v>0</v>
      </c>
    </row>
    <row r="22" ht="17.1" customHeight="1" spans="1:16">
      <c r="A22" s="291"/>
      <c r="B22" s="292"/>
      <c r="C22" s="292"/>
      <c r="D22" s="292"/>
      <c r="E22" s="292">
        <f t="shared" si="0"/>
        <v>10</v>
      </c>
      <c r="F22" s="293">
        <f t="shared" si="1"/>
        <v>10</v>
      </c>
      <c r="G22" s="292">
        <f t="shared" si="2"/>
        <v>0</v>
      </c>
      <c r="H22" s="294"/>
      <c r="I22" s="325"/>
      <c r="J22" s="326"/>
      <c r="K22" s="327"/>
      <c r="L22" s="271">
        <f t="shared" si="3"/>
        <v>0</v>
      </c>
      <c r="M22" s="271">
        <f t="shared" si="4"/>
        <v>0</v>
      </c>
      <c r="N22" s="271">
        <f t="shared" si="5"/>
        <v>0</v>
      </c>
      <c r="O22" s="271">
        <f t="shared" si="6"/>
        <v>0</v>
      </c>
      <c r="P22" s="271">
        <f t="shared" si="7"/>
        <v>0</v>
      </c>
    </row>
    <row r="23" ht="17.1" customHeight="1" spans="1:16">
      <c r="A23" s="291"/>
      <c r="B23" s="292"/>
      <c r="C23" s="292"/>
      <c r="D23" s="292"/>
      <c r="E23" s="292">
        <f t="shared" si="0"/>
        <v>10</v>
      </c>
      <c r="F23" s="293">
        <f t="shared" si="1"/>
        <v>10</v>
      </c>
      <c r="G23" s="292">
        <f t="shared" si="2"/>
        <v>0</v>
      </c>
      <c r="H23" s="294"/>
      <c r="I23" s="325"/>
      <c r="J23" s="326"/>
      <c r="K23" s="327"/>
      <c r="L23" s="271">
        <f t="shared" si="3"/>
        <v>0</v>
      </c>
      <c r="M23" s="271">
        <f t="shared" si="4"/>
        <v>0</v>
      </c>
      <c r="N23" s="271">
        <f t="shared" si="5"/>
        <v>0</v>
      </c>
      <c r="O23" s="271">
        <f t="shared" si="6"/>
        <v>0</v>
      </c>
      <c r="P23" s="271">
        <f t="shared" si="7"/>
        <v>0</v>
      </c>
    </row>
    <row r="24" ht="17.1" customHeight="1" spans="1:16">
      <c r="A24" s="291"/>
      <c r="B24" s="292"/>
      <c r="C24" s="292"/>
      <c r="D24" s="292"/>
      <c r="E24" s="292">
        <f t="shared" si="0"/>
        <v>10</v>
      </c>
      <c r="F24" s="293">
        <f t="shared" si="1"/>
        <v>10</v>
      </c>
      <c r="G24" s="292">
        <f t="shared" si="2"/>
        <v>0</v>
      </c>
      <c r="H24" s="294"/>
      <c r="I24" s="325"/>
      <c r="J24" s="326"/>
      <c r="K24" s="327"/>
      <c r="L24" s="271">
        <f t="shared" si="3"/>
        <v>0</v>
      </c>
      <c r="M24" s="271">
        <f t="shared" si="4"/>
        <v>0</v>
      </c>
      <c r="N24" s="271">
        <f t="shared" si="5"/>
        <v>0</v>
      </c>
      <c r="O24" s="271">
        <f t="shared" si="6"/>
        <v>0</v>
      </c>
      <c r="P24" s="271">
        <f t="shared" si="7"/>
        <v>0</v>
      </c>
    </row>
    <row r="25" ht="17.1" customHeight="1" spans="1:16">
      <c r="A25" s="291"/>
      <c r="B25" s="292"/>
      <c r="C25" s="292"/>
      <c r="D25" s="292"/>
      <c r="E25" s="292">
        <f t="shared" si="0"/>
        <v>10</v>
      </c>
      <c r="F25" s="293">
        <f t="shared" si="1"/>
        <v>10</v>
      </c>
      <c r="G25" s="292">
        <f t="shared" si="2"/>
        <v>0</v>
      </c>
      <c r="H25" s="294"/>
      <c r="I25" s="325"/>
      <c r="J25" s="326"/>
      <c r="K25" s="327"/>
      <c r="L25" s="271">
        <f t="shared" si="3"/>
        <v>0</v>
      </c>
      <c r="M25" s="271">
        <f t="shared" si="4"/>
        <v>0</v>
      </c>
      <c r="N25" s="271">
        <f t="shared" si="5"/>
        <v>0</v>
      </c>
      <c r="O25" s="271">
        <f t="shared" si="6"/>
        <v>0</v>
      </c>
      <c r="P25" s="271">
        <f t="shared" si="7"/>
        <v>0</v>
      </c>
    </row>
    <row r="26" ht="17.1" customHeight="1" spans="1:16">
      <c r="A26" s="291"/>
      <c r="B26" s="292"/>
      <c r="C26" s="292"/>
      <c r="D26" s="292"/>
      <c r="E26" s="292">
        <f t="shared" si="0"/>
        <v>10</v>
      </c>
      <c r="F26" s="293">
        <f t="shared" si="1"/>
        <v>10</v>
      </c>
      <c r="G26" s="292">
        <f t="shared" si="2"/>
        <v>0</v>
      </c>
      <c r="H26" s="294"/>
      <c r="I26" s="325"/>
      <c r="J26" s="326"/>
      <c r="K26" s="327"/>
      <c r="L26" s="271">
        <f t="shared" si="3"/>
        <v>0</v>
      </c>
      <c r="M26" s="271">
        <f t="shared" si="4"/>
        <v>0</v>
      </c>
      <c r="N26" s="271">
        <f t="shared" si="5"/>
        <v>0</v>
      </c>
      <c r="O26" s="271">
        <f t="shared" si="6"/>
        <v>0</v>
      </c>
      <c r="P26" s="271">
        <f t="shared" si="7"/>
        <v>0</v>
      </c>
    </row>
    <row r="27" ht="17.1" customHeight="1" spans="1:16">
      <c r="A27" s="291"/>
      <c r="B27" s="292"/>
      <c r="C27" s="292"/>
      <c r="D27" s="292"/>
      <c r="E27" s="292">
        <f t="shared" si="0"/>
        <v>10</v>
      </c>
      <c r="F27" s="293">
        <f t="shared" si="1"/>
        <v>10</v>
      </c>
      <c r="G27" s="292">
        <f t="shared" si="2"/>
        <v>0</v>
      </c>
      <c r="H27" s="294"/>
      <c r="I27" s="325"/>
      <c r="J27" s="326"/>
      <c r="K27" s="327"/>
      <c r="L27" s="271">
        <f t="shared" si="3"/>
        <v>0</v>
      </c>
      <c r="M27" s="271">
        <f t="shared" si="4"/>
        <v>0</v>
      </c>
      <c r="N27" s="271">
        <f t="shared" si="5"/>
        <v>0</v>
      </c>
      <c r="O27" s="271">
        <f t="shared" si="6"/>
        <v>0</v>
      </c>
      <c r="P27" s="271">
        <f t="shared" si="7"/>
        <v>0</v>
      </c>
    </row>
    <row r="28" ht="17.1" customHeight="1" spans="1:16">
      <c r="A28" s="291"/>
      <c r="B28" s="292"/>
      <c r="C28" s="292"/>
      <c r="D28" s="292"/>
      <c r="E28" s="292">
        <f t="shared" si="0"/>
        <v>10</v>
      </c>
      <c r="F28" s="293">
        <f t="shared" si="1"/>
        <v>10</v>
      </c>
      <c r="G28" s="292">
        <f t="shared" si="2"/>
        <v>0</v>
      </c>
      <c r="H28" s="294"/>
      <c r="I28" s="325"/>
      <c r="J28" s="326"/>
      <c r="K28" s="327"/>
      <c r="L28" s="271">
        <f t="shared" si="3"/>
        <v>0</v>
      </c>
      <c r="M28" s="271">
        <f t="shared" si="4"/>
        <v>0</v>
      </c>
      <c r="N28" s="271">
        <f t="shared" si="5"/>
        <v>0</v>
      </c>
      <c r="O28" s="271">
        <f t="shared" si="6"/>
        <v>0</v>
      </c>
      <c r="P28" s="271">
        <f t="shared" si="7"/>
        <v>0</v>
      </c>
    </row>
    <row r="29" ht="17.1" customHeight="1" spans="1:16">
      <c r="A29" s="291"/>
      <c r="B29" s="292"/>
      <c r="C29" s="292"/>
      <c r="D29" s="292"/>
      <c r="E29" s="292">
        <f t="shared" si="0"/>
        <v>10</v>
      </c>
      <c r="F29" s="293">
        <f t="shared" si="1"/>
        <v>10</v>
      </c>
      <c r="G29" s="292">
        <f t="shared" si="2"/>
        <v>0</v>
      </c>
      <c r="H29" s="294"/>
      <c r="I29" s="325"/>
      <c r="J29" s="326"/>
      <c r="K29" s="327"/>
      <c r="L29" s="271">
        <f t="shared" si="3"/>
        <v>0</v>
      </c>
      <c r="M29" s="271">
        <f t="shared" si="4"/>
        <v>0</v>
      </c>
      <c r="N29" s="271">
        <f t="shared" si="5"/>
        <v>0</v>
      </c>
      <c r="O29" s="271">
        <f t="shared" si="6"/>
        <v>0</v>
      </c>
      <c r="P29" s="271">
        <f t="shared" si="7"/>
        <v>0</v>
      </c>
    </row>
    <row r="30" ht="17.1" customHeight="1" spans="1:16">
      <c r="A30" s="291"/>
      <c r="B30" s="292"/>
      <c r="C30" s="292"/>
      <c r="D30" s="292"/>
      <c r="E30" s="292">
        <f t="shared" si="0"/>
        <v>10</v>
      </c>
      <c r="F30" s="293">
        <f t="shared" si="1"/>
        <v>10</v>
      </c>
      <c r="G30" s="292">
        <f t="shared" si="2"/>
        <v>0</v>
      </c>
      <c r="H30" s="294"/>
      <c r="I30" s="325"/>
      <c r="J30" s="326"/>
      <c r="K30" s="327"/>
      <c r="L30" s="271">
        <f t="shared" si="3"/>
        <v>0</v>
      </c>
      <c r="M30" s="271">
        <f t="shared" si="4"/>
        <v>0</v>
      </c>
      <c r="N30" s="271">
        <f t="shared" si="5"/>
        <v>0</v>
      </c>
      <c r="O30" s="271">
        <f t="shared" si="6"/>
        <v>0</v>
      </c>
      <c r="P30" s="271">
        <f t="shared" si="7"/>
        <v>0</v>
      </c>
    </row>
    <row r="31" ht="17.1" customHeight="1" spans="1:16">
      <c r="A31" s="291"/>
      <c r="B31" s="292"/>
      <c r="C31" s="292"/>
      <c r="D31" s="292"/>
      <c r="E31" s="292">
        <f t="shared" si="0"/>
        <v>10</v>
      </c>
      <c r="F31" s="293">
        <f t="shared" si="1"/>
        <v>10</v>
      </c>
      <c r="G31" s="292">
        <f t="shared" si="2"/>
        <v>0</v>
      </c>
      <c r="H31" s="294"/>
      <c r="I31" s="325"/>
      <c r="J31" s="326"/>
      <c r="K31" s="327"/>
      <c r="L31" s="271">
        <f t="shared" si="3"/>
        <v>0</v>
      </c>
      <c r="M31" s="271">
        <f t="shared" si="4"/>
        <v>0</v>
      </c>
      <c r="N31" s="271">
        <f t="shared" si="5"/>
        <v>0</v>
      </c>
      <c r="O31" s="271">
        <f t="shared" si="6"/>
        <v>0</v>
      </c>
      <c r="P31" s="271">
        <f t="shared" si="7"/>
        <v>0</v>
      </c>
    </row>
    <row r="32" ht="17.1" customHeight="1" spans="1:16">
      <c r="A32" s="291"/>
      <c r="B32" s="292"/>
      <c r="C32" s="292"/>
      <c r="D32" s="292"/>
      <c r="E32" s="292">
        <f t="shared" si="0"/>
        <v>10</v>
      </c>
      <c r="F32" s="293">
        <f t="shared" si="1"/>
        <v>10</v>
      </c>
      <c r="G32" s="292">
        <f t="shared" si="2"/>
        <v>0</v>
      </c>
      <c r="H32" s="294"/>
      <c r="I32" s="325"/>
      <c r="J32" s="326"/>
      <c r="K32" s="327"/>
      <c r="L32" s="271">
        <f t="shared" si="3"/>
        <v>0</v>
      </c>
      <c r="M32" s="271">
        <f t="shared" si="4"/>
        <v>0</v>
      </c>
      <c r="N32" s="271">
        <f t="shared" si="5"/>
        <v>0</v>
      </c>
      <c r="O32" s="271">
        <f t="shared" si="6"/>
        <v>0</v>
      </c>
      <c r="P32" s="271">
        <f t="shared" si="7"/>
        <v>0</v>
      </c>
    </row>
    <row r="33" ht="17.1" customHeight="1" spans="1:16">
      <c r="A33" s="295" t="s">
        <v>756</v>
      </c>
      <c r="B33" s="292">
        <v>2400</v>
      </c>
      <c r="C33" s="292"/>
      <c r="D33" s="292"/>
      <c r="E33" s="292">
        <f t="shared" si="0"/>
        <v>10</v>
      </c>
      <c r="F33" s="293">
        <f t="shared" si="1"/>
        <v>2410</v>
      </c>
      <c r="G33" s="292">
        <f t="shared" si="2"/>
        <v>0</v>
      </c>
      <c r="H33" s="294"/>
      <c r="I33" s="325"/>
      <c r="J33" s="326"/>
      <c r="K33" s="327"/>
      <c r="L33" s="271">
        <f t="shared" si="3"/>
        <v>0</v>
      </c>
      <c r="M33" s="271">
        <f t="shared" si="4"/>
        <v>0</v>
      </c>
      <c r="N33" s="271">
        <f t="shared" si="5"/>
        <v>0</v>
      </c>
      <c r="O33" s="271">
        <f t="shared" si="6"/>
        <v>0</v>
      </c>
      <c r="P33" s="271">
        <f t="shared" si="7"/>
        <v>0</v>
      </c>
    </row>
    <row r="34" ht="17.1" customHeight="1" spans="1:16">
      <c r="A34" s="295"/>
      <c r="B34" s="292"/>
      <c r="C34" s="292"/>
      <c r="D34" s="292"/>
      <c r="E34" s="292"/>
      <c r="F34" s="293"/>
      <c r="G34" s="292"/>
      <c r="H34" s="290"/>
      <c r="I34" s="321"/>
      <c r="J34" s="290"/>
      <c r="K34" s="322"/>
      <c r="L34" s="271">
        <f t="shared" si="3"/>
        <v>0</v>
      </c>
      <c r="M34" s="271">
        <f t="shared" si="4"/>
        <v>0</v>
      </c>
      <c r="N34" s="271">
        <f t="shared" si="5"/>
        <v>0</v>
      </c>
      <c r="O34" s="271">
        <f t="shared" si="6"/>
        <v>0</v>
      </c>
      <c r="P34" s="271">
        <f t="shared" si="7"/>
        <v>0</v>
      </c>
    </row>
    <row r="35" ht="17.1" customHeight="1" spans="1:16">
      <c r="A35" s="295"/>
      <c r="B35" s="292"/>
      <c r="C35" s="292"/>
      <c r="D35" s="292"/>
      <c r="E35" s="292"/>
      <c r="F35" s="293"/>
      <c r="G35" s="292"/>
      <c r="H35" s="290"/>
      <c r="I35" s="321"/>
      <c r="J35" s="290"/>
      <c r="K35" s="322"/>
      <c r="L35" s="271">
        <f t="shared" si="3"/>
        <v>0</v>
      </c>
      <c r="M35" s="271">
        <f t="shared" si="4"/>
        <v>0</v>
      </c>
      <c r="N35" s="271">
        <f t="shared" si="5"/>
        <v>0</v>
      </c>
      <c r="O35" s="271">
        <f t="shared" si="6"/>
        <v>0</v>
      </c>
      <c r="P35" s="271">
        <f t="shared" si="7"/>
        <v>0</v>
      </c>
    </row>
    <row r="36" ht="17.1" customHeight="1" spans="1:16">
      <c r="A36" s="296"/>
      <c r="B36" s="297"/>
      <c r="C36" s="297"/>
      <c r="D36" s="298"/>
      <c r="E36" s="292"/>
      <c r="F36" s="293"/>
      <c r="G36" s="292"/>
      <c r="H36" s="290"/>
      <c r="I36" s="321"/>
      <c r="J36" s="290"/>
      <c r="K36" s="322"/>
      <c r="L36" s="271">
        <f t="shared" si="3"/>
        <v>0</v>
      </c>
      <c r="M36" s="271">
        <f t="shared" si="4"/>
        <v>0</v>
      </c>
      <c r="N36" s="271">
        <f t="shared" si="5"/>
        <v>0</v>
      </c>
      <c r="O36" s="271">
        <f t="shared" si="6"/>
        <v>0</v>
      </c>
      <c r="P36" s="271">
        <f t="shared" si="7"/>
        <v>0</v>
      </c>
    </row>
    <row r="37" ht="17.1" customHeight="1" spans="1:16">
      <c r="A37" s="299"/>
      <c r="B37" s="300"/>
      <c r="C37" s="300"/>
      <c r="D37" s="301"/>
      <c r="E37" s="300"/>
      <c r="F37" s="302"/>
      <c r="G37" s="300"/>
      <c r="H37" s="303"/>
      <c r="I37" s="328"/>
      <c r="J37" s="303"/>
      <c r="K37" s="329"/>
      <c r="L37" s="271">
        <f t="shared" si="3"/>
        <v>0</v>
      </c>
      <c r="M37" s="271">
        <f t="shared" si="4"/>
        <v>0</v>
      </c>
      <c r="N37" s="271">
        <f t="shared" si="5"/>
        <v>0</v>
      </c>
      <c r="O37" s="271">
        <f t="shared" si="6"/>
        <v>0</v>
      </c>
      <c r="P37" s="271">
        <f t="shared" si="7"/>
        <v>0</v>
      </c>
    </row>
    <row r="38" s="269" customFormat="1" ht="20.1" customHeight="1" spans="1:17">
      <c r="A38" s="304"/>
      <c r="B38" s="304"/>
      <c r="C38" s="304"/>
      <c r="D38" s="304"/>
      <c r="E38" s="304"/>
      <c r="F38" s="304"/>
      <c r="G38" s="304"/>
      <c r="H38" s="304"/>
      <c r="I38" s="304"/>
      <c r="J38" s="304"/>
      <c r="K38" s="304"/>
      <c r="L38" s="330">
        <f>SUM(L10:L37)</f>
        <v>0</v>
      </c>
      <c r="M38" s="330">
        <f>SUM(M10:M37)</f>
        <v>0</v>
      </c>
      <c r="N38" s="330">
        <f>SUM(N10:N37)</f>
        <v>0</v>
      </c>
      <c r="O38" s="330">
        <f>SUM(O10:O37)</f>
        <v>0</v>
      </c>
      <c r="P38" s="330">
        <f>SUM(P10:P37)</f>
        <v>0</v>
      </c>
      <c r="Q38" s="269" t="s">
        <v>757</v>
      </c>
    </row>
    <row r="39" s="270" customFormat="1" ht="20.1" customHeight="1" spans="1:16">
      <c r="A39" s="305"/>
      <c r="B39" s="306" t="s">
        <v>637</v>
      </c>
      <c r="C39" s="306"/>
      <c r="D39" s="306"/>
      <c r="E39" s="306"/>
      <c r="F39" s="306"/>
      <c r="G39" s="306"/>
      <c r="H39" s="306"/>
      <c r="I39" s="306"/>
      <c r="J39" s="331" t="s">
        <v>758</v>
      </c>
      <c r="K39" s="332">
        <f>O38+L39</f>
        <v>0</v>
      </c>
      <c r="L39" s="333">
        <f>L38*0.018</f>
        <v>0</v>
      </c>
      <c r="M39" s="333"/>
      <c r="N39" s="333"/>
      <c r="O39" s="333"/>
      <c r="P39" s="333"/>
    </row>
    <row r="40" ht="21" customHeight="1" spans="1:12">
      <c r="A40" s="307" t="s">
        <v>759</v>
      </c>
      <c r="B40" s="307"/>
      <c r="C40" s="307"/>
      <c r="D40" s="307"/>
      <c r="E40" s="307"/>
      <c r="F40" s="307"/>
      <c r="G40" s="307"/>
      <c r="H40" s="307"/>
      <c r="I40" s="307"/>
      <c r="J40" s="307"/>
      <c r="K40" s="307"/>
      <c r="L40" s="271" t="s">
        <v>639</v>
      </c>
    </row>
    <row r="41" ht="13.5" customHeight="1" spans="1:11">
      <c r="A41" s="308"/>
      <c r="B41" s="309"/>
      <c r="C41" s="310"/>
      <c r="D41" s="310"/>
      <c r="E41" s="310"/>
      <c r="F41" s="311"/>
      <c r="G41" s="312"/>
      <c r="H41" s="311"/>
      <c r="I41" s="334"/>
      <c r="J41" s="334"/>
      <c r="K41" s="314"/>
    </row>
    <row r="42" ht="18" customHeight="1" spans="1:10">
      <c r="A42" s="313" t="s">
        <v>473</v>
      </c>
      <c r="B42" s="311" t="s">
        <v>624</v>
      </c>
      <c r="C42" s="311"/>
      <c r="D42" s="276"/>
      <c r="E42" s="272"/>
      <c r="F42" s="276"/>
      <c r="G42" s="276"/>
      <c r="H42" s="276"/>
      <c r="I42" s="334"/>
      <c r="J42" s="334"/>
    </row>
    <row r="43" ht="20.25" spans="1:11">
      <c r="A43" s="314"/>
      <c r="B43" s="314"/>
      <c r="C43" s="314"/>
      <c r="D43" s="314"/>
      <c r="E43" s="314"/>
      <c r="F43" s="314"/>
      <c r="G43" s="314"/>
      <c r="H43" s="314"/>
      <c r="I43" s="314"/>
      <c r="J43" s="314"/>
      <c r="K43" s="314"/>
    </row>
    <row r="44" ht="20.25" spans="1:11">
      <c r="A44" s="314"/>
      <c r="B44" s="314"/>
      <c r="C44" s="314"/>
      <c r="D44" s="314"/>
      <c r="E44" s="314"/>
      <c r="F44" s="314"/>
      <c r="G44" s="314"/>
      <c r="H44" s="314"/>
      <c r="I44" s="314"/>
      <c r="J44" s="314"/>
      <c r="K44" s="314"/>
    </row>
    <row r="45" ht="20.25" spans="1:11">
      <c r="A45" s="314"/>
      <c r="B45" s="314"/>
      <c r="C45" s="314"/>
      <c r="D45" s="314"/>
      <c r="E45" s="314"/>
      <c r="F45" s="314"/>
      <c r="G45" s="314"/>
      <c r="H45" s="314"/>
      <c r="I45" s="314"/>
      <c r="J45" s="314"/>
      <c r="K45" s="314"/>
    </row>
    <row r="46" ht="20.25" spans="1:11">
      <c r="A46" s="314"/>
      <c r="B46" s="314"/>
      <c r="C46" s="314"/>
      <c r="D46" s="314"/>
      <c r="E46" s="314"/>
      <c r="F46" s="314"/>
      <c r="G46" s="314"/>
      <c r="H46" s="314"/>
      <c r="I46" s="314"/>
      <c r="J46" s="314"/>
      <c r="K46" s="314"/>
    </row>
    <row r="47" ht="20.25" spans="1:11">
      <c r="A47" s="314"/>
      <c r="B47" s="314"/>
      <c r="C47" s="314"/>
      <c r="D47" s="314"/>
      <c r="E47" s="314"/>
      <c r="F47" s="314"/>
      <c r="G47" s="314"/>
      <c r="H47" s="314"/>
      <c r="I47" s="314"/>
      <c r="J47" s="314"/>
      <c r="K47" s="314"/>
    </row>
    <row r="48" ht="20.25" spans="1:11">
      <c r="A48" s="314"/>
      <c r="B48" s="314"/>
      <c r="C48" s="314"/>
      <c r="D48" s="314"/>
      <c r="E48" s="314"/>
      <c r="F48" s="314"/>
      <c r="G48" s="314"/>
      <c r="H48" s="314"/>
      <c r="I48" s="314"/>
      <c r="J48" s="314"/>
      <c r="K48" s="314"/>
    </row>
    <row r="49" ht="20.25" spans="1:11">
      <c r="A49" s="314"/>
      <c r="B49" s="314"/>
      <c r="C49" s="314"/>
      <c r="D49" s="314"/>
      <c r="E49" s="314"/>
      <c r="F49" s="314"/>
      <c r="G49" s="314"/>
      <c r="H49" s="314"/>
      <c r="I49" s="314"/>
      <c r="J49" s="314"/>
      <c r="K49" s="314"/>
    </row>
    <row r="50" ht="20.25" spans="1:11">
      <c r="A50" s="314"/>
      <c r="B50" s="314"/>
      <c r="C50" s="314"/>
      <c r="D50" s="314"/>
      <c r="E50" s="314"/>
      <c r="F50" s="314"/>
      <c r="G50" s="314"/>
      <c r="H50" s="314"/>
      <c r="I50" s="314"/>
      <c r="J50" s="314"/>
      <c r="K50" s="314"/>
    </row>
    <row r="51" ht="20.25" spans="1:11">
      <c r="A51" s="314"/>
      <c r="B51" s="314"/>
      <c r="C51" s="314"/>
      <c r="D51" s="314"/>
      <c r="E51" s="314"/>
      <c r="F51" s="314"/>
      <c r="G51" s="314"/>
      <c r="H51" s="314"/>
      <c r="I51" s="314"/>
      <c r="J51" s="314"/>
      <c r="K51" s="314"/>
    </row>
    <row r="52" ht="20.25" spans="1:11">
      <c r="A52" s="314"/>
      <c r="B52" s="314"/>
      <c r="C52" s="314"/>
      <c r="D52" s="314"/>
      <c r="E52" s="314"/>
      <c r="F52" s="314"/>
      <c r="G52" s="314"/>
      <c r="H52" s="314"/>
      <c r="I52" s="314"/>
      <c r="J52" s="314"/>
      <c r="K52" s="314"/>
    </row>
    <row r="53" ht="20.25" spans="1:11">
      <c r="A53" s="314"/>
      <c r="B53" s="314"/>
      <c r="C53" s="314"/>
      <c r="D53" s="314"/>
      <c r="E53" s="314"/>
      <c r="F53" s="314"/>
      <c r="G53" s="314"/>
      <c r="H53" s="314"/>
      <c r="I53" s="314"/>
      <c r="J53" s="314"/>
      <c r="K53" s="314"/>
    </row>
    <row r="54" ht="20.25" spans="1:11">
      <c r="A54" s="314"/>
      <c r="B54" s="314"/>
      <c r="C54" s="314"/>
      <c r="D54" s="314"/>
      <c r="E54" s="314"/>
      <c r="F54" s="314"/>
      <c r="G54" s="314"/>
      <c r="H54" s="314"/>
      <c r="I54" s="314"/>
      <c r="J54" s="314"/>
      <c r="K54" s="314"/>
    </row>
    <row r="55" ht="20.25" spans="1:11">
      <c r="A55" s="314"/>
      <c r="B55" s="314"/>
      <c r="C55" s="314"/>
      <c r="D55" s="314"/>
      <c r="E55" s="314"/>
      <c r="F55" s="314"/>
      <c r="G55" s="314"/>
      <c r="H55" s="314"/>
      <c r="I55" s="314"/>
      <c r="J55" s="314"/>
      <c r="K55" s="314"/>
    </row>
    <row r="56" ht="20.25" spans="1:11">
      <c r="A56" s="314"/>
      <c r="B56" s="314"/>
      <c r="C56" s="314"/>
      <c r="D56" s="314"/>
      <c r="E56" s="314"/>
      <c r="F56" s="314"/>
      <c r="G56" s="314"/>
      <c r="H56" s="314"/>
      <c r="I56" s="314"/>
      <c r="J56" s="314"/>
      <c r="K56" s="314"/>
    </row>
    <row r="57" ht="20.25" spans="1:11">
      <c r="A57" s="314"/>
      <c r="B57" s="314"/>
      <c r="C57" s="314"/>
      <c r="D57" s="314"/>
      <c r="E57" s="314"/>
      <c r="F57" s="314"/>
      <c r="G57" s="314"/>
      <c r="H57" s="314"/>
      <c r="I57" s="314"/>
      <c r="J57" s="314"/>
      <c r="K57" s="314"/>
    </row>
    <row r="58" ht="20.25" spans="1:11">
      <c r="A58" s="314"/>
      <c r="B58" s="314"/>
      <c r="C58" s="314"/>
      <c r="D58" s="314"/>
      <c r="E58" s="314"/>
      <c r="F58" s="314"/>
      <c r="G58" s="314"/>
      <c r="H58" s="314"/>
      <c r="I58" s="314"/>
      <c r="J58" s="314"/>
      <c r="K58" s="314"/>
    </row>
    <row r="59" ht="20.25" spans="1:11">
      <c r="A59" s="314"/>
      <c r="B59" s="314"/>
      <c r="C59" s="314"/>
      <c r="D59" s="314"/>
      <c r="E59" s="314"/>
      <c r="F59" s="314"/>
      <c r="G59" s="314"/>
      <c r="H59" s="314"/>
      <c r="I59" s="314"/>
      <c r="J59" s="314"/>
      <c r="K59" s="314"/>
    </row>
    <row r="60" ht="20.25" spans="1:11">
      <c r="A60" s="314"/>
      <c r="B60" s="314"/>
      <c r="C60" s="314"/>
      <c r="D60" s="314"/>
      <c r="E60" s="314"/>
      <c r="F60" s="314"/>
      <c r="G60" s="314"/>
      <c r="H60" s="314"/>
      <c r="I60" s="314"/>
      <c r="J60" s="314"/>
      <c r="K60" s="314"/>
    </row>
    <row r="61" ht="20.25" spans="1:11">
      <c r="A61" s="314"/>
      <c r="B61" s="314"/>
      <c r="C61" s="314"/>
      <c r="D61" s="314"/>
      <c r="E61" s="314"/>
      <c r="F61" s="314"/>
      <c r="G61" s="314"/>
      <c r="H61" s="314"/>
      <c r="I61" s="314"/>
      <c r="J61" s="314"/>
      <c r="K61" s="314"/>
    </row>
    <row r="62" ht="20.25" spans="1:11">
      <c r="A62" s="314"/>
      <c r="B62" s="314"/>
      <c r="C62" s="314"/>
      <c r="D62" s="314"/>
      <c r="E62" s="314"/>
      <c r="F62" s="314"/>
      <c r="G62" s="314"/>
      <c r="H62" s="314"/>
      <c r="I62" s="314"/>
      <c r="J62" s="314"/>
      <c r="K62" s="314"/>
    </row>
    <row r="63" ht="20.25" spans="1:11">
      <c r="A63" s="314"/>
      <c r="B63" s="314"/>
      <c r="C63" s="314"/>
      <c r="D63" s="314"/>
      <c r="E63" s="314"/>
      <c r="F63" s="314"/>
      <c r="G63" s="314"/>
      <c r="H63" s="314"/>
      <c r="I63" s="314"/>
      <c r="J63" s="314"/>
      <c r="K63" s="314"/>
    </row>
    <row r="64" ht="20.25" spans="1:11">
      <c r="A64" s="314"/>
      <c r="B64" s="314"/>
      <c r="C64" s="314"/>
      <c r="D64" s="314"/>
      <c r="E64" s="314"/>
      <c r="F64" s="314"/>
      <c r="G64" s="314"/>
      <c r="H64" s="314"/>
      <c r="I64" s="314"/>
      <c r="J64" s="314"/>
      <c r="K64" s="314"/>
    </row>
    <row r="65" ht="20.25" spans="1:11">
      <c r="A65" s="314"/>
      <c r="B65" s="314"/>
      <c r="C65" s="314"/>
      <c r="D65" s="314"/>
      <c r="E65" s="314"/>
      <c r="F65" s="314"/>
      <c r="G65" s="314"/>
      <c r="H65" s="314"/>
      <c r="I65" s="314"/>
      <c r="J65" s="314"/>
      <c r="K65" s="314"/>
    </row>
    <row r="66" ht="20.25" spans="1:11">
      <c r="A66" s="314"/>
      <c r="B66" s="314"/>
      <c r="C66" s="314"/>
      <c r="D66" s="314"/>
      <c r="E66" s="314"/>
      <c r="F66" s="314"/>
      <c r="G66" s="314"/>
      <c r="H66" s="314"/>
      <c r="I66" s="314"/>
      <c r="J66" s="314"/>
      <c r="K66" s="314"/>
    </row>
    <row r="67" ht="20.25" spans="1:11">
      <c r="A67" s="314"/>
      <c r="B67" s="314"/>
      <c r="C67" s="314"/>
      <c r="D67" s="314"/>
      <c r="E67" s="314"/>
      <c r="F67" s="314"/>
      <c r="G67" s="314"/>
      <c r="H67" s="314"/>
      <c r="I67" s="314"/>
      <c r="J67" s="314"/>
      <c r="K67" s="314"/>
    </row>
    <row r="68" ht="20.25" spans="1:11">
      <c r="A68" s="314"/>
      <c r="B68" s="314"/>
      <c r="C68" s="314"/>
      <c r="D68" s="314"/>
      <c r="E68" s="314"/>
      <c r="F68" s="314"/>
      <c r="G68" s="314"/>
      <c r="H68" s="314"/>
      <c r="I68" s="314"/>
      <c r="J68" s="314"/>
      <c r="K68" s="314"/>
    </row>
    <row r="69" ht="20.25" spans="1:11">
      <c r="A69" s="314"/>
      <c r="B69" s="314"/>
      <c r="C69" s="314"/>
      <c r="D69" s="314"/>
      <c r="E69" s="314"/>
      <c r="F69" s="314"/>
      <c r="G69" s="314"/>
      <c r="H69" s="314"/>
      <c r="I69" s="314"/>
      <c r="J69" s="314"/>
      <c r="K69" s="314"/>
    </row>
    <row r="70" ht="20.25" spans="1:11">
      <c r="A70" s="314"/>
      <c r="B70" s="314"/>
      <c r="C70" s="314"/>
      <c r="D70" s="314"/>
      <c r="E70" s="314"/>
      <c r="F70" s="314"/>
      <c r="G70" s="314"/>
      <c r="H70" s="314"/>
      <c r="I70" s="314"/>
      <c r="J70" s="314"/>
      <c r="K70" s="314"/>
    </row>
    <row r="71" ht="20.25" spans="1:11">
      <c r="A71" s="314"/>
      <c r="B71" s="314"/>
      <c r="C71" s="314"/>
      <c r="D71" s="314"/>
      <c r="E71" s="314"/>
      <c r="F71" s="314"/>
      <c r="G71" s="314"/>
      <c r="H71" s="314"/>
      <c r="I71" s="314"/>
      <c r="J71" s="314"/>
      <c r="K71" s="314"/>
    </row>
    <row r="72" ht="20.25" spans="1:11">
      <c r="A72" s="314"/>
      <c r="B72" s="314"/>
      <c r="C72" s="314"/>
      <c r="D72" s="314"/>
      <c r="E72" s="314"/>
      <c r="F72" s="314"/>
      <c r="G72" s="314"/>
      <c r="H72" s="314"/>
      <c r="I72" s="314"/>
      <c r="J72" s="314"/>
      <c r="K72" s="314"/>
    </row>
    <row r="73" ht="20.25" spans="1:11">
      <c r="A73" s="314"/>
      <c r="B73" s="314"/>
      <c r="C73" s="314"/>
      <c r="D73" s="314"/>
      <c r="E73" s="314"/>
      <c r="F73" s="314"/>
      <c r="G73" s="314"/>
      <c r="H73" s="314"/>
      <c r="I73" s="314"/>
      <c r="J73" s="314"/>
      <c r="K73" s="314"/>
    </row>
    <row r="74" ht="20.25" spans="1:11">
      <c r="A74" s="314"/>
      <c r="B74" s="314"/>
      <c r="C74" s="314"/>
      <c r="D74" s="314"/>
      <c r="E74" s="314"/>
      <c r="F74" s="314"/>
      <c r="G74" s="314"/>
      <c r="H74" s="314"/>
      <c r="I74" s="314"/>
      <c r="J74" s="314"/>
      <c r="K74" s="314"/>
    </row>
    <row r="75" ht="20.25" spans="1:11">
      <c r="A75" s="314"/>
      <c r="B75" s="314"/>
      <c r="C75" s="314"/>
      <c r="D75" s="314"/>
      <c r="E75" s="314"/>
      <c r="F75" s="314"/>
      <c r="G75" s="314"/>
      <c r="H75" s="314"/>
      <c r="I75" s="314"/>
      <c r="J75" s="314"/>
      <c r="K75" s="314"/>
    </row>
    <row r="76" ht="20.25" spans="1:11">
      <c r="A76" s="314"/>
      <c r="B76" s="314"/>
      <c r="C76" s="314"/>
      <c r="D76" s="314"/>
      <c r="E76" s="314"/>
      <c r="F76" s="314"/>
      <c r="G76" s="314"/>
      <c r="H76" s="314"/>
      <c r="I76" s="314"/>
      <c r="J76" s="314"/>
      <c r="K76" s="314"/>
    </row>
    <row r="77" ht="20.25" spans="1:11">
      <c r="A77" s="314"/>
      <c r="B77" s="314"/>
      <c r="C77" s="314"/>
      <c r="D77" s="314"/>
      <c r="E77" s="314"/>
      <c r="F77" s="314"/>
      <c r="G77" s="314"/>
      <c r="H77" s="314"/>
      <c r="I77" s="314"/>
      <c r="J77" s="314"/>
      <c r="K77" s="314"/>
    </row>
    <row r="78" ht="20.25" spans="1:11">
      <c r="A78" s="314"/>
      <c r="B78" s="314"/>
      <c r="C78" s="314"/>
      <c r="D78" s="314"/>
      <c r="E78" s="314"/>
      <c r="F78" s="314"/>
      <c r="G78" s="314"/>
      <c r="H78" s="314"/>
      <c r="I78" s="314"/>
      <c r="J78" s="314"/>
      <c r="K78" s="314"/>
    </row>
    <row r="79" ht="20.25" spans="1:11">
      <c r="A79" s="314"/>
      <c r="B79" s="314"/>
      <c r="C79" s="314"/>
      <c r="D79" s="314"/>
      <c r="E79" s="314"/>
      <c r="F79" s="314"/>
      <c r="G79" s="314"/>
      <c r="H79" s="314"/>
      <c r="I79" s="314"/>
      <c r="J79" s="314"/>
      <c r="K79" s="314"/>
    </row>
    <row r="80" ht="20.25" spans="1:11">
      <c r="A80" s="314"/>
      <c r="B80" s="314"/>
      <c r="C80" s="314"/>
      <c r="D80" s="314"/>
      <c r="E80" s="314"/>
      <c r="F80" s="314"/>
      <c r="G80" s="314"/>
      <c r="H80" s="314"/>
      <c r="I80" s="314"/>
      <c r="J80" s="314"/>
      <c r="K80" s="314"/>
    </row>
    <row r="81" ht="20.25" spans="1:11">
      <c r="A81" s="314"/>
      <c r="B81" s="314"/>
      <c r="C81" s="314"/>
      <c r="D81" s="314"/>
      <c r="E81" s="314"/>
      <c r="F81" s="314"/>
      <c r="G81" s="314"/>
      <c r="H81" s="314"/>
      <c r="I81" s="314"/>
      <c r="J81" s="314"/>
      <c r="K81" s="314"/>
    </row>
    <row r="82" ht="20.25" spans="1:11">
      <c r="A82" s="314"/>
      <c r="B82" s="314"/>
      <c r="C82" s="314"/>
      <c r="D82" s="314"/>
      <c r="E82" s="314"/>
      <c r="F82" s="314"/>
      <c r="G82" s="314"/>
      <c r="H82" s="314"/>
      <c r="I82" s="314"/>
      <c r="J82" s="314"/>
      <c r="K82" s="314"/>
    </row>
    <row r="83" ht="20.25" spans="1:11">
      <c r="A83" s="314"/>
      <c r="B83" s="314"/>
      <c r="C83" s="314"/>
      <c r="D83" s="314"/>
      <c r="E83" s="314"/>
      <c r="F83" s="314"/>
      <c r="G83" s="314"/>
      <c r="H83" s="314"/>
      <c r="I83" s="314"/>
      <c r="J83" s="314"/>
      <c r="K83" s="314"/>
    </row>
    <row r="84" ht="20.25" spans="1:11">
      <c r="A84" s="314"/>
      <c r="B84" s="314"/>
      <c r="C84" s="314"/>
      <c r="D84" s="314"/>
      <c r="E84" s="314"/>
      <c r="F84" s="314"/>
      <c r="G84" s="314"/>
      <c r="H84" s="314"/>
      <c r="I84" s="314"/>
      <c r="J84" s="314"/>
      <c r="K84" s="314"/>
    </row>
    <row r="85" ht="20.25" spans="1:11">
      <c r="A85" s="314"/>
      <c r="B85" s="314"/>
      <c r="C85" s="314"/>
      <c r="D85" s="314"/>
      <c r="E85" s="314"/>
      <c r="F85" s="314"/>
      <c r="G85" s="314"/>
      <c r="H85" s="314"/>
      <c r="I85" s="314"/>
      <c r="J85" s="314"/>
      <c r="K85" s="314"/>
    </row>
    <row r="86" ht="20.25" spans="1:11">
      <c r="A86" s="314"/>
      <c r="B86" s="314"/>
      <c r="C86" s="314"/>
      <c r="D86" s="314"/>
      <c r="E86" s="314"/>
      <c r="F86" s="314"/>
      <c r="G86" s="314"/>
      <c r="H86" s="314"/>
      <c r="I86" s="314"/>
      <c r="J86" s="314"/>
      <c r="K86" s="314"/>
    </row>
    <row r="87" ht="20.25" spans="1:11">
      <c r="A87" s="314"/>
      <c r="B87" s="314"/>
      <c r="C87" s="314"/>
      <c r="D87" s="314"/>
      <c r="E87" s="314"/>
      <c r="F87" s="314"/>
      <c r="G87" s="314"/>
      <c r="H87" s="314"/>
      <c r="I87" s="314"/>
      <c r="J87" s="314"/>
      <c r="K87" s="314"/>
    </row>
    <row r="88" ht="20.25" spans="1:11">
      <c r="A88" s="314"/>
      <c r="B88" s="314"/>
      <c r="C88" s="314"/>
      <c r="D88" s="314"/>
      <c r="E88" s="314"/>
      <c r="F88" s="314"/>
      <c r="G88" s="314"/>
      <c r="H88" s="314"/>
      <c r="I88" s="314"/>
      <c r="J88" s="314"/>
      <c r="K88" s="314"/>
    </row>
    <row r="89" ht="20.25" spans="1:11">
      <c r="A89" s="314"/>
      <c r="B89" s="314"/>
      <c r="C89" s="314"/>
      <c r="D89" s="314"/>
      <c r="E89" s="314"/>
      <c r="F89" s="314"/>
      <c r="G89" s="314"/>
      <c r="H89" s="314"/>
      <c r="I89" s="314"/>
      <c r="J89" s="314"/>
      <c r="K89" s="314"/>
    </row>
    <row r="90" ht="20.25" spans="1:11">
      <c r="A90" s="314"/>
      <c r="B90" s="314"/>
      <c r="C90" s="314"/>
      <c r="D90" s="314"/>
      <c r="E90" s="314"/>
      <c r="F90" s="314"/>
      <c r="G90" s="314"/>
      <c r="H90" s="314"/>
      <c r="I90" s="314"/>
      <c r="J90" s="314"/>
      <c r="K90" s="314"/>
    </row>
    <row r="91" ht="20.25" spans="1:11">
      <c r="A91" s="314"/>
      <c r="B91" s="314"/>
      <c r="C91" s="314"/>
      <c r="D91" s="314"/>
      <c r="E91" s="314"/>
      <c r="F91" s="314"/>
      <c r="G91" s="314"/>
      <c r="H91" s="314"/>
      <c r="I91" s="314"/>
      <c r="J91" s="314"/>
      <c r="K91" s="314"/>
    </row>
    <row r="92" ht="20.25" spans="1:11">
      <c r="A92" s="314"/>
      <c r="B92" s="314"/>
      <c r="C92" s="314"/>
      <c r="D92" s="314"/>
      <c r="E92" s="314"/>
      <c r="F92" s="314"/>
      <c r="G92" s="314"/>
      <c r="H92" s="314"/>
      <c r="I92" s="314"/>
      <c r="J92" s="314"/>
      <c r="K92" s="314"/>
    </row>
    <row r="93" ht="20.25" spans="1:11">
      <c r="A93" s="314"/>
      <c r="B93" s="314"/>
      <c r="C93" s="314"/>
      <c r="D93" s="314"/>
      <c r="E93" s="314"/>
      <c r="F93" s="314"/>
      <c r="G93" s="314"/>
      <c r="H93" s="314"/>
      <c r="I93" s="314"/>
      <c r="J93" s="314"/>
      <c r="K93" s="314"/>
    </row>
    <row r="94" ht="20.25" spans="1:11">
      <c r="A94" s="314"/>
      <c r="B94" s="314"/>
      <c r="C94" s="314"/>
      <c r="D94" s="314"/>
      <c r="E94" s="314"/>
      <c r="F94" s="314"/>
      <c r="G94" s="314"/>
      <c r="H94" s="314"/>
      <c r="I94" s="314"/>
      <c r="J94" s="314"/>
      <c r="K94" s="314"/>
    </row>
    <row r="95" ht="20.25" spans="1:11">
      <c r="A95" s="314"/>
      <c r="B95" s="314"/>
      <c r="C95" s="314"/>
      <c r="D95" s="314"/>
      <c r="E95" s="314"/>
      <c r="F95" s="314"/>
      <c r="G95" s="314"/>
      <c r="H95" s="314"/>
      <c r="I95" s="314"/>
      <c r="J95" s="314"/>
      <c r="K95" s="314"/>
    </row>
    <row r="96" ht="20.25" spans="1:11">
      <c r="A96" s="314"/>
      <c r="B96" s="314"/>
      <c r="C96" s="314"/>
      <c r="D96" s="314"/>
      <c r="E96" s="314"/>
      <c r="F96" s="314"/>
      <c r="G96" s="314"/>
      <c r="H96" s="314"/>
      <c r="I96" s="314"/>
      <c r="J96" s="314"/>
      <c r="K96" s="314"/>
    </row>
    <row r="97" ht="20.25" spans="1:11">
      <c r="A97" s="314"/>
      <c r="B97" s="314"/>
      <c r="C97" s="314"/>
      <c r="D97" s="314"/>
      <c r="E97" s="314"/>
      <c r="F97" s="314"/>
      <c r="G97" s="314"/>
      <c r="H97" s="314"/>
      <c r="I97" s="314"/>
      <c r="J97" s="314"/>
      <c r="K97" s="314"/>
    </row>
    <row r="98" ht="20.25" spans="1:11">
      <c r="A98" s="314"/>
      <c r="B98" s="314"/>
      <c r="C98" s="314"/>
      <c r="D98" s="314"/>
      <c r="E98" s="314"/>
      <c r="F98" s="314"/>
      <c r="G98" s="314"/>
      <c r="H98" s="314"/>
      <c r="I98" s="314"/>
      <c r="J98" s="314"/>
      <c r="K98" s="314"/>
    </row>
    <row r="99" ht="20.25" spans="1:11">
      <c r="A99" s="314"/>
      <c r="B99" s="314"/>
      <c r="C99" s="314"/>
      <c r="D99" s="314"/>
      <c r="E99" s="314"/>
      <c r="F99" s="314"/>
      <c r="G99" s="314"/>
      <c r="H99" s="314"/>
      <c r="I99" s="314"/>
      <c r="J99" s="314"/>
      <c r="K99" s="314"/>
    </row>
    <row r="100" ht="20.25" spans="1:11">
      <c r="A100" s="314"/>
      <c r="B100" s="314"/>
      <c r="C100" s="314"/>
      <c r="D100" s="314"/>
      <c r="E100" s="314"/>
      <c r="F100" s="314"/>
      <c r="G100" s="314"/>
      <c r="H100" s="314"/>
      <c r="I100" s="314"/>
      <c r="J100" s="314"/>
      <c r="K100" s="314"/>
    </row>
    <row r="101" ht="20.25" spans="1:11">
      <c r="A101" s="314"/>
      <c r="B101" s="314"/>
      <c r="C101" s="314"/>
      <c r="D101" s="314"/>
      <c r="E101" s="314"/>
      <c r="F101" s="314"/>
      <c r="G101" s="314"/>
      <c r="H101" s="314"/>
      <c r="I101" s="314"/>
      <c r="J101" s="314"/>
      <c r="K101" s="314"/>
    </row>
    <row r="102" ht="20.25" spans="1:11">
      <c r="A102" s="314"/>
      <c r="B102" s="314"/>
      <c r="C102" s="314"/>
      <c r="D102" s="314"/>
      <c r="E102" s="314"/>
      <c r="F102" s="314"/>
      <c r="G102" s="314"/>
      <c r="H102" s="314"/>
      <c r="I102" s="314"/>
      <c r="J102" s="314"/>
      <c r="K102" s="314"/>
    </row>
    <row r="103" ht="20.25" spans="1:11">
      <c r="A103" s="314"/>
      <c r="B103" s="314"/>
      <c r="C103" s="314"/>
      <c r="D103" s="314"/>
      <c r="E103" s="314"/>
      <c r="F103" s="314"/>
      <c r="G103" s="314"/>
      <c r="H103" s="314"/>
      <c r="I103" s="314"/>
      <c r="J103" s="314"/>
      <c r="K103" s="314"/>
    </row>
    <row r="104" ht="20.25" spans="1:11">
      <c r="A104" s="314"/>
      <c r="B104" s="314"/>
      <c r="C104" s="314"/>
      <c r="D104" s="314"/>
      <c r="E104" s="314"/>
      <c r="F104" s="314"/>
      <c r="G104" s="314"/>
      <c r="H104" s="314"/>
      <c r="I104" s="314"/>
      <c r="J104" s="314"/>
      <c r="K104" s="314"/>
    </row>
    <row r="105" ht="20.25" spans="1:11">
      <c r="A105" s="314"/>
      <c r="B105" s="314"/>
      <c r="C105" s="314"/>
      <c r="D105" s="314"/>
      <c r="E105" s="314"/>
      <c r="F105" s="314"/>
      <c r="G105" s="314"/>
      <c r="H105" s="314"/>
      <c r="I105" s="314"/>
      <c r="J105" s="314"/>
      <c r="K105" s="314"/>
    </row>
    <row r="106" ht="20.25" spans="1:11">
      <c r="A106" s="314"/>
      <c r="B106" s="314"/>
      <c r="C106" s="314"/>
      <c r="D106" s="314"/>
      <c r="E106" s="314"/>
      <c r="F106" s="314"/>
      <c r="G106" s="314"/>
      <c r="H106" s="314"/>
      <c r="I106" s="314"/>
      <c r="J106" s="314"/>
      <c r="K106" s="314"/>
    </row>
    <row r="107" ht="20.25" spans="1:11">
      <c r="A107" s="314"/>
      <c r="B107" s="314"/>
      <c r="C107" s="314"/>
      <c r="D107" s="314"/>
      <c r="E107" s="314"/>
      <c r="F107" s="314"/>
      <c r="G107" s="314"/>
      <c r="H107" s="314"/>
      <c r="I107" s="314"/>
      <c r="J107" s="314"/>
      <c r="K107" s="314"/>
    </row>
    <row r="108" ht="20.25" spans="1:11">
      <c r="A108" s="314"/>
      <c r="B108" s="314"/>
      <c r="C108" s="314"/>
      <c r="D108" s="314"/>
      <c r="E108" s="314"/>
      <c r="F108" s="314"/>
      <c r="G108" s="314"/>
      <c r="H108" s="314"/>
      <c r="I108" s="314"/>
      <c r="J108" s="314"/>
      <c r="K108" s="314"/>
    </row>
    <row r="109" ht="20.25" spans="1:11">
      <c r="A109" s="314"/>
      <c r="B109" s="314"/>
      <c r="C109" s="314"/>
      <c r="D109" s="314"/>
      <c r="E109" s="314"/>
      <c r="F109" s="314"/>
      <c r="G109" s="314"/>
      <c r="H109" s="314"/>
      <c r="I109" s="314"/>
      <c r="J109" s="314"/>
      <c r="K109" s="314"/>
    </row>
    <row r="110" ht="20.25" spans="1:11">
      <c r="A110" s="314"/>
      <c r="B110" s="314"/>
      <c r="C110" s="314"/>
      <c r="D110" s="314"/>
      <c r="E110" s="314"/>
      <c r="F110" s="314"/>
      <c r="G110" s="314"/>
      <c r="H110" s="314"/>
      <c r="I110" s="314"/>
      <c r="J110" s="314"/>
      <c r="K110" s="314"/>
    </row>
    <row r="111" ht="20.25" spans="1:11">
      <c r="A111" s="314"/>
      <c r="B111" s="314"/>
      <c r="C111" s="314"/>
      <c r="D111" s="314"/>
      <c r="E111" s="314"/>
      <c r="F111" s="314"/>
      <c r="G111" s="314"/>
      <c r="H111" s="314"/>
      <c r="I111" s="314"/>
      <c r="J111" s="314"/>
      <c r="K111" s="314"/>
    </row>
    <row r="112" ht="20.25" spans="1:11">
      <c r="A112" s="314"/>
      <c r="B112" s="314"/>
      <c r="C112" s="314"/>
      <c r="D112" s="314"/>
      <c r="E112" s="314"/>
      <c r="F112" s="314"/>
      <c r="G112" s="314"/>
      <c r="H112" s="314"/>
      <c r="I112" s="314"/>
      <c r="J112" s="314"/>
      <c r="K112" s="314"/>
    </row>
    <row r="113" ht="20.25" spans="1:11">
      <c r="A113" s="314"/>
      <c r="B113" s="314"/>
      <c r="C113" s="314"/>
      <c r="D113" s="314"/>
      <c r="E113" s="314"/>
      <c r="F113" s="314"/>
      <c r="G113" s="314"/>
      <c r="H113" s="314"/>
      <c r="I113" s="314"/>
      <c r="J113" s="314"/>
      <c r="K113" s="314"/>
    </row>
    <row r="114" ht="20.25" spans="1:11">
      <c r="A114" s="314"/>
      <c r="B114" s="314"/>
      <c r="C114" s="314"/>
      <c r="D114" s="314"/>
      <c r="E114" s="314"/>
      <c r="F114" s="314"/>
      <c r="G114" s="314"/>
      <c r="H114" s="314"/>
      <c r="I114" s="314"/>
      <c r="J114" s="314"/>
      <c r="K114" s="314"/>
    </row>
    <row r="115" ht="20.25" spans="1:11">
      <c r="A115" s="314"/>
      <c r="B115" s="314"/>
      <c r="C115" s="314"/>
      <c r="D115" s="314"/>
      <c r="E115" s="314"/>
      <c r="F115" s="314"/>
      <c r="G115" s="314"/>
      <c r="H115" s="314"/>
      <c r="I115" s="314"/>
      <c r="J115" s="314"/>
      <c r="K115" s="314"/>
    </row>
    <row r="116" ht="20.25" spans="1:11">
      <c r="A116" s="314"/>
      <c r="B116" s="314"/>
      <c r="C116" s="314"/>
      <c r="D116" s="314"/>
      <c r="E116" s="314"/>
      <c r="F116" s="314"/>
      <c r="G116" s="314"/>
      <c r="H116" s="314"/>
      <c r="I116" s="314"/>
      <c r="J116" s="314"/>
      <c r="K116" s="314"/>
    </row>
    <row r="117" ht="20.25" spans="1:11">
      <c r="A117" s="314"/>
      <c r="B117" s="314"/>
      <c r="C117" s="314"/>
      <c r="D117" s="314"/>
      <c r="E117" s="314"/>
      <c r="F117" s="314"/>
      <c r="G117" s="314"/>
      <c r="H117" s="314"/>
      <c r="I117" s="314"/>
      <c r="J117" s="314"/>
      <c r="K117" s="314"/>
    </row>
    <row r="118" ht="20.25" spans="1:11">
      <c r="A118" s="314"/>
      <c r="B118" s="314"/>
      <c r="C118" s="314"/>
      <c r="D118" s="314"/>
      <c r="E118" s="314"/>
      <c r="F118" s="314"/>
      <c r="G118" s="314"/>
      <c r="H118" s="314"/>
      <c r="I118" s="314"/>
      <c r="J118" s="314"/>
      <c r="K118" s="314"/>
    </row>
    <row r="119" ht="20.25" spans="1:11">
      <c r="A119" s="314"/>
      <c r="B119" s="314"/>
      <c r="C119" s="314"/>
      <c r="D119" s="314"/>
      <c r="E119" s="314"/>
      <c r="F119" s="314"/>
      <c r="G119" s="314"/>
      <c r="H119" s="314"/>
      <c r="I119" s="314"/>
      <c r="J119" s="314"/>
      <c r="K119" s="314"/>
    </row>
    <row r="120" ht="20.25" spans="1:11">
      <c r="A120" s="314"/>
      <c r="B120" s="314"/>
      <c r="C120" s="314"/>
      <c r="D120" s="314"/>
      <c r="E120" s="314"/>
      <c r="F120" s="314"/>
      <c r="G120" s="314"/>
      <c r="H120" s="314"/>
      <c r="I120" s="314"/>
      <c r="J120" s="314"/>
      <c r="K120" s="314"/>
    </row>
    <row r="121" ht="20.25" spans="1:11">
      <c r="A121" s="314"/>
      <c r="B121" s="314"/>
      <c r="C121" s="314"/>
      <c r="D121" s="314"/>
      <c r="E121" s="314"/>
      <c r="F121" s="314"/>
      <c r="G121" s="314"/>
      <c r="H121" s="314"/>
      <c r="I121" s="314"/>
      <c r="J121" s="314"/>
      <c r="K121" s="314"/>
    </row>
    <row r="122" ht="20.25" spans="1:11">
      <c r="A122" s="314"/>
      <c r="B122" s="314"/>
      <c r="C122" s="314"/>
      <c r="D122" s="314"/>
      <c r="E122" s="314"/>
      <c r="F122" s="314"/>
      <c r="G122" s="314"/>
      <c r="H122" s="314"/>
      <c r="I122" s="314"/>
      <c r="J122" s="314"/>
      <c r="K122" s="314"/>
    </row>
    <row r="123" ht="20.25" spans="1:11">
      <c r="A123" s="314"/>
      <c r="B123" s="314"/>
      <c r="C123" s="314"/>
      <c r="D123" s="314"/>
      <c r="E123" s="314"/>
      <c r="F123" s="314"/>
      <c r="G123" s="314"/>
      <c r="H123" s="314"/>
      <c r="I123" s="314"/>
      <c r="J123" s="314"/>
      <c r="K123" s="314"/>
    </row>
    <row r="124" ht="20.25" spans="1:11">
      <c r="A124" s="314"/>
      <c r="B124" s="314"/>
      <c r="C124" s="314"/>
      <c r="D124" s="314"/>
      <c r="E124" s="314"/>
      <c r="F124" s="314"/>
      <c r="G124" s="314"/>
      <c r="H124" s="314"/>
      <c r="I124" s="314"/>
      <c r="J124" s="314"/>
      <c r="K124" s="314"/>
    </row>
    <row r="125" ht="20.25" spans="1:11">
      <c r="A125" s="314"/>
      <c r="B125" s="314"/>
      <c r="C125" s="314"/>
      <c r="D125" s="314"/>
      <c r="E125" s="314"/>
      <c r="F125" s="314"/>
      <c r="G125" s="314"/>
      <c r="H125" s="314"/>
      <c r="I125" s="314"/>
      <c r="J125" s="314"/>
      <c r="K125" s="314"/>
    </row>
    <row r="126" ht="20.25" spans="1:11">
      <c r="A126" s="314"/>
      <c r="B126" s="314"/>
      <c r="C126" s="314"/>
      <c r="D126" s="314"/>
      <c r="E126" s="314"/>
      <c r="F126" s="314"/>
      <c r="G126" s="314"/>
      <c r="H126" s="314"/>
      <c r="I126" s="314"/>
      <c r="J126" s="314"/>
      <c r="K126" s="314"/>
    </row>
    <row r="127" ht="20.25" spans="1:11">
      <c r="A127" s="314"/>
      <c r="B127" s="314"/>
      <c r="C127" s="314"/>
      <c r="D127" s="314"/>
      <c r="E127" s="314"/>
      <c r="F127" s="314"/>
      <c r="G127" s="314"/>
      <c r="H127" s="314"/>
      <c r="I127" s="314"/>
      <c r="J127" s="314"/>
      <c r="K127" s="314"/>
    </row>
    <row r="128" ht="20.25" spans="1:11">
      <c r="A128" s="314"/>
      <c r="B128" s="314"/>
      <c r="C128" s="314"/>
      <c r="D128" s="314"/>
      <c r="E128" s="314"/>
      <c r="F128" s="314"/>
      <c r="G128" s="314"/>
      <c r="H128" s="314"/>
      <c r="I128" s="314"/>
      <c r="J128" s="314"/>
      <c r="K128" s="314"/>
    </row>
    <row r="129" ht="20.25" spans="1:11">
      <c r="A129" s="314"/>
      <c r="B129" s="314"/>
      <c r="C129" s="314"/>
      <c r="D129" s="314"/>
      <c r="E129" s="314"/>
      <c r="F129" s="314"/>
      <c r="G129" s="314"/>
      <c r="H129" s="314"/>
      <c r="I129" s="314"/>
      <c r="J129" s="314"/>
      <c r="K129" s="314"/>
    </row>
    <row r="130" ht="20.25" spans="1:11">
      <c r="A130" s="314"/>
      <c r="B130" s="314"/>
      <c r="C130" s="314"/>
      <c r="D130" s="314"/>
      <c r="E130" s="314"/>
      <c r="F130" s="314"/>
      <c r="G130" s="314"/>
      <c r="H130" s="314"/>
      <c r="I130" s="314"/>
      <c r="J130" s="314"/>
      <c r="K130" s="314"/>
    </row>
    <row r="131" ht="20.25" spans="1:11">
      <c r="A131" s="314"/>
      <c r="B131" s="314"/>
      <c r="C131" s="314"/>
      <c r="D131" s="314"/>
      <c r="E131" s="314"/>
      <c r="F131" s="314"/>
      <c r="G131" s="314"/>
      <c r="H131" s="314"/>
      <c r="I131" s="314"/>
      <c r="J131" s="314"/>
      <c r="K131" s="314"/>
    </row>
    <row r="132" ht="20.25" spans="1:11">
      <c r="A132" s="314"/>
      <c r="B132" s="314"/>
      <c r="C132" s="314"/>
      <c r="D132" s="314"/>
      <c r="E132" s="314"/>
      <c r="F132" s="314"/>
      <c r="G132" s="314"/>
      <c r="H132" s="314"/>
      <c r="I132" s="314"/>
      <c r="J132" s="314"/>
      <c r="K132" s="314"/>
    </row>
    <row r="133" ht="20.25" spans="1:11">
      <c r="A133" s="314"/>
      <c r="B133" s="314"/>
      <c r="C133" s="314"/>
      <c r="D133" s="314"/>
      <c r="E133" s="314"/>
      <c r="F133" s="314"/>
      <c r="G133" s="314"/>
      <c r="H133" s="314"/>
      <c r="I133" s="314"/>
      <c r="J133" s="314"/>
      <c r="K133" s="314"/>
    </row>
    <row r="134" ht="20.25" spans="1:11">
      <c r="A134" s="314"/>
      <c r="B134" s="314"/>
      <c r="C134" s="314"/>
      <c r="D134" s="314"/>
      <c r="E134" s="314"/>
      <c r="F134" s="314"/>
      <c r="G134" s="314"/>
      <c r="H134" s="314"/>
      <c r="I134" s="314"/>
      <c r="J134" s="314"/>
      <c r="K134" s="314"/>
    </row>
    <row r="135" ht="20.25" spans="1:11">
      <c r="A135" s="314"/>
      <c r="B135" s="314"/>
      <c r="C135" s="314"/>
      <c r="D135" s="314"/>
      <c r="E135" s="314"/>
      <c r="F135" s="314"/>
      <c r="G135" s="314"/>
      <c r="H135" s="314"/>
      <c r="I135" s="314"/>
      <c r="J135" s="314"/>
      <c r="K135" s="314"/>
    </row>
    <row r="136" ht="20.25" spans="1:11">
      <c r="A136" s="314"/>
      <c r="B136" s="314"/>
      <c r="C136" s="314"/>
      <c r="D136" s="314"/>
      <c r="E136" s="314"/>
      <c r="F136" s="314"/>
      <c r="G136" s="314"/>
      <c r="H136" s="314"/>
      <c r="I136" s="314"/>
      <c r="J136" s="314"/>
      <c r="K136" s="314"/>
    </row>
    <row r="137" ht="20.25" spans="1:11">
      <c r="A137" s="314"/>
      <c r="B137" s="314"/>
      <c r="C137" s="314"/>
      <c r="D137" s="314"/>
      <c r="E137" s="314"/>
      <c r="F137" s="314"/>
      <c r="G137" s="314"/>
      <c r="H137" s="314"/>
      <c r="I137" s="314"/>
      <c r="J137" s="314"/>
      <c r="K137" s="314"/>
    </row>
    <row r="138" ht="20.25" spans="1:11">
      <c r="A138" s="314"/>
      <c r="B138" s="314"/>
      <c r="C138" s="314"/>
      <c r="D138" s="314"/>
      <c r="E138" s="314"/>
      <c r="F138" s="314"/>
      <c r="G138" s="314"/>
      <c r="H138" s="314"/>
      <c r="I138" s="314"/>
      <c r="J138" s="314"/>
      <c r="K138" s="314"/>
    </row>
    <row r="139" ht="20.25" spans="1:11">
      <c r="A139" s="314"/>
      <c r="B139" s="314"/>
      <c r="C139" s="314"/>
      <c r="D139" s="314"/>
      <c r="E139" s="314"/>
      <c r="F139" s="314"/>
      <c r="G139" s="314"/>
      <c r="H139" s="314"/>
      <c r="I139" s="314"/>
      <c r="J139" s="314"/>
      <c r="K139" s="314"/>
    </row>
    <row r="140" ht="20.25" spans="1:11">
      <c r="A140" s="314"/>
      <c r="B140" s="314"/>
      <c r="C140" s="314"/>
      <c r="D140" s="314"/>
      <c r="E140" s="314"/>
      <c r="F140" s="314"/>
      <c r="G140" s="314"/>
      <c r="H140" s="314"/>
      <c r="I140" s="314"/>
      <c r="J140" s="314"/>
      <c r="K140" s="314"/>
    </row>
    <row r="141" ht="20.25" spans="1:11">
      <c r="A141" s="314"/>
      <c r="B141" s="314"/>
      <c r="C141" s="314"/>
      <c r="D141" s="314"/>
      <c r="E141" s="314"/>
      <c r="F141" s="314"/>
      <c r="G141" s="314"/>
      <c r="H141" s="314"/>
      <c r="I141" s="314"/>
      <c r="J141" s="314"/>
      <c r="K141" s="314"/>
    </row>
    <row r="142" ht="20.25" spans="1:11">
      <c r="A142" s="314"/>
      <c r="B142" s="314"/>
      <c r="C142" s="314"/>
      <c r="D142" s="314"/>
      <c r="E142" s="314"/>
      <c r="F142" s="314"/>
      <c r="G142" s="314"/>
      <c r="H142" s="314"/>
      <c r="I142" s="314"/>
      <c r="J142" s="314"/>
      <c r="K142" s="314"/>
    </row>
    <row r="143" ht="20.25" spans="1:11">
      <c r="A143" s="314"/>
      <c r="B143" s="314"/>
      <c r="C143" s="314"/>
      <c r="D143" s="314"/>
      <c r="E143" s="314"/>
      <c r="F143" s="314"/>
      <c r="G143" s="314"/>
      <c r="H143" s="314"/>
      <c r="I143" s="314"/>
      <c r="J143" s="314"/>
      <c r="K143" s="314"/>
    </row>
    <row r="144" ht="20.25" spans="1:11">
      <c r="A144" s="314"/>
      <c r="B144" s="314"/>
      <c r="C144" s="314"/>
      <c r="D144" s="314"/>
      <c r="E144" s="314"/>
      <c r="F144" s="314"/>
      <c r="G144" s="314"/>
      <c r="H144" s="314"/>
      <c r="I144" s="314"/>
      <c r="J144" s="314"/>
      <c r="K144" s="314"/>
    </row>
    <row r="145" ht="20.25" spans="1:11">
      <c r="A145" s="314"/>
      <c r="B145" s="314"/>
      <c r="C145" s="314"/>
      <c r="D145" s="314"/>
      <c r="E145" s="314"/>
      <c r="F145" s="314"/>
      <c r="G145" s="314"/>
      <c r="H145" s="314"/>
      <c r="I145" s="314"/>
      <c r="J145" s="314"/>
      <c r="K145" s="314"/>
    </row>
    <row r="146" ht="20.25" spans="1:11">
      <c r="A146" s="314"/>
      <c r="B146" s="314"/>
      <c r="C146" s="314"/>
      <c r="D146" s="314"/>
      <c r="E146" s="314"/>
      <c r="F146" s="314"/>
      <c r="G146" s="314"/>
      <c r="H146" s="314"/>
      <c r="I146" s="314"/>
      <c r="J146" s="314"/>
      <c r="K146" s="314"/>
    </row>
    <row r="147" ht="20.25" spans="1:11">
      <c r="A147" s="314"/>
      <c r="B147" s="314"/>
      <c r="C147" s="314"/>
      <c r="D147" s="314"/>
      <c r="E147" s="314"/>
      <c r="F147" s="314"/>
      <c r="G147" s="314"/>
      <c r="H147" s="314"/>
      <c r="I147" s="314"/>
      <c r="J147" s="314"/>
      <c r="K147" s="314"/>
    </row>
    <row r="148" ht="20.25" spans="1:11">
      <c r="A148" s="314"/>
      <c r="B148" s="314"/>
      <c r="C148" s="314"/>
      <c r="D148" s="314"/>
      <c r="E148" s="314"/>
      <c r="F148" s="314"/>
      <c r="G148" s="314"/>
      <c r="H148" s="314"/>
      <c r="I148" s="314"/>
      <c r="J148" s="314"/>
      <c r="K148" s="314"/>
    </row>
    <row r="149" ht="20.25" spans="1:11">
      <c r="A149" s="314"/>
      <c r="B149" s="314"/>
      <c r="C149" s="314"/>
      <c r="D149" s="314"/>
      <c r="E149" s="314"/>
      <c r="F149" s="314"/>
      <c r="G149" s="314"/>
      <c r="H149" s="314"/>
      <c r="I149" s="314"/>
      <c r="J149" s="314"/>
      <c r="K149" s="314"/>
    </row>
    <row r="150" ht="20.25" spans="1:11">
      <c r="A150" s="314"/>
      <c r="B150" s="314"/>
      <c r="C150" s="314"/>
      <c r="D150" s="314"/>
      <c r="E150" s="314"/>
      <c r="F150" s="314"/>
      <c r="G150" s="314"/>
      <c r="H150" s="314"/>
      <c r="I150" s="314"/>
      <c r="J150" s="314"/>
      <c r="K150" s="314"/>
    </row>
    <row r="151" ht="20.25" spans="1:11">
      <c r="A151" s="314"/>
      <c r="B151" s="314"/>
      <c r="C151" s="314"/>
      <c r="D151" s="314"/>
      <c r="E151" s="314"/>
      <c r="F151" s="314"/>
      <c r="G151" s="314"/>
      <c r="H151" s="314"/>
      <c r="I151" s="314"/>
      <c r="J151" s="314"/>
      <c r="K151" s="314"/>
    </row>
    <row r="152" ht="20.25" spans="1:11">
      <c r="A152" s="314"/>
      <c r="B152" s="314"/>
      <c r="C152" s="314"/>
      <c r="D152" s="314"/>
      <c r="E152" s="314"/>
      <c r="F152" s="314"/>
      <c r="G152" s="314"/>
      <c r="H152" s="314"/>
      <c r="I152" s="314"/>
      <c r="J152" s="314"/>
      <c r="K152" s="314"/>
    </row>
    <row r="153" ht="20.25" spans="1:11">
      <c r="A153" s="314"/>
      <c r="B153" s="314"/>
      <c r="C153" s="314"/>
      <c r="D153" s="314"/>
      <c r="E153" s="314"/>
      <c r="F153" s="314"/>
      <c r="G153" s="314"/>
      <c r="H153" s="314"/>
      <c r="I153" s="314"/>
      <c r="J153" s="314"/>
      <c r="K153" s="314"/>
    </row>
    <row r="154" ht="20.25" spans="1:11">
      <c r="A154" s="314"/>
      <c r="B154" s="314"/>
      <c r="C154" s="314"/>
      <c r="D154" s="314"/>
      <c r="E154" s="314"/>
      <c r="F154" s="314"/>
      <c r="G154" s="314"/>
      <c r="H154" s="314"/>
      <c r="I154" s="314"/>
      <c r="J154" s="314"/>
      <c r="K154" s="314"/>
    </row>
    <row r="155" ht="20.25" spans="1:11">
      <c r="A155" s="314"/>
      <c r="B155" s="314"/>
      <c r="C155" s="314"/>
      <c r="D155" s="314"/>
      <c r="E155" s="314"/>
      <c r="F155" s="314"/>
      <c r="G155" s="314"/>
      <c r="H155" s="314"/>
      <c r="I155" s="314"/>
      <c r="J155" s="314"/>
      <c r="K155" s="314"/>
    </row>
    <row r="156" ht="20.25" spans="1:11">
      <c r="A156" s="314"/>
      <c r="B156" s="314"/>
      <c r="C156" s="314"/>
      <c r="D156" s="314"/>
      <c r="E156" s="314"/>
      <c r="F156" s="314"/>
      <c r="G156" s="314"/>
      <c r="H156" s="314"/>
      <c r="I156" s="314"/>
      <c r="J156" s="314"/>
      <c r="K156" s="314"/>
    </row>
    <row r="157" ht="20.25" spans="1:11">
      <c r="A157" s="314"/>
      <c r="B157" s="314"/>
      <c r="C157" s="314"/>
      <c r="D157" s="314"/>
      <c r="E157" s="314"/>
      <c r="F157" s="314"/>
      <c r="G157" s="314"/>
      <c r="H157" s="314"/>
      <c r="I157" s="314"/>
      <c r="J157" s="314"/>
      <c r="K157" s="314"/>
    </row>
    <row r="158" ht="20.25" spans="1:11">
      <c r="A158" s="314"/>
      <c r="B158" s="314"/>
      <c r="C158" s="314"/>
      <c r="D158" s="314"/>
      <c r="E158" s="314"/>
      <c r="F158" s="314"/>
      <c r="G158" s="314"/>
      <c r="H158" s="314"/>
      <c r="I158" s="314"/>
      <c r="J158" s="314"/>
      <c r="K158" s="314"/>
    </row>
    <row r="159" ht="20.25" spans="1:11">
      <c r="A159" s="314"/>
      <c r="B159" s="314"/>
      <c r="C159" s="314"/>
      <c r="D159" s="314"/>
      <c r="E159" s="314"/>
      <c r="F159" s="314"/>
      <c r="G159" s="314"/>
      <c r="H159" s="314"/>
      <c r="I159" s="314"/>
      <c r="J159" s="314"/>
      <c r="K159" s="314"/>
    </row>
    <row r="160" ht="20.25" spans="1:11">
      <c r="A160" s="314"/>
      <c r="B160" s="314"/>
      <c r="C160" s="314"/>
      <c r="D160" s="314"/>
      <c r="E160" s="314"/>
      <c r="F160" s="314"/>
      <c r="G160" s="314"/>
      <c r="H160" s="314"/>
      <c r="I160" s="314"/>
      <c r="J160" s="314"/>
      <c r="K160" s="314"/>
    </row>
    <row r="161" ht="20.25" spans="1:11">
      <c r="A161" s="314"/>
      <c r="B161" s="314"/>
      <c r="C161" s="314"/>
      <c r="D161" s="314"/>
      <c r="E161" s="314"/>
      <c r="F161" s="314"/>
      <c r="G161" s="314"/>
      <c r="H161" s="314"/>
      <c r="I161" s="314"/>
      <c r="J161" s="314"/>
      <c r="K161" s="314"/>
    </row>
    <row r="162" ht="20.25" spans="1:11">
      <c r="A162" s="314"/>
      <c r="B162" s="314"/>
      <c r="C162" s="314"/>
      <c r="D162" s="314"/>
      <c r="E162" s="314"/>
      <c r="F162" s="314"/>
      <c r="G162" s="314"/>
      <c r="H162" s="314"/>
      <c r="I162" s="314"/>
      <c r="J162" s="314"/>
      <c r="K162" s="314"/>
    </row>
    <row r="163" ht="20.25" spans="1:11">
      <c r="A163" s="314"/>
      <c r="B163" s="314"/>
      <c r="C163" s="314"/>
      <c r="D163" s="314"/>
      <c r="E163" s="314"/>
      <c r="F163" s="314"/>
      <c r="G163" s="314"/>
      <c r="H163" s="314"/>
      <c r="I163" s="314"/>
      <c r="J163" s="314"/>
      <c r="K163" s="314"/>
    </row>
    <row r="164" ht="20.25" spans="1:11">
      <c r="A164" s="314"/>
      <c r="B164" s="314"/>
      <c r="C164" s="314"/>
      <c r="D164" s="314"/>
      <c r="E164" s="314"/>
      <c r="F164" s="314"/>
      <c r="G164" s="314"/>
      <c r="H164" s="314"/>
      <c r="I164" s="314"/>
      <c r="J164" s="314"/>
      <c r="K164" s="314"/>
    </row>
    <row r="165" ht="20.25" spans="1:11">
      <c r="A165" s="314"/>
      <c r="B165" s="314"/>
      <c r="C165" s="314"/>
      <c r="D165" s="314"/>
      <c r="E165" s="314"/>
      <c r="F165" s="314"/>
      <c r="G165" s="314"/>
      <c r="H165" s="314"/>
      <c r="I165" s="314"/>
      <c r="J165" s="314"/>
      <c r="K165" s="314"/>
    </row>
    <row r="166" ht="20.25" spans="1:11">
      <c r="A166" s="314"/>
      <c r="B166" s="314"/>
      <c r="C166" s="314"/>
      <c r="D166" s="314"/>
      <c r="E166" s="314"/>
      <c r="F166" s="314"/>
      <c r="G166" s="314"/>
      <c r="H166" s="314"/>
      <c r="I166" s="314"/>
      <c r="J166" s="314"/>
      <c r="K166" s="314"/>
    </row>
    <row r="167" ht="20.25" spans="1:11">
      <c r="A167" s="314"/>
      <c r="B167" s="314"/>
      <c r="C167" s="314"/>
      <c r="D167" s="314"/>
      <c r="E167" s="314"/>
      <c r="F167" s="314"/>
      <c r="G167" s="314"/>
      <c r="H167" s="314"/>
      <c r="I167" s="314"/>
      <c r="J167" s="314"/>
      <c r="K167" s="314"/>
    </row>
    <row r="168" ht="20.25" spans="1:11">
      <c r="A168" s="314"/>
      <c r="B168" s="314"/>
      <c r="C168" s="314"/>
      <c r="D168" s="314"/>
      <c r="E168" s="314"/>
      <c r="F168" s="314"/>
      <c r="G168" s="314"/>
      <c r="H168" s="314"/>
      <c r="I168" s="314"/>
      <c r="J168" s="314"/>
      <c r="K168" s="314"/>
    </row>
    <row r="169" ht="20.25" spans="1:11">
      <c r="A169" s="314"/>
      <c r="B169" s="314"/>
      <c r="C169" s="314"/>
      <c r="D169" s="314"/>
      <c r="E169" s="314"/>
      <c r="F169" s="314"/>
      <c r="G169" s="314"/>
      <c r="H169" s="314"/>
      <c r="I169" s="314"/>
      <c r="J169" s="314"/>
      <c r="K169" s="314"/>
    </row>
    <row r="170" ht="20.25" spans="1:11">
      <c r="A170" s="314"/>
      <c r="B170" s="314"/>
      <c r="C170" s="314"/>
      <c r="D170" s="314"/>
      <c r="E170" s="314"/>
      <c r="F170" s="314"/>
      <c r="G170" s="314"/>
      <c r="H170" s="314"/>
      <c r="I170" s="314"/>
      <c r="J170" s="314"/>
      <c r="K170" s="314"/>
    </row>
    <row r="171" ht="20.25" spans="1:11">
      <c r="A171" s="314"/>
      <c r="B171" s="314"/>
      <c r="C171" s="314"/>
      <c r="D171" s="314"/>
      <c r="E171" s="314"/>
      <c r="F171" s="314"/>
      <c r="G171" s="314"/>
      <c r="H171" s="314"/>
      <c r="I171" s="314"/>
      <c r="J171" s="314"/>
      <c r="K171" s="314"/>
    </row>
    <row r="172" ht="20.25" spans="1:11">
      <c r="A172" s="314"/>
      <c r="B172" s="314"/>
      <c r="C172" s="314"/>
      <c r="D172" s="314"/>
      <c r="E172" s="314"/>
      <c r="F172" s="314"/>
      <c r="G172" s="314"/>
      <c r="H172" s="314"/>
      <c r="I172" s="314"/>
      <c r="J172" s="314"/>
      <c r="K172" s="314"/>
    </row>
    <row r="173" ht="20.25" spans="1:11">
      <c r="A173" s="314"/>
      <c r="B173" s="314"/>
      <c r="C173" s="314"/>
      <c r="D173" s="314"/>
      <c r="E173" s="314"/>
      <c r="F173" s="314"/>
      <c r="G173" s="314"/>
      <c r="H173" s="314"/>
      <c r="I173" s="314"/>
      <c r="J173" s="314"/>
      <c r="K173" s="314"/>
    </row>
    <row r="174" ht="20.25" spans="1:11">
      <c r="A174" s="314"/>
      <c r="B174" s="314"/>
      <c r="C174" s="314"/>
      <c r="D174" s="314"/>
      <c r="E174" s="314"/>
      <c r="F174" s="314"/>
      <c r="G174" s="314"/>
      <c r="H174" s="314"/>
      <c r="I174" s="314"/>
      <c r="J174" s="314"/>
      <c r="K174" s="314"/>
    </row>
    <row r="175" ht="20.25" spans="1:11">
      <c r="A175" s="314"/>
      <c r="B175" s="314"/>
      <c r="C175" s="314"/>
      <c r="D175" s="314"/>
      <c r="E175" s="314"/>
      <c r="F175" s="314"/>
      <c r="G175" s="314"/>
      <c r="H175" s="314"/>
      <c r="I175" s="314"/>
      <c r="J175" s="314"/>
      <c r="K175" s="314"/>
    </row>
    <row r="176" ht="20.25" spans="1:11">
      <c r="A176" s="314"/>
      <c r="B176" s="314"/>
      <c r="C176" s="314"/>
      <c r="D176" s="314"/>
      <c r="E176" s="314"/>
      <c r="F176" s="314"/>
      <c r="G176" s="314"/>
      <c r="H176" s="314"/>
      <c r="I176" s="314"/>
      <c r="J176" s="314"/>
      <c r="K176" s="314"/>
    </row>
    <row r="177" ht="20.25" spans="1:11">
      <c r="A177" s="314"/>
      <c r="B177" s="314"/>
      <c r="C177" s="314"/>
      <c r="D177" s="314"/>
      <c r="E177" s="314"/>
      <c r="F177" s="314"/>
      <c r="G177" s="314"/>
      <c r="H177" s="314"/>
      <c r="I177" s="314"/>
      <c r="J177" s="314"/>
      <c r="K177" s="314"/>
    </row>
    <row r="178" ht="20.25" spans="1:11">
      <c r="A178" s="314"/>
      <c r="B178" s="314"/>
      <c r="C178" s="314"/>
      <c r="D178" s="314"/>
      <c r="E178" s="314"/>
      <c r="F178" s="314"/>
      <c r="G178" s="314"/>
      <c r="H178" s="314"/>
      <c r="I178" s="314"/>
      <c r="J178" s="314"/>
      <c r="K178" s="314"/>
    </row>
    <row r="179" ht="20.25" spans="1:11">
      <c r="A179" s="314"/>
      <c r="B179" s="314"/>
      <c r="C179" s="314"/>
      <c r="D179" s="314"/>
      <c r="E179" s="314"/>
      <c r="F179" s="314"/>
      <c r="G179" s="314"/>
      <c r="H179" s="314"/>
      <c r="I179" s="314"/>
      <c r="J179" s="314"/>
      <c r="K179" s="314"/>
    </row>
    <row r="180" ht="20.25" spans="1:11">
      <c r="A180" s="314"/>
      <c r="B180" s="314"/>
      <c r="C180" s="314"/>
      <c r="D180" s="314"/>
      <c r="E180" s="314"/>
      <c r="F180" s="314"/>
      <c r="G180" s="314"/>
      <c r="H180" s="314"/>
      <c r="I180" s="314"/>
      <c r="J180" s="314"/>
      <c r="K180" s="314"/>
    </row>
    <row r="181" ht="20.25" spans="1:11">
      <c r="A181" s="314"/>
      <c r="B181" s="314"/>
      <c r="C181" s="314"/>
      <c r="D181" s="314"/>
      <c r="E181" s="314"/>
      <c r="F181" s="314"/>
      <c r="G181" s="314"/>
      <c r="H181" s="314"/>
      <c r="I181" s="314"/>
      <c r="J181" s="314"/>
      <c r="K181" s="314"/>
    </row>
    <row r="182" ht="20.25" spans="1:11">
      <c r="A182" s="314"/>
      <c r="B182" s="314"/>
      <c r="C182" s="314"/>
      <c r="D182" s="314"/>
      <c r="E182" s="314"/>
      <c r="F182" s="314"/>
      <c r="G182" s="314"/>
      <c r="H182" s="314"/>
      <c r="I182" s="314"/>
      <c r="J182" s="314"/>
      <c r="K182" s="314"/>
    </row>
    <row r="183" ht="20.25" spans="1:11">
      <c r="A183" s="314"/>
      <c r="B183" s="314"/>
      <c r="C183" s="314"/>
      <c r="D183" s="314"/>
      <c r="E183" s="314"/>
      <c r="F183" s="314"/>
      <c r="G183" s="314"/>
      <c r="H183" s="314"/>
      <c r="I183" s="314"/>
      <c r="J183" s="314"/>
      <c r="K183" s="314"/>
    </row>
    <row r="184" ht="20.25" spans="1:11">
      <c r="A184" s="314"/>
      <c r="B184" s="314"/>
      <c r="C184" s="314"/>
      <c r="D184" s="314"/>
      <c r="E184" s="314"/>
      <c r="F184" s="314"/>
      <c r="G184" s="314"/>
      <c r="H184" s="314"/>
      <c r="I184" s="314"/>
      <c r="J184" s="314"/>
      <c r="K184" s="314"/>
    </row>
    <row r="185" ht="20.25" spans="1:11">
      <c r="A185" s="314"/>
      <c r="B185" s="314"/>
      <c r="C185" s="314"/>
      <c r="D185" s="314"/>
      <c r="E185" s="314"/>
      <c r="F185" s="314"/>
      <c r="G185" s="314"/>
      <c r="H185" s="314"/>
      <c r="I185" s="314"/>
      <c r="J185" s="314"/>
      <c r="K185" s="314"/>
    </row>
    <row r="186" ht="20.25" spans="1:11">
      <c r="A186" s="314"/>
      <c r="B186" s="314"/>
      <c r="C186" s="314"/>
      <c r="D186" s="314"/>
      <c r="E186" s="314"/>
      <c r="F186" s="314"/>
      <c r="G186" s="314"/>
      <c r="H186" s="314"/>
      <c r="I186" s="314"/>
      <c r="J186" s="314"/>
      <c r="K186" s="314"/>
    </row>
    <row r="187" ht="20.25" spans="1:11">
      <c r="A187" s="314"/>
      <c r="B187" s="314"/>
      <c r="C187" s="314"/>
      <c r="D187" s="314"/>
      <c r="E187" s="314"/>
      <c r="F187" s="314"/>
      <c r="G187" s="314"/>
      <c r="H187" s="314"/>
      <c r="I187" s="314"/>
      <c r="J187" s="314"/>
      <c r="K187" s="314"/>
    </row>
    <row r="188" ht="20.25" spans="1:11">
      <c r="A188" s="314"/>
      <c r="B188" s="314"/>
      <c r="C188" s="314"/>
      <c r="D188" s="314"/>
      <c r="E188" s="314"/>
      <c r="F188" s="314"/>
      <c r="G188" s="314"/>
      <c r="H188" s="314"/>
      <c r="I188" s="314"/>
      <c r="J188" s="314"/>
      <c r="K188" s="314"/>
    </row>
    <row r="189" ht="20.25" spans="1:11">
      <c r="A189" s="314"/>
      <c r="B189" s="314"/>
      <c r="C189" s="314"/>
      <c r="D189" s="314"/>
      <c r="E189" s="314"/>
      <c r="F189" s="314"/>
      <c r="G189" s="314"/>
      <c r="H189" s="314"/>
      <c r="I189" s="314"/>
      <c r="J189" s="314"/>
      <c r="K189" s="314"/>
    </row>
    <row r="190" ht="20.25" spans="1:11">
      <c r="A190" s="314"/>
      <c r="B190" s="314"/>
      <c r="C190" s="314"/>
      <c r="D190" s="314"/>
      <c r="E190" s="314"/>
      <c r="F190" s="314"/>
      <c r="G190" s="314"/>
      <c r="H190" s="314"/>
      <c r="I190" s="314"/>
      <c r="J190" s="314"/>
      <c r="K190" s="314"/>
    </row>
    <row r="191" ht="20.25" spans="1:11">
      <c r="A191" s="314"/>
      <c r="B191" s="314"/>
      <c r="C191" s="314"/>
      <c r="D191" s="314"/>
      <c r="E191" s="314"/>
      <c r="F191" s="314"/>
      <c r="G191" s="314"/>
      <c r="H191" s="314"/>
      <c r="I191" s="314"/>
      <c r="J191" s="314"/>
      <c r="K191" s="314"/>
    </row>
    <row r="192" ht="20.25" spans="1:11">
      <c r="A192" s="314"/>
      <c r="B192" s="314"/>
      <c r="C192" s="314"/>
      <c r="D192" s="314"/>
      <c r="E192" s="314"/>
      <c r="F192" s="314"/>
      <c r="G192" s="314"/>
      <c r="H192" s="314"/>
      <c r="I192" s="314"/>
      <c r="J192" s="314"/>
      <c r="K192" s="314"/>
    </row>
    <row r="193" ht="20.25" spans="1:11">
      <c r="A193" s="314"/>
      <c r="B193" s="314"/>
      <c r="C193" s="314"/>
      <c r="D193" s="314"/>
      <c r="E193" s="314"/>
      <c r="F193" s="314"/>
      <c r="G193" s="314"/>
      <c r="H193" s="314"/>
      <c r="I193" s="314"/>
      <c r="J193" s="314"/>
      <c r="K193" s="314"/>
    </row>
    <row r="194" ht="20.25" spans="1:11">
      <c r="A194" s="314"/>
      <c r="B194" s="314"/>
      <c r="C194" s="314"/>
      <c r="D194" s="314"/>
      <c r="E194" s="314"/>
      <c r="F194" s="314"/>
      <c r="G194" s="314"/>
      <c r="H194" s="314"/>
      <c r="I194" s="314"/>
      <c r="J194" s="314"/>
      <c r="K194" s="314"/>
    </row>
    <row r="195" ht="20.25" spans="1:11">
      <c r="A195" s="314"/>
      <c r="B195" s="314"/>
      <c r="C195" s="314"/>
      <c r="D195" s="314"/>
      <c r="E195" s="314"/>
      <c r="F195" s="314"/>
      <c r="G195" s="314"/>
      <c r="H195" s="314"/>
      <c r="I195" s="314"/>
      <c r="J195" s="314"/>
      <c r="K195" s="314"/>
    </row>
    <row r="196" ht="20.25" spans="1:11">
      <c r="A196" s="314"/>
      <c r="B196" s="314"/>
      <c r="C196" s="314"/>
      <c r="D196" s="314"/>
      <c r="E196" s="314"/>
      <c r="F196" s="314"/>
      <c r="G196" s="314"/>
      <c r="H196" s="314"/>
      <c r="I196" s="314"/>
      <c r="J196" s="314"/>
      <c r="K196" s="314"/>
    </row>
    <row r="197" ht="20.25" spans="1:11">
      <c r="A197" s="314"/>
      <c r="B197" s="314"/>
      <c r="C197" s="314"/>
      <c r="D197" s="314"/>
      <c r="E197" s="314"/>
      <c r="F197" s="314"/>
      <c r="G197" s="314"/>
      <c r="H197" s="314"/>
      <c r="I197" s="314"/>
      <c r="J197" s="314"/>
      <c r="K197" s="314"/>
    </row>
    <row r="198" ht="20.25" spans="1:11">
      <c r="A198" s="314"/>
      <c r="B198" s="314"/>
      <c r="C198" s="314"/>
      <c r="D198" s="314"/>
      <c r="E198" s="314"/>
      <c r="F198" s="314"/>
      <c r="G198" s="314"/>
      <c r="H198" s="314"/>
      <c r="I198" s="314"/>
      <c r="J198" s="314"/>
      <c r="K198" s="314"/>
    </row>
    <row r="199" ht="20.25" spans="1:11">
      <c r="A199" s="314"/>
      <c r="B199" s="314"/>
      <c r="C199" s="314"/>
      <c r="D199" s="314"/>
      <c r="E199" s="314"/>
      <c r="F199" s="314"/>
      <c r="G199" s="314"/>
      <c r="H199" s="314"/>
      <c r="I199" s="314"/>
      <c r="J199" s="314"/>
      <c r="K199" s="314"/>
    </row>
    <row r="200" ht="20.25" spans="1:11">
      <c r="A200" s="314"/>
      <c r="B200" s="314"/>
      <c r="C200" s="314"/>
      <c r="D200" s="314"/>
      <c r="E200" s="314"/>
      <c r="F200" s="314"/>
      <c r="G200" s="314"/>
      <c r="H200" s="314"/>
      <c r="I200" s="314"/>
      <c r="J200" s="314"/>
      <c r="K200" s="314"/>
    </row>
    <row r="201" ht="20.25" spans="1:11">
      <c r="A201" s="314"/>
      <c r="B201" s="314"/>
      <c r="C201" s="314"/>
      <c r="D201" s="314"/>
      <c r="E201" s="314"/>
      <c r="F201" s="314"/>
      <c r="G201" s="314"/>
      <c r="H201" s="314"/>
      <c r="I201" s="314"/>
      <c r="J201" s="314"/>
      <c r="K201" s="314"/>
    </row>
    <row r="202" ht="20.25" spans="1:11">
      <c r="A202" s="314"/>
      <c r="B202" s="314"/>
      <c r="C202" s="314"/>
      <c r="D202" s="314"/>
      <c r="E202" s="314"/>
      <c r="F202" s="314"/>
      <c r="G202" s="314"/>
      <c r="H202" s="314"/>
      <c r="I202" s="314"/>
      <c r="J202" s="314"/>
      <c r="K202" s="314"/>
    </row>
    <row r="203" ht="20.25" spans="1:11">
      <c r="A203" s="314"/>
      <c r="B203" s="314"/>
      <c r="C203" s="314"/>
      <c r="D203" s="314"/>
      <c r="E203" s="314"/>
      <c r="F203" s="314"/>
      <c r="G203" s="314"/>
      <c r="H203" s="314"/>
      <c r="I203" s="314"/>
      <c r="J203" s="314"/>
      <c r="K203" s="314"/>
    </row>
    <row r="204" ht="20.25" spans="1:11">
      <c r="A204" s="314"/>
      <c r="B204" s="314"/>
      <c r="C204" s="314"/>
      <c r="D204" s="314"/>
      <c r="E204" s="314"/>
      <c r="F204" s="314"/>
      <c r="G204" s="314"/>
      <c r="H204" s="314"/>
      <c r="I204" s="314"/>
      <c r="J204" s="314"/>
      <c r="K204" s="314"/>
    </row>
    <row r="205" ht="20.25" spans="1:11">
      <c r="A205" s="314"/>
      <c r="B205" s="314"/>
      <c r="C205" s="314"/>
      <c r="D205" s="314"/>
      <c r="E205" s="314"/>
      <c r="F205" s="314"/>
      <c r="G205" s="314"/>
      <c r="H205" s="314"/>
      <c r="I205" s="314"/>
      <c r="J205" s="314"/>
      <c r="K205" s="314"/>
    </row>
    <row r="206" ht="20.25" spans="1:11">
      <c r="A206" s="314"/>
      <c r="B206" s="314"/>
      <c r="C206" s="314"/>
      <c r="D206" s="314"/>
      <c r="E206" s="314"/>
      <c r="F206" s="314"/>
      <c r="G206" s="314"/>
      <c r="H206" s="314"/>
      <c r="I206" s="314"/>
      <c r="J206" s="314"/>
      <c r="K206" s="314"/>
    </row>
    <row r="207" ht="20.25" spans="1:11">
      <c r="A207" s="314"/>
      <c r="B207" s="314"/>
      <c r="C207" s="314"/>
      <c r="D207" s="314"/>
      <c r="E207" s="314"/>
      <c r="F207" s="314"/>
      <c r="G207" s="314"/>
      <c r="H207" s="314"/>
      <c r="I207" s="314"/>
      <c r="J207" s="314"/>
      <c r="K207" s="314"/>
    </row>
    <row r="208" ht="20.25" spans="1:11">
      <c r="A208" s="314"/>
      <c r="B208" s="314"/>
      <c r="C208" s="314"/>
      <c r="D208" s="314"/>
      <c r="E208" s="314"/>
      <c r="F208" s="314"/>
      <c r="G208" s="314"/>
      <c r="H208" s="314"/>
      <c r="I208" s="314"/>
      <c r="J208" s="314"/>
      <c r="K208" s="314"/>
    </row>
    <row r="209" ht="20.25" spans="1:11">
      <c r="A209" s="314"/>
      <c r="B209" s="314"/>
      <c r="C209" s="314"/>
      <c r="D209" s="314"/>
      <c r="E209" s="314"/>
      <c r="F209" s="314"/>
      <c r="G209" s="314"/>
      <c r="H209" s="314"/>
      <c r="I209" s="314"/>
      <c r="J209" s="314"/>
      <c r="K209" s="314"/>
    </row>
    <row r="210" ht="20.25" spans="1:11">
      <c r="A210" s="314"/>
      <c r="B210" s="314"/>
      <c r="C210" s="314"/>
      <c r="D210" s="314"/>
      <c r="E210" s="314"/>
      <c r="F210" s="314"/>
      <c r="G210" s="314"/>
      <c r="H210" s="314"/>
      <c r="I210" s="314"/>
      <c r="J210" s="314"/>
      <c r="K210" s="314"/>
    </row>
    <row r="211" ht="20.25" spans="1:11">
      <c r="A211" s="314"/>
      <c r="B211" s="314"/>
      <c r="C211" s="314"/>
      <c r="D211" s="314"/>
      <c r="E211" s="314"/>
      <c r="F211" s="314"/>
      <c r="G211" s="314"/>
      <c r="H211" s="314"/>
      <c r="I211" s="314"/>
      <c r="J211" s="314"/>
      <c r="K211" s="314"/>
    </row>
    <row r="212" ht="20.25" spans="1:11">
      <c r="A212" s="314"/>
      <c r="B212" s="314"/>
      <c r="C212" s="314"/>
      <c r="D212" s="314"/>
      <c r="E212" s="314"/>
      <c r="F212" s="314"/>
      <c r="G212" s="314"/>
      <c r="H212" s="314"/>
      <c r="I212" s="314"/>
      <c r="J212" s="314"/>
      <c r="K212" s="314"/>
    </row>
    <row r="213" ht="20.25" spans="1:11">
      <c r="A213" s="314"/>
      <c r="B213" s="314"/>
      <c r="C213" s="314"/>
      <c r="D213" s="314"/>
      <c r="E213" s="314"/>
      <c r="F213" s="314"/>
      <c r="G213" s="314"/>
      <c r="H213" s="314"/>
      <c r="I213" s="314"/>
      <c r="J213" s="314"/>
      <c r="K213" s="314"/>
    </row>
    <row r="214" ht="20.25" spans="1:11">
      <c r="A214" s="314"/>
      <c r="B214" s="314"/>
      <c r="C214" s="314"/>
      <c r="D214" s="314"/>
      <c r="E214" s="314"/>
      <c r="F214" s="314"/>
      <c r="G214" s="314"/>
      <c r="H214" s="314"/>
      <c r="I214" s="314"/>
      <c r="J214" s="314"/>
      <c r="K214" s="314"/>
    </row>
    <row r="215" ht="20.25" spans="1:11">
      <c r="A215" s="314"/>
      <c r="B215" s="314"/>
      <c r="C215" s="314"/>
      <c r="D215" s="314"/>
      <c r="E215" s="314"/>
      <c r="F215" s="314"/>
      <c r="G215" s="314"/>
      <c r="H215" s="314"/>
      <c r="I215" s="314"/>
      <c r="J215" s="314"/>
      <c r="K215" s="314"/>
    </row>
    <row r="216" ht="20.25" spans="1:11">
      <c r="A216" s="314"/>
      <c r="B216" s="314"/>
      <c r="C216" s="314"/>
      <c r="D216" s="314"/>
      <c r="E216" s="314"/>
      <c r="F216" s="314"/>
      <c r="G216" s="314"/>
      <c r="H216" s="314"/>
      <c r="I216" s="314"/>
      <c r="J216" s="314"/>
      <c r="K216" s="314"/>
    </row>
    <row r="217" ht="20.25" spans="1:11">
      <c r="A217" s="314"/>
      <c r="B217" s="314"/>
      <c r="C217" s="314"/>
      <c r="D217" s="314"/>
      <c r="E217" s="314"/>
      <c r="F217" s="314"/>
      <c r="G217" s="314"/>
      <c r="H217" s="314"/>
      <c r="I217" s="314"/>
      <c r="J217" s="314"/>
      <c r="K217" s="314"/>
    </row>
    <row r="218" ht="20.25" spans="1:11">
      <c r="A218" s="314"/>
      <c r="B218" s="314"/>
      <c r="C218" s="314"/>
      <c r="D218" s="314"/>
      <c r="E218" s="314"/>
      <c r="F218" s="314"/>
      <c r="G218" s="314"/>
      <c r="H218" s="314"/>
      <c r="I218" s="314"/>
      <c r="J218" s="314"/>
      <c r="K218" s="314"/>
    </row>
    <row r="219" ht="20.25" spans="1:11">
      <c r="A219" s="314"/>
      <c r="B219" s="314"/>
      <c r="C219" s="314"/>
      <c r="D219" s="314"/>
      <c r="E219" s="314"/>
      <c r="F219" s="314"/>
      <c r="G219" s="314"/>
      <c r="H219" s="314"/>
      <c r="I219" s="314"/>
      <c r="J219" s="314"/>
      <c r="K219" s="314"/>
    </row>
    <row r="220" ht="20.25" spans="1:11">
      <c r="A220" s="314"/>
      <c r="B220" s="314"/>
      <c r="C220" s="314"/>
      <c r="D220" s="314"/>
      <c r="E220" s="314"/>
      <c r="F220" s="314"/>
      <c r="G220" s="314"/>
      <c r="H220" s="314"/>
      <c r="I220" s="314"/>
      <c r="J220" s="314"/>
      <c r="K220" s="314"/>
    </row>
    <row r="221" ht="20.25" spans="1:11">
      <c r="A221" s="314"/>
      <c r="B221" s="314"/>
      <c r="C221" s="314"/>
      <c r="D221" s="314"/>
      <c r="E221" s="314"/>
      <c r="F221" s="314"/>
      <c r="G221" s="314"/>
      <c r="H221" s="314"/>
      <c r="I221" s="314"/>
      <c r="J221" s="314"/>
      <c r="K221" s="314"/>
    </row>
    <row r="222" ht="20.25" spans="1:11">
      <c r="A222" s="314"/>
      <c r="B222" s="314"/>
      <c r="C222" s="314"/>
      <c r="D222" s="314"/>
      <c r="E222" s="314"/>
      <c r="F222" s="314"/>
      <c r="G222" s="314"/>
      <c r="H222" s="314"/>
      <c r="I222" s="314"/>
      <c r="J222" s="314"/>
      <c r="K222" s="314"/>
    </row>
    <row r="223" ht="20.25" spans="1:11">
      <c r="A223" s="314"/>
      <c r="B223" s="314"/>
      <c r="C223" s="314"/>
      <c r="D223" s="314"/>
      <c r="E223" s="314"/>
      <c r="F223" s="314"/>
      <c r="G223" s="314"/>
      <c r="H223" s="314"/>
      <c r="I223" s="314"/>
      <c r="J223" s="314"/>
      <c r="K223" s="314"/>
    </row>
    <row r="224" ht="20.25" spans="1:11">
      <c r="A224" s="314"/>
      <c r="B224" s="314"/>
      <c r="C224" s="314"/>
      <c r="D224" s="314"/>
      <c r="E224" s="314"/>
      <c r="F224" s="314"/>
      <c r="G224" s="314"/>
      <c r="H224" s="314"/>
      <c r="I224" s="314"/>
      <c r="J224" s="314"/>
      <c r="K224" s="314"/>
    </row>
    <row r="225" ht="20.25" spans="1:11">
      <c r="A225" s="314"/>
      <c r="B225" s="314"/>
      <c r="C225" s="314"/>
      <c r="D225" s="314"/>
      <c r="E225" s="314"/>
      <c r="F225" s="314"/>
      <c r="G225" s="314"/>
      <c r="H225" s="314"/>
      <c r="I225" s="314"/>
      <c r="J225" s="314"/>
      <c r="K225" s="314"/>
    </row>
    <row r="226" ht="20.25" spans="1:11">
      <c r="A226" s="314"/>
      <c r="B226" s="314"/>
      <c r="C226" s="314"/>
      <c r="D226" s="314"/>
      <c r="E226" s="314"/>
      <c r="F226" s="314"/>
      <c r="G226" s="314"/>
      <c r="H226" s="314"/>
      <c r="I226" s="314"/>
      <c r="J226" s="314"/>
      <c r="K226" s="314"/>
    </row>
    <row r="227" ht="20.25" spans="1:11">
      <c r="A227" s="314"/>
      <c r="B227" s="314"/>
      <c r="C227" s="314"/>
      <c r="D227" s="314"/>
      <c r="E227" s="314"/>
      <c r="F227" s="314"/>
      <c r="G227" s="314"/>
      <c r="H227" s="314"/>
      <c r="I227" s="314"/>
      <c r="J227" s="314"/>
      <c r="K227" s="314"/>
    </row>
    <row r="228" ht="20.25" spans="1:11">
      <c r="A228" s="314"/>
      <c r="B228" s="314"/>
      <c r="C228" s="314"/>
      <c r="D228" s="314"/>
      <c r="E228" s="314"/>
      <c r="F228" s="314"/>
      <c r="G228" s="314"/>
      <c r="H228" s="314"/>
      <c r="I228" s="314"/>
      <c r="J228" s="314"/>
      <c r="K228" s="314"/>
    </row>
    <row r="229" ht="20.25" spans="1:11">
      <c r="A229" s="314"/>
      <c r="B229" s="314"/>
      <c r="C229" s="314"/>
      <c r="D229" s="314"/>
      <c r="E229" s="314"/>
      <c r="F229" s="314"/>
      <c r="G229" s="314"/>
      <c r="H229" s="314"/>
      <c r="I229" s="314"/>
      <c r="J229" s="314"/>
      <c r="K229" s="314"/>
    </row>
    <row r="230" ht="20.25" spans="1:11">
      <c r="A230" s="314"/>
      <c r="B230" s="314"/>
      <c r="C230" s="314"/>
      <c r="D230" s="314"/>
      <c r="E230" s="314"/>
      <c r="F230" s="314"/>
      <c r="G230" s="314"/>
      <c r="H230" s="314"/>
      <c r="I230" s="314"/>
      <c r="J230" s="314"/>
      <c r="K230" s="314"/>
    </row>
    <row r="231" ht="20.25" spans="1:11">
      <c r="A231" s="314"/>
      <c r="B231" s="314"/>
      <c r="C231" s="314"/>
      <c r="D231" s="314"/>
      <c r="E231" s="314"/>
      <c r="F231" s="314"/>
      <c r="G231" s="314"/>
      <c r="H231" s="314"/>
      <c r="I231" s="314"/>
      <c r="J231" s="314"/>
      <c r="K231" s="314"/>
    </row>
    <row r="232" ht="20.25" spans="1:11">
      <c r="A232" s="314"/>
      <c r="B232" s="314"/>
      <c r="C232" s="314"/>
      <c r="D232" s="314"/>
      <c r="E232" s="314"/>
      <c r="F232" s="314"/>
      <c r="G232" s="314"/>
      <c r="H232" s="314"/>
      <c r="I232" s="314"/>
      <c r="J232" s="314"/>
      <c r="K232" s="314"/>
    </row>
    <row r="233" ht="20.25" spans="1:11">
      <c r="A233" s="314"/>
      <c r="B233" s="314"/>
      <c r="C233" s="314"/>
      <c r="D233" s="314"/>
      <c r="E233" s="314"/>
      <c r="F233" s="314"/>
      <c r="G233" s="314"/>
      <c r="H233" s="314"/>
      <c r="I233" s="314"/>
      <c r="J233" s="314"/>
      <c r="K233" s="314"/>
    </row>
    <row r="234" ht="20.25" spans="1:11">
      <c r="A234" s="314"/>
      <c r="B234" s="314"/>
      <c r="C234" s="314"/>
      <c r="D234" s="314"/>
      <c r="E234" s="314"/>
      <c r="F234" s="314"/>
      <c r="G234" s="314"/>
      <c r="H234" s="314"/>
      <c r="I234" s="314"/>
      <c r="J234" s="314"/>
      <c r="K234" s="314"/>
    </row>
    <row r="235" ht="20.25" spans="1:11">
      <c r="A235" s="314"/>
      <c r="B235" s="314"/>
      <c r="C235" s="314"/>
      <c r="D235" s="314"/>
      <c r="E235" s="314"/>
      <c r="F235" s="314"/>
      <c r="G235" s="314"/>
      <c r="H235" s="314"/>
      <c r="I235" s="314"/>
      <c r="J235" s="314"/>
      <c r="K235" s="314"/>
    </row>
    <row r="236" ht="20.25" spans="1:11">
      <c r="A236" s="314"/>
      <c r="B236" s="314"/>
      <c r="C236" s="314"/>
      <c r="D236" s="314"/>
      <c r="E236" s="314"/>
      <c r="F236" s="314"/>
      <c r="G236" s="314"/>
      <c r="H236" s="314"/>
      <c r="I236" s="314"/>
      <c r="J236" s="314"/>
      <c r="K236" s="314"/>
    </row>
    <row r="237" ht="20.25" spans="1:11">
      <c r="A237" s="314"/>
      <c r="B237" s="314"/>
      <c r="C237" s="314"/>
      <c r="D237" s="314"/>
      <c r="E237" s="314"/>
      <c r="F237" s="314"/>
      <c r="G237" s="314"/>
      <c r="H237" s="314"/>
      <c r="I237" s="314"/>
      <c r="J237" s="314"/>
      <c r="K237" s="314"/>
    </row>
    <row r="238" ht="20.25" spans="1:11">
      <c r="A238" s="314"/>
      <c r="B238" s="314"/>
      <c r="C238" s="314"/>
      <c r="D238" s="314"/>
      <c r="E238" s="314"/>
      <c r="F238" s="314"/>
      <c r="G238" s="314"/>
      <c r="H238" s="314"/>
      <c r="I238" s="314"/>
      <c r="J238" s="314"/>
      <c r="K238" s="314"/>
    </row>
    <row r="239" ht="20.25" spans="1:11">
      <c r="A239" s="314"/>
      <c r="B239" s="314"/>
      <c r="C239" s="314"/>
      <c r="D239" s="314"/>
      <c r="E239" s="314"/>
      <c r="F239" s="314"/>
      <c r="G239" s="314"/>
      <c r="H239" s="314"/>
      <c r="I239" s="314"/>
      <c r="J239" s="314"/>
      <c r="K239" s="314"/>
    </row>
    <row r="240" ht="20.25" spans="1:11">
      <c r="A240" s="314"/>
      <c r="B240" s="314"/>
      <c r="C240" s="314"/>
      <c r="D240" s="314"/>
      <c r="E240" s="314"/>
      <c r="F240" s="314"/>
      <c r="G240" s="314"/>
      <c r="H240" s="314"/>
      <c r="I240" s="314"/>
      <c r="J240" s="314"/>
      <c r="K240" s="314"/>
    </row>
    <row r="241" ht="20.25" spans="1:11">
      <c r="A241" s="314"/>
      <c r="B241" s="314"/>
      <c r="C241" s="314"/>
      <c r="D241" s="314"/>
      <c r="E241" s="314"/>
      <c r="F241" s="314"/>
      <c r="G241" s="314"/>
      <c r="H241" s="314"/>
      <c r="I241" s="314"/>
      <c r="J241" s="314"/>
      <c r="K241" s="314"/>
    </row>
    <row r="242" ht="20.25" spans="1:11">
      <c r="A242" s="314"/>
      <c r="B242" s="314"/>
      <c r="C242" s="314"/>
      <c r="D242" s="314"/>
      <c r="E242" s="314"/>
      <c r="F242" s="314"/>
      <c r="G242" s="314"/>
      <c r="H242" s="314"/>
      <c r="I242" s="314"/>
      <c r="J242" s="314"/>
      <c r="K242" s="314"/>
    </row>
    <row r="243" ht="20.25" spans="1:11">
      <c r="A243" s="314"/>
      <c r="B243" s="314"/>
      <c r="C243" s="314"/>
      <c r="D243" s="314"/>
      <c r="E243" s="314"/>
      <c r="F243" s="314"/>
      <c r="G243" s="314"/>
      <c r="H243" s="314"/>
      <c r="I243" s="314"/>
      <c r="J243" s="314"/>
      <c r="K243" s="314"/>
    </row>
    <row r="244" ht="20.25" spans="1:11">
      <c r="A244" s="314"/>
      <c r="B244" s="314"/>
      <c r="C244" s="314"/>
      <c r="D244" s="314"/>
      <c r="E244" s="314"/>
      <c r="F244" s="314"/>
      <c r="G244" s="314"/>
      <c r="H244" s="314"/>
      <c r="I244" s="314"/>
      <c r="J244" s="314"/>
      <c r="K244" s="314"/>
    </row>
    <row r="245" ht="20.25" spans="1:11">
      <c r="A245" s="314"/>
      <c r="B245" s="314"/>
      <c r="C245" s="314"/>
      <c r="D245" s="314"/>
      <c r="E245" s="314"/>
      <c r="F245" s="314"/>
      <c r="G245" s="314"/>
      <c r="H245" s="314"/>
      <c r="I245" s="314"/>
      <c r="J245" s="314"/>
      <c r="K245" s="314"/>
    </row>
    <row r="246" ht="20.25" spans="1:11">
      <c r="A246" s="314"/>
      <c r="B246" s="314"/>
      <c r="C246" s="314"/>
      <c r="D246" s="314"/>
      <c r="E246" s="314"/>
      <c r="F246" s="314"/>
      <c r="G246" s="314"/>
      <c r="H246" s="314"/>
      <c r="I246" s="314"/>
      <c r="J246" s="314"/>
      <c r="K246" s="314"/>
    </row>
    <row r="247" ht="20.25" spans="1:11">
      <c r="A247" s="314"/>
      <c r="B247" s="314"/>
      <c r="C247" s="314"/>
      <c r="D247" s="314"/>
      <c r="E247" s="314"/>
      <c r="F247" s="314"/>
      <c r="G247" s="314"/>
      <c r="H247" s="314"/>
      <c r="I247" s="314"/>
      <c r="J247" s="314"/>
      <c r="K247" s="314"/>
    </row>
    <row r="248" ht="20.25" spans="1:11">
      <c r="A248" s="314"/>
      <c r="B248" s="314"/>
      <c r="C248" s="314"/>
      <c r="D248" s="314"/>
      <c r="E248" s="314"/>
      <c r="F248" s="314"/>
      <c r="G248" s="314"/>
      <c r="H248" s="314"/>
      <c r="I248" s="314"/>
      <c r="J248" s="314"/>
      <c r="K248" s="314"/>
    </row>
    <row r="249" ht="20.25" spans="1:11">
      <c r="A249" s="314"/>
      <c r="B249" s="314"/>
      <c r="C249" s="314"/>
      <c r="D249" s="314"/>
      <c r="E249" s="314"/>
      <c r="F249" s="314"/>
      <c r="G249" s="314"/>
      <c r="H249" s="314"/>
      <c r="I249" s="314"/>
      <c r="J249" s="314"/>
      <c r="K249" s="314"/>
    </row>
    <row r="250" ht="20.25" spans="1:11">
      <c r="A250" s="314"/>
      <c r="B250" s="314"/>
      <c r="C250" s="314"/>
      <c r="D250" s="314"/>
      <c r="E250" s="314"/>
      <c r="F250" s="314"/>
      <c r="G250" s="314"/>
      <c r="H250" s="314"/>
      <c r="I250" s="314"/>
      <c r="J250" s="314"/>
      <c r="K250" s="314"/>
    </row>
    <row r="251" ht="20.25" spans="1:11">
      <c r="A251" s="314"/>
      <c r="B251" s="314"/>
      <c r="C251" s="314"/>
      <c r="D251" s="314"/>
      <c r="E251" s="314"/>
      <c r="F251" s="314"/>
      <c r="G251" s="314"/>
      <c r="H251" s="314"/>
      <c r="I251" s="314"/>
      <c r="J251" s="314"/>
      <c r="K251" s="314"/>
    </row>
    <row r="252" ht="20.25" spans="1:11">
      <c r="A252" s="314"/>
      <c r="B252" s="314"/>
      <c r="C252" s="314"/>
      <c r="D252" s="314"/>
      <c r="E252" s="314"/>
      <c r="F252" s="314"/>
      <c r="G252" s="314"/>
      <c r="H252" s="314"/>
      <c r="I252" s="314"/>
      <c r="J252" s="314"/>
      <c r="K252" s="314"/>
    </row>
    <row r="253" ht="20.25" spans="1:11">
      <c r="A253" s="314"/>
      <c r="B253" s="314"/>
      <c r="C253" s="314"/>
      <c r="D253" s="314"/>
      <c r="E253" s="314"/>
      <c r="F253" s="314"/>
      <c r="G253" s="314"/>
      <c r="H253" s="314"/>
      <c r="I253" s="314"/>
      <c r="J253" s="314"/>
      <c r="K253" s="314"/>
    </row>
    <row r="254" ht="20.25" spans="1:11">
      <c r="A254" s="314"/>
      <c r="B254" s="314"/>
      <c r="C254" s="314"/>
      <c r="D254" s="314"/>
      <c r="E254" s="314"/>
      <c r="F254" s="314"/>
      <c r="G254" s="314"/>
      <c r="H254" s="314"/>
      <c r="I254" s="314"/>
      <c r="J254" s="314"/>
      <c r="K254" s="314"/>
    </row>
    <row r="255" ht="20.25" spans="1:11">
      <c r="A255" s="314"/>
      <c r="B255" s="314"/>
      <c r="C255" s="314"/>
      <c r="D255" s="314"/>
      <c r="E255" s="314"/>
      <c r="F255" s="314"/>
      <c r="G255" s="314"/>
      <c r="H255" s="314"/>
      <c r="I255" s="314"/>
      <c r="J255" s="314"/>
      <c r="K255" s="314"/>
    </row>
    <row r="256" ht="20.25" spans="1:11">
      <c r="A256" s="314"/>
      <c r="B256" s="314"/>
      <c r="C256" s="314"/>
      <c r="D256" s="314"/>
      <c r="E256" s="314"/>
      <c r="F256" s="314"/>
      <c r="G256" s="314"/>
      <c r="H256" s="314"/>
      <c r="I256" s="314"/>
      <c r="J256" s="314"/>
      <c r="K256" s="314"/>
    </row>
    <row r="257" ht="20.25" spans="1:11">
      <c r="A257" s="314"/>
      <c r="B257" s="314"/>
      <c r="C257" s="314"/>
      <c r="D257" s="314"/>
      <c r="E257" s="314"/>
      <c r="F257" s="314"/>
      <c r="G257" s="314"/>
      <c r="H257" s="314"/>
      <c r="I257" s="314"/>
      <c r="J257" s="314"/>
      <c r="K257" s="314"/>
    </row>
    <row r="258" ht="20.25" spans="1:11">
      <c r="A258" s="314"/>
      <c r="B258" s="314"/>
      <c r="C258" s="314"/>
      <c r="D258" s="314"/>
      <c r="E258" s="314"/>
      <c r="F258" s="314"/>
      <c r="G258" s="314"/>
      <c r="H258" s="314"/>
      <c r="I258" s="314"/>
      <c r="J258" s="314"/>
      <c r="K258" s="314"/>
    </row>
    <row r="259" ht="20.25" spans="1:11">
      <c r="A259" s="314"/>
      <c r="B259" s="314"/>
      <c r="C259" s="314"/>
      <c r="D259" s="314"/>
      <c r="E259" s="314"/>
      <c r="F259" s="314"/>
      <c r="G259" s="314"/>
      <c r="H259" s="314"/>
      <c r="I259" s="314"/>
      <c r="J259" s="314"/>
      <c r="K259" s="314"/>
    </row>
    <row r="260" ht="20.25" spans="1:11">
      <c r="A260" s="314"/>
      <c r="B260" s="314"/>
      <c r="C260" s="314"/>
      <c r="D260" s="314"/>
      <c r="E260" s="314"/>
      <c r="F260" s="314"/>
      <c r="G260" s="314"/>
      <c r="H260" s="314"/>
      <c r="I260" s="314"/>
      <c r="J260" s="314"/>
      <c r="K260" s="314"/>
    </row>
    <row r="261" ht="20.25" spans="1:11">
      <c r="A261" s="314"/>
      <c r="B261" s="314"/>
      <c r="C261" s="314"/>
      <c r="D261" s="314"/>
      <c r="E261" s="314"/>
      <c r="F261" s="314"/>
      <c r="G261" s="314"/>
      <c r="H261" s="314"/>
      <c r="I261" s="314"/>
      <c r="J261" s="314"/>
      <c r="K261" s="314"/>
    </row>
    <row r="262" ht="20.25" spans="1:11">
      <c r="A262" s="314"/>
      <c r="B262" s="314"/>
      <c r="C262" s="314"/>
      <c r="D262" s="314"/>
      <c r="E262" s="314"/>
      <c r="F262" s="314"/>
      <c r="G262" s="314"/>
      <c r="H262" s="314"/>
      <c r="I262" s="314"/>
      <c r="J262" s="314"/>
      <c r="K262" s="314"/>
    </row>
    <row r="263" ht="20.25" spans="1:11">
      <c r="A263" s="314"/>
      <c r="B263" s="314"/>
      <c r="C263" s="314"/>
      <c r="D263" s="314"/>
      <c r="E263" s="314"/>
      <c r="F263" s="314"/>
      <c r="G263" s="314"/>
      <c r="H263" s="314"/>
      <c r="I263" s="314"/>
      <c r="J263" s="314"/>
      <c r="K263" s="314"/>
    </row>
    <row r="264" ht="20.25" spans="1:11">
      <c r="A264" s="314"/>
      <c r="B264" s="314"/>
      <c r="C264" s="314"/>
      <c r="D264" s="314"/>
      <c r="E264" s="314"/>
      <c r="F264" s="314"/>
      <c r="G264" s="314"/>
      <c r="H264" s="314"/>
      <c r="I264" s="314"/>
      <c r="J264" s="314"/>
      <c r="K264" s="314"/>
    </row>
    <row r="265" ht="20.25" spans="1:11">
      <c r="A265" s="314"/>
      <c r="B265" s="314"/>
      <c r="C265" s="314"/>
      <c r="D265" s="314"/>
      <c r="E265" s="314"/>
      <c r="F265" s="314"/>
      <c r="G265" s="314"/>
      <c r="H265" s="314"/>
      <c r="I265" s="314"/>
      <c r="J265" s="314"/>
      <c r="K265" s="314"/>
    </row>
    <row r="266" ht="20.25" spans="1:11">
      <c r="A266" s="314"/>
      <c r="B266" s="314"/>
      <c r="C266" s="314"/>
      <c r="D266" s="314"/>
      <c r="E266" s="314"/>
      <c r="F266" s="314"/>
      <c r="G266" s="314"/>
      <c r="H266" s="314"/>
      <c r="I266" s="314"/>
      <c r="J266" s="314"/>
      <c r="K266" s="314"/>
    </row>
    <row r="267" ht="20.25" spans="1:11">
      <c r="A267" s="314"/>
      <c r="B267" s="314"/>
      <c r="C267" s="314"/>
      <c r="D267" s="314"/>
      <c r="E267" s="314"/>
      <c r="F267" s="314"/>
      <c r="G267" s="314"/>
      <c r="H267" s="314"/>
      <c r="I267" s="314"/>
      <c r="J267" s="314"/>
      <c r="K267" s="314"/>
    </row>
    <row r="268" ht="20.25" spans="1:11">
      <c r="A268" s="314"/>
      <c r="B268" s="314"/>
      <c r="C268" s="314"/>
      <c r="D268" s="314"/>
      <c r="E268" s="314"/>
      <c r="F268" s="314"/>
      <c r="G268" s="314"/>
      <c r="H268" s="314"/>
      <c r="I268" s="314"/>
      <c r="J268" s="314"/>
      <c r="K268" s="314"/>
    </row>
    <row r="269" ht="20.25" spans="1:11">
      <c r="A269" s="314"/>
      <c r="B269" s="314"/>
      <c r="C269" s="314"/>
      <c r="D269" s="314"/>
      <c r="E269" s="314"/>
      <c r="F269" s="314"/>
      <c r="G269" s="314"/>
      <c r="H269" s="314"/>
      <c r="I269" s="314"/>
      <c r="J269" s="314"/>
      <c r="K269" s="314"/>
    </row>
    <row r="270" ht="20.25" spans="1:11">
      <c r="A270" s="314"/>
      <c r="B270" s="314"/>
      <c r="C270" s="314"/>
      <c r="D270" s="314"/>
      <c r="E270" s="314"/>
      <c r="F270" s="314"/>
      <c r="G270" s="314"/>
      <c r="H270" s="314"/>
      <c r="I270" s="314"/>
      <c r="J270" s="314"/>
      <c r="K270" s="314"/>
    </row>
    <row r="271" ht="20.25" spans="1:11">
      <c r="A271" s="314"/>
      <c r="B271" s="314"/>
      <c r="C271" s="314"/>
      <c r="D271" s="314"/>
      <c r="E271" s="314"/>
      <c r="F271" s="314"/>
      <c r="G271" s="314"/>
      <c r="H271" s="314"/>
      <c r="I271" s="314"/>
      <c r="J271" s="314"/>
      <c r="K271" s="314"/>
    </row>
    <row r="272" ht="20.25" spans="1:11">
      <c r="A272" s="314"/>
      <c r="B272" s="314"/>
      <c r="C272" s="314"/>
      <c r="D272" s="314"/>
      <c r="E272" s="314"/>
      <c r="F272" s="314"/>
      <c r="G272" s="314"/>
      <c r="H272" s="314"/>
      <c r="I272" s="314"/>
      <c r="J272" s="314"/>
      <c r="K272" s="314"/>
    </row>
    <row r="273" ht="20.25" spans="1:11">
      <c r="A273" s="314"/>
      <c r="B273" s="314"/>
      <c r="C273" s="314"/>
      <c r="D273" s="314"/>
      <c r="E273" s="314"/>
      <c r="F273" s="314"/>
      <c r="G273" s="314"/>
      <c r="H273" s="314"/>
      <c r="I273" s="314"/>
      <c r="J273" s="314"/>
      <c r="K273" s="314"/>
    </row>
    <row r="274" ht="20.25" spans="1:11">
      <c r="A274" s="314"/>
      <c r="B274" s="314"/>
      <c r="C274" s="314"/>
      <c r="D274" s="314"/>
      <c r="E274" s="314"/>
      <c r="F274" s="314"/>
      <c r="G274" s="314"/>
      <c r="H274" s="314"/>
      <c r="I274" s="314"/>
      <c r="J274" s="314"/>
      <c r="K274" s="314"/>
    </row>
    <row r="275" ht="20.25" spans="1:11">
      <c r="A275" s="314"/>
      <c r="B275" s="314"/>
      <c r="C275" s="314"/>
      <c r="D275" s="314"/>
      <c r="E275" s="314"/>
      <c r="F275" s="314"/>
      <c r="G275" s="314"/>
      <c r="H275" s="314"/>
      <c r="I275" s="314"/>
      <c r="J275" s="314"/>
      <c r="K275" s="314"/>
    </row>
    <row r="276" ht="20.25" spans="1:11">
      <c r="A276" s="314"/>
      <c r="B276" s="314"/>
      <c r="C276" s="314"/>
      <c r="D276" s="314"/>
      <c r="E276" s="314"/>
      <c r="F276" s="314"/>
      <c r="G276" s="314"/>
      <c r="H276" s="314"/>
      <c r="I276" s="314"/>
      <c r="J276" s="314"/>
      <c r="K276" s="314"/>
    </row>
    <row r="277" ht="20.25" spans="1:11">
      <c r="A277" s="314"/>
      <c r="B277" s="314"/>
      <c r="C277" s="314"/>
      <c r="D277" s="314"/>
      <c r="E277" s="314"/>
      <c r="F277" s="314"/>
      <c r="G277" s="314"/>
      <c r="H277" s="314"/>
      <c r="I277" s="314"/>
      <c r="J277" s="314"/>
      <c r="K277" s="314"/>
    </row>
    <row r="278" ht="20.25" spans="1:11">
      <c r="A278" s="314"/>
      <c r="B278" s="314"/>
      <c r="C278" s="314"/>
      <c r="D278" s="314"/>
      <c r="E278" s="314"/>
      <c r="F278" s="314"/>
      <c r="G278" s="314"/>
      <c r="H278" s="314"/>
      <c r="I278" s="314"/>
      <c r="J278" s="314"/>
      <c r="K278" s="314"/>
    </row>
    <row r="279" ht="20.25" spans="1:11">
      <c r="A279" s="314"/>
      <c r="B279" s="314"/>
      <c r="C279" s="314"/>
      <c r="D279" s="314"/>
      <c r="E279" s="314"/>
      <c r="F279" s="314"/>
      <c r="G279" s="314"/>
      <c r="H279" s="314"/>
      <c r="I279" s="314"/>
      <c r="J279" s="314"/>
      <c r="K279" s="314"/>
    </row>
    <row r="280" ht="20.25" spans="1:11">
      <c r="A280" s="314"/>
      <c r="B280" s="314"/>
      <c r="C280" s="314"/>
      <c r="D280" s="314"/>
      <c r="E280" s="314"/>
      <c r="F280" s="314"/>
      <c r="G280" s="314"/>
      <c r="H280" s="314"/>
      <c r="I280" s="314"/>
      <c r="J280" s="314"/>
      <c r="K280" s="314"/>
    </row>
    <row r="281" ht="20.25" spans="1:11">
      <c r="A281" s="314"/>
      <c r="B281" s="314"/>
      <c r="C281" s="314"/>
      <c r="D281" s="314"/>
      <c r="E281" s="314"/>
      <c r="F281" s="314"/>
      <c r="G281" s="314"/>
      <c r="H281" s="314"/>
      <c r="I281" s="314"/>
      <c r="J281" s="314"/>
      <c r="K281" s="314"/>
    </row>
    <row r="282" ht="20.25" spans="1:11">
      <c r="A282" s="314"/>
      <c r="B282" s="314"/>
      <c r="C282" s="314"/>
      <c r="D282" s="314"/>
      <c r="E282" s="314"/>
      <c r="F282" s="314"/>
      <c r="G282" s="314"/>
      <c r="H282" s="314"/>
      <c r="I282" s="314"/>
      <c r="J282" s="314"/>
      <c r="K282" s="314"/>
    </row>
    <row r="283" ht="20.25" spans="1:11">
      <c r="A283" s="314"/>
      <c r="B283" s="314"/>
      <c r="C283" s="314"/>
      <c r="D283" s="314"/>
      <c r="E283" s="314"/>
      <c r="F283" s="314"/>
      <c r="G283" s="314"/>
      <c r="H283" s="314"/>
      <c r="I283" s="314"/>
      <c r="J283" s="314"/>
      <c r="K283" s="314"/>
    </row>
    <row r="284" ht="20.25" spans="1:11">
      <c r="A284" s="314"/>
      <c r="B284" s="314"/>
      <c r="C284" s="314"/>
      <c r="D284" s="314"/>
      <c r="E284" s="314"/>
      <c r="F284" s="314"/>
      <c r="G284" s="314"/>
      <c r="H284" s="314"/>
      <c r="I284" s="314"/>
      <c r="J284" s="314"/>
      <c r="K284" s="314"/>
    </row>
    <row r="285" ht="20.25" spans="1:11">
      <c r="A285" s="314"/>
      <c r="B285" s="314"/>
      <c r="C285" s="314"/>
      <c r="D285" s="314"/>
      <c r="E285" s="314"/>
      <c r="F285" s="314"/>
      <c r="G285" s="314"/>
      <c r="H285" s="314"/>
      <c r="I285" s="314"/>
      <c r="J285" s="314"/>
      <c r="K285" s="314"/>
    </row>
    <row r="286" ht="20.25" spans="1:11">
      <c r="A286" s="314"/>
      <c r="B286" s="314"/>
      <c r="C286" s="314"/>
      <c r="D286" s="314"/>
      <c r="E286" s="314"/>
      <c r="F286" s="314"/>
      <c r="G286" s="314"/>
      <c r="H286" s="314"/>
      <c r="I286" s="314"/>
      <c r="J286" s="314"/>
      <c r="K286" s="314"/>
    </row>
    <row r="287" ht="20.25" spans="1:11">
      <c r="A287" s="314"/>
      <c r="B287" s="314"/>
      <c r="C287" s="314"/>
      <c r="D287" s="314"/>
      <c r="E287" s="314"/>
      <c r="F287" s="314"/>
      <c r="G287" s="314"/>
      <c r="H287" s="314"/>
      <c r="I287" s="314"/>
      <c r="J287" s="314"/>
      <c r="K287" s="314"/>
    </row>
    <row r="288" ht="20.25" spans="1:11">
      <c r="A288" s="314"/>
      <c r="B288" s="314"/>
      <c r="C288" s="314"/>
      <c r="D288" s="314"/>
      <c r="E288" s="314"/>
      <c r="F288" s="314"/>
      <c r="G288" s="314"/>
      <c r="H288" s="314"/>
      <c r="I288" s="314"/>
      <c r="J288" s="314"/>
      <c r="K288" s="314"/>
    </row>
    <row r="289" ht="20.25" spans="1:11">
      <c r="A289" s="314"/>
      <c r="B289" s="314"/>
      <c r="C289" s="314"/>
      <c r="D289" s="314"/>
      <c r="E289" s="314"/>
      <c r="F289" s="314"/>
      <c r="G289" s="314"/>
      <c r="H289" s="314"/>
      <c r="I289" s="314"/>
      <c r="J289" s="314"/>
      <c r="K289" s="314"/>
    </row>
    <row r="290" ht="20.25" spans="1:11">
      <c r="A290" s="314"/>
      <c r="B290" s="314"/>
      <c r="C290" s="314"/>
      <c r="D290" s="314"/>
      <c r="E290" s="314"/>
      <c r="F290" s="314"/>
      <c r="G290" s="314"/>
      <c r="H290" s="314"/>
      <c r="I290" s="314"/>
      <c r="J290" s="314"/>
      <c r="K290" s="314"/>
    </row>
    <row r="291" ht="20.25" spans="1:11">
      <c r="A291" s="314"/>
      <c r="B291" s="314"/>
      <c r="C291" s="314"/>
      <c r="D291" s="314"/>
      <c r="E291" s="314"/>
      <c r="F291" s="314"/>
      <c r="G291" s="314"/>
      <c r="H291" s="314"/>
      <c r="I291" s="314"/>
      <c r="J291" s="314"/>
      <c r="K291" s="314"/>
    </row>
    <row r="292" ht="20.25" spans="1:11">
      <c r="A292" s="314"/>
      <c r="B292" s="314"/>
      <c r="C292" s="314"/>
      <c r="D292" s="314"/>
      <c r="E292" s="314"/>
      <c r="F292" s="314"/>
      <c r="G292" s="314"/>
      <c r="H292" s="314"/>
      <c r="I292" s="314"/>
      <c r="J292" s="314"/>
      <c r="K292" s="314"/>
    </row>
    <row r="293" ht="20.25" spans="1:11">
      <c r="A293" s="314"/>
      <c r="B293" s="314"/>
      <c r="C293" s="314"/>
      <c r="D293" s="314"/>
      <c r="E293" s="314"/>
      <c r="F293" s="314"/>
      <c r="G293" s="314"/>
      <c r="H293" s="314"/>
      <c r="I293" s="314"/>
      <c r="J293" s="314"/>
      <c r="K293" s="314"/>
    </row>
    <row r="294" ht="20.25" spans="1:11">
      <c r="A294" s="314"/>
      <c r="B294" s="314"/>
      <c r="C294" s="314"/>
      <c r="D294" s="314"/>
      <c r="E294" s="314"/>
      <c r="F294" s="314"/>
      <c r="G294" s="314"/>
      <c r="H294" s="314"/>
      <c r="I294" s="314"/>
      <c r="J294" s="314"/>
      <c r="K294" s="314"/>
    </row>
    <row r="295" ht="20.25" spans="1:11">
      <c r="A295" s="314"/>
      <c r="B295" s="314"/>
      <c r="C295" s="314"/>
      <c r="D295" s="314"/>
      <c r="E295" s="314"/>
      <c r="F295" s="314"/>
      <c r="G295" s="314"/>
      <c r="H295" s="314"/>
      <c r="I295" s="314"/>
      <c r="J295" s="314"/>
      <c r="K295" s="314"/>
    </row>
    <row r="296" ht="20.25" spans="1:11">
      <c r="A296" s="314"/>
      <c r="B296" s="314"/>
      <c r="C296" s="314"/>
      <c r="D296" s="314"/>
      <c r="E296" s="314"/>
      <c r="F296" s="314"/>
      <c r="G296" s="314"/>
      <c r="H296" s="314"/>
      <c r="I296" s="314"/>
      <c r="J296" s="314"/>
      <c r="K296" s="314"/>
    </row>
    <row r="297" ht="20.25" spans="1:11">
      <c r="A297" s="314"/>
      <c r="B297" s="314"/>
      <c r="C297" s="314"/>
      <c r="D297" s="314"/>
      <c r="E297" s="314"/>
      <c r="F297" s="314"/>
      <c r="G297" s="314"/>
      <c r="H297" s="314"/>
      <c r="I297" s="314"/>
      <c r="J297" s="314"/>
      <c r="K297" s="314"/>
    </row>
    <row r="298" ht="20.25" spans="1:11">
      <c r="A298" s="314"/>
      <c r="B298" s="314"/>
      <c r="C298" s="314"/>
      <c r="D298" s="314"/>
      <c r="E298" s="314"/>
      <c r="F298" s="314"/>
      <c r="G298" s="314"/>
      <c r="H298" s="314"/>
      <c r="I298" s="314"/>
      <c r="J298" s="314"/>
      <c r="K298" s="314"/>
    </row>
    <row r="299" ht="20.25" spans="1:11">
      <c r="A299" s="314"/>
      <c r="B299" s="314"/>
      <c r="C299" s="314"/>
      <c r="D299" s="314"/>
      <c r="E299" s="314"/>
      <c r="F299" s="314"/>
      <c r="G299" s="314"/>
      <c r="H299" s="314"/>
      <c r="I299" s="314"/>
      <c r="J299" s="314"/>
      <c r="K299" s="314"/>
    </row>
    <row r="300" ht="20.25" spans="1:11">
      <c r="A300" s="314"/>
      <c r="B300" s="314"/>
      <c r="C300" s="314"/>
      <c r="D300" s="314"/>
      <c r="E300" s="314"/>
      <c r="F300" s="314"/>
      <c r="G300" s="314"/>
      <c r="H300" s="314"/>
      <c r="I300" s="314"/>
      <c r="J300" s="314"/>
      <c r="K300" s="314"/>
    </row>
    <row r="301" ht="20.25" spans="1:11">
      <c r="A301" s="314"/>
      <c r="B301" s="314"/>
      <c r="C301" s="314"/>
      <c r="D301" s="314"/>
      <c r="E301" s="314"/>
      <c r="F301" s="314"/>
      <c r="G301" s="314"/>
      <c r="H301" s="314"/>
      <c r="I301" s="314"/>
      <c r="J301" s="314"/>
      <c r="K301" s="314"/>
    </row>
    <row r="302" ht="20.25" spans="1:11">
      <c r="A302" s="314"/>
      <c r="B302" s="314"/>
      <c r="C302" s="314"/>
      <c r="D302" s="314"/>
      <c r="E302" s="314"/>
      <c r="F302" s="314"/>
      <c r="G302" s="314"/>
      <c r="H302" s="314"/>
      <c r="I302" s="314"/>
      <c r="J302" s="314"/>
      <c r="K302" s="314"/>
    </row>
    <row r="303" ht="20.25" spans="1:11">
      <c r="A303" s="314"/>
      <c r="B303" s="314"/>
      <c r="C303" s="314"/>
      <c r="D303" s="314"/>
      <c r="E303" s="314"/>
      <c r="F303" s="314"/>
      <c r="G303" s="314"/>
      <c r="H303" s="314"/>
      <c r="I303" s="314"/>
      <c r="J303" s="314"/>
      <c r="K303" s="314"/>
    </row>
    <row r="304" ht="20.25" spans="1:11">
      <c r="A304" s="314"/>
      <c r="B304" s="314"/>
      <c r="C304" s="314"/>
      <c r="D304" s="314"/>
      <c r="E304" s="314"/>
      <c r="F304" s="314"/>
      <c r="G304" s="314"/>
      <c r="H304" s="314"/>
      <c r="I304" s="314"/>
      <c r="J304" s="314"/>
      <c r="K304" s="314"/>
    </row>
    <row r="305" ht="20.25" spans="1:11">
      <c r="A305" s="314"/>
      <c r="B305" s="314"/>
      <c r="C305" s="314"/>
      <c r="D305" s="314"/>
      <c r="E305" s="314"/>
      <c r="F305" s="314"/>
      <c r="G305" s="314"/>
      <c r="H305" s="314"/>
      <c r="I305" s="314"/>
      <c r="J305" s="314"/>
      <c r="K305" s="314"/>
    </row>
    <row r="306" ht="20.25" spans="1:11">
      <c r="A306" s="314"/>
      <c r="B306" s="314"/>
      <c r="C306" s="314"/>
      <c r="D306" s="314"/>
      <c r="E306" s="314"/>
      <c r="F306" s="314"/>
      <c r="G306" s="314"/>
      <c r="H306" s="314"/>
      <c r="I306" s="314"/>
      <c r="J306" s="314"/>
      <c r="K306" s="314"/>
    </row>
    <row r="307" ht="20.25" spans="1:11">
      <c r="A307" s="314"/>
      <c r="B307" s="314"/>
      <c r="C307" s="314"/>
      <c r="D307" s="314"/>
      <c r="E307" s="314"/>
      <c r="F307" s="314"/>
      <c r="G307" s="314"/>
      <c r="H307" s="314"/>
      <c r="I307" s="314"/>
      <c r="J307" s="314"/>
      <c r="K307" s="314"/>
    </row>
    <row r="308" ht="20.25" spans="1:11">
      <c r="A308" s="314"/>
      <c r="B308" s="314"/>
      <c r="C308" s="314"/>
      <c r="D308" s="314"/>
      <c r="E308" s="314"/>
      <c r="F308" s="314"/>
      <c r="G308" s="314"/>
      <c r="H308" s="314"/>
      <c r="I308" s="314"/>
      <c r="J308" s="314"/>
      <c r="K308" s="314"/>
    </row>
    <row r="309" ht="20.25" spans="1:11">
      <c r="A309" s="314"/>
      <c r="B309" s="314"/>
      <c r="C309" s="314"/>
      <c r="D309" s="314"/>
      <c r="E309" s="314"/>
      <c r="F309" s="314"/>
      <c r="G309" s="314"/>
      <c r="H309" s="314"/>
      <c r="I309" s="314"/>
      <c r="J309" s="314"/>
      <c r="K309" s="314"/>
    </row>
    <row r="310" ht="20.25" spans="1:11">
      <c r="A310" s="314"/>
      <c r="B310" s="314"/>
      <c r="C310" s="314"/>
      <c r="D310" s="314"/>
      <c r="E310" s="314"/>
      <c r="F310" s="314"/>
      <c r="G310" s="314"/>
      <c r="H310" s="314"/>
      <c r="I310" s="314"/>
      <c r="J310" s="314"/>
      <c r="K310" s="314"/>
    </row>
    <row r="311" ht="20.25" spans="1:11">
      <c r="A311" s="314"/>
      <c r="B311" s="314"/>
      <c r="C311" s="314"/>
      <c r="D311" s="314"/>
      <c r="E311" s="314"/>
      <c r="F311" s="314"/>
      <c r="G311" s="314"/>
      <c r="H311" s="314"/>
      <c r="I311" s="314"/>
      <c r="J311" s="314"/>
      <c r="K311" s="314"/>
    </row>
    <row r="312" ht="20.25" spans="1:11">
      <c r="A312" s="314"/>
      <c r="B312" s="314"/>
      <c r="C312" s="314"/>
      <c r="D312" s="314"/>
      <c r="E312" s="314"/>
      <c r="F312" s="314"/>
      <c r="G312" s="314"/>
      <c r="H312" s="314"/>
      <c r="I312" s="314"/>
      <c r="J312" s="314"/>
      <c r="K312" s="314"/>
    </row>
    <row r="313" ht="20.25" spans="1:11">
      <c r="A313" s="314"/>
      <c r="B313" s="314"/>
      <c r="C313" s="314"/>
      <c r="D313" s="314"/>
      <c r="E313" s="314"/>
      <c r="F313" s="314"/>
      <c r="G313" s="314"/>
      <c r="H313" s="314"/>
      <c r="I313" s="314"/>
      <c r="J313" s="314"/>
      <c r="K313" s="314"/>
    </row>
    <row r="314" ht="20.25" spans="1:11">
      <c r="A314" s="314"/>
      <c r="B314" s="314"/>
      <c r="C314" s="314"/>
      <c r="D314" s="314"/>
      <c r="E314" s="314"/>
      <c r="F314" s="314"/>
      <c r="G314" s="314"/>
      <c r="H314" s="314"/>
      <c r="I314" s="314"/>
      <c r="J314" s="314"/>
      <c r="K314" s="314"/>
    </row>
    <row r="315" ht="20.25" spans="1:11">
      <c r="A315" s="314"/>
      <c r="B315" s="314"/>
      <c r="C315" s="314"/>
      <c r="D315" s="314"/>
      <c r="E315" s="314"/>
      <c r="F315" s="314"/>
      <c r="G315" s="314"/>
      <c r="H315" s="314"/>
      <c r="I315" s="314"/>
      <c r="J315" s="314"/>
      <c r="K315" s="314"/>
    </row>
    <row r="316" ht="20.25" spans="1:11">
      <c r="A316" s="314"/>
      <c r="B316" s="314"/>
      <c r="C316" s="314"/>
      <c r="D316" s="314"/>
      <c r="E316" s="314"/>
      <c r="F316" s="314"/>
      <c r="G316" s="314"/>
      <c r="H316" s="314"/>
      <c r="I316" s="314"/>
      <c r="J316" s="314"/>
      <c r="K316" s="314"/>
    </row>
    <row r="317" ht="20.25" spans="1:11">
      <c r="A317" s="314"/>
      <c r="B317" s="314"/>
      <c r="C317" s="314"/>
      <c r="D317" s="314"/>
      <c r="E317" s="314"/>
      <c r="F317" s="314"/>
      <c r="G317" s="314"/>
      <c r="H317" s="314"/>
      <c r="I317" s="314"/>
      <c r="J317" s="314"/>
      <c r="K317" s="314"/>
    </row>
    <row r="318" ht="20.25" spans="1:11">
      <c r="A318" s="314"/>
      <c r="B318" s="314"/>
      <c r="C318" s="314"/>
      <c r="D318" s="314"/>
      <c r="E318" s="314"/>
      <c r="F318" s="314"/>
      <c r="G318" s="314"/>
      <c r="H318" s="314"/>
      <c r="I318" s="314"/>
      <c r="J318" s="314"/>
      <c r="K318" s="314"/>
    </row>
    <row r="319" ht="20.25" spans="1:11">
      <c r="A319" s="314"/>
      <c r="B319" s="314"/>
      <c r="C319" s="314"/>
      <c r="D319" s="314"/>
      <c r="E319" s="314"/>
      <c r="F319" s="314"/>
      <c r="G319" s="314"/>
      <c r="H319" s="314"/>
      <c r="I319" s="314"/>
      <c r="J319" s="314"/>
      <c r="K319" s="314"/>
    </row>
    <row r="320" ht="20.25" spans="1:11">
      <c r="A320" s="314"/>
      <c r="B320" s="314"/>
      <c r="C320" s="314"/>
      <c r="D320" s="314"/>
      <c r="E320" s="314"/>
      <c r="F320" s="314"/>
      <c r="G320" s="314"/>
      <c r="H320" s="314"/>
      <c r="I320" s="314"/>
      <c r="J320" s="314"/>
      <c r="K320" s="314"/>
    </row>
    <row r="321" ht="20.25" spans="1:11">
      <c r="A321" s="314"/>
      <c r="B321" s="314"/>
      <c r="C321" s="314"/>
      <c r="D321" s="314"/>
      <c r="E321" s="314"/>
      <c r="F321" s="314"/>
      <c r="G321" s="314"/>
      <c r="H321" s="314"/>
      <c r="I321" s="314"/>
      <c r="J321" s="314"/>
      <c r="K321" s="314"/>
    </row>
    <row r="322" ht="20.25" spans="1:11">
      <c r="A322" s="314"/>
      <c r="B322" s="314"/>
      <c r="C322" s="314"/>
      <c r="D322" s="314"/>
      <c r="E322" s="314"/>
      <c r="F322" s="314"/>
      <c r="G322" s="314"/>
      <c r="H322" s="314"/>
      <c r="I322" s="314"/>
      <c r="J322" s="314"/>
      <c r="K322" s="314"/>
    </row>
    <row r="323" ht="20.25" spans="1:11">
      <c r="A323" s="314"/>
      <c r="B323" s="314"/>
      <c r="C323" s="314"/>
      <c r="D323" s="314"/>
      <c r="E323" s="314"/>
      <c r="F323" s="314"/>
      <c r="G323" s="314"/>
      <c r="H323" s="314"/>
      <c r="I323" s="314"/>
      <c r="J323" s="314"/>
      <c r="K323" s="314"/>
    </row>
    <row r="324" ht="20.25" spans="1:11">
      <c r="A324" s="314"/>
      <c r="B324" s="314"/>
      <c r="C324" s="314"/>
      <c r="D324" s="314"/>
      <c r="E324" s="314"/>
      <c r="F324" s="314"/>
      <c r="G324" s="314"/>
      <c r="H324" s="314"/>
      <c r="I324" s="314"/>
      <c r="J324" s="314"/>
      <c r="K324" s="314"/>
    </row>
    <row r="325" ht="20.25" spans="1:11">
      <c r="A325" s="314"/>
      <c r="B325" s="314"/>
      <c r="C325" s="314"/>
      <c r="D325" s="314"/>
      <c r="E325" s="314"/>
      <c r="F325" s="314"/>
      <c r="G325" s="314"/>
      <c r="H325" s="314"/>
      <c r="I325" s="314"/>
      <c r="J325" s="314"/>
      <c r="K325" s="314"/>
    </row>
    <row r="326" ht="20.25" spans="1:11">
      <c r="A326" s="314"/>
      <c r="B326" s="314"/>
      <c r="C326" s="314"/>
      <c r="D326" s="314"/>
      <c r="E326" s="314"/>
      <c r="F326" s="314"/>
      <c r="G326" s="314"/>
      <c r="H326" s="314"/>
      <c r="I326" s="314"/>
      <c r="J326" s="314"/>
      <c r="K326" s="314"/>
    </row>
    <row r="327" ht="20.25" spans="1:11">
      <c r="A327" s="314"/>
      <c r="B327" s="314"/>
      <c r="C327" s="314"/>
      <c r="D327" s="314"/>
      <c r="E327" s="314"/>
      <c r="F327" s="314"/>
      <c r="G327" s="314"/>
      <c r="H327" s="314"/>
      <c r="I327" s="314"/>
      <c r="J327" s="314"/>
      <c r="K327" s="314"/>
    </row>
    <row r="328" ht="20.25" spans="1:11">
      <c r="A328" s="314"/>
      <c r="B328" s="314"/>
      <c r="C328" s="314"/>
      <c r="D328" s="314"/>
      <c r="E328" s="314"/>
      <c r="F328" s="314"/>
      <c r="G328" s="314"/>
      <c r="H328" s="314"/>
      <c r="I328" s="314"/>
      <c r="J328" s="314"/>
      <c r="K328" s="314"/>
    </row>
    <row r="329" ht="20.25" spans="1:11">
      <c r="A329" s="314"/>
      <c r="B329" s="314"/>
      <c r="C329" s="314"/>
      <c r="D329" s="314"/>
      <c r="E329" s="314"/>
      <c r="F329" s="314"/>
      <c r="G329" s="314"/>
      <c r="H329" s="314"/>
      <c r="I329" s="314"/>
      <c r="J329" s="314"/>
      <c r="K329" s="314"/>
    </row>
    <row r="330" ht="20.25" spans="1:11">
      <c r="A330" s="314"/>
      <c r="B330" s="314"/>
      <c r="C330" s="314"/>
      <c r="D330" s="314"/>
      <c r="E330" s="314"/>
      <c r="F330" s="314"/>
      <c r="G330" s="314"/>
      <c r="H330" s="314"/>
      <c r="I330" s="314"/>
      <c r="J330" s="314"/>
      <c r="K330" s="314"/>
    </row>
    <row r="331" ht="20.25" spans="1:11">
      <c r="A331" s="314"/>
      <c r="B331" s="314"/>
      <c r="C331" s="314"/>
      <c r="D331" s="314"/>
      <c r="E331" s="314"/>
      <c r="F331" s="314"/>
      <c r="G331" s="314"/>
      <c r="H331" s="314"/>
      <c r="I331" s="314"/>
      <c r="J331" s="314"/>
      <c r="K331" s="314"/>
    </row>
    <row r="332" ht="20.25" spans="1:11">
      <c r="A332" s="314"/>
      <c r="B332" s="314"/>
      <c r="C332" s="314"/>
      <c r="D332" s="314"/>
      <c r="E332" s="314"/>
      <c r="F332" s="314"/>
      <c r="G332" s="314"/>
      <c r="H332" s="314"/>
      <c r="I332" s="314"/>
      <c r="J332" s="314"/>
      <c r="K332" s="314"/>
    </row>
    <row r="333" ht="20.25" spans="1:11">
      <c r="A333" s="314"/>
      <c r="B333" s="314"/>
      <c r="C333" s="314"/>
      <c r="D333" s="314"/>
      <c r="E333" s="314"/>
      <c r="F333" s="314"/>
      <c r="G333" s="314"/>
      <c r="H333" s="314"/>
      <c r="I333" s="314"/>
      <c r="J333" s="314"/>
      <c r="K333" s="314"/>
    </row>
    <row r="334" ht="20.25" spans="1:11">
      <c r="A334" s="314"/>
      <c r="B334" s="314"/>
      <c r="C334" s="314"/>
      <c r="D334" s="314"/>
      <c r="E334" s="314"/>
      <c r="F334" s="314"/>
      <c r="G334" s="314"/>
      <c r="H334" s="314"/>
      <c r="I334" s="314"/>
      <c r="J334" s="314"/>
      <c r="K334" s="314"/>
    </row>
    <row r="335" ht="20.25" spans="1:11">
      <c r="A335" s="314"/>
      <c r="B335" s="314"/>
      <c r="C335" s="314"/>
      <c r="D335" s="314"/>
      <c r="E335" s="314"/>
      <c r="F335" s="314"/>
      <c r="G335" s="314"/>
      <c r="H335" s="314"/>
      <c r="I335" s="314"/>
      <c r="J335" s="314"/>
      <c r="K335" s="314"/>
    </row>
    <row r="336" ht="20.25" spans="1:11">
      <c r="A336" s="314"/>
      <c r="B336" s="314"/>
      <c r="C336" s="314"/>
      <c r="D336" s="314"/>
      <c r="E336" s="314"/>
      <c r="F336" s="314"/>
      <c r="G336" s="314"/>
      <c r="H336" s="314"/>
      <c r="I336" s="314"/>
      <c r="J336" s="314"/>
      <c r="K336" s="314"/>
    </row>
    <row r="337" ht="20.25" spans="1:11">
      <c r="A337" s="314"/>
      <c r="B337" s="314"/>
      <c r="C337" s="314"/>
      <c r="D337" s="314"/>
      <c r="E337" s="314"/>
      <c r="F337" s="314"/>
      <c r="G337" s="314"/>
      <c r="H337" s="314"/>
      <c r="I337" s="314"/>
      <c r="J337" s="314"/>
      <c r="K337" s="314"/>
    </row>
    <row r="338" ht="20.25" spans="1:11">
      <c r="A338" s="314"/>
      <c r="B338" s="314"/>
      <c r="C338" s="314"/>
      <c r="D338" s="314"/>
      <c r="E338" s="314"/>
      <c r="F338" s="314"/>
      <c r="G338" s="314"/>
      <c r="H338" s="314"/>
      <c r="I338" s="314"/>
      <c r="J338" s="314"/>
      <c r="K338" s="314"/>
    </row>
    <row r="339" ht="20.25" spans="1:11">
      <c r="A339" s="314"/>
      <c r="B339" s="314"/>
      <c r="C339" s="314"/>
      <c r="D339" s="314"/>
      <c r="E339" s="314"/>
      <c r="F339" s="314"/>
      <c r="G339" s="314"/>
      <c r="H339" s="314"/>
      <c r="I339" s="314"/>
      <c r="J339" s="314"/>
      <c r="K339" s="314"/>
    </row>
    <row r="340" ht="20.25" spans="1:11">
      <c r="A340" s="314"/>
      <c r="B340" s="314"/>
      <c r="C340" s="314"/>
      <c r="D340" s="314"/>
      <c r="E340" s="314"/>
      <c r="F340" s="314"/>
      <c r="G340" s="314"/>
      <c r="H340" s="314"/>
      <c r="I340" s="314"/>
      <c r="J340" s="314"/>
      <c r="K340" s="314"/>
    </row>
    <row r="341" ht="20.25" spans="1:11">
      <c r="A341" s="314"/>
      <c r="B341" s="314"/>
      <c r="C341" s="314"/>
      <c r="D341" s="314"/>
      <c r="E341" s="314"/>
      <c r="F341" s="314"/>
      <c r="G341" s="314"/>
      <c r="H341" s="314"/>
      <c r="I341" s="314"/>
      <c r="J341" s="314"/>
      <c r="K341" s="314"/>
    </row>
    <row r="342" ht="20.25" spans="1:11">
      <c r="A342" s="314"/>
      <c r="B342" s="314"/>
      <c r="C342" s="314"/>
      <c r="D342" s="314"/>
      <c r="E342" s="314"/>
      <c r="F342" s="314"/>
      <c r="G342" s="314"/>
      <c r="H342" s="314"/>
      <c r="I342" s="314"/>
      <c r="J342" s="314"/>
      <c r="K342" s="314"/>
    </row>
    <row r="343" ht="20.25" spans="1:11">
      <c r="A343" s="314"/>
      <c r="B343" s="314"/>
      <c r="C343" s="314"/>
      <c r="D343" s="314"/>
      <c r="E343" s="314"/>
      <c r="F343" s="314"/>
      <c r="G343" s="314"/>
      <c r="H343" s="314"/>
      <c r="I343" s="314"/>
      <c r="J343" s="314"/>
      <c r="K343" s="314"/>
    </row>
    <row r="344" ht="20.25" spans="1:11">
      <c r="A344" s="314"/>
      <c r="B344" s="314"/>
      <c r="C344" s="314"/>
      <c r="D344" s="314"/>
      <c r="E344" s="314"/>
      <c r="F344" s="314"/>
      <c r="G344" s="314"/>
      <c r="H344" s="314"/>
      <c r="I344" s="314"/>
      <c r="J344" s="314"/>
      <c r="K344" s="314"/>
    </row>
    <row r="345" ht="20.25" spans="1:11">
      <c r="A345" s="314"/>
      <c r="B345" s="314"/>
      <c r="C345" s="314"/>
      <c r="D345" s="314"/>
      <c r="E345" s="314"/>
      <c r="F345" s="314"/>
      <c r="G345" s="314"/>
      <c r="H345" s="314"/>
      <c r="I345" s="314"/>
      <c r="J345" s="314"/>
      <c r="K345" s="314"/>
    </row>
    <row r="346" ht="20.25" spans="1:11">
      <c r="A346" s="314"/>
      <c r="B346" s="314"/>
      <c r="C346" s="314"/>
      <c r="D346" s="314"/>
      <c r="E346" s="314"/>
      <c r="F346" s="314"/>
      <c r="G346" s="314"/>
      <c r="H346" s="314"/>
      <c r="I346" s="314"/>
      <c r="J346" s="314"/>
      <c r="K346" s="314"/>
    </row>
    <row r="347" ht="20.25" spans="1:11">
      <c r="A347" s="314"/>
      <c r="B347" s="314"/>
      <c r="C347" s="314"/>
      <c r="D347" s="314"/>
      <c r="E347" s="314"/>
      <c r="F347" s="314"/>
      <c r="G347" s="314"/>
      <c r="H347" s="314"/>
      <c r="I347" s="314"/>
      <c r="J347" s="314"/>
      <c r="K347" s="314"/>
    </row>
    <row r="348" ht="20.25" spans="1:11">
      <c r="A348" s="314"/>
      <c r="B348" s="314"/>
      <c r="C348" s="314"/>
      <c r="D348" s="314"/>
      <c r="E348" s="314"/>
      <c r="F348" s="314"/>
      <c r="G348" s="314"/>
      <c r="H348" s="314"/>
      <c r="I348" s="314"/>
      <c r="J348" s="314"/>
      <c r="K348" s="314"/>
    </row>
    <row r="349" ht="20.25" spans="1:11">
      <c r="A349" s="314"/>
      <c r="B349" s="314"/>
      <c r="C349" s="314"/>
      <c r="D349" s="314"/>
      <c r="E349" s="314"/>
      <c r="F349" s="314"/>
      <c r="G349" s="314"/>
      <c r="H349" s="314"/>
      <c r="I349" s="314"/>
      <c r="J349" s="314"/>
      <c r="K349" s="314"/>
    </row>
    <row r="350" ht="20.25" spans="1:11">
      <c r="A350" s="314"/>
      <c r="B350" s="314"/>
      <c r="C350" s="314"/>
      <c r="D350" s="314"/>
      <c r="E350" s="314"/>
      <c r="F350" s="314"/>
      <c r="G350" s="314"/>
      <c r="H350" s="314"/>
      <c r="I350" s="314"/>
      <c r="J350" s="314"/>
      <c r="K350" s="314"/>
    </row>
    <row r="351" ht="20.25" spans="1:11">
      <c r="A351" s="314"/>
      <c r="B351" s="314"/>
      <c r="C351" s="314"/>
      <c r="D351" s="314"/>
      <c r="E351" s="314"/>
      <c r="F351" s="314"/>
      <c r="G351" s="314"/>
      <c r="H351" s="314"/>
      <c r="I351" s="314"/>
      <c r="J351" s="314"/>
      <c r="K351" s="314"/>
    </row>
    <row r="352" ht="20.25" spans="1:11">
      <c r="A352" s="314"/>
      <c r="B352" s="314"/>
      <c r="C352" s="314"/>
      <c r="D352" s="314"/>
      <c r="E352" s="314"/>
      <c r="F352" s="314"/>
      <c r="G352" s="314"/>
      <c r="H352" s="314"/>
      <c r="I352" s="314"/>
      <c r="J352" s="314"/>
      <c r="K352" s="314"/>
    </row>
    <row r="353" ht="20.25" spans="1:11">
      <c r="A353" s="314"/>
      <c r="B353" s="314"/>
      <c r="C353" s="314"/>
      <c r="D353" s="314"/>
      <c r="E353" s="314"/>
      <c r="F353" s="314"/>
      <c r="G353" s="314"/>
      <c r="H353" s="314"/>
      <c r="I353" s="314"/>
      <c r="J353" s="314"/>
      <c r="K353" s="314"/>
    </row>
    <row r="354" ht="20.25" spans="1:11">
      <c r="A354" s="314"/>
      <c r="B354" s="314"/>
      <c r="C354" s="314"/>
      <c r="D354" s="314"/>
      <c r="E354" s="314"/>
      <c r="F354" s="314"/>
      <c r="G354" s="314"/>
      <c r="H354" s="314"/>
      <c r="I354" s="314"/>
      <c r="J354" s="314"/>
      <c r="K354" s="314"/>
    </row>
    <row r="355" ht="20.25" spans="1:11">
      <c r="A355" s="314"/>
      <c r="B355" s="314"/>
      <c r="C355" s="314"/>
      <c r="D355" s="314"/>
      <c r="E355" s="314"/>
      <c r="F355" s="314"/>
      <c r="G355" s="314"/>
      <c r="H355" s="314"/>
      <c r="I355" s="314"/>
      <c r="J355" s="314"/>
      <c r="K355" s="314"/>
    </row>
    <row r="356" ht="20.25" spans="1:11">
      <c r="A356" s="314"/>
      <c r="B356" s="314"/>
      <c r="C356" s="314"/>
      <c r="D356" s="314"/>
      <c r="E356" s="314"/>
      <c r="F356" s="314"/>
      <c r="G356" s="314"/>
      <c r="H356" s="314"/>
      <c r="I356" s="314"/>
      <c r="J356" s="314"/>
      <c r="K356" s="314"/>
    </row>
    <row r="357" ht="20.25" spans="1:11">
      <c r="A357" s="314"/>
      <c r="B357" s="314"/>
      <c r="C357" s="314"/>
      <c r="D357" s="314"/>
      <c r="E357" s="314"/>
      <c r="F357" s="314"/>
      <c r="G357" s="314"/>
      <c r="H357" s="314"/>
      <c r="I357" s="314"/>
      <c r="J357" s="314"/>
      <c r="K357" s="314"/>
    </row>
    <row r="358" ht="20.25" spans="1:11">
      <c r="A358" s="314"/>
      <c r="B358" s="314"/>
      <c r="C358" s="314"/>
      <c r="D358" s="314"/>
      <c r="E358" s="314"/>
      <c r="F358" s="314"/>
      <c r="G358" s="314"/>
      <c r="H358" s="314"/>
      <c r="I358" s="314"/>
      <c r="J358" s="314"/>
      <c r="K358" s="314"/>
    </row>
    <row r="359" ht="20.25" spans="1:11">
      <c r="A359" s="314"/>
      <c r="B359" s="314"/>
      <c r="C359" s="314"/>
      <c r="D359" s="314"/>
      <c r="E359" s="314"/>
      <c r="F359" s="314"/>
      <c r="G359" s="314"/>
      <c r="H359" s="314"/>
      <c r="I359" s="314"/>
      <c r="J359" s="314"/>
      <c r="K359" s="314"/>
    </row>
    <row r="360" ht="20.25" spans="1:11">
      <c r="A360" s="314"/>
      <c r="B360" s="314"/>
      <c r="C360" s="314"/>
      <c r="D360" s="314"/>
      <c r="E360" s="314"/>
      <c r="F360" s="314"/>
      <c r="G360" s="314"/>
      <c r="H360" s="314"/>
      <c r="I360" s="314"/>
      <c r="J360" s="314"/>
      <c r="K360" s="314"/>
    </row>
    <row r="361" ht="20.25" spans="1:11">
      <c r="A361" s="314"/>
      <c r="B361" s="314"/>
      <c r="C361" s="314"/>
      <c r="D361" s="314"/>
      <c r="E361" s="314"/>
      <c r="F361" s="314"/>
      <c r="G361" s="314"/>
      <c r="H361" s="314"/>
      <c r="I361" s="314"/>
      <c r="J361" s="314"/>
      <c r="K361" s="314"/>
    </row>
    <row r="362" ht="20.25" spans="1:11">
      <c r="A362" s="314"/>
      <c r="B362" s="314"/>
      <c r="C362" s="314"/>
      <c r="D362" s="314"/>
      <c r="E362" s="314"/>
      <c r="F362" s="314"/>
      <c r="G362" s="314"/>
      <c r="H362" s="314"/>
      <c r="I362" s="314"/>
      <c r="J362" s="314"/>
      <c r="K362" s="314"/>
    </row>
    <row r="363" ht="20.25" spans="1:11">
      <c r="A363" s="314"/>
      <c r="B363" s="314"/>
      <c r="C363" s="314"/>
      <c r="D363" s="314"/>
      <c r="E363" s="314"/>
      <c r="F363" s="314"/>
      <c r="G363" s="314"/>
      <c r="H363" s="314"/>
      <c r="I363" s="314"/>
      <c r="J363" s="314"/>
      <c r="K363" s="314"/>
    </row>
    <row r="364" ht="20.25" spans="1:11">
      <c r="A364" s="314"/>
      <c r="B364" s="314"/>
      <c r="C364" s="314"/>
      <c r="D364" s="314"/>
      <c r="E364" s="314"/>
      <c r="F364" s="314"/>
      <c r="G364" s="314"/>
      <c r="H364" s="314"/>
      <c r="I364" s="314"/>
      <c r="J364" s="314"/>
      <c r="K364" s="314"/>
    </row>
    <row r="365" ht="20.25" spans="1:11">
      <c r="A365" s="314"/>
      <c r="B365" s="314"/>
      <c r="C365" s="314"/>
      <c r="D365" s="314"/>
      <c r="E365" s="314"/>
      <c r="F365" s="314"/>
      <c r="G365" s="314"/>
      <c r="H365" s="314"/>
      <c r="I365" s="314"/>
      <c r="J365" s="314"/>
      <c r="K365" s="314"/>
    </row>
    <row r="366" ht="20.25" spans="1:11">
      <c r="A366" s="314"/>
      <c r="B366" s="314"/>
      <c r="C366" s="314"/>
      <c r="D366" s="314"/>
      <c r="E366" s="314"/>
      <c r="F366" s="314"/>
      <c r="G366" s="314"/>
      <c r="H366" s="314"/>
      <c r="I366" s="314"/>
      <c r="J366" s="314"/>
      <c r="K366" s="314"/>
    </row>
    <row r="367" ht="20.25" spans="1:11">
      <c r="A367" s="314"/>
      <c r="B367" s="314"/>
      <c r="C367" s="314"/>
      <c r="D367" s="314"/>
      <c r="E367" s="314"/>
      <c r="F367" s="314"/>
      <c r="G367" s="314"/>
      <c r="H367" s="314"/>
      <c r="I367" s="314"/>
      <c r="J367" s="314"/>
      <c r="K367" s="314"/>
    </row>
    <row r="368" ht="20.25" spans="1:11">
      <c r="A368" s="314"/>
      <c r="B368" s="314"/>
      <c r="C368" s="314"/>
      <c r="D368" s="314"/>
      <c r="E368" s="314"/>
      <c r="F368" s="314"/>
      <c r="G368" s="314"/>
      <c r="H368" s="314"/>
      <c r="I368" s="314"/>
      <c r="J368" s="314"/>
      <c r="K368" s="314"/>
    </row>
    <row r="369" ht="20.25" spans="1:11">
      <c r="A369" s="314"/>
      <c r="B369" s="314"/>
      <c r="C369" s="314"/>
      <c r="D369" s="314"/>
      <c r="E369" s="314"/>
      <c r="F369" s="314"/>
      <c r="G369" s="314"/>
      <c r="H369" s="314"/>
      <c r="I369" s="314"/>
      <c r="J369" s="314"/>
      <c r="K369" s="314"/>
    </row>
    <row r="370" ht="20.25" spans="1:11">
      <c r="A370" s="314"/>
      <c r="B370" s="314"/>
      <c r="C370" s="314"/>
      <c r="D370" s="314"/>
      <c r="E370" s="314"/>
      <c r="F370" s="314"/>
      <c r="G370" s="314"/>
      <c r="H370" s="314"/>
      <c r="I370" s="314"/>
      <c r="J370" s="314"/>
      <c r="K370" s="314"/>
    </row>
    <row r="371" ht="20.25" spans="1:11">
      <c r="A371" s="314"/>
      <c r="B371" s="314"/>
      <c r="C371" s="314"/>
      <c r="D371" s="314"/>
      <c r="E371" s="314"/>
      <c r="F371" s="314"/>
      <c r="G371" s="314"/>
      <c r="H371" s="314"/>
      <c r="I371" s="314"/>
      <c r="J371" s="314"/>
      <c r="K371" s="314"/>
    </row>
    <row r="372" ht="20.25" spans="1:11">
      <c r="A372" s="314"/>
      <c r="B372" s="314"/>
      <c r="C372" s="314"/>
      <c r="D372" s="314"/>
      <c r="E372" s="314"/>
      <c r="F372" s="314"/>
      <c r="G372" s="314"/>
      <c r="H372" s="314"/>
      <c r="I372" s="314"/>
      <c r="J372" s="314"/>
      <c r="K372" s="314"/>
    </row>
    <row r="373" ht="20.25" spans="1:11">
      <c r="A373" s="314"/>
      <c r="B373" s="314"/>
      <c r="C373" s="314"/>
      <c r="D373" s="314"/>
      <c r="E373" s="314"/>
      <c r="F373" s="314"/>
      <c r="G373" s="314"/>
      <c r="H373" s="314"/>
      <c r="I373" s="314"/>
      <c r="J373" s="314"/>
      <c r="K373" s="314"/>
    </row>
    <row r="374" ht="20.25" spans="1:11">
      <c r="A374" s="314"/>
      <c r="B374" s="314"/>
      <c r="C374" s="314"/>
      <c r="D374" s="314"/>
      <c r="E374" s="314"/>
      <c r="F374" s="314"/>
      <c r="G374" s="314"/>
      <c r="H374" s="314"/>
      <c r="I374" s="314"/>
      <c r="J374" s="314"/>
      <c r="K374" s="314"/>
    </row>
    <row r="375" ht="20.25" spans="1:11">
      <c r="A375" s="314"/>
      <c r="B375" s="314"/>
      <c r="C375" s="314"/>
      <c r="D375" s="314"/>
      <c r="E375" s="314"/>
      <c r="F375" s="314"/>
      <c r="G375" s="314"/>
      <c r="H375" s="314"/>
      <c r="I375" s="314"/>
      <c r="J375" s="314"/>
      <c r="K375" s="314"/>
    </row>
    <row r="376" ht="20.25" spans="1:11">
      <c r="A376" s="314"/>
      <c r="B376" s="314"/>
      <c r="C376" s="314"/>
      <c r="D376" s="314"/>
      <c r="E376" s="314"/>
      <c r="F376" s="314"/>
      <c r="G376" s="314"/>
      <c r="H376" s="314"/>
      <c r="I376" s="314"/>
      <c r="J376" s="314"/>
      <c r="K376" s="314"/>
    </row>
    <row r="377" ht="20.25" spans="1:11">
      <c r="A377" s="314"/>
      <c r="B377" s="314"/>
      <c r="C377" s="314"/>
      <c r="D377" s="314"/>
      <c r="E377" s="314"/>
      <c r="F377" s="314"/>
      <c r="G377" s="314"/>
      <c r="H377" s="314"/>
      <c r="I377" s="314"/>
      <c r="J377" s="314"/>
      <c r="K377" s="314"/>
    </row>
    <row r="378" ht="20.25" spans="1:11">
      <c r="A378" s="314"/>
      <c r="B378" s="314"/>
      <c r="C378" s="314"/>
      <c r="D378" s="314"/>
      <c r="E378" s="314"/>
      <c r="F378" s="314"/>
      <c r="G378" s="314"/>
      <c r="H378" s="314"/>
      <c r="I378" s="314"/>
      <c r="J378" s="314"/>
      <c r="K378" s="314"/>
    </row>
    <row r="379" ht="20.25" spans="1:11">
      <c r="A379" s="314"/>
      <c r="B379" s="314"/>
      <c r="C379" s="314"/>
      <c r="D379" s="314"/>
      <c r="E379" s="314"/>
      <c r="F379" s="314"/>
      <c r="G379" s="314"/>
      <c r="H379" s="314"/>
      <c r="I379" s="314"/>
      <c r="J379" s="314"/>
      <c r="K379" s="314"/>
    </row>
    <row r="380" ht="20.25" spans="1:11">
      <c r="A380" s="314"/>
      <c r="B380" s="314"/>
      <c r="C380" s="314"/>
      <c r="D380" s="314"/>
      <c r="E380" s="314"/>
      <c r="F380" s="314"/>
      <c r="G380" s="314"/>
      <c r="H380" s="314"/>
      <c r="I380" s="314"/>
      <c r="J380" s="314"/>
      <c r="K380" s="314"/>
    </row>
    <row r="381" ht="20.25" spans="1:11">
      <c r="A381" s="314"/>
      <c r="B381" s="314"/>
      <c r="C381" s="314"/>
      <c r="D381" s="314"/>
      <c r="E381" s="314"/>
      <c r="F381" s="314"/>
      <c r="G381" s="314"/>
      <c r="H381" s="314"/>
      <c r="I381" s="314"/>
      <c r="J381" s="314"/>
      <c r="K381" s="314"/>
    </row>
    <row r="382" ht="20.25" spans="1:11">
      <c r="A382" s="314"/>
      <c r="B382" s="314"/>
      <c r="C382" s="314"/>
      <c r="D382" s="314"/>
      <c r="E382" s="314"/>
      <c r="F382" s="314"/>
      <c r="G382" s="314"/>
      <c r="H382" s="314"/>
      <c r="I382" s="314"/>
      <c r="J382" s="314"/>
      <c r="K382" s="314"/>
    </row>
    <row r="383" ht="20.25" spans="1:11">
      <c r="A383" s="314"/>
      <c r="B383" s="314"/>
      <c r="C383" s="314"/>
      <c r="D383" s="314"/>
      <c r="E383" s="314"/>
      <c r="F383" s="314"/>
      <c r="G383" s="314"/>
      <c r="H383" s="314"/>
      <c r="I383" s="314"/>
      <c r="J383" s="314"/>
      <c r="K383" s="314"/>
    </row>
    <row r="384" ht="20.25" spans="1:11">
      <c r="A384" s="314"/>
      <c r="B384" s="314"/>
      <c r="C384" s="314"/>
      <c r="D384" s="314"/>
      <c r="E384" s="314"/>
      <c r="F384" s="314"/>
      <c r="G384" s="314"/>
      <c r="H384" s="314"/>
      <c r="I384" s="314"/>
      <c r="J384" s="314"/>
      <c r="K384" s="314"/>
    </row>
    <row r="385" ht="20.25" spans="1:11">
      <c r="A385" s="314"/>
      <c r="B385" s="314"/>
      <c r="C385" s="314"/>
      <c r="D385" s="314"/>
      <c r="E385" s="314"/>
      <c r="F385" s="314"/>
      <c r="G385" s="314"/>
      <c r="H385" s="314"/>
      <c r="I385" s="314"/>
      <c r="J385" s="314"/>
      <c r="K385" s="314"/>
    </row>
    <row r="386" ht="20.25" spans="1:11">
      <c r="A386" s="314"/>
      <c r="B386" s="314"/>
      <c r="C386" s="314"/>
      <c r="D386" s="314"/>
      <c r="E386" s="314"/>
      <c r="F386" s="314"/>
      <c r="G386" s="314"/>
      <c r="H386" s="314"/>
      <c r="I386" s="314"/>
      <c r="J386" s="314"/>
      <c r="K386" s="314"/>
    </row>
    <row r="387" ht="20.25" spans="1:11">
      <c r="A387" s="314"/>
      <c r="B387" s="314"/>
      <c r="C387" s="314"/>
      <c r="D387" s="314"/>
      <c r="E387" s="314"/>
      <c r="F387" s="314"/>
      <c r="G387" s="314"/>
      <c r="H387" s="314"/>
      <c r="I387" s="314"/>
      <c r="J387" s="314"/>
      <c r="K387" s="314"/>
    </row>
    <row r="388" ht="20.25" spans="1:11">
      <c r="A388" s="314"/>
      <c r="B388" s="314"/>
      <c r="C388" s="314"/>
      <c r="D388" s="314"/>
      <c r="E388" s="314"/>
      <c r="F388" s="314"/>
      <c r="G388" s="314"/>
      <c r="H388" s="314"/>
      <c r="I388" s="314"/>
      <c r="J388" s="314"/>
      <c r="K388" s="314"/>
    </row>
    <row r="389" ht="20.25" spans="1:11">
      <c r="A389" s="314"/>
      <c r="B389" s="314"/>
      <c r="C389" s="314"/>
      <c r="D389" s="314"/>
      <c r="E389" s="314"/>
      <c r="F389" s="314"/>
      <c r="G389" s="314"/>
      <c r="H389" s="314"/>
      <c r="I389" s="314"/>
      <c r="J389" s="314"/>
      <c r="K389" s="314"/>
    </row>
    <row r="390" ht="20.25" spans="1:11">
      <c r="A390" s="314"/>
      <c r="B390" s="314"/>
      <c r="C390" s="314"/>
      <c r="D390" s="314"/>
      <c r="E390" s="314"/>
      <c r="F390" s="314"/>
      <c r="G390" s="314"/>
      <c r="H390" s="314"/>
      <c r="I390" s="314"/>
      <c r="J390" s="314"/>
      <c r="K390" s="314"/>
    </row>
    <row r="391" ht="20.25" spans="1:11">
      <c r="A391" s="314"/>
      <c r="B391" s="314"/>
      <c r="C391" s="314"/>
      <c r="D391" s="314"/>
      <c r="E391" s="314"/>
      <c r="F391" s="314"/>
      <c r="G391" s="314"/>
      <c r="H391" s="314"/>
      <c r="I391" s="314"/>
      <c r="J391" s="314"/>
      <c r="K391" s="314"/>
    </row>
    <row r="392" ht="20.25" spans="1:11">
      <c r="A392" s="314"/>
      <c r="B392" s="314"/>
      <c r="C392" s="314"/>
      <c r="D392" s="314"/>
      <c r="E392" s="314"/>
      <c r="F392" s="314"/>
      <c r="G392" s="314"/>
      <c r="H392" s="314"/>
      <c r="I392" s="314"/>
      <c r="J392" s="314"/>
      <c r="K392" s="314"/>
    </row>
    <row r="393" ht="20.25" spans="1:11">
      <c r="A393" s="314"/>
      <c r="B393" s="314"/>
      <c r="C393" s="314"/>
      <c r="D393" s="314"/>
      <c r="E393" s="314"/>
      <c r="F393" s="314"/>
      <c r="G393" s="314"/>
      <c r="H393" s="314"/>
      <c r="I393" s="314"/>
      <c r="J393" s="314"/>
      <c r="K393" s="314"/>
    </row>
    <row r="394" ht="20.25" spans="1:11">
      <c r="A394" s="314"/>
      <c r="B394" s="314"/>
      <c r="C394" s="314"/>
      <c r="D394" s="314"/>
      <c r="E394" s="314"/>
      <c r="F394" s="314"/>
      <c r="G394" s="314"/>
      <c r="H394" s="314"/>
      <c r="I394" s="314"/>
      <c r="J394" s="314"/>
      <c r="K394" s="314"/>
    </row>
    <row r="395" ht="20.25" spans="1:11">
      <c r="A395" s="314"/>
      <c r="B395" s="314"/>
      <c r="C395" s="314"/>
      <c r="D395" s="314"/>
      <c r="E395" s="314"/>
      <c r="F395" s="314"/>
      <c r="G395" s="314"/>
      <c r="H395" s="314"/>
      <c r="I395" s="314"/>
      <c r="J395" s="314"/>
      <c r="K395" s="314"/>
    </row>
    <row r="396" ht="20.25" spans="1:11">
      <c r="A396" s="314"/>
      <c r="B396" s="314"/>
      <c r="C396" s="314"/>
      <c r="D396" s="314"/>
      <c r="E396" s="314"/>
      <c r="F396" s="314"/>
      <c r="G396" s="314"/>
      <c r="H396" s="314"/>
      <c r="I396" s="314"/>
      <c r="J396" s="314"/>
      <c r="K396" s="314"/>
    </row>
    <row r="397" ht="20.25" spans="1:11">
      <c r="A397" s="314"/>
      <c r="B397" s="314"/>
      <c r="C397" s="314"/>
      <c r="D397" s="314"/>
      <c r="E397" s="314"/>
      <c r="F397" s="314"/>
      <c r="G397" s="314"/>
      <c r="H397" s="314"/>
      <c r="I397" s="314"/>
      <c r="J397" s="314"/>
      <c r="K397" s="314"/>
    </row>
    <row r="398" ht="20.25" spans="1:11">
      <c r="A398" s="314"/>
      <c r="B398" s="314"/>
      <c r="C398" s="314"/>
      <c r="D398" s="314"/>
      <c r="E398" s="314"/>
      <c r="F398" s="314"/>
      <c r="G398" s="314"/>
      <c r="H398" s="314"/>
      <c r="I398" s="314"/>
      <c r="J398" s="314"/>
      <c r="K398" s="314"/>
    </row>
    <row r="399" ht="20.25" spans="1:11">
      <c r="A399" s="314"/>
      <c r="B399" s="314"/>
      <c r="C399" s="314"/>
      <c r="D399" s="314"/>
      <c r="E399" s="314"/>
      <c r="F399" s="314"/>
      <c r="G399" s="314"/>
      <c r="H399" s="314"/>
      <c r="I399" s="314"/>
      <c r="J399" s="314"/>
      <c r="K399" s="314"/>
    </row>
    <row r="400" ht="20.25" spans="1:11">
      <c r="A400" s="314"/>
      <c r="B400" s="314"/>
      <c r="C400" s="314"/>
      <c r="D400" s="314"/>
      <c r="E400" s="314"/>
      <c r="F400" s="314"/>
      <c r="G400" s="314"/>
      <c r="H400" s="314"/>
      <c r="I400" s="314"/>
      <c r="J400" s="314"/>
      <c r="K400" s="314"/>
    </row>
    <row r="401" ht="20.25" spans="1:11">
      <c r="A401" s="314"/>
      <c r="B401" s="314"/>
      <c r="C401" s="314"/>
      <c r="D401" s="314"/>
      <c r="E401" s="314"/>
      <c r="F401" s="314"/>
      <c r="G401" s="314"/>
      <c r="H401" s="314"/>
      <c r="I401" s="314"/>
      <c r="J401" s="314"/>
      <c r="K401" s="314"/>
    </row>
    <row r="402" ht="20.25" spans="1:11">
      <c r="A402" s="314"/>
      <c r="B402" s="314"/>
      <c r="C402" s="314"/>
      <c r="D402" s="314"/>
      <c r="E402" s="314"/>
      <c r="F402" s="314"/>
      <c r="G402" s="314"/>
      <c r="H402" s="314"/>
      <c r="I402" s="314"/>
      <c r="J402" s="314"/>
      <c r="K402" s="314"/>
    </row>
    <row r="403" ht="20.25" spans="1:11">
      <c r="A403" s="314"/>
      <c r="B403" s="314"/>
      <c r="C403" s="314"/>
      <c r="D403" s="314"/>
      <c r="E403" s="314"/>
      <c r="F403" s="314"/>
      <c r="G403" s="314"/>
      <c r="H403" s="314"/>
      <c r="I403" s="314"/>
      <c r="J403" s="314"/>
      <c r="K403" s="314"/>
    </row>
    <row r="404" ht="20.25" spans="1:11">
      <c r="A404" s="314"/>
      <c r="B404" s="314"/>
      <c r="C404" s="314"/>
      <c r="D404" s="314"/>
      <c r="E404" s="314"/>
      <c r="F404" s="314"/>
      <c r="G404" s="314"/>
      <c r="H404" s="314"/>
      <c r="I404" s="314"/>
      <c r="J404" s="314"/>
      <c r="K404" s="314"/>
    </row>
    <row r="405" ht="20.25" spans="1:11">
      <c r="A405" s="314"/>
      <c r="B405" s="314"/>
      <c r="C405" s="314"/>
      <c r="D405" s="314"/>
      <c r="E405" s="314"/>
      <c r="F405" s="314"/>
      <c r="G405" s="314"/>
      <c r="H405" s="314"/>
      <c r="I405" s="314"/>
      <c r="J405" s="314"/>
      <c r="K405" s="314"/>
    </row>
    <row r="406" ht="20.25" spans="1:11">
      <c r="A406" s="314"/>
      <c r="B406" s="314"/>
      <c r="C406" s="314"/>
      <c r="D406" s="314"/>
      <c r="E406" s="314"/>
      <c r="F406" s="314"/>
      <c r="G406" s="314"/>
      <c r="H406" s="314"/>
      <c r="I406" s="314"/>
      <c r="J406" s="314"/>
      <c r="K406" s="314"/>
    </row>
    <row r="407" ht="20.25" spans="1:11">
      <c r="A407" s="314"/>
      <c r="B407" s="314"/>
      <c r="C407" s="314"/>
      <c r="D407" s="314"/>
      <c r="E407" s="314"/>
      <c r="F407" s="314"/>
      <c r="G407" s="314"/>
      <c r="H407" s="314"/>
      <c r="I407" s="314"/>
      <c r="J407" s="314"/>
      <c r="K407" s="314"/>
    </row>
    <row r="408" ht="20.25" spans="1:11">
      <c r="A408" s="314"/>
      <c r="B408" s="314"/>
      <c r="C408" s="314"/>
      <c r="D408" s="314"/>
      <c r="E408" s="314"/>
      <c r="F408" s="314"/>
      <c r="G408" s="314"/>
      <c r="H408" s="314"/>
      <c r="I408" s="314"/>
      <c r="J408" s="314"/>
      <c r="K408" s="314"/>
    </row>
    <row r="409" ht="20.25" spans="1:11">
      <c r="A409" s="314"/>
      <c r="B409" s="314"/>
      <c r="C409" s="314"/>
      <c r="D409" s="314"/>
      <c r="E409" s="314"/>
      <c r="F409" s="314"/>
      <c r="G409" s="314"/>
      <c r="H409" s="314"/>
      <c r="I409" s="314"/>
      <c r="J409" s="314"/>
      <c r="K409" s="314"/>
    </row>
    <row r="410" ht="20.25" spans="1:11">
      <c r="A410" s="314"/>
      <c r="B410" s="314"/>
      <c r="C410" s="314"/>
      <c r="D410" s="314"/>
      <c r="E410" s="314"/>
      <c r="F410" s="314"/>
      <c r="G410" s="314"/>
      <c r="H410" s="314"/>
      <c r="I410" s="314"/>
      <c r="J410" s="314"/>
      <c r="K410" s="314"/>
    </row>
    <row r="411" ht="20.25" spans="1:11">
      <c r="A411" s="314"/>
      <c r="B411" s="314"/>
      <c r="C411" s="314"/>
      <c r="D411" s="314"/>
      <c r="E411" s="314"/>
      <c r="F411" s="314"/>
      <c r="G411" s="314"/>
      <c r="H411" s="314"/>
      <c r="I411" s="314"/>
      <c r="J411" s="314"/>
      <c r="K411" s="314"/>
    </row>
    <row r="412" ht="20.25" spans="1:11">
      <c r="A412" s="314"/>
      <c r="B412" s="314"/>
      <c r="C412" s="314"/>
      <c r="D412" s="314"/>
      <c r="E412" s="314"/>
      <c r="F412" s="314"/>
      <c r="G412" s="314"/>
      <c r="H412" s="314"/>
      <c r="I412" s="314"/>
      <c r="J412" s="314"/>
      <c r="K412" s="314"/>
    </row>
    <row r="413" ht="20.25" spans="1:11">
      <c r="A413" s="314"/>
      <c r="B413" s="314"/>
      <c r="C413" s="314"/>
      <c r="D413" s="314"/>
      <c r="E413" s="314"/>
      <c r="F413" s="314"/>
      <c r="G413" s="314"/>
      <c r="H413" s="314"/>
      <c r="I413" s="314"/>
      <c r="J413" s="314"/>
      <c r="K413" s="314"/>
    </row>
    <row r="414" ht="20.25" spans="1:11">
      <c r="A414" s="314"/>
      <c r="B414" s="314"/>
      <c r="C414" s="314"/>
      <c r="D414" s="314"/>
      <c r="E414" s="314"/>
      <c r="F414" s="314"/>
      <c r="G414" s="314"/>
      <c r="H414" s="314"/>
      <c r="I414" s="314"/>
      <c r="J414" s="314"/>
      <c r="K414" s="314"/>
    </row>
    <row r="415" ht="20.25" spans="1:11">
      <c r="A415" s="314"/>
      <c r="B415" s="314"/>
      <c r="C415" s="314"/>
      <c r="D415" s="314"/>
      <c r="E415" s="314"/>
      <c r="F415" s="314"/>
      <c r="G415" s="314"/>
      <c r="H415" s="314"/>
      <c r="I415" s="314"/>
      <c r="J415" s="314"/>
      <c r="K415" s="314"/>
    </row>
    <row r="416" ht="20.25" spans="1:11">
      <c r="A416" s="314"/>
      <c r="B416" s="314"/>
      <c r="C416" s="314"/>
      <c r="D416" s="314"/>
      <c r="E416" s="314"/>
      <c r="F416" s="314"/>
      <c r="G416" s="314"/>
      <c r="H416" s="314"/>
      <c r="I416" s="314"/>
      <c r="J416" s="314"/>
      <c r="K416" s="314"/>
    </row>
    <row r="417" ht="20.25" spans="1:11">
      <c r="A417" s="314"/>
      <c r="B417" s="314"/>
      <c r="C417" s="314"/>
      <c r="D417" s="314"/>
      <c r="E417" s="314"/>
      <c r="F417" s="314"/>
      <c r="G417" s="314"/>
      <c r="H417" s="314"/>
      <c r="I417" s="314"/>
      <c r="J417" s="314"/>
      <c r="K417" s="314"/>
    </row>
    <row r="418" ht="20.25" spans="1:11">
      <c r="A418" s="314"/>
      <c r="B418" s="314"/>
      <c r="C418" s="314"/>
      <c r="D418" s="314"/>
      <c r="E418" s="314"/>
      <c r="F418" s="314"/>
      <c r="G418" s="314"/>
      <c r="H418" s="314"/>
      <c r="I418" s="314"/>
      <c r="J418" s="314"/>
      <c r="K418" s="314"/>
    </row>
    <row r="419" ht="20.25" spans="1:11">
      <c r="A419" s="314"/>
      <c r="B419" s="314"/>
      <c r="C419" s="314"/>
      <c r="D419" s="314"/>
      <c r="E419" s="314"/>
      <c r="F419" s="314"/>
      <c r="G419" s="314"/>
      <c r="H419" s="314"/>
      <c r="I419" s="314"/>
      <c r="J419" s="314"/>
      <c r="K419" s="314"/>
    </row>
    <row r="420" ht="20.25" spans="1:11">
      <c r="A420" s="314"/>
      <c r="B420" s="314"/>
      <c r="C420" s="314"/>
      <c r="D420" s="314"/>
      <c r="E420" s="314"/>
      <c r="F420" s="314"/>
      <c r="G420" s="314"/>
      <c r="H420" s="314"/>
      <c r="I420" s="314"/>
      <c r="J420" s="314"/>
      <c r="K420" s="314"/>
    </row>
    <row r="421" ht="20.25" spans="1:11">
      <c r="A421" s="314"/>
      <c r="B421" s="314"/>
      <c r="C421" s="314"/>
      <c r="D421" s="314"/>
      <c r="E421" s="314"/>
      <c r="F421" s="314"/>
      <c r="G421" s="314"/>
      <c r="H421" s="314"/>
      <c r="I421" s="314"/>
      <c r="J421" s="314"/>
      <c r="K421" s="314"/>
    </row>
    <row r="422" ht="20.25" spans="1:11">
      <c r="A422" s="314"/>
      <c r="B422" s="314"/>
      <c r="C422" s="314"/>
      <c r="D422" s="314"/>
      <c r="E422" s="314"/>
      <c r="F422" s="314"/>
      <c r="G422" s="314"/>
      <c r="H422" s="314"/>
      <c r="I422" s="314"/>
      <c r="J422" s="314"/>
      <c r="K422" s="314"/>
    </row>
    <row r="423" ht="20.25" spans="1:11">
      <c r="A423" s="314"/>
      <c r="B423" s="314"/>
      <c r="C423" s="314"/>
      <c r="D423" s="314"/>
      <c r="E423" s="314"/>
      <c r="F423" s="314"/>
      <c r="G423" s="314"/>
      <c r="H423" s="314"/>
      <c r="I423" s="314"/>
      <c r="J423" s="314"/>
      <c r="K423" s="314"/>
    </row>
    <row r="424" ht="20.25" spans="1:11">
      <c r="A424" s="314"/>
      <c r="B424" s="314"/>
      <c r="C424" s="314"/>
      <c r="D424" s="314"/>
      <c r="E424" s="314"/>
      <c r="F424" s="314"/>
      <c r="G424" s="314"/>
      <c r="H424" s="314"/>
      <c r="I424" s="314"/>
      <c r="J424" s="314"/>
      <c r="K424" s="314"/>
    </row>
    <row r="425" ht="20.25" spans="1:11">
      <c r="A425" s="314"/>
      <c r="B425" s="314"/>
      <c r="C425" s="314"/>
      <c r="D425" s="314"/>
      <c r="E425" s="314"/>
      <c r="F425" s="314"/>
      <c r="G425" s="314"/>
      <c r="H425" s="314"/>
      <c r="I425" s="314"/>
      <c r="J425" s="314"/>
      <c r="K425" s="314"/>
    </row>
    <row r="426" ht="20.25" spans="1:11">
      <c r="A426" s="314"/>
      <c r="B426" s="314"/>
      <c r="C426" s="314"/>
      <c r="D426" s="314"/>
      <c r="E426" s="314"/>
      <c r="F426" s="314"/>
      <c r="G426" s="314"/>
      <c r="H426" s="314"/>
      <c r="I426" s="314"/>
      <c r="J426" s="314"/>
      <c r="K426" s="314"/>
    </row>
    <row r="427" ht="20.25" spans="1:11">
      <c r="A427" s="314"/>
      <c r="B427" s="314"/>
      <c r="C427" s="314"/>
      <c r="D427" s="314"/>
      <c r="E427" s="314"/>
      <c r="F427" s="314"/>
      <c r="G427" s="314"/>
      <c r="H427" s="314"/>
      <c r="I427" s="314"/>
      <c r="J427" s="314"/>
      <c r="K427" s="314"/>
    </row>
    <row r="428" ht="20.25" spans="1:11">
      <c r="A428" s="314"/>
      <c r="B428" s="314"/>
      <c r="C428" s="314"/>
      <c r="D428" s="314"/>
      <c r="E428" s="314"/>
      <c r="F428" s="314"/>
      <c r="G428" s="314"/>
      <c r="H428" s="314"/>
      <c r="I428" s="314"/>
      <c r="J428" s="314"/>
      <c r="K428" s="314"/>
    </row>
    <row r="429" ht="20.25" spans="1:11">
      <c r="A429" s="314"/>
      <c r="B429" s="314"/>
      <c r="C429" s="314"/>
      <c r="D429" s="314"/>
      <c r="E429" s="314"/>
      <c r="F429" s="314"/>
      <c r="G429" s="314"/>
      <c r="H429" s="314"/>
      <c r="I429" s="314"/>
      <c r="J429" s="314"/>
      <c r="K429" s="314"/>
    </row>
    <row r="430" ht="20.25" spans="1:11">
      <c r="A430" s="314"/>
      <c r="B430" s="314"/>
      <c r="C430" s="314"/>
      <c r="D430" s="314"/>
      <c r="E430" s="314"/>
      <c r="F430" s="314"/>
      <c r="G430" s="314"/>
      <c r="H430" s="314"/>
      <c r="I430" s="314"/>
      <c r="J430" s="314"/>
      <c r="K430" s="314"/>
    </row>
    <row r="431" ht="20.25" spans="1:11">
      <c r="A431" s="314"/>
      <c r="B431" s="314"/>
      <c r="C431" s="314"/>
      <c r="D431" s="314"/>
      <c r="E431" s="314"/>
      <c r="F431" s="314"/>
      <c r="G431" s="314"/>
      <c r="H431" s="314"/>
      <c r="I431" s="314"/>
      <c r="J431" s="314"/>
      <c r="K431" s="314"/>
    </row>
    <row r="432" ht="20.25" spans="1:11">
      <c r="A432" s="314"/>
      <c r="B432" s="314"/>
      <c r="C432" s="314"/>
      <c r="D432" s="314"/>
      <c r="E432" s="314"/>
      <c r="F432" s="314"/>
      <c r="G432" s="314"/>
      <c r="H432" s="314"/>
      <c r="I432" s="314"/>
      <c r="J432" s="314"/>
      <c r="K432" s="314"/>
    </row>
    <row r="433" ht="20.25" spans="1:11">
      <c r="A433" s="314"/>
      <c r="B433" s="314"/>
      <c r="C433" s="314"/>
      <c r="D433" s="314"/>
      <c r="E433" s="314"/>
      <c r="F433" s="314"/>
      <c r="G433" s="314"/>
      <c r="H433" s="314"/>
      <c r="I433" s="314"/>
      <c r="J433" s="314"/>
      <c r="K433" s="314"/>
    </row>
    <row r="434" ht="20.25" spans="1:11">
      <c r="A434" s="314"/>
      <c r="B434" s="314"/>
      <c r="C434" s="314"/>
      <c r="D434" s="314"/>
      <c r="E434" s="314"/>
      <c r="F434" s="314"/>
      <c r="G434" s="314"/>
      <c r="H434" s="314"/>
      <c r="I434" s="314"/>
      <c r="J434" s="314"/>
      <c r="K434" s="314"/>
    </row>
    <row r="435" ht="20.25" spans="1:11">
      <c r="A435" s="314"/>
      <c r="B435" s="314"/>
      <c r="C435" s="314"/>
      <c r="D435" s="314"/>
      <c r="E435" s="314"/>
      <c r="F435" s="314"/>
      <c r="G435" s="314"/>
      <c r="H435" s="314"/>
      <c r="I435" s="314"/>
      <c r="J435" s="314"/>
      <c r="K435" s="314"/>
    </row>
    <row r="436" ht="20.25" spans="1:11">
      <c r="A436" s="314"/>
      <c r="B436" s="314"/>
      <c r="C436" s="314"/>
      <c r="D436" s="314"/>
      <c r="E436" s="314"/>
      <c r="F436" s="314"/>
      <c r="G436" s="314"/>
      <c r="H436" s="314"/>
      <c r="I436" s="314"/>
      <c r="J436" s="314"/>
      <c r="K436" s="314"/>
    </row>
    <row r="437" ht="20.25" spans="1:11">
      <c r="A437" s="314"/>
      <c r="B437" s="314"/>
      <c r="C437" s="314"/>
      <c r="D437" s="314"/>
      <c r="E437" s="314"/>
      <c r="F437" s="314"/>
      <c r="G437" s="314"/>
      <c r="H437" s="314"/>
      <c r="I437" s="314"/>
      <c r="J437" s="314"/>
      <c r="K437" s="314"/>
    </row>
    <row r="438" ht="20.25" spans="1:11">
      <c r="A438" s="314"/>
      <c r="B438" s="314"/>
      <c r="C438" s="314"/>
      <c r="D438" s="314"/>
      <c r="E438" s="314"/>
      <c r="F438" s="314"/>
      <c r="G438" s="314"/>
      <c r="H438" s="314"/>
      <c r="I438" s="314"/>
      <c r="J438" s="314"/>
      <c r="K438" s="314"/>
    </row>
    <row r="439" ht="20.25" spans="1:11">
      <c r="A439" s="314"/>
      <c r="B439" s="314"/>
      <c r="C439" s="314"/>
      <c r="D439" s="314"/>
      <c r="E439" s="314"/>
      <c r="F439" s="314"/>
      <c r="G439" s="314"/>
      <c r="H439" s="314"/>
      <c r="I439" s="314"/>
      <c r="J439" s="314"/>
      <c r="K439" s="314"/>
    </row>
    <row r="440" ht="20.25" spans="1:11">
      <c r="A440" s="314"/>
      <c r="B440" s="314"/>
      <c r="C440" s="314"/>
      <c r="D440" s="314"/>
      <c r="E440" s="314"/>
      <c r="F440" s="314"/>
      <c r="G440" s="314"/>
      <c r="H440" s="314"/>
      <c r="I440" s="314"/>
      <c r="J440" s="314"/>
      <c r="K440" s="314"/>
    </row>
    <row r="441" ht="20.25" spans="1:11">
      <c r="A441" s="314"/>
      <c r="B441" s="314"/>
      <c r="C441" s="314"/>
      <c r="D441" s="314"/>
      <c r="E441" s="314"/>
      <c r="F441" s="314"/>
      <c r="G441" s="314"/>
      <c r="H441" s="314"/>
      <c r="I441" s="314"/>
      <c r="J441" s="314"/>
      <c r="K441" s="314"/>
    </row>
    <row r="442" ht="20.25" spans="1:11">
      <c r="A442" s="314"/>
      <c r="B442" s="314"/>
      <c r="C442" s="314"/>
      <c r="D442" s="314"/>
      <c r="E442" s="314"/>
      <c r="F442" s="314"/>
      <c r="G442" s="314"/>
      <c r="H442" s="314"/>
      <c r="I442" s="314"/>
      <c r="J442" s="314"/>
      <c r="K442" s="314"/>
    </row>
    <row r="443" ht="20.25" spans="1:11">
      <c r="A443" s="314"/>
      <c r="B443" s="314"/>
      <c r="C443" s="314"/>
      <c r="D443" s="314"/>
      <c r="E443" s="314"/>
      <c r="F443" s="314"/>
      <c r="G443" s="314"/>
      <c r="H443" s="314"/>
      <c r="I443" s="314"/>
      <c r="J443" s="314"/>
      <c r="K443" s="314"/>
    </row>
    <row r="444" ht="20.25" spans="1:11">
      <c r="A444" s="314"/>
      <c r="B444" s="314"/>
      <c r="C444" s="314"/>
      <c r="D444" s="314"/>
      <c r="E444" s="314"/>
      <c r="F444" s="314"/>
      <c r="G444" s="314"/>
      <c r="H444" s="314"/>
      <c r="I444" s="314"/>
      <c r="J444" s="314"/>
      <c r="K444" s="314"/>
    </row>
    <row r="445" ht="20.25" spans="1:11">
      <c r="A445" s="314"/>
      <c r="B445" s="314"/>
      <c r="C445" s="314"/>
      <c r="D445" s="314"/>
      <c r="E445" s="314"/>
      <c r="F445" s="314"/>
      <c r="G445" s="314"/>
      <c r="H445" s="314"/>
      <c r="I445" s="314"/>
      <c r="J445" s="314"/>
      <c r="K445" s="314"/>
    </row>
    <row r="446" ht="20.25" spans="1:11">
      <c r="A446" s="314"/>
      <c r="B446" s="314"/>
      <c r="C446" s="314"/>
      <c r="D446" s="314"/>
      <c r="E446" s="314"/>
      <c r="F446" s="314"/>
      <c r="G446" s="314"/>
      <c r="H446" s="314"/>
      <c r="I446" s="314"/>
      <c r="J446" s="314"/>
      <c r="K446" s="314"/>
    </row>
    <row r="447" ht="20.25" spans="1:11">
      <c r="A447" s="314"/>
      <c r="B447" s="314"/>
      <c r="C447" s="314"/>
      <c r="D447" s="314"/>
      <c r="E447" s="314"/>
      <c r="F447" s="314"/>
      <c r="G447" s="314"/>
      <c r="H447" s="314"/>
      <c r="I447" s="314"/>
      <c r="J447" s="314"/>
      <c r="K447" s="314"/>
    </row>
    <row r="448" ht="20.25" spans="1:11">
      <c r="A448" s="314"/>
      <c r="B448" s="314"/>
      <c r="C448" s="314"/>
      <c r="D448" s="314"/>
      <c r="E448" s="314"/>
      <c r="F448" s="314"/>
      <c r="G448" s="314"/>
      <c r="H448" s="314"/>
      <c r="I448" s="314"/>
      <c r="J448" s="314"/>
      <c r="K448" s="314"/>
    </row>
    <row r="449" ht="20.25" spans="1:11">
      <c r="A449" s="314"/>
      <c r="B449" s="314"/>
      <c r="C449" s="314"/>
      <c r="D449" s="314"/>
      <c r="E449" s="314"/>
      <c r="F449" s="314"/>
      <c r="G449" s="314"/>
      <c r="H449" s="314"/>
      <c r="I449" s="314"/>
      <c r="J449" s="314"/>
      <c r="K449" s="314"/>
    </row>
    <row r="450" ht="20.25" spans="1:11">
      <c r="A450" s="314"/>
      <c r="B450" s="314"/>
      <c r="C450" s="314"/>
      <c r="D450" s="314"/>
      <c r="E450" s="314"/>
      <c r="F450" s="314"/>
      <c r="G450" s="314"/>
      <c r="H450" s="314"/>
      <c r="I450" s="314"/>
      <c r="J450" s="314"/>
      <c r="K450" s="314"/>
    </row>
    <row r="451" ht="20.25" spans="1:11">
      <c r="A451" s="314"/>
      <c r="B451" s="314"/>
      <c r="C451" s="314"/>
      <c r="D451" s="314"/>
      <c r="E451" s="314"/>
      <c r="F451" s="314"/>
      <c r="G451" s="314"/>
      <c r="H451" s="314"/>
      <c r="I451" s="314"/>
      <c r="J451" s="314"/>
      <c r="K451" s="314"/>
    </row>
    <row r="452" ht="20.25" spans="1:11">
      <c r="A452" s="314"/>
      <c r="B452" s="314"/>
      <c r="C452" s="314"/>
      <c r="D452" s="314"/>
      <c r="E452" s="314"/>
      <c r="F452" s="314"/>
      <c r="G452" s="314"/>
      <c r="H452" s="314"/>
      <c r="I452" s="314"/>
      <c r="J452" s="314"/>
      <c r="K452" s="314"/>
    </row>
    <row r="453" ht="20.25" spans="1:11">
      <c r="A453" s="314"/>
      <c r="B453" s="314"/>
      <c r="C453" s="314"/>
      <c r="D453" s="314"/>
      <c r="E453" s="314"/>
      <c r="F453" s="314"/>
      <c r="G453" s="314"/>
      <c r="H453" s="314"/>
      <c r="I453" s="314"/>
      <c r="J453" s="314"/>
      <c r="K453" s="314"/>
    </row>
    <row r="454" ht="20.25" spans="1:11">
      <c r="A454" s="314"/>
      <c r="B454" s="314"/>
      <c r="C454" s="314"/>
      <c r="D454" s="314"/>
      <c r="E454" s="314"/>
      <c r="F454" s="314"/>
      <c r="G454" s="314"/>
      <c r="H454" s="314"/>
      <c r="I454" s="314"/>
      <c r="J454" s="314"/>
      <c r="K454" s="314"/>
    </row>
    <row r="455" ht="20.25" spans="1:11">
      <c r="A455" s="314"/>
      <c r="B455" s="314"/>
      <c r="C455" s="314"/>
      <c r="D455" s="314"/>
      <c r="E455" s="314"/>
      <c r="F455" s="314"/>
      <c r="G455" s="314"/>
      <c r="H455" s="314"/>
      <c r="I455" s="314"/>
      <c r="J455" s="314"/>
      <c r="K455" s="314"/>
    </row>
    <row r="456" ht="20.25" spans="1:11">
      <c r="A456" s="314"/>
      <c r="B456" s="314"/>
      <c r="C456" s="314"/>
      <c r="D456" s="314"/>
      <c r="E456" s="314"/>
      <c r="F456" s="314"/>
      <c r="G456" s="314"/>
      <c r="H456" s="314"/>
      <c r="I456" s="314"/>
      <c r="J456" s="314"/>
      <c r="K456" s="314"/>
    </row>
    <row r="457" ht="20.25" spans="1:11">
      <c r="A457" s="314"/>
      <c r="B457" s="314"/>
      <c r="C457" s="314"/>
      <c r="D457" s="314"/>
      <c r="E457" s="314"/>
      <c r="F457" s="314"/>
      <c r="G457" s="314"/>
      <c r="H457" s="314"/>
      <c r="I457" s="314"/>
      <c r="J457" s="314"/>
      <c r="K457" s="314"/>
    </row>
    <row r="458" ht="20.25" spans="1:11">
      <c r="A458" s="314"/>
      <c r="B458" s="314"/>
      <c r="C458" s="314"/>
      <c r="D458" s="314"/>
      <c r="E458" s="314"/>
      <c r="F458" s="314"/>
      <c r="G458" s="314"/>
      <c r="H458" s="314"/>
      <c r="I458" s="314"/>
      <c r="J458" s="314"/>
      <c r="K458" s="314"/>
    </row>
    <row r="459" ht="20.25" spans="1:11">
      <c r="A459" s="314"/>
      <c r="B459" s="314"/>
      <c r="C459" s="314"/>
      <c r="D459" s="314"/>
      <c r="E459" s="314"/>
      <c r="F459" s="314"/>
      <c r="G459" s="314"/>
      <c r="H459" s="314"/>
      <c r="I459" s="314"/>
      <c r="J459" s="314"/>
      <c r="K459" s="314"/>
    </row>
    <row r="460" ht="20.25" spans="1:11">
      <c r="A460" s="314"/>
      <c r="B460" s="314"/>
      <c r="C460" s="314"/>
      <c r="D460" s="314"/>
      <c r="E460" s="314"/>
      <c r="F460" s="314"/>
      <c r="G460" s="314"/>
      <c r="H460" s="314"/>
      <c r="I460" s="314"/>
      <c r="J460" s="314"/>
      <c r="K460" s="314"/>
    </row>
    <row r="461" ht="20.25" spans="1:11">
      <c r="A461" s="314"/>
      <c r="B461" s="314"/>
      <c r="C461" s="314"/>
      <c r="D461" s="314"/>
      <c r="E461" s="314"/>
      <c r="F461" s="314"/>
      <c r="G461" s="314"/>
      <c r="H461" s="314"/>
      <c r="I461" s="314"/>
      <c r="J461" s="314"/>
      <c r="K461" s="314"/>
    </row>
    <row r="462" ht="20.25" spans="1:11">
      <c r="A462" s="314"/>
      <c r="B462" s="314"/>
      <c r="C462" s="314"/>
      <c r="D462" s="314"/>
      <c r="E462" s="314"/>
      <c r="F462" s="314"/>
      <c r="G462" s="314"/>
      <c r="H462" s="314"/>
      <c r="I462" s="314"/>
      <c r="J462" s="314"/>
      <c r="K462" s="314"/>
    </row>
    <row r="463" ht="20.25" spans="1:11">
      <c r="A463" s="314"/>
      <c r="B463" s="314"/>
      <c r="C463" s="314"/>
      <c r="D463" s="314"/>
      <c r="E463" s="314"/>
      <c r="F463" s="314"/>
      <c r="G463" s="314"/>
      <c r="H463" s="314"/>
      <c r="I463" s="314"/>
      <c r="J463" s="314"/>
      <c r="K463" s="314"/>
    </row>
    <row r="464" ht="20.25" spans="1:11">
      <c r="A464" s="314"/>
      <c r="B464" s="314"/>
      <c r="C464" s="314"/>
      <c r="D464" s="314"/>
      <c r="E464" s="314"/>
      <c r="F464" s="314"/>
      <c r="G464" s="314"/>
      <c r="H464" s="314"/>
      <c r="I464" s="314"/>
      <c r="J464" s="314"/>
      <c r="K464" s="314"/>
    </row>
    <row r="465" ht="20.25" spans="1:11">
      <c r="A465" s="314"/>
      <c r="B465" s="314"/>
      <c r="C465" s="314"/>
      <c r="D465" s="314"/>
      <c r="E465" s="314"/>
      <c r="F465" s="314"/>
      <c r="G465" s="314"/>
      <c r="H465" s="314"/>
      <c r="I465" s="314"/>
      <c r="J465" s="314"/>
      <c r="K465" s="314"/>
    </row>
    <row r="466" ht="20.25" spans="1:11">
      <c r="A466" s="314"/>
      <c r="B466" s="314"/>
      <c r="C466" s="314"/>
      <c r="D466" s="314"/>
      <c r="E466" s="314"/>
      <c r="F466" s="314"/>
      <c r="G466" s="314"/>
      <c r="H466" s="314"/>
      <c r="I466" s="314"/>
      <c r="J466" s="314"/>
      <c r="K466" s="314"/>
    </row>
    <row r="467" ht="20.25" spans="1:11">
      <c r="A467" s="314"/>
      <c r="B467" s="314"/>
      <c r="C467" s="314"/>
      <c r="D467" s="314"/>
      <c r="E467" s="314"/>
      <c r="F467" s="314"/>
      <c r="G467" s="314"/>
      <c r="H467" s="314"/>
      <c r="I467" s="314"/>
      <c r="J467" s="314"/>
      <c r="K467" s="314"/>
    </row>
    <row r="468" ht="20.25" spans="1:11">
      <c r="A468" s="314"/>
      <c r="B468" s="314"/>
      <c r="C468" s="314"/>
      <c r="D468" s="314"/>
      <c r="E468" s="314"/>
      <c r="F468" s="314"/>
      <c r="G468" s="314"/>
      <c r="H468" s="314"/>
      <c r="I468" s="314"/>
      <c r="J468" s="314"/>
      <c r="K468" s="314"/>
    </row>
    <row r="469" ht="20.25" spans="1:11">
      <c r="A469" s="314"/>
      <c r="B469" s="314"/>
      <c r="C469" s="314"/>
      <c r="D469" s="314"/>
      <c r="E469" s="314"/>
      <c r="F469" s="314"/>
      <c r="G469" s="314"/>
      <c r="H469" s="314"/>
      <c r="I469" s="314"/>
      <c r="J469" s="314"/>
      <c r="K469" s="314"/>
    </row>
    <row r="470" ht="20.25" spans="1:11">
      <c r="A470" s="314"/>
      <c r="B470" s="314"/>
      <c r="C470" s="314"/>
      <c r="D470" s="314"/>
      <c r="E470" s="314"/>
      <c r="F470" s="314"/>
      <c r="G470" s="314"/>
      <c r="H470" s="314"/>
      <c r="I470" s="314"/>
      <c r="J470" s="314"/>
      <c r="K470" s="314"/>
    </row>
    <row r="471" ht="20.25" spans="1:11">
      <c r="A471" s="314"/>
      <c r="B471" s="314"/>
      <c r="C471" s="314"/>
      <c r="D471" s="314"/>
      <c r="E471" s="314"/>
      <c r="F471" s="314"/>
      <c r="G471" s="314"/>
      <c r="H471" s="314"/>
      <c r="I471" s="314"/>
      <c r="J471" s="314"/>
      <c r="K471" s="314"/>
    </row>
    <row r="472" ht="20.25" spans="1:11">
      <c r="A472" s="314"/>
      <c r="B472" s="314"/>
      <c r="C472" s="314"/>
      <c r="D472" s="314"/>
      <c r="E472" s="314"/>
      <c r="F472" s="314"/>
      <c r="G472" s="314"/>
      <c r="H472" s="314"/>
      <c r="I472" s="314"/>
      <c r="J472" s="314"/>
      <c r="K472" s="314"/>
    </row>
    <row r="473" ht="20.25" spans="1:11">
      <c r="A473" s="314"/>
      <c r="B473" s="314"/>
      <c r="C473" s="314"/>
      <c r="D473" s="314"/>
      <c r="E473" s="314"/>
      <c r="F473" s="314"/>
      <c r="G473" s="314"/>
      <c r="H473" s="314"/>
      <c r="I473" s="314"/>
      <c r="J473" s="314"/>
      <c r="K473" s="314"/>
    </row>
    <row r="474" ht="20.25" spans="1:11">
      <c r="A474" s="314"/>
      <c r="B474" s="314"/>
      <c r="C474" s="314"/>
      <c r="D474" s="314"/>
      <c r="E474" s="314"/>
      <c r="F474" s="314"/>
      <c r="G474" s="314"/>
      <c r="H474" s="314"/>
      <c r="I474" s="314"/>
      <c r="J474" s="314"/>
      <c r="K474" s="314"/>
    </row>
    <row r="475" ht="20.25" spans="1:11">
      <c r="A475" s="314"/>
      <c r="B475" s="314"/>
      <c r="C475" s="314"/>
      <c r="D475" s="314"/>
      <c r="E475" s="314"/>
      <c r="F475" s="314"/>
      <c r="G475" s="314"/>
      <c r="H475" s="314"/>
      <c r="I475" s="314"/>
      <c r="J475" s="314"/>
      <c r="K475" s="314"/>
    </row>
    <row r="476" ht="20.25" spans="1:11">
      <c r="A476" s="314"/>
      <c r="B476" s="314"/>
      <c r="C476" s="314"/>
      <c r="D476" s="314"/>
      <c r="E476" s="314"/>
      <c r="F476" s="314"/>
      <c r="G476" s="314"/>
      <c r="H476" s="314"/>
      <c r="I476" s="314"/>
      <c r="J476" s="314"/>
      <c r="K476" s="314"/>
    </row>
    <row r="477" ht="20.25" spans="1:11">
      <c r="A477" s="314"/>
      <c r="B477" s="314"/>
      <c r="C477" s="314"/>
      <c r="D477" s="314"/>
      <c r="E477" s="314"/>
      <c r="F477" s="314"/>
      <c r="G477" s="314"/>
      <c r="H477" s="314"/>
      <c r="I477" s="314"/>
      <c r="J477" s="314"/>
      <c r="K477" s="314"/>
    </row>
    <row r="478" ht="20.25" spans="1:11">
      <c r="A478" s="314"/>
      <c r="B478" s="314"/>
      <c r="C478" s="314"/>
      <c r="D478" s="314"/>
      <c r="E478" s="314"/>
      <c r="F478" s="314"/>
      <c r="G478" s="314"/>
      <c r="H478" s="314"/>
      <c r="I478" s="314"/>
      <c r="J478" s="314"/>
      <c r="K478" s="314"/>
    </row>
    <row r="479" ht="20.25" spans="1:11">
      <c r="A479" s="314"/>
      <c r="B479" s="314"/>
      <c r="C479" s="314"/>
      <c r="D479" s="314"/>
      <c r="E479" s="314"/>
      <c r="F479" s="314"/>
      <c r="G479" s="314"/>
      <c r="H479" s="314"/>
      <c r="I479" s="314"/>
      <c r="J479" s="314"/>
      <c r="K479" s="314"/>
    </row>
    <row r="480" ht="20.25" spans="1:11">
      <c r="A480" s="314"/>
      <c r="B480" s="314"/>
      <c r="C480" s="314"/>
      <c r="D480" s="314"/>
      <c r="E480" s="314"/>
      <c r="F480" s="314"/>
      <c r="G480" s="314"/>
      <c r="H480" s="314"/>
      <c r="I480" s="314"/>
      <c r="J480" s="314"/>
      <c r="K480" s="314"/>
    </row>
    <row r="481" ht="20.25" spans="1:11">
      <c r="A481" s="314"/>
      <c r="B481" s="314"/>
      <c r="C481" s="314"/>
      <c r="D481" s="314"/>
      <c r="E481" s="314"/>
      <c r="F481" s="314"/>
      <c r="G481" s="314"/>
      <c r="H481" s="314"/>
      <c r="I481" s="314"/>
      <c r="J481" s="314"/>
      <c r="K481" s="314"/>
    </row>
    <row r="482" ht="20.25" spans="1:11">
      <c r="A482" s="314"/>
      <c r="B482" s="314"/>
      <c r="C482" s="314"/>
      <c r="D482" s="314"/>
      <c r="E482" s="314"/>
      <c r="F482" s="314"/>
      <c r="G482" s="314"/>
      <c r="H482" s="314"/>
      <c r="I482" s="314"/>
      <c r="J482" s="314"/>
      <c r="K482" s="314"/>
    </row>
    <row r="483" ht="20.25" spans="1:11">
      <c r="A483" s="314"/>
      <c r="B483" s="314"/>
      <c r="C483" s="314"/>
      <c r="D483" s="314"/>
      <c r="E483" s="314"/>
      <c r="F483" s="314"/>
      <c r="G483" s="314"/>
      <c r="H483" s="314"/>
      <c r="I483" s="314"/>
      <c r="J483" s="314"/>
      <c r="K483" s="314"/>
    </row>
    <row r="484" ht="20.25" spans="1:11">
      <c r="A484" s="314"/>
      <c r="B484" s="314"/>
      <c r="C484" s="314"/>
      <c r="D484" s="314"/>
      <c r="E484" s="314"/>
      <c r="F484" s="314"/>
      <c r="G484" s="314"/>
      <c r="H484" s="314"/>
      <c r="I484" s="314"/>
      <c r="J484" s="314"/>
      <c r="K484" s="314"/>
    </row>
    <row r="485" ht="20.25" spans="1:11">
      <c r="A485" s="314"/>
      <c r="B485" s="314"/>
      <c r="C485" s="314"/>
      <c r="D485" s="314"/>
      <c r="E485" s="314"/>
      <c r="F485" s="314"/>
      <c r="G485" s="314"/>
      <c r="H485" s="314"/>
      <c r="I485" s="314"/>
      <c r="J485" s="314"/>
      <c r="K485" s="314"/>
    </row>
    <row r="486" ht="20.25" spans="1:11">
      <c r="A486" s="314"/>
      <c r="B486" s="314"/>
      <c r="C486" s="314"/>
      <c r="D486" s="314"/>
      <c r="E486" s="314"/>
      <c r="F486" s="314"/>
      <c r="G486" s="314"/>
      <c r="H486" s="314"/>
      <c r="I486" s="314"/>
      <c r="J486" s="314"/>
      <c r="K486" s="314"/>
    </row>
    <row r="487" ht="20.25" spans="1:11">
      <c r="A487" s="314"/>
      <c r="B487" s="314"/>
      <c r="C487" s="314"/>
      <c r="D487" s="314"/>
      <c r="E487" s="314"/>
      <c r="F487" s="314"/>
      <c r="G487" s="314"/>
      <c r="H487" s="314"/>
      <c r="I487" s="314"/>
      <c r="J487" s="314"/>
      <c r="K487" s="314"/>
    </row>
    <row r="488" ht="20.25" spans="1:11">
      <c r="A488" s="314"/>
      <c r="B488" s="314"/>
      <c r="C488" s="314"/>
      <c r="D488" s="314"/>
      <c r="E488" s="314"/>
      <c r="F488" s="314"/>
      <c r="G488" s="314"/>
      <c r="H488" s="314"/>
      <c r="I488" s="314"/>
      <c r="J488" s="314"/>
      <c r="K488" s="314"/>
    </row>
    <row r="489" ht="20.25" spans="1:11">
      <c r="A489" s="314"/>
      <c r="B489" s="314"/>
      <c r="C489" s="314"/>
      <c r="D489" s="314"/>
      <c r="E489" s="314"/>
      <c r="F489" s="314"/>
      <c r="G489" s="314"/>
      <c r="H489" s="314"/>
      <c r="I489" s="314"/>
      <c r="J489" s="314"/>
      <c r="K489" s="314"/>
    </row>
    <row r="490" ht="20.25" spans="1:11">
      <c r="A490" s="314"/>
      <c r="B490" s="314"/>
      <c r="C490" s="314"/>
      <c r="D490" s="314"/>
      <c r="E490" s="314"/>
      <c r="F490" s="314"/>
      <c r="G490" s="314"/>
      <c r="H490" s="314"/>
      <c r="I490" s="314"/>
      <c r="J490" s="314"/>
      <c r="K490" s="314"/>
    </row>
    <row r="491" ht="20.25" spans="1:11">
      <c r="A491" s="314"/>
      <c r="B491" s="314"/>
      <c r="C491" s="314"/>
      <c r="D491" s="314"/>
      <c r="E491" s="314"/>
      <c r="F491" s="314"/>
      <c r="G491" s="314"/>
      <c r="H491" s="314"/>
      <c r="I491" s="314"/>
      <c r="J491" s="314"/>
      <c r="K491" s="314"/>
    </row>
    <row r="492" ht="20.25" spans="1:11">
      <c r="A492" s="314"/>
      <c r="B492" s="314"/>
      <c r="C492" s="314"/>
      <c r="D492" s="314"/>
      <c r="E492" s="314"/>
      <c r="F492" s="314"/>
      <c r="G492" s="314"/>
      <c r="H492" s="314"/>
      <c r="I492" s="314"/>
      <c r="J492" s="314"/>
      <c r="K492" s="314"/>
    </row>
    <row r="493" ht="20.25" spans="1:11">
      <c r="A493" s="314"/>
      <c r="B493" s="314"/>
      <c r="C493" s="314"/>
      <c r="D493" s="314"/>
      <c r="E493" s="314"/>
      <c r="F493" s="314"/>
      <c r="G493" s="314"/>
      <c r="H493" s="314"/>
      <c r="I493" s="314"/>
      <c r="J493" s="314"/>
      <c r="K493" s="314"/>
    </row>
    <row r="494" ht="20.25" spans="1:11">
      <c r="A494" s="314"/>
      <c r="B494" s="314"/>
      <c r="C494" s="314"/>
      <c r="D494" s="314"/>
      <c r="E494" s="314"/>
      <c r="F494" s="314"/>
      <c r="G494" s="314"/>
      <c r="H494" s="314"/>
      <c r="I494" s="314"/>
      <c r="J494" s="314"/>
      <c r="K494" s="314"/>
    </row>
    <row r="495" ht="20.25" spans="1:11">
      <c r="A495" s="314"/>
      <c r="B495" s="314"/>
      <c r="C495" s="314"/>
      <c r="D495" s="314"/>
      <c r="E495" s="314"/>
      <c r="F495" s="314"/>
      <c r="G495" s="314"/>
      <c r="H495" s="314"/>
      <c r="I495" s="314"/>
      <c r="J495" s="314"/>
      <c r="K495" s="314"/>
    </row>
    <row r="496" ht="20.25" spans="1:11">
      <c r="A496" s="314"/>
      <c r="B496" s="314"/>
      <c r="C496" s="314"/>
      <c r="D496" s="314"/>
      <c r="E496" s="314"/>
      <c r="F496" s="314"/>
      <c r="G496" s="314"/>
      <c r="H496" s="314"/>
      <c r="I496" s="314"/>
      <c r="J496" s="314"/>
      <c r="K496" s="314"/>
    </row>
    <row r="497" ht="20.25" spans="1:11">
      <c r="A497" s="314"/>
      <c r="B497" s="314"/>
      <c r="C497" s="314"/>
      <c r="D497" s="314"/>
      <c r="E497" s="314"/>
      <c r="F497" s="314"/>
      <c r="G497" s="314"/>
      <c r="H497" s="314"/>
      <c r="I497" s="314"/>
      <c r="J497" s="314"/>
      <c r="K497" s="314"/>
    </row>
    <row r="498" ht="20.25" spans="1:11">
      <c r="A498" s="314"/>
      <c r="B498" s="314"/>
      <c r="C498" s="314"/>
      <c r="D498" s="314"/>
      <c r="E498" s="314"/>
      <c r="F498" s="314"/>
      <c r="G498" s="314"/>
      <c r="H498" s="314"/>
      <c r="I498" s="314"/>
      <c r="J498" s="314"/>
      <c r="K498" s="314"/>
    </row>
    <row r="499" ht="20.25" spans="1:11">
      <c r="A499" s="314"/>
      <c r="B499" s="314"/>
      <c r="C499" s="314"/>
      <c r="D499" s="314"/>
      <c r="E499" s="314"/>
      <c r="F499" s="314"/>
      <c r="G499" s="314"/>
      <c r="H499" s="314"/>
      <c r="I499" s="314"/>
      <c r="J499" s="314"/>
      <c r="K499" s="314"/>
    </row>
    <row r="500" ht="20.25" spans="1:11">
      <c r="A500" s="314"/>
      <c r="B500" s="314"/>
      <c r="C500" s="314"/>
      <c r="D500" s="314"/>
      <c r="E500" s="314"/>
      <c r="F500" s="314"/>
      <c r="G500" s="314"/>
      <c r="H500" s="314"/>
      <c r="I500" s="314"/>
      <c r="J500" s="314"/>
      <c r="K500" s="314"/>
    </row>
    <row r="501" ht="20.25" spans="1:11">
      <c r="A501" s="314"/>
      <c r="B501" s="314"/>
      <c r="C501" s="314"/>
      <c r="D501" s="314"/>
      <c r="E501" s="314"/>
      <c r="F501" s="314"/>
      <c r="G501" s="314"/>
      <c r="H501" s="314"/>
      <c r="I501" s="314"/>
      <c r="J501" s="314"/>
      <c r="K501" s="314"/>
    </row>
    <row r="502" ht="20.25" spans="1:11">
      <c r="A502" s="314"/>
      <c r="B502" s="314"/>
      <c r="C502" s="314"/>
      <c r="D502" s="314"/>
      <c r="E502" s="314"/>
      <c r="F502" s="314"/>
      <c r="G502" s="314"/>
      <c r="H502" s="314"/>
      <c r="I502" s="314"/>
      <c r="J502" s="314"/>
      <c r="K502" s="314"/>
    </row>
    <row r="503" ht="20.25" spans="1:11">
      <c r="A503" s="314"/>
      <c r="B503" s="314"/>
      <c r="C503" s="314"/>
      <c r="D503" s="314"/>
      <c r="E503" s="314"/>
      <c r="F503" s="314"/>
      <c r="G503" s="314"/>
      <c r="H503" s="314"/>
      <c r="I503" s="314"/>
      <c r="J503" s="314"/>
      <c r="K503" s="314"/>
    </row>
    <row r="504" ht="20.25" spans="1:11">
      <c r="A504" s="314"/>
      <c r="B504" s="314"/>
      <c r="C504" s="314"/>
      <c r="D504" s="314"/>
      <c r="E504" s="314"/>
      <c r="F504" s="314"/>
      <c r="G504" s="314"/>
      <c r="H504" s="314"/>
      <c r="I504" s="314"/>
      <c r="J504" s="314"/>
      <c r="K504" s="314"/>
    </row>
    <row r="505" ht="20.25" spans="1:11">
      <c r="A505" s="314"/>
      <c r="B505" s="314"/>
      <c r="C505" s="314"/>
      <c r="D505" s="314"/>
      <c r="E505" s="314"/>
      <c r="F505" s="314"/>
      <c r="G505" s="314"/>
      <c r="H505" s="314"/>
      <c r="I505" s="314"/>
      <c r="J505" s="314"/>
      <c r="K505" s="314"/>
    </row>
    <row r="506" ht="20.25" spans="1:11">
      <c r="A506" s="314"/>
      <c r="B506" s="314"/>
      <c r="C506" s="314"/>
      <c r="D506" s="314"/>
      <c r="E506" s="314"/>
      <c r="F506" s="314"/>
      <c r="G506" s="314"/>
      <c r="H506" s="314"/>
      <c r="I506" s="314"/>
      <c r="J506" s="314"/>
      <c r="K506" s="314"/>
    </row>
    <row r="507" ht="20.25" spans="1:11">
      <c r="A507" s="314"/>
      <c r="B507" s="314"/>
      <c r="C507" s="314"/>
      <c r="D507" s="314"/>
      <c r="E507" s="314"/>
      <c r="F507" s="314"/>
      <c r="G507" s="314"/>
      <c r="H507" s="314"/>
      <c r="I507" s="314"/>
      <c r="J507" s="314"/>
      <c r="K507" s="314"/>
    </row>
    <row r="508" ht="20.25" spans="1:11">
      <c r="A508" s="314"/>
      <c r="B508" s="314"/>
      <c r="C508" s="314"/>
      <c r="D508" s="314"/>
      <c r="E508" s="314"/>
      <c r="F508" s="314"/>
      <c r="G508" s="314"/>
      <c r="H508" s="314"/>
      <c r="I508" s="314"/>
      <c r="J508" s="314"/>
      <c r="K508" s="314"/>
    </row>
    <row r="509" ht="20.25" spans="1:11">
      <c r="A509" s="314"/>
      <c r="B509" s="314"/>
      <c r="C509" s="314"/>
      <c r="D509" s="314"/>
      <c r="E509" s="314"/>
      <c r="F509" s="314"/>
      <c r="G509" s="314"/>
      <c r="H509" s="314"/>
      <c r="I509" s="314"/>
      <c r="J509" s="314"/>
      <c r="K509" s="314"/>
    </row>
    <row r="510" ht="20.25" spans="1:11">
      <c r="A510" s="314"/>
      <c r="B510" s="314"/>
      <c r="C510" s="314"/>
      <c r="D510" s="314"/>
      <c r="E510" s="314"/>
      <c r="F510" s="314"/>
      <c r="G510" s="314"/>
      <c r="H510" s="314"/>
      <c r="I510" s="314"/>
      <c r="J510" s="314"/>
      <c r="K510" s="314"/>
    </row>
    <row r="511" ht="20.25" spans="1:11">
      <c r="A511" s="314"/>
      <c r="B511" s="314"/>
      <c r="C511" s="314"/>
      <c r="D511" s="314"/>
      <c r="E511" s="314"/>
      <c r="F511" s="314"/>
      <c r="G511" s="314"/>
      <c r="H511" s="314"/>
      <c r="I511" s="314"/>
      <c r="J511" s="314"/>
      <c r="K511" s="314"/>
    </row>
    <row r="512" ht="20.25" spans="1:11">
      <c r="A512" s="314"/>
      <c r="B512" s="314"/>
      <c r="C512" s="314"/>
      <c r="D512" s="314"/>
      <c r="E512" s="314"/>
      <c r="F512" s="314"/>
      <c r="G512" s="314"/>
      <c r="H512" s="314"/>
      <c r="I512" s="314"/>
      <c r="J512" s="314"/>
      <c r="K512" s="314"/>
    </row>
    <row r="513" ht="20.25" spans="1:11">
      <c r="A513" s="314"/>
      <c r="B513" s="314"/>
      <c r="C513" s="314"/>
      <c r="D513" s="314"/>
      <c r="E513" s="314"/>
      <c r="F513" s="314"/>
      <c r="G513" s="314"/>
      <c r="H513" s="314"/>
      <c r="I513" s="314"/>
      <c r="J513" s="314"/>
      <c r="K513" s="314"/>
    </row>
    <row r="514" ht="20.25" spans="1:11">
      <c r="A514" s="314"/>
      <c r="B514" s="314"/>
      <c r="C514" s="314"/>
      <c r="D514" s="314"/>
      <c r="E514" s="314"/>
      <c r="F514" s="314"/>
      <c r="G514" s="314"/>
      <c r="H514" s="314"/>
      <c r="I514" s="314"/>
      <c r="J514" s="314"/>
      <c r="K514" s="314"/>
    </row>
    <row r="515" ht="20.25" spans="1:11">
      <c r="A515" s="314"/>
      <c r="B515" s="314"/>
      <c r="C515" s="314"/>
      <c r="D515" s="314"/>
      <c r="E515" s="314"/>
      <c r="F515" s="314"/>
      <c r="G515" s="314"/>
      <c r="H515" s="314"/>
      <c r="I515" s="314"/>
      <c r="J515" s="314"/>
      <c r="K515" s="314"/>
    </row>
    <row r="516" ht="20.25" spans="1:11">
      <c r="A516" s="314"/>
      <c r="B516" s="314"/>
      <c r="C516" s="314"/>
      <c r="D516" s="314"/>
      <c r="E516" s="314"/>
      <c r="F516" s="314"/>
      <c r="G516" s="314"/>
      <c r="H516" s="314"/>
      <c r="I516" s="314"/>
      <c r="J516" s="314"/>
      <c r="K516" s="314"/>
    </row>
    <row r="517" ht="20.25" spans="1:11">
      <c r="A517" s="314"/>
      <c r="B517" s="314"/>
      <c r="C517" s="314"/>
      <c r="D517" s="314"/>
      <c r="E517" s="314"/>
      <c r="F517" s="314"/>
      <c r="G517" s="314"/>
      <c r="H517" s="314"/>
      <c r="I517" s="314"/>
      <c r="J517" s="314"/>
      <c r="K517" s="314"/>
    </row>
    <row r="518" ht="20.25" spans="1:11">
      <c r="A518" s="314"/>
      <c r="B518" s="314"/>
      <c r="C518" s="314"/>
      <c r="D518" s="314"/>
      <c r="E518" s="314"/>
      <c r="F518" s="314"/>
      <c r="G518" s="314"/>
      <c r="H518" s="314"/>
      <c r="I518" s="314"/>
      <c r="J518" s="314"/>
      <c r="K518" s="314"/>
    </row>
    <row r="519" ht="20.25" spans="1:11">
      <c r="A519" s="314"/>
      <c r="B519" s="314"/>
      <c r="C519" s="314"/>
      <c r="D519" s="314"/>
      <c r="E519" s="314"/>
      <c r="F519" s="314"/>
      <c r="G519" s="314"/>
      <c r="H519" s="314"/>
      <c r="I519" s="314"/>
      <c r="J519" s="314"/>
      <c r="K519" s="314"/>
    </row>
    <row r="520" ht="20.25" spans="1:11">
      <c r="A520" s="314"/>
      <c r="B520" s="314"/>
      <c r="C520" s="314"/>
      <c r="D520" s="314"/>
      <c r="E520" s="314"/>
      <c r="F520" s="314"/>
      <c r="G520" s="314"/>
      <c r="H520" s="314"/>
      <c r="I520" s="314"/>
      <c r="J520" s="314"/>
      <c r="K520" s="314"/>
    </row>
    <row r="521" ht="20.25" spans="1:11">
      <c r="A521" s="314"/>
      <c r="B521" s="314"/>
      <c r="C521" s="314"/>
      <c r="D521" s="314"/>
      <c r="E521" s="314"/>
      <c r="F521" s="314"/>
      <c r="G521" s="314"/>
      <c r="H521" s="314"/>
      <c r="I521" s="314"/>
      <c r="J521" s="314"/>
      <c r="K521" s="314"/>
    </row>
    <row r="522" ht="20.25" spans="1:11">
      <c r="A522" s="314"/>
      <c r="B522" s="314"/>
      <c r="C522" s="314"/>
      <c r="D522" s="314"/>
      <c r="E522" s="314"/>
      <c r="F522" s="314"/>
      <c r="G522" s="314"/>
      <c r="H522" s="314"/>
      <c r="I522" s="314"/>
      <c r="J522" s="314"/>
      <c r="K522" s="314"/>
    </row>
    <row r="523" ht="20.25" spans="1:11">
      <c r="A523" s="314"/>
      <c r="B523" s="314"/>
      <c r="C523" s="314"/>
      <c r="D523" s="314"/>
      <c r="E523" s="314"/>
      <c r="F523" s="314"/>
      <c r="G523" s="314"/>
      <c r="H523" s="314"/>
      <c r="I523" s="314"/>
      <c r="J523" s="314"/>
      <c r="K523" s="314"/>
    </row>
    <row r="524" ht="20.25" spans="1:11">
      <c r="A524" s="314"/>
      <c r="B524" s="314"/>
      <c r="C524" s="314"/>
      <c r="D524" s="314"/>
      <c r="E524" s="314"/>
      <c r="F524" s="314"/>
      <c r="G524" s="314"/>
      <c r="H524" s="314"/>
      <c r="I524" s="314"/>
      <c r="J524" s="314"/>
      <c r="K524" s="314"/>
    </row>
    <row r="525" ht="20.25" spans="1:11">
      <c r="A525" s="314"/>
      <c r="B525" s="314"/>
      <c r="C525" s="314"/>
      <c r="D525" s="314"/>
      <c r="E525" s="314"/>
      <c r="F525" s="314"/>
      <c r="G525" s="314"/>
      <c r="H525" s="314"/>
      <c r="I525" s="314"/>
      <c r="J525" s="314"/>
      <c r="K525" s="314"/>
    </row>
    <row r="526" ht="20.25" spans="1:11">
      <c r="A526" s="314"/>
      <c r="B526" s="314"/>
      <c r="C526" s="314"/>
      <c r="D526" s="314"/>
      <c r="E526" s="314"/>
      <c r="F526" s="314"/>
      <c r="G526" s="314"/>
      <c r="H526" s="314"/>
      <c r="I526" s="314"/>
      <c r="J526" s="314"/>
      <c r="K526" s="314"/>
    </row>
    <row r="527" ht="20.25" spans="1:11">
      <c r="A527" s="314"/>
      <c r="B527" s="314"/>
      <c r="C527" s="314"/>
      <c r="D527" s="314"/>
      <c r="E527" s="314"/>
      <c r="F527" s="314"/>
      <c r="G527" s="314"/>
      <c r="H527" s="314"/>
      <c r="I527" s="314"/>
      <c r="J527" s="314"/>
      <c r="K527" s="314"/>
    </row>
    <row r="528" ht="20.25" spans="1:11">
      <c r="A528" s="314"/>
      <c r="B528" s="314"/>
      <c r="C528" s="314"/>
      <c r="D528" s="314"/>
      <c r="E528" s="314"/>
      <c r="F528" s="314"/>
      <c r="G528" s="314"/>
      <c r="H528" s="314"/>
      <c r="I528" s="314"/>
      <c r="J528" s="314"/>
      <c r="K528" s="314"/>
    </row>
    <row r="529" ht="20.25" spans="1:11">
      <c r="A529" s="314"/>
      <c r="B529" s="314"/>
      <c r="C529" s="314"/>
      <c r="D529" s="314"/>
      <c r="E529" s="314"/>
      <c r="F529" s="314"/>
      <c r="G529" s="314"/>
      <c r="H529" s="314"/>
      <c r="I529" s="314"/>
      <c r="J529" s="314"/>
      <c r="K529" s="314"/>
    </row>
    <row r="530" ht="20.25" spans="1:11">
      <c r="A530" s="314"/>
      <c r="B530" s="314"/>
      <c r="C530" s="314"/>
      <c r="D530" s="314"/>
      <c r="E530" s="314"/>
      <c r="F530" s="314"/>
      <c r="G530" s="314"/>
      <c r="H530" s="314"/>
      <c r="I530" s="314"/>
      <c r="J530" s="314"/>
      <c r="K530" s="314"/>
    </row>
    <row r="531" ht="20.25" spans="1:11">
      <c r="A531" s="314"/>
      <c r="B531" s="314"/>
      <c r="C531" s="314"/>
      <c r="D531" s="314"/>
      <c r="E531" s="314"/>
      <c r="F531" s="314"/>
      <c r="G531" s="314"/>
      <c r="H531" s="314"/>
      <c r="I531" s="314"/>
      <c r="J531" s="314"/>
      <c r="K531" s="314"/>
    </row>
    <row r="532" ht="20.25" spans="1:11">
      <c r="A532" s="314"/>
      <c r="B532" s="314"/>
      <c r="C532" s="314"/>
      <c r="D532" s="314"/>
      <c r="E532" s="314"/>
      <c r="F532" s="314"/>
      <c r="G532" s="314"/>
      <c r="H532" s="314"/>
      <c r="I532" s="314"/>
      <c r="J532" s="314"/>
      <c r="K532" s="314"/>
    </row>
    <row r="533" ht="20.25" spans="1:11">
      <c r="A533" s="314"/>
      <c r="B533" s="314"/>
      <c r="C533" s="314"/>
      <c r="D533" s="314"/>
      <c r="E533" s="314"/>
      <c r="F533" s="314"/>
      <c r="G533" s="314"/>
      <c r="H533" s="314"/>
      <c r="I533" s="314"/>
      <c r="J533" s="314"/>
      <c r="K533" s="314"/>
    </row>
    <row r="534" ht="20.25" spans="1:11">
      <c r="A534" s="314"/>
      <c r="B534" s="314"/>
      <c r="C534" s="314"/>
      <c r="D534" s="314"/>
      <c r="E534" s="314"/>
      <c r="F534" s="314"/>
      <c r="G534" s="314"/>
      <c r="H534" s="314"/>
      <c r="I534" s="314"/>
      <c r="J534" s="314"/>
      <c r="K534" s="314"/>
    </row>
    <row r="535" ht="20.25" spans="1:11">
      <c r="A535" s="314"/>
      <c r="B535" s="314"/>
      <c r="C535" s="314"/>
      <c r="D535" s="314"/>
      <c r="E535" s="314"/>
      <c r="F535" s="314"/>
      <c r="G535" s="314"/>
      <c r="H535" s="314"/>
      <c r="I535" s="314"/>
      <c r="J535" s="314"/>
      <c r="K535" s="314"/>
    </row>
    <row r="536" ht="20.25" spans="1:11">
      <c r="A536" s="314"/>
      <c r="B536" s="314"/>
      <c r="C536" s="314"/>
      <c r="D536" s="314"/>
      <c r="E536" s="314"/>
      <c r="F536" s="314"/>
      <c r="G536" s="314"/>
      <c r="H536" s="314"/>
      <c r="I536" s="314"/>
      <c r="J536" s="314"/>
      <c r="K536" s="314"/>
    </row>
    <row r="537" ht="20.25" spans="1:11">
      <c r="A537" s="314"/>
      <c r="B537" s="314"/>
      <c r="C537" s="314"/>
      <c r="D537" s="314"/>
      <c r="E537" s="314"/>
      <c r="F537" s="314"/>
      <c r="G537" s="314"/>
      <c r="H537" s="314"/>
      <c r="I537" s="314"/>
      <c r="J537" s="314"/>
      <c r="K537" s="314"/>
    </row>
    <row r="538" ht="20.25" spans="1:11">
      <c r="A538" s="314"/>
      <c r="B538" s="314"/>
      <c r="C538" s="314"/>
      <c r="D538" s="314"/>
      <c r="E538" s="314"/>
      <c r="F538" s="314"/>
      <c r="G538" s="314"/>
      <c r="H538" s="314"/>
      <c r="I538" s="314"/>
      <c r="J538" s="314"/>
      <c r="K538" s="314"/>
    </row>
    <row r="539" ht="20.25" spans="1:11">
      <c r="A539" s="314"/>
      <c r="B539" s="314"/>
      <c r="C539" s="314"/>
      <c r="D539" s="314"/>
      <c r="E539" s="314"/>
      <c r="F539" s="314"/>
      <c r="G539" s="314"/>
      <c r="H539" s="314"/>
      <c r="I539" s="314"/>
      <c r="J539" s="314"/>
      <c r="K539" s="314"/>
    </row>
    <row r="540" ht="20.25" spans="1:11">
      <c r="A540" s="314"/>
      <c r="B540" s="314"/>
      <c r="C540" s="314"/>
      <c r="D540" s="314"/>
      <c r="E540" s="314"/>
      <c r="F540" s="314"/>
      <c r="G540" s="314"/>
      <c r="H540" s="314"/>
      <c r="I540" s="314"/>
      <c r="J540" s="314"/>
      <c r="K540" s="314"/>
    </row>
    <row r="541" ht="20.25" spans="1:11">
      <c r="A541" s="314"/>
      <c r="B541" s="314"/>
      <c r="C541" s="314"/>
      <c r="D541" s="314"/>
      <c r="E541" s="314"/>
      <c r="F541" s="314"/>
      <c r="G541" s="314"/>
      <c r="H541" s="314"/>
      <c r="I541" s="314"/>
      <c r="J541" s="314"/>
      <c r="K541" s="314"/>
    </row>
    <row r="542" ht="20.25" spans="1:11">
      <c r="A542" s="314"/>
      <c r="B542" s="314"/>
      <c r="C542" s="314"/>
      <c r="D542" s="314"/>
      <c r="E542" s="314"/>
      <c r="F542" s="314"/>
      <c r="G542" s="314"/>
      <c r="H542" s="314"/>
      <c r="I542" s="314"/>
      <c r="J542" s="314"/>
      <c r="K542" s="314"/>
    </row>
    <row r="543" ht="20.25" spans="1:11">
      <c r="A543" s="314"/>
      <c r="B543" s="314"/>
      <c r="C543" s="314"/>
      <c r="D543" s="314"/>
      <c r="E543" s="314"/>
      <c r="F543" s="314"/>
      <c r="G543" s="314"/>
      <c r="H543" s="314"/>
      <c r="I543" s="314"/>
      <c r="J543" s="314"/>
      <c r="K543" s="314"/>
    </row>
    <row r="544" ht="20.25" spans="1:11">
      <c r="A544" s="314"/>
      <c r="B544" s="314"/>
      <c r="C544" s="314"/>
      <c r="D544" s="314"/>
      <c r="E544" s="314"/>
      <c r="F544" s="314"/>
      <c r="G544" s="314"/>
      <c r="H544" s="314"/>
      <c r="I544" s="314"/>
      <c r="J544" s="314"/>
      <c r="K544" s="314"/>
    </row>
    <row r="545" ht="20.25" spans="1:11">
      <c r="A545" s="314"/>
      <c r="B545" s="314"/>
      <c r="C545" s="314"/>
      <c r="D545" s="314"/>
      <c r="E545" s="314"/>
      <c r="F545" s="314"/>
      <c r="G545" s="314"/>
      <c r="H545" s="314"/>
      <c r="I545" s="314"/>
      <c r="J545" s="314"/>
      <c r="K545" s="314"/>
    </row>
    <row r="546" ht="20.25" spans="1:11">
      <c r="A546" s="314"/>
      <c r="B546" s="314"/>
      <c r="C546" s="314"/>
      <c r="D546" s="314"/>
      <c r="E546" s="314"/>
      <c r="F546" s="314"/>
      <c r="G546" s="314"/>
      <c r="H546" s="314"/>
      <c r="I546" s="314"/>
      <c r="J546" s="314"/>
      <c r="K546" s="314"/>
    </row>
    <row r="547" ht="20.25" spans="1:11">
      <c r="A547" s="314"/>
      <c r="B547" s="314"/>
      <c r="C547" s="314"/>
      <c r="D547" s="314"/>
      <c r="E547" s="314"/>
      <c r="F547" s="314"/>
      <c r="G547" s="314"/>
      <c r="H547" s="314"/>
      <c r="I547" s="314"/>
      <c r="J547" s="314"/>
      <c r="K547" s="314"/>
    </row>
    <row r="548" ht="20.25" spans="1:11">
      <c r="A548" s="314"/>
      <c r="B548" s="314"/>
      <c r="C548" s="314"/>
      <c r="D548" s="314"/>
      <c r="E548" s="314"/>
      <c r="F548" s="314"/>
      <c r="G548" s="314"/>
      <c r="H548" s="314"/>
      <c r="I548" s="314"/>
      <c r="J548" s="314"/>
      <c r="K548" s="314"/>
    </row>
    <row r="549" ht="20.25" spans="1:11">
      <c r="A549" s="314"/>
      <c r="B549" s="314"/>
      <c r="C549" s="314"/>
      <c r="D549" s="314"/>
      <c r="E549" s="314"/>
      <c r="F549" s="314"/>
      <c r="G549" s="314"/>
      <c r="H549" s="314"/>
      <c r="I549" s="314"/>
      <c r="J549" s="314"/>
      <c r="K549" s="314"/>
    </row>
    <row r="550" ht="20.25" spans="1:11">
      <c r="A550" s="314"/>
      <c r="B550" s="314"/>
      <c r="C550" s="314"/>
      <c r="D550" s="314"/>
      <c r="E550" s="314"/>
      <c r="F550" s="314"/>
      <c r="G550" s="314"/>
      <c r="H550" s="314"/>
      <c r="I550" s="314"/>
      <c r="J550" s="314"/>
      <c r="K550" s="314"/>
    </row>
    <row r="551" ht="20.25" spans="1:11">
      <c r="A551" s="314"/>
      <c r="B551" s="314"/>
      <c r="C551" s="314"/>
      <c r="D551" s="314"/>
      <c r="E551" s="314"/>
      <c r="F551" s="314"/>
      <c r="G551" s="314"/>
      <c r="H551" s="314"/>
      <c r="I551" s="314"/>
      <c r="J551" s="314"/>
      <c r="K551" s="314"/>
    </row>
    <row r="552" ht="20.25" spans="1:11">
      <c r="A552" s="314"/>
      <c r="B552" s="314"/>
      <c r="C552" s="314"/>
      <c r="D552" s="314"/>
      <c r="E552" s="314"/>
      <c r="F552" s="314"/>
      <c r="G552" s="314"/>
      <c r="H552" s="314"/>
      <c r="I552" s="314"/>
      <c r="J552" s="314"/>
      <c r="K552" s="314"/>
    </row>
    <row r="553" ht="20.25" spans="1:11">
      <c r="A553" s="314"/>
      <c r="B553" s="314"/>
      <c r="C553" s="314"/>
      <c r="D553" s="314"/>
      <c r="E553" s="314"/>
      <c r="F553" s="314"/>
      <c r="G553" s="314"/>
      <c r="H553" s="314"/>
      <c r="I553" s="314"/>
      <c r="J553" s="314"/>
      <c r="K553" s="314"/>
    </row>
    <row r="554" ht="20.25" spans="1:11">
      <c r="A554" s="314"/>
      <c r="B554" s="314"/>
      <c r="C554" s="314"/>
      <c r="D554" s="314"/>
      <c r="E554" s="314"/>
      <c r="F554" s="314"/>
      <c r="G554" s="314"/>
      <c r="H554" s="314"/>
      <c r="I554" s="314"/>
      <c r="J554" s="314"/>
      <c r="K554" s="314"/>
    </row>
    <row r="555" ht="20.25" spans="1:11">
      <c r="A555" s="314"/>
      <c r="B555" s="314"/>
      <c r="C555" s="314"/>
      <c r="D555" s="314"/>
      <c r="E555" s="314"/>
      <c r="F555" s="314"/>
      <c r="G555" s="314"/>
      <c r="H555" s="314"/>
      <c r="I555" s="314"/>
      <c r="J555" s="314"/>
      <c r="K555" s="314"/>
    </row>
    <row r="556" ht="20.25" spans="1:11">
      <c r="A556" s="314"/>
      <c r="B556" s="314"/>
      <c r="C556" s="314"/>
      <c r="D556" s="314"/>
      <c r="E556" s="314"/>
      <c r="F556" s="314"/>
      <c r="G556" s="314"/>
      <c r="H556" s="314"/>
      <c r="I556" s="314"/>
      <c r="J556" s="314"/>
      <c r="K556" s="314"/>
    </row>
    <row r="557" ht="20.25" spans="1:11">
      <c r="A557" s="314"/>
      <c r="B557" s="314"/>
      <c r="C557" s="314"/>
      <c r="D557" s="314"/>
      <c r="E557" s="314"/>
      <c r="F557" s="314"/>
      <c r="G557" s="314"/>
      <c r="H557" s="314"/>
      <c r="I557" s="314"/>
      <c r="J557" s="314"/>
      <c r="K557" s="314"/>
    </row>
    <row r="558" ht="20.25" spans="1:11">
      <c r="A558" s="314"/>
      <c r="B558" s="314"/>
      <c r="C558" s="314"/>
      <c r="D558" s="314"/>
      <c r="E558" s="314"/>
      <c r="F558" s="314"/>
      <c r="G558" s="314"/>
      <c r="H558" s="314"/>
      <c r="I558" s="314"/>
      <c r="J558" s="314"/>
      <c r="K558" s="314"/>
    </row>
    <row r="559" ht="20.25" spans="1:11">
      <c r="A559" s="314"/>
      <c r="B559" s="314"/>
      <c r="C559" s="314"/>
      <c r="D559" s="314"/>
      <c r="E559" s="314"/>
      <c r="F559" s="314"/>
      <c r="G559" s="314"/>
      <c r="H559" s="314"/>
      <c r="I559" s="314"/>
      <c r="J559" s="314"/>
      <c r="K559" s="314"/>
    </row>
    <row r="560" ht="20.25" spans="1:11">
      <c r="A560" s="314"/>
      <c r="B560" s="314"/>
      <c r="C560" s="314"/>
      <c r="D560" s="314"/>
      <c r="E560" s="314"/>
      <c r="F560" s="314"/>
      <c r="G560" s="314"/>
      <c r="H560" s="314"/>
      <c r="I560" s="314"/>
      <c r="J560" s="314"/>
      <c r="K560" s="314"/>
    </row>
    <row r="561" ht="20.25" spans="1:11">
      <c r="A561" s="314"/>
      <c r="B561" s="314"/>
      <c r="C561" s="314"/>
      <c r="D561" s="314"/>
      <c r="E561" s="314"/>
      <c r="F561" s="314"/>
      <c r="G561" s="314"/>
      <c r="H561" s="314"/>
      <c r="I561" s="314"/>
      <c r="J561" s="314"/>
      <c r="K561" s="314"/>
    </row>
    <row r="562" ht="20.25" spans="1:11">
      <c r="A562" s="314"/>
      <c r="B562" s="314"/>
      <c r="C562" s="314"/>
      <c r="D562" s="314"/>
      <c r="E562" s="314"/>
      <c r="F562" s="314"/>
      <c r="G562" s="314"/>
      <c r="H562" s="314"/>
      <c r="I562" s="314"/>
      <c r="J562" s="314"/>
      <c r="K562" s="314"/>
    </row>
    <row r="563" ht="20.25" spans="1:11">
      <c r="A563" s="314"/>
      <c r="B563" s="314"/>
      <c r="C563" s="314"/>
      <c r="D563" s="314"/>
      <c r="E563" s="314"/>
      <c r="F563" s="314"/>
      <c r="G563" s="314"/>
      <c r="H563" s="314"/>
      <c r="I563" s="314"/>
      <c r="J563" s="314"/>
      <c r="K563" s="314"/>
    </row>
    <row r="564" ht="20.25" spans="1:11">
      <c r="A564" s="314"/>
      <c r="B564" s="314"/>
      <c r="C564" s="314"/>
      <c r="D564" s="314"/>
      <c r="E564" s="314"/>
      <c r="F564" s="314"/>
      <c r="G564" s="314"/>
      <c r="H564" s="314"/>
      <c r="I564" s="314"/>
      <c r="J564" s="314"/>
      <c r="K564" s="314"/>
    </row>
    <row r="565" ht="20.25" spans="1:11">
      <c r="A565" s="314"/>
      <c r="B565" s="314"/>
      <c r="C565" s="314"/>
      <c r="D565" s="314"/>
      <c r="E565" s="314"/>
      <c r="F565" s="314"/>
      <c r="G565" s="314"/>
      <c r="H565" s="314"/>
      <c r="I565" s="314"/>
      <c r="J565" s="314"/>
      <c r="K565" s="314"/>
    </row>
    <row r="566" ht="20.25" spans="1:11">
      <c r="A566" s="314"/>
      <c r="B566" s="314"/>
      <c r="C566" s="314"/>
      <c r="D566" s="314"/>
      <c r="E566" s="314"/>
      <c r="F566" s="314"/>
      <c r="G566" s="314"/>
      <c r="H566" s="314"/>
      <c r="I566" s="314"/>
      <c r="J566" s="314"/>
      <c r="K566" s="314"/>
    </row>
    <row r="567" ht="20.25" spans="1:11">
      <c r="A567" s="314"/>
      <c r="B567" s="314"/>
      <c r="C567" s="314"/>
      <c r="D567" s="314"/>
      <c r="E567" s="314"/>
      <c r="F567" s="314"/>
      <c r="G567" s="314"/>
      <c r="H567" s="314"/>
      <c r="I567" s="314"/>
      <c r="J567" s="314"/>
      <c r="K567" s="314"/>
    </row>
    <row r="568" ht="20.25" spans="1:11">
      <c r="A568" s="314"/>
      <c r="B568" s="314"/>
      <c r="C568" s="314"/>
      <c r="D568" s="314"/>
      <c r="E568" s="314"/>
      <c r="F568" s="314"/>
      <c r="G568" s="314"/>
      <c r="H568" s="314"/>
      <c r="I568" s="314"/>
      <c r="J568" s="314"/>
      <c r="K568" s="314"/>
    </row>
    <row r="569" ht="20.25" spans="1:11">
      <c r="A569" s="314"/>
      <c r="B569" s="314"/>
      <c r="C569" s="314"/>
      <c r="D569" s="314"/>
      <c r="E569" s="314"/>
      <c r="F569" s="314"/>
      <c r="G569" s="314"/>
      <c r="H569" s="314"/>
      <c r="I569" s="314"/>
      <c r="J569" s="314"/>
      <c r="K569" s="314"/>
    </row>
    <row r="570" ht="20.25" spans="1:11">
      <c r="A570" s="314"/>
      <c r="B570" s="314"/>
      <c r="C570" s="314"/>
      <c r="D570" s="314"/>
      <c r="E570" s="314"/>
      <c r="F570" s="314"/>
      <c r="G570" s="314"/>
      <c r="H570" s="314"/>
      <c r="I570" s="314"/>
      <c r="J570" s="314"/>
      <c r="K570" s="314"/>
    </row>
    <row r="571" ht="20.25" spans="1:11">
      <c r="A571" s="314"/>
      <c r="B571" s="314"/>
      <c r="C571" s="314"/>
      <c r="D571" s="314"/>
      <c r="E571" s="314"/>
      <c r="F571" s="314"/>
      <c r="G571" s="314"/>
      <c r="H571" s="314"/>
      <c r="I571" s="314"/>
      <c r="J571" s="314"/>
      <c r="K571" s="314"/>
    </row>
    <row r="572" ht="20.25" spans="1:11">
      <c r="A572" s="314"/>
      <c r="B572" s="314"/>
      <c r="C572" s="314"/>
      <c r="D572" s="314"/>
      <c r="E572" s="314"/>
      <c r="F572" s="314"/>
      <c r="G572" s="314"/>
      <c r="H572" s="314"/>
      <c r="I572" s="314"/>
      <c r="J572" s="314"/>
      <c r="K572" s="314"/>
    </row>
    <row r="573" ht="20.25" spans="1:11">
      <c r="A573" s="314"/>
      <c r="B573" s="314"/>
      <c r="C573" s="314"/>
      <c r="D573" s="314"/>
      <c r="E573" s="314"/>
      <c r="F573" s="314"/>
      <c r="G573" s="314"/>
      <c r="H573" s="314"/>
      <c r="I573" s="314"/>
      <c r="J573" s="314"/>
      <c r="K573" s="314"/>
    </row>
    <row r="574" ht="20.25" spans="1:11">
      <c r="A574" s="314"/>
      <c r="B574" s="314"/>
      <c r="C574" s="314"/>
      <c r="D574" s="314"/>
      <c r="E574" s="314"/>
      <c r="F574" s="314"/>
      <c r="G574" s="314"/>
      <c r="H574" s="314"/>
      <c r="I574" s="314"/>
      <c r="J574" s="314"/>
      <c r="K574" s="314"/>
    </row>
    <row r="575" ht="20.25" spans="1:11">
      <c r="A575" s="314"/>
      <c r="B575" s="314"/>
      <c r="C575" s="314"/>
      <c r="D575" s="314"/>
      <c r="E575" s="314"/>
      <c r="F575" s="314"/>
      <c r="G575" s="314"/>
      <c r="H575" s="314"/>
      <c r="I575" s="314"/>
      <c r="J575" s="314"/>
      <c r="K575" s="314"/>
    </row>
    <row r="576" ht="20.25" spans="1:11">
      <c r="A576" s="314"/>
      <c r="B576" s="314"/>
      <c r="C576" s="314"/>
      <c r="D576" s="314"/>
      <c r="E576" s="314"/>
      <c r="F576" s="314"/>
      <c r="G576" s="314"/>
      <c r="H576" s="314"/>
      <c r="I576" s="314"/>
      <c r="J576" s="314"/>
      <c r="K576" s="314"/>
    </row>
    <row r="577" ht="20.25" spans="1:11">
      <c r="A577" s="314"/>
      <c r="B577" s="314"/>
      <c r="C577" s="314"/>
      <c r="D577" s="314"/>
      <c r="E577" s="314"/>
      <c r="F577" s="314"/>
      <c r="G577" s="314"/>
      <c r="H577" s="314"/>
      <c r="I577" s="314"/>
      <c r="J577" s="314"/>
      <c r="K577" s="314"/>
    </row>
    <row r="578" ht="20.25" spans="1:11">
      <c r="A578" s="314"/>
      <c r="B578" s="314"/>
      <c r="C578" s="314"/>
      <c r="D578" s="314"/>
      <c r="E578" s="314"/>
      <c r="F578" s="314"/>
      <c r="G578" s="314"/>
      <c r="H578" s="314"/>
      <c r="I578" s="314"/>
      <c r="J578" s="314"/>
      <c r="K578" s="314"/>
    </row>
    <row r="579" ht="20.25" spans="1:11">
      <c r="A579" s="314"/>
      <c r="B579" s="314"/>
      <c r="C579" s="314"/>
      <c r="D579" s="314"/>
      <c r="E579" s="314"/>
      <c r="F579" s="314"/>
      <c r="G579" s="314"/>
      <c r="H579" s="314"/>
      <c r="I579" s="314"/>
      <c r="J579" s="314"/>
      <c r="K579" s="314"/>
    </row>
    <row r="580" ht="20.25" spans="1:11">
      <c r="A580" s="314"/>
      <c r="B580" s="314"/>
      <c r="C580" s="314"/>
      <c r="D580" s="314"/>
      <c r="E580" s="314"/>
      <c r="F580" s="314"/>
      <c r="G580" s="314"/>
      <c r="H580" s="314"/>
      <c r="I580" s="314"/>
      <c r="J580" s="314"/>
      <c r="K580" s="314"/>
    </row>
    <row r="581" ht="20.25" spans="1:11">
      <c r="A581" s="314"/>
      <c r="B581" s="314"/>
      <c r="C581" s="314"/>
      <c r="D581" s="314"/>
      <c r="E581" s="314"/>
      <c r="F581" s="314"/>
      <c r="G581" s="314"/>
      <c r="H581" s="314"/>
      <c r="I581" s="314"/>
      <c r="J581" s="314"/>
      <c r="K581" s="314"/>
    </row>
    <row r="582" ht="20.25" spans="1:11">
      <c r="A582" s="314"/>
      <c r="B582" s="314"/>
      <c r="C582" s="314"/>
      <c r="D582" s="314"/>
      <c r="E582" s="314"/>
      <c r="F582" s="314"/>
      <c r="G582" s="314"/>
      <c r="H582" s="314"/>
      <c r="I582" s="314"/>
      <c r="J582" s="314"/>
      <c r="K582" s="314"/>
    </row>
    <row r="583" ht="20.25" spans="1:11">
      <c r="A583" s="314"/>
      <c r="B583" s="314"/>
      <c r="C583" s="314"/>
      <c r="D583" s="314"/>
      <c r="E583" s="314"/>
      <c r="F583" s="314"/>
      <c r="G583" s="314"/>
      <c r="H583" s="314"/>
      <c r="I583" s="314"/>
      <c r="J583" s="314"/>
      <c r="K583" s="314"/>
    </row>
    <row r="584" ht="20.25" spans="1:11">
      <c r="A584" s="314"/>
      <c r="B584" s="314"/>
      <c r="C584" s="314"/>
      <c r="D584" s="314"/>
      <c r="E584" s="314"/>
      <c r="F584" s="314"/>
      <c r="G584" s="314"/>
      <c r="H584" s="314"/>
      <c r="I584" s="314"/>
      <c r="J584" s="314"/>
      <c r="K584" s="314"/>
    </row>
    <row r="585" ht="20.25" spans="1:11">
      <c r="A585" s="314"/>
      <c r="B585" s="314"/>
      <c r="C585" s="314"/>
      <c r="D585" s="314"/>
      <c r="E585" s="314"/>
      <c r="F585" s="314"/>
      <c r="G585" s="314"/>
      <c r="H585" s="314"/>
      <c r="I585" s="314"/>
      <c r="J585" s="314"/>
      <c r="K585" s="314"/>
    </row>
    <row r="586" ht="20.25" spans="1:11">
      <c r="A586" s="314"/>
      <c r="B586" s="314"/>
      <c r="C586" s="314"/>
      <c r="D586" s="314"/>
      <c r="E586" s="314"/>
      <c r="F586" s="314"/>
      <c r="G586" s="314"/>
      <c r="H586" s="314"/>
      <c r="I586" s="314"/>
      <c r="J586" s="314"/>
      <c r="K586" s="314"/>
    </row>
    <row r="587" ht="20.25" spans="1:11">
      <c r="A587" s="314"/>
      <c r="B587" s="314"/>
      <c r="C587" s="314"/>
      <c r="D587" s="314"/>
      <c r="E587" s="314"/>
      <c r="F587" s="314"/>
      <c r="G587" s="314"/>
      <c r="H587" s="314"/>
      <c r="I587" s="314"/>
      <c r="J587" s="314"/>
      <c r="K587" s="314"/>
    </row>
    <row r="588" ht="20.25" spans="1:11">
      <c r="A588" s="314"/>
      <c r="B588" s="314"/>
      <c r="C588" s="314"/>
      <c r="D588" s="314"/>
      <c r="E588" s="314"/>
      <c r="F588" s="314"/>
      <c r="G588" s="314"/>
      <c r="H588" s="314"/>
      <c r="I588" s="314"/>
      <c r="J588" s="314"/>
      <c r="K588" s="314"/>
    </row>
    <row r="589" ht="20.25" spans="1:11">
      <c r="A589" s="314"/>
      <c r="B589" s="314"/>
      <c r="C589" s="314"/>
      <c r="D589" s="314"/>
      <c r="E589" s="314"/>
      <c r="F589" s="314"/>
      <c r="G589" s="314"/>
      <c r="H589" s="314"/>
      <c r="I589" s="314"/>
      <c r="J589" s="314"/>
      <c r="K589" s="314"/>
    </row>
    <row r="590" ht="20.25" spans="1:11">
      <c r="A590" s="314"/>
      <c r="B590" s="314"/>
      <c r="C590" s="314"/>
      <c r="D590" s="314"/>
      <c r="E590" s="314"/>
      <c r="F590" s="314"/>
      <c r="G590" s="314"/>
      <c r="H590" s="314"/>
      <c r="I590" s="314"/>
      <c r="J590" s="314"/>
      <c r="K590" s="314"/>
    </row>
    <row r="591" ht="20.25" spans="1:11">
      <c r="A591" s="314"/>
      <c r="B591" s="314"/>
      <c r="C591" s="314"/>
      <c r="D591" s="314"/>
      <c r="E591" s="314"/>
      <c r="F591" s="314"/>
      <c r="G591" s="314"/>
      <c r="H591" s="314"/>
      <c r="I591" s="314"/>
      <c r="J591" s="314"/>
      <c r="K591" s="314"/>
    </row>
    <row r="592" ht="20.25" spans="1:11">
      <c r="A592" s="314"/>
      <c r="B592" s="314"/>
      <c r="C592" s="314"/>
      <c r="D592" s="314"/>
      <c r="E592" s="314"/>
      <c r="F592" s="314"/>
      <c r="G592" s="314"/>
      <c r="H592" s="314"/>
      <c r="I592" s="314"/>
      <c r="J592" s="314"/>
      <c r="K592" s="314"/>
    </row>
    <row r="593" ht="20.25" spans="1:11">
      <c r="A593" s="314"/>
      <c r="B593" s="314"/>
      <c r="C593" s="314"/>
      <c r="D593" s="314"/>
      <c r="E593" s="314"/>
      <c r="F593" s="314"/>
      <c r="G593" s="314"/>
      <c r="H593" s="314"/>
      <c r="I593" s="314"/>
      <c r="J593" s="314"/>
      <c r="K593" s="314"/>
    </row>
    <row r="594" ht="20.25" spans="1:11">
      <c r="A594" s="314"/>
      <c r="B594" s="314"/>
      <c r="C594" s="314"/>
      <c r="D594" s="314"/>
      <c r="E594" s="314"/>
      <c r="F594" s="314"/>
      <c r="G594" s="314"/>
      <c r="H594" s="314"/>
      <c r="I594" s="314"/>
      <c r="J594" s="314"/>
      <c r="K594" s="314"/>
    </row>
    <row r="595" ht="20.25" spans="1:11">
      <c r="A595" s="314"/>
      <c r="B595" s="314"/>
      <c r="C595" s="314"/>
      <c r="D595" s="314"/>
      <c r="E595" s="314"/>
      <c r="F595" s="314"/>
      <c r="G595" s="314"/>
      <c r="H595" s="314"/>
      <c r="I595" s="314"/>
      <c r="J595" s="314"/>
      <c r="K595" s="314"/>
    </row>
    <row r="596" ht="20.25" spans="1:11">
      <c r="A596" s="314"/>
      <c r="B596" s="314"/>
      <c r="C596" s="314"/>
      <c r="D596" s="314"/>
      <c r="E596" s="314"/>
      <c r="F596" s="314"/>
      <c r="G596" s="314"/>
      <c r="H596" s="314"/>
      <c r="I596" s="314"/>
      <c r="J596" s="314"/>
      <c r="K596" s="314"/>
    </row>
    <row r="597" ht="20.25" spans="1:11">
      <c r="A597" s="314"/>
      <c r="B597" s="314"/>
      <c r="C597" s="314"/>
      <c r="D597" s="314"/>
      <c r="E597" s="314"/>
      <c r="F597" s="314"/>
      <c r="G597" s="314"/>
      <c r="H597" s="314"/>
      <c r="I597" s="314"/>
      <c r="J597" s="314"/>
      <c r="K597" s="314"/>
    </row>
    <row r="598" ht="20.25" spans="1:11">
      <c r="A598" s="314"/>
      <c r="B598" s="314"/>
      <c r="C598" s="314"/>
      <c r="D598" s="314"/>
      <c r="E598" s="314"/>
      <c r="F598" s="314"/>
      <c r="G598" s="314"/>
      <c r="H598" s="314"/>
      <c r="I598" s="314"/>
      <c r="J598" s="314"/>
      <c r="K598" s="314"/>
    </row>
    <row r="599" ht="20.25" spans="1:11">
      <c r="A599" s="314"/>
      <c r="B599" s="314"/>
      <c r="C599" s="314"/>
      <c r="D599" s="314"/>
      <c r="E599" s="314"/>
      <c r="F599" s="314"/>
      <c r="G599" s="314"/>
      <c r="H599" s="314"/>
      <c r="I599" s="314"/>
      <c r="J599" s="314"/>
      <c r="K599" s="314"/>
    </row>
    <row r="600" ht="20.25" spans="1:11">
      <c r="A600" s="314"/>
      <c r="B600" s="314"/>
      <c r="C600" s="314"/>
      <c r="D600" s="314"/>
      <c r="E600" s="314"/>
      <c r="F600" s="314"/>
      <c r="G600" s="314"/>
      <c r="H600" s="314"/>
      <c r="I600" s="314"/>
      <c r="J600" s="314"/>
      <c r="K600" s="314"/>
    </row>
    <row r="601" ht="20.25" spans="1:11">
      <c r="A601" s="314"/>
      <c r="B601" s="314"/>
      <c r="C601" s="314"/>
      <c r="D601" s="314"/>
      <c r="E601" s="314"/>
      <c r="F601" s="314"/>
      <c r="G601" s="314"/>
      <c r="H601" s="314"/>
      <c r="I601" s="314"/>
      <c r="J601" s="314"/>
      <c r="K601" s="314"/>
    </row>
    <row r="602" ht="20.25" spans="1:11">
      <c r="A602" s="314"/>
      <c r="B602" s="314"/>
      <c r="C602" s="314"/>
      <c r="D602" s="314"/>
      <c r="E602" s="314"/>
      <c r="F602" s="314"/>
      <c r="G602" s="314"/>
      <c r="H602" s="314"/>
      <c r="I602" s="314"/>
      <c r="J602" s="314"/>
      <c r="K602" s="314"/>
    </row>
    <row r="603" ht="20.25" spans="1:11">
      <c r="A603" s="314"/>
      <c r="B603" s="314"/>
      <c r="C603" s="314"/>
      <c r="D603" s="314"/>
      <c r="E603" s="314"/>
      <c r="F603" s="314"/>
      <c r="G603" s="314"/>
      <c r="H603" s="314"/>
      <c r="I603" s="314"/>
      <c r="J603" s="314"/>
      <c r="K603" s="314"/>
    </row>
    <row r="604" ht="20.25" spans="1:11">
      <c r="A604" s="314"/>
      <c r="B604" s="314"/>
      <c r="C604" s="314"/>
      <c r="D604" s="314"/>
      <c r="E604" s="314"/>
      <c r="F604" s="314"/>
      <c r="G604" s="314"/>
      <c r="H604" s="314"/>
      <c r="I604" s="314"/>
      <c r="J604" s="314"/>
      <c r="K604" s="314"/>
    </row>
    <row r="605" ht="20.25" spans="1:11">
      <c r="A605" s="314"/>
      <c r="B605" s="314"/>
      <c r="C605" s="314"/>
      <c r="D605" s="314"/>
      <c r="E605" s="314"/>
      <c r="F605" s="314"/>
      <c r="G605" s="314"/>
      <c r="H605" s="314"/>
      <c r="I605" s="314"/>
      <c r="J605" s="314"/>
      <c r="K605" s="314"/>
    </row>
    <row r="606" ht="20.25" spans="1:11">
      <c r="A606" s="314"/>
      <c r="B606" s="314"/>
      <c r="C606" s="314"/>
      <c r="D606" s="314"/>
      <c r="E606" s="314"/>
      <c r="F606" s="314"/>
      <c r="G606" s="314"/>
      <c r="H606" s="314"/>
      <c r="I606" s="314"/>
      <c r="J606" s="314"/>
      <c r="K606" s="314"/>
    </row>
    <row r="607" ht="20.25" spans="1:11">
      <c r="A607" s="314"/>
      <c r="B607" s="314"/>
      <c r="C607" s="314"/>
      <c r="D607" s="314"/>
      <c r="E607" s="314"/>
      <c r="F607" s="314"/>
      <c r="G607" s="314"/>
      <c r="H607" s="314"/>
      <c r="I607" s="314"/>
      <c r="J607" s="314"/>
      <c r="K607" s="314"/>
    </row>
    <row r="608" ht="20.25" spans="1:11">
      <c r="A608" s="314"/>
      <c r="B608" s="314"/>
      <c r="C608" s="314"/>
      <c r="D608" s="314"/>
      <c r="E608" s="314"/>
      <c r="F608" s="314"/>
      <c r="G608" s="314"/>
      <c r="H608" s="314"/>
      <c r="I608" s="314"/>
      <c r="J608" s="314"/>
      <c r="K608" s="314"/>
    </row>
    <row r="609" ht="20.25" spans="1:11">
      <c r="A609" s="314"/>
      <c r="B609" s="314"/>
      <c r="C609" s="314"/>
      <c r="D609" s="314"/>
      <c r="E609" s="314"/>
      <c r="F609" s="314"/>
      <c r="G609" s="314"/>
      <c r="H609" s="314"/>
      <c r="I609" s="314"/>
      <c r="J609" s="314"/>
      <c r="K609" s="314"/>
    </row>
    <row r="610" ht="20.25" spans="1:11">
      <c r="A610" s="314"/>
      <c r="B610" s="314"/>
      <c r="C610" s="314"/>
      <c r="D610" s="314"/>
      <c r="E610" s="314"/>
      <c r="F610" s="314"/>
      <c r="G610" s="314"/>
      <c r="H610" s="314"/>
      <c r="I610" s="314"/>
      <c r="J610" s="314"/>
      <c r="K610" s="314"/>
    </row>
    <row r="611" ht="20.25" spans="1:11">
      <c r="A611" s="314"/>
      <c r="B611" s="314"/>
      <c r="C611" s="314"/>
      <c r="D611" s="314"/>
      <c r="E611" s="314"/>
      <c r="F611" s="314"/>
      <c r="G611" s="314"/>
      <c r="H611" s="314"/>
      <c r="I611" s="314"/>
      <c r="J611" s="314"/>
      <c r="K611" s="314"/>
    </row>
    <row r="612" ht="20.25" spans="1:11">
      <c r="A612" s="314"/>
      <c r="B612" s="314"/>
      <c r="C612" s="314"/>
      <c r="D612" s="314"/>
      <c r="E612" s="314"/>
      <c r="F612" s="314"/>
      <c r="G612" s="314"/>
      <c r="H612" s="314"/>
      <c r="I612" s="314"/>
      <c r="J612" s="314"/>
      <c r="K612" s="314"/>
    </row>
    <row r="613" ht="20.25" spans="1:11">
      <c r="A613" s="314"/>
      <c r="B613" s="314"/>
      <c r="C613" s="314"/>
      <c r="D613" s="314"/>
      <c r="E613" s="314"/>
      <c r="F613" s="314"/>
      <c r="G613" s="314"/>
      <c r="H613" s="314"/>
      <c r="I613" s="314"/>
      <c r="J613" s="314"/>
      <c r="K613" s="314"/>
    </row>
    <row r="614" ht="20.25" spans="1:11">
      <c r="A614" s="314"/>
      <c r="B614" s="314"/>
      <c r="C614" s="314"/>
      <c r="D614" s="314"/>
      <c r="E614" s="314"/>
      <c r="F614" s="314"/>
      <c r="G614" s="314"/>
      <c r="H614" s="314"/>
      <c r="I614" s="314"/>
      <c r="J614" s="314"/>
      <c r="K614" s="314"/>
    </row>
    <row r="615" ht="20.25" spans="1:11">
      <c r="A615" s="314"/>
      <c r="B615" s="314"/>
      <c r="C615" s="314"/>
      <c r="D615" s="314"/>
      <c r="E615" s="314"/>
      <c r="F615" s="314"/>
      <c r="G615" s="314"/>
      <c r="H615" s="314"/>
      <c r="I615" s="314"/>
      <c r="J615" s="314"/>
      <c r="K615" s="314"/>
    </row>
    <row r="616" ht="20.25" spans="1:11">
      <c r="A616" s="314"/>
      <c r="B616" s="314"/>
      <c r="C616" s="314"/>
      <c r="D616" s="314"/>
      <c r="E616" s="314"/>
      <c r="F616" s="314"/>
      <c r="G616" s="314"/>
      <c r="H616" s="314"/>
      <c r="I616" s="314"/>
      <c r="J616" s="314"/>
      <c r="K616" s="314"/>
    </row>
    <row r="617" ht="20.25" spans="1:11">
      <c r="A617" s="314"/>
      <c r="B617" s="314"/>
      <c r="C617" s="314"/>
      <c r="D617" s="314"/>
      <c r="E617" s="314"/>
      <c r="F617" s="314"/>
      <c r="G617" s="314"/>
      <c r="H617" s="314"/>
      <c r="I617" s="314"/>
      <c r="J617" s="314"/>
      <c r="K617" s="314"/>
    </row>
    <row r="618" ht="20.25" spans="1:11">
      <c r="A618" s="314"/>
      <c r="B618" s="314"/>
      <c r="C618" s="314"/>
      <c r="D618" s="314"/>
      <c r="E618" s="314"/>
      <c r="F618" s="314"/>
      <c r="G618" s="314"/>
      <c r="H618" s="314"/>
      <c r="I618" s="314"/>
      <c r="J618" s="314"/>
      <c r="K618" s="314"/>
    </row>
    <row r="619" ht="20.25" spans="1:11">
      <c r="A619" s="314"/>
      <c r="B619" s="314"/>
      <c r="C619" s="314"/>
      <c r="D619" s="314"/>
      <c r="E619" s="314"/>
      <c r="F619" s="314"/>
      <c r="G619" s="314"/>
      <c r="H619" s="314"/>
      <c r="I619" s="314"/>
      <c r="J619" s="314"/>
      <c r="K619" s="314"/>
    </row>
    <row r="620" ht="20.25" spans="1:11">
      <c r="A620" s="314"/>
      <c r="B620" s="314"/>
      <c r="C620" s="314"/>
      <c r="D620" s="314"/>
      <c r="E620" s="314"/>
      <c r="F620" s="314"/>
      <c r="G620" s="314"/>
      <c r="H620" s="314"/>
      <c r="I620" s="314"/>
      <c r="J620" s="314"/>
      <c r="K620" s="314"/>
    </row>
    <row r="621" ht="20.25" spans="1:11">
      <c r="A621" s="314"/>
      <c r="B621" s="314"/>
      <c r="C621" s="314"/>
      <c r="D621" s="314"/>
      <c r="E621" s="314"/>
      <c r="F621" s="314"/>
      <c r="G621" s="314"/>
      <c r="H621" s="314"/>
      <c r="I621" s="314"/>
      <c r="J621" s="314"/>
      <c r="K621" s="314"/>
    </row>
    <row r="622" ht="20.25" spans="1:11">
      <c r="A622" s="314"/>
      <c r="B622" s="314"/>
      <c r="C622" s="314"/>
      <c r="D622" s="314"/>
      <c r="E622" s="314"/>
      <c r="F622" s="314"/>
      <c r="G622" s="314"/>
      <c r="H622" s="314"/>
      <c r="I622" s="314"/>
      <c r="J622" s="314"/>
      <c r="K622" s="314"/>
    </row>
    <row r="623" ht="20.25" spans="1:11">
      <c r="A623" s="314"/>
      <c r="B623" s="314"/>
      <c r="C623" s="314"/>
      <c r="D623" s="314"/>
      <c r="E623" s="314"/>
      <c r="F623" s="314"/>
      <c r="G623" s="314"/>
      <c r="H623" s="314"/>
      <c r="I623" s="314"/>
      <c r="J623" s="314"/>
      <c r="K623" s="314"/>
    </row>
    <row r="624" ht="20.25" spans="1:11">
      <c r="A624" s="314"/>
      <c r="B624" s="314"/>
      <c r="C624" s="314"/>
      <c r="D624" s="314"/>
      <c r="E624" s="314"/>
      <c r="F624" s="314"/>
      <c r="G624" s="314"/>
      <c r="H624" s="314"/>
      <c r="I624" s="314"/>
      <c r="J624" s="314"/>
      <c r="K624" s="314"/>
    </row>
    <row r="625" ht="20.25" spans="1:11">
      <c r="A625" s="314"/>
      <c r="B625" s="314"/>
      <c r="C625" s="314"/>
      <c r="D625" s="314"/>
      <c r="E625" s="314"/>
      <c r="F625" s="314"/>
      <c r="G625" s="314"/>
      <c r="H625" s="314"/>
      <c r="I625" s="314"/>
      <c r="J625" s="314"/>
      <c r="K625" s="314"/>
    </row>
    <row r="626" ht="20.25" spans="1:11">
      <c r="A626" s="314"/>
      <c r="B626" s="314"/>
      <c r="C626" s="314"/>
      <c r="D626" s="314"/>
      <c r="E626" s="314"/>
      <c r="F626" s="314"/>
      <c r="G626" s="314"/>
      <c r="H626" s="314"/>
      <c r="I626" s="314"/>
      <c r="J626" s="314"/>
      <c r="K626" s="314"/>
    </row>
    <row r="627" ht="20.25" spans="1:11">
      <c r="A627" s="314"/>
      <c r="B627" s="314"/>
      <c r="C627" s="314"/>
      <c r="D627" s="314"/>
      <c r="E627" s="314"/>
      <c r="F627" s="314"/>
      <c r="G627" s="314"/>
      <c r="H627" s="314"/>
      <c r="I627" s="314"/>
      <c r="J627" s="314"/>
      <c r="K627" s="314"/>
    </row>
    <row r="628" ht="20.25" spans="1:11">
      <c r="A628" s="314"/>
      <c r="B628" s="314"/>
      <c r="C628" s="314"/>
      <c r="D628" s="314"/>
      <c r="E628" s="314"/>
      <c r="F628" s="314"/>
      <c r="G628" s="314"/>
      <c r="H628" s="314"/>
      <c r="I628" s="314"/>
      <c r="J628" s="314"/>
      <c r="K628" s="314"/>
    </row>
    <row r="629" ht="20.25" spans="1:11">
      <c r="A629" s="314"/>
      <c r="B629" s="314"/>
      <c r="C629" s="314"/>
      <c r="D629" s="314"/>
      <c r="E629" s="314"/>
      <c r="F629" s="314"/>
      <c r="G629" s="314"/>
      <c r="H629" s="314"/>
      <c r="I629" s="314"/>
      <c r="J629" s="314"/>
      <c r="K629" s="314"/>
    </row>
    <row r="630" ht="20.25" spans="1:11">
      <c r="A630" s="314"/>
      <c r="B630" s="314"/>
      <c r="C630" s="314"/>
      <c r="D630" s="314"/>
      <c r="E630" s="314"/>
      <c r="F630" s="314"/>
      <c r="G630" s="314"/>
      <c r="H630" s="314"/>
      <c r="I630" s="314"/>
      <c r="J630" s="314"/>
      <c r="K630" s="314"/>
    </row>
    <row r="631" ht="20.25" spans="1:11">
      <c r="A631" s="314"/>
      <c r="B631" s="314"/>
      <c r="C631" s="314"/>
      <c r="D631" s="314"/>
      <c r="E631" s="314"/>
      <c r="F631" s="314"/>
      <c r="G631" s="314"/>
      <c r="H631" s="314"/>
      <c r="I631" s="314"/>
      <c r="J631" s="314"/>
      <c r="K631" s="314"/>
    </row>
    <row r="632" ht="20.25" spans="1:11">
      <c r="A632" s="314"/>
      <c r="B632" s="314"/>
      <c r="C632" s="314"/>
      <c r="D632" s="314"/>
      <c r="E632" s="314"/>
      <c r="F632" s="314"/>
      <c r="G632" s="314"/>
      <c r="H632" s="314"/>
      <c r="I632" s="314"/>
      <c r="J632" s="314"/>
      <c r="K632" s="314"/>
    </row>
    <row r="633" ht="20.25" spans="1:11">
      <c r="A633" s="314"/>
      <c r="B633" s="314"/>
      <c r="C633" s="314"/>
      <c r="D633" s="314"/>
      <c r="E633" s="314"/>
      <c r="F633" s="314"/>
      <c r="G633" s="314"/>
      <c r="H633" s="314"/>
      <c r="I633" s="314"/>
      <c r="J633" s="314"/>
      <c r="K633" s="314"/>
    </row>
    <row r="634" ht="20.25" spans="1:11">
      <c r="A634" s="314"/>
      <c r="B634" s="314"/>
      <c r="C634" s="314"/>
      <c r="D634" s="314"/>
      <c r="E634" s="314"/>
      <c r="F634" s="314"/>
      <c r="G634" s="314"/>
      <c r="H634" s="314"/>
      <c r="I634" s="314"/>
      <c r="J634" s="314"/>
      <c r="K634" s="314"/>
    </row>
    <row r="635" ht="20.25" spans="1:11">
      <c r="A635" s="314"/>
      <c r="B635" s="314"/>
      <c r="C635" s="314"/>
      <c r="D635" s="314"/>
      <c r="E635" s="314"/>
      <c r="F635" s="314"/>
      <c r="G635" s="314"/>
      <c r="H635" s="314"/>
      <c r="I635" s="314"/>
      <c r="J635" s="314"/>
      <c r="K635" s="314"/>
    </row>
    <row r="636" ht="20.25" spans="1:11">
      <c r="A636" s="314"/>
      <c r="B636" s="314"/>
      <c r="C636" s="314"/>
      <c r="D636" s="314"/>
      <c r="E636" s="314"/>
      <c r="F636" s="314"/>
      <c r="G636" s="314"/>
      <c r="H636" s="314"/>
      <c r="I636" s="314"/>
      <c r="J636" s="314"/>
      <c r="K636" s="314"/>
    </row>
    <row r="637" ht="20.25" spans="1:11">
      <c r="A637" s="314"/>
      <c r="B637" s="314"/>
      <c r="C637" s="314"/>
      <c r="D637" s="314"/>
      <c r="E637" s="314"/>
      <c r="F637" s="314"/>
      <c r="G637" s="314"/>
      <c r="H637" s="314"/>
      <c r="I637" s="314"/>
      <c r="J637" s="314"/>
      <c r="K637" s="314"/>
    </row>
    <row r="638" ht="20.25" spans="1:11">
      <c r="A638" s="314"/>
      <c r="B638" s="314"/>
      <c r="C638" s="314"/>
      <c r="D638" s="314"/>
      <c r="E638" s="314"/>
      <c r="F638" s="314"/>
      <c r="G638" s="314"/>
      <c r="H638" s="314"/>
      <c r="I638" s="314"/>
      <c r="J638" s="314"/>
      <c r="K638" s="314"/>
    </row>
    <row r="639" ht="20.25" spans="1:11">
      <c r="A639" s="314"/>
      <c r="B639" s="314"/>
      <c r="C639" s="314"/>
      <c r="D639" s="314"/>
      <c r="E639" s="314"/>
      <c r="F639" s="314"/>
      <c r="G639" s="314"/>
      <c r="H639" s="314"/>
      <c r="I639" s="314"/>
      <c r="J639" s="314"/>
      <c r="K639" s="314"/>
    </row>
    <row r="640" ht="20.25" spans="1:11">
      <c r="A640" s="314"/>
      <c r="B640" s="314"/>
      <c r="C640" s="314"/>
      <c r="D640" s="314"/>
      <c r="E640" s="314"/>
      <c r="F640" s="314"/>
      <c r="G640" s="314"/>
      <c r="H640" s="314"/>
      <c r="I640" s="314"/>
      <c r="J640" s="314"/>
      <c r="K640" s="314"/>
    </row>
    <row r="641" ht="20.25" spans="1:11">
      <c r="A641" s="314"/>
      <c r="B641" s="314"/>
      <c r="C641" s="314"/>
      <c r="D641" s="314"/>
      <c r="E641" s="314"/>
      <c r="F641" s="314"/>
      <c r="G641" s="314"/>
      <c r="H641" s="314"/>
      <c r="I641" s="314"/>
      <c r="J641" s="314"/>
      <c r="K641" s="314"/>
    </row>
    <row r="642" ht="20.25" spans="1:11">
      <c r="A642" s="314"/>
      <c r="B642" s="314"/>
      <c r="C642" s="314"/>
      <c r="D642" s="314"/>
      <c r="E642" s="314"/>
      <c r="F642" s="314"/>
      <c r="G642" s="314"/>
      <c r="H642" s="314"/>
      <c r="I642" s="314"/>
      <c r="J642" s="314"/>
      <c r="K642" s="314"/>
    </row>
    <row r="643" ht="20.25" spans="1:11">
      <c r="A643" s="314"/>
      <c r="B643" s="314"/>
      <c r="C643" s="314"/>
      <c r="D643" s="314"/>
      <c r="E643" s="314"/>
      <c r="F643" s="314"/>
      <c r="G643" s="314"/>
      <c r="H643" s="314"/>
      <c r="I643" s="314"/>
      <c r="J643" s="314"/>
      <c r="K643" s="314"/>
    </row>
    <row r="644" ht="20.25" spans="1:11">
      <c r="A644" s="314"/>
      <c r="B644" s="314"/>
      <c r="C644" s="314"/>
      <c r="D644" s="314"/>
      <c r="E644" s="314"/>
      <c r="F644" s="314"/>
      <c r="G644" s="314"/>
      <c r="H644" s="314"/>
      <c r="I644" s="314"/>
      <c r="J644" s="314"/>
      <c r="K644" s="314"/>
    </row>
    <row r="645" ht="20.25" spans="1:11">
      <c r="A645" s="314"/>
      <c r="B645" s="314"/>
      <c r="C645" s="314"/>
      <c r="D645" s="314"/>
      <c r="E645" s="314"/>
      <c r="F645" s="314"/>
      <c r="G645" s="314"/>
      <c r="H645" s="314"/>
      <c r="I645" s="314"/>
      <c r="J645" s="314"/>
      <c r="K645" s="314"/>
    </row>
    <row r="646" ht="20.25" spans="1:11">
      <c r="A646" s="314"/>
      <c r="B646" s="314"/>
      <c r="C646" s="314"/>
      <c r="D646" s="314"/>
      <c r="E646" s="314"/>
      <c r="F646" s="314"/>
      <c r="G646" s="314"/>
      <c r="H646" s="314"/>
      <c r="I646" s="314"/>
      <c r="J646" s="314"/>
      <c r="K646" s="314"/>
    </row>
    <row r="647" ht="20.25" spans="1:11">
      <c r="A647" s="314"/>
      <c r="B647" s="314"/>
      <c r="C647" s="314"/>
      <c r="D647" s="314"/>
      <c r="E647" s="314"/>
      <c r="F647" s="314"/>
      <c r="G647" s="314"/>
      <c r="H647" s="314"/>
      <c r="I647" s="314"/>
      <c r="J647" s="314"/>
      <c r="K647" s="314"/>
    </row>
    <row r="648" ht="20.25" spans="1:11">
      <c r="A648" s="314"/>
      <c r="B648" s="314"/>
      <c r="C648" s="314"/>
      <c r="D648" s="314"/>
      <c r="E648" s="314"/>
      <c r="F648" s="314"/>
      <c r="G648" s="314"/>
      <c r="H648" s="314"/>
      <c r="I648" s="314"/>
      <c r="J648" s="314"/>
      <c r="K648" s="314"/>
    </row>
    <row r="649" ht="20.25" spans="1:11">
      <c r="A649" s="314"/>
      <c r="B649" s="314"/>
      <c r="C649" s="314"/>
      <c r="D649" s="314"/>
      <c r="E649" s="314"/>
      <c r="F649" s="314"/>
      <c r="G649" s="314"/>
      <c r="H649" s="314"/>
      <c r="I649" s="314"/>
      <c r="J649" s="314"/>
      <c r="K649" s="314"/>
    </row>
    <row r="650" ht="20.25" spans="1:11">
      <c r="A650" s="314"/>
      <c r="B650" s="314"/>
      <c r="C650" s="314"/>
      <c r="D650" s="314"/>
      <c r="E650" s="314"/>
      <c r="F650" s="314"/>
      <c r="G650" s="314"/>
      <c r="H650" s="314"/>
      <c r="I650" s="314"/>
      <c r="J650" s="314"/>
      <c r="K650" s="314"/>
    </row>
    <row r="651" ht="20.25" spans="1:11">
      <c r="A651" s="314"/>
      <c r="B651" s="314"/>
      <c r="C651" s="314"/>
      <c r="D651" s="314"/>
      <c r="E651" s="314"/>
      <c r="F651" s="314"/>
      <c r="G651" s="314"/>
      <c r="H651" s="314"/>
      <c r="I651" s="314"/>
      <c r="J651" s="314"/>
      <c r="K651" s="314"/>
    </row>
    <row r="652" ht="20.25" spans="1:11">
      <c r="A652" s="314"/>
      <c r="B652" s="314"/>
      <c r="C652" s="314"/>
      <c r="D652" s="314"/>
      <c r="E652" s="314"/>
      <c r="F652" s="314"/>
      <c r="G652" s="314"/>
      <c r="H652" s="314"/>
      <c r="I652" s="314"/>
      <c r="J652" s="314"/>
      <c r="K652" s="314"/>
    </row>
    <row r="653" ht="20.25" spans="1:11">
      <c r="A653" s="314"/>
      <c r="B653" s="314"/>
      <c r="C653" s="314"/>
      <c r="D653" s="314"/>
      <c r="E653" s="314"/>
      <c r="F653" s="314"/>
      <c r="G653" s="314"/>
      <c r="H653" s="314"/>
      <c r="I653" s="314"/>
      <c r="J653" s="314"/>
      <c r="K653" s="314"/>
    </row>
    <row r="654" ht="20.25" spans="1:11">
      <c r="A654" s="314"/>
      <c r="B654" s="314"/>
      <c r="C654" s="314"/>
      <c r="D654" s="314"/>
      <c r="E654" s="314"/>
      <c r="F654" s="314"/>
      <c r="G654" s="314"/>
      <c r="H654" s="314"/>
      <c r="I654" s="314"/>
      <c r="J654" s="314"/>
      <c r="K654" s="314"/>
    </row>
    <row r="655" ht="20.25" spans="1:11">
      <c r="A655" s="314"/>
      <c r="B655" s="314"/>
      <c r="C655" s="314"/>
      <c r="D655" s="314"/>
      <c r="E655" s="314"/>
      <c r="F655" s="314"/>
      <c r="G655" s="314"/>
      <c r="H655" s="314"/>
      <c r="I655" s="314"/>
      <c r="J655" s="314"/>
      <c r="K655" s="314"/>
    </row>
    <row r="656" ht="20.25" spans="1:11">
      <c r="A656" s="314"/>
      <c r="B656" s="314"/>
      <c r="C656" s="314"/>
      <c r="D656" s="314"/>
      <c r="E656" s="314"/>
      <c r="F656" s="314"/>
      <c r="G656" s="314"/>
      <c r="H656" s="314"/>
      <c r="I656" s="314"/>
      <c r="J656" s="314"/>
      <c r="K656" s="314"/>
    </row>
    <row r="657" ht="20.25" spans="1:11">
      <c r="A657" s="314"/>
      <c r="B657" s="314"/>
      <c r="C657" s="314"/>
      <c r="D657" s="314"/>
      <c r="E657" s="314"/>
      <c r="F657" s="314"/>
      <c r="G657" s="314"/>
      <c r="H657" s="314"/>
      <c r="I657" s="314"/>
      <c r="J657" s="314"/>
      <c r="K657" s="314"/>
    </row>
    <row r="658" ht="20.25" spans="1:11">
      <c r="A658" s="314"/>
      <c r="B658" s="314"/>
      <c r="C658" s="314"/>
      <c r="D658" s="314"/>
      <c r="E658" s="314"/>
      <c r="F658" s="314"/>
      <c r="G658" s="314"/>
      <c r="H658" s="314"/>
      <c r="I658" s="314"/>
      <c r="J658" s="314"/>
      <c r="K658" s="314"/>
    </row>
    <row r="659" ht="20.25" spans="1:11">
      <c r="A659" s="314"/>
      <c r="B659" s="314"/>
      <c r="C659" s="314"/>
      <c r="D659" s="314"/>
      <c r="E659" s="314"/>
      <c r="F659" s="314"/>
      <c r="G659" s="314"/>
      <c r="H659" s="314"/>
      <c r="I659" s="314"/>
      <c r="J659" s="314"/>
      <c r="K659" s="314"/>
    </row>
    <row r="660" ht="20.25" spans="1:11">
      <c r="A660" s="314"/>
      <c r="B660" s="314"/>
      <c r="C660" s="314"/>
      <c r="D660" s="314"/>
      <c r="E660" s="314"/>
      <c r="F660" s="314"/>
      <c r="G660" s="314"/>
      <c r="H660" s="314"/>
      <c r="I660" s="314"/>
      <c r="J660" s="314"/>
      <c r="K660" s="314"/>
    </row>
    <row r="661" ht="20.25" spans="1:11">
      <c r="A661" s="314"/>
      <c r="B661" s="314"/>
      <c r="C661" s="314"/>
      <c r="D661" s="314"/>
      <c r="E661" s="314"/>
      <c r="F661" s="314"/>
      <c r="G661" s="314"/>
      <c r="H661" s="314"/>
      <c r="I661" s="314"/>
      <c r="J661" s="314"/>
      <c r="K661" s="314"/>
    </row>
    <row r="662" ht="20.25" spans="1:11">
      <c r="A662" s="314"/>
      <c r="B662" s="314"/>
      <c r="C662" s="314"/>
      <c r="D662" s="314"/>
      <c r="E662" s="314"/>
      <c r="F662" s="314"/>
      <c r="G662" s="314"/>
      <c r="H662" s="314"/>
      <c r="I662" s="314"/>
      <c r="J662" s="314"/>
      <c r="K662" s="314"/>
    </row>
    <row r="663" ht="20.25" spans="1:11">
      <c r="A663" s="314"/>
      <c r="B663" s="314"/>
      <c r="C663" s="314"/>
      <c r="D663" s="314"/>
      <c r="E663" s="314"/>
      <c r="F663" s="314"/>
      <c r="G663" s="314"/>
      <c r="H663" s="314"/>
      <c r="I663" s="314"/>
      <c r="J663" s="314"/>
      <c r="K663" s="314"/>
    </row>
    <row r="664" ht="20.25" spans="1:11">
      <c r="A664" s="314"/>
      <c r="B664" s="314"/>
      <c r="C664" s="314"/>
      <c r="D664" s="314"/>
      <c r="E664" s="314"/>
      <c r="F664" s="314"/>
      <c r="G664" s="314"/>
      <c r="H664" s="314"/>
      <c r="I664" s="314"/>
      <c r="J664" s="314"/>
      <c r="K664" s="314"/>
    </row>
    <row r="665" ht="20.25" spans="1:11">
      <c r="A665" s="314"/>
      <c r="B665" s="314"/>
      <c r="C665" s="314"/>
      <c r="D665" s="314"/>
      <c r="E665" s="314"/>
      <c r="F665" s="314"/>
      <c r="G665" s="314"/>
      <c r="H665" s="314"/>
      <c r="I665" s="314"/>
      <c r="J665" s="314"/>
      <c r="K665" s="314"/>
    </row>
    <row r="666" ht="20.25" spans="1:11">
      <c r="A666" s="314"/>
      <c r="B666" s="314"/>
      <c r="C666" s="314"/>
      <c r="D666" s="314"/>
      <c r="E666" s="314"/>
      <c r="F666" s="314"/>
      <c r="G666" s="314"/>
      <c r="H666" s="314"/>
      <c r="I666" s="314"/>
      <c r="J666" s="314"/>
      <c r="K666" s="314"/>
    </row>
    <row r="667" ht="20.25" spans="1:11">
      <c r="A667" s="314"/>
      <c r="B667" s="314"/>
      <c r="C667" s="314"/>
      <c r="D667" s="314"/>
      <c r="E667" s="314"/>
      <c r="F667" s="314"/>
      <c r="G667" s="314"/>
      <c r="H667" s="314"/>
      <c r="I667" s="314"/>
      <c r="J667" s="314"/>
      <c r="K667" s="314"/>
    </row>
    <row r="668" ht="20.25" spans="1:11">
      <c r="A668" s="314"/>
      <c r="B668" s="314"/>
      <c r="C668" s="314"/>
      <c r="D668" s="314"/>
      <c r="E668" s="314"/>
      <c r="F668" s="314"/>
      <c r="G668" s="314"/>
      <c r="H668" s="314"/>
      <c r="I668" s="314"/>
      <c r="J668" s="314"/>
      <c r="K668" s="314"/>
    </row>
    <row r="669" ht="20.25" spans="1:11">
      <c r="A669" s="314"/>
      <c r="B669" s="314"/>
      <c r="C669" s="314"/>
      <c r="D669" s="314"/>
      <c r="E669" s="314"/>
      <c r="F669" s="314"/>
      <c r="G669" s="314"/>
      <c r="H669" s="314"/>
      <c r="I669" s="314"/>
      <c r="J669" s="314"/>
      <c r="K669" s="314"/>
    </row>
    <row r="670" ht="20.25" spans="1:11">
      <c r="A670" s="314"/>
      <c r="B670" s="314"/>
      <c r="C670" s="314"/>
      <c r="D670" s="314"/>
      <c r="E670" s="314"/>
      <c r="F670" s="314"/>
      <c r="G670" s="314"/>
      <c r="H670" s="314"/>
      <c r="I670" s="314"/>
      <c r="J670" s="314"/>
      <c r="K670" s="314"/>
    </row>
    <row r="671" ht="20.25" spans="1:11">
      <c r="A671" s="314"/>
      <c r="B671" s="314"/>
      <c r="C671" s="314"/>
      <c r="D671" s="314"/>
      <c r="E671" s="314"/>
      <c r="F671" s="314"/>
      <c r="G671" s="314"/>
      <c r="H671" s="314"/>
      <c r="I671" s="314"/>
      <c r="J671" s="314"/>
      <c r="K671" s="314"/>
    </row>
    <row r="672" ht="20.25" spans="1:11">
      <c r="A672" s="314"/>
      <c r="B672" s="314"/>
      <c r="C672" s="314"/>
      <c r="D672" s="314"/>
      <c r="E672" s="314"/>
      <c r="F672" s="314"/>
      <c r="G672" s="314"/>
      <c r="H672" s="314"/>
      <c r="I672" s="314"/>
      <c r="J672" s="314"/>
      <c r="K672" s="314"/>
    </row>
    <row r="673" ht="20.25" spans="1:11">
      <c r="A673" s="314"/>
      <c r="B673" s="314"/>
      <c r="C673" s="314"/>
      <c r="D673" s="314"/>
      <c r="E673" s="314"/>
      <c r="F673" s="314"/>
      <c r="G673" s="314"/>
      <c r="H673" s="314"/>
      <c r="I673" s="314"/>
      <c r="J673" s="314"/>
      <c r="K673" s="314"/>
    </row>
    <row r="674" ht="20.25" spans="1:11">
      <c r="A674" s="314"/>
      <c r="B674" s="314"/>
      <c r="C674" s="314"/>
      <c r="D674" s="314"/>
      <c r="E674" s="314"/>
      <c r="F674" s="314"/>
      <c r="G674" s="314"/>
      <c r="H674" s="314"/>
      <c r="I674" s="314"/>
      <c r="J674" s="314"/>
      <c r="K674" s="314"/>
    </row>
    <row r="675" ht="20.25" spans="1:11">
      <c r="A675" s="314"/>
      <c r="B675" s="314"/>
      <c r="C675" s="314"/>
      <c r="D675" s="314"/>
      <c r="E675" s="314"/>
      <c r="F675" s="314"/>
      <c r="G675" s="314"/>
      <c r="H675" s="314"/>
      <c r="I675" s="314"/>
      <c r="J675" s="314"/>
      <c r="K675" s="314"/>
    </row>
    <row r="676" ht="20.25" spans="1:11">
      <c r="A676" s="314"/>
      <c r="B676" s="314"/>
      <c r="C676" s="314"/>
      <c r="D676" s="314"/>
      <c r="E676" s="314"/>
      <c r="F676" s="314"/>
      <c r="G676" s="314"/>
      <c r="H676" s="314"/>
      <c r="I676" s="314"/>
      <c r="J676" s="314"/>
      <c r="K676" s="314"/>
    </row>
    <row r="677" ht="20.25" spans="1:11">
      <c r="A677" s="314"/>
      <c r="B677" s="314"/>
      <c r="C677" s="314"/>
      <c r="D677" s="314"/>
      <c r="E677" s="314"/>
      <c r="F677" s="314"/>
      <c r="G677" s="314"/>
      <c r="H677" s="314"/>
      <c r="I677" s="314"/>
      <c r="J677" s="314"/>
      <c r="K677" s="314"/>
    </row>
    <row r="678" ht="20.25" spans="1:11">
      <c r="A678" s="314"/>
      <c r="B678" s="314"/>
      <c r="C678" s="314"/>
      <c r="D678" s="314"/>
      <c r="E678" s="314"/>
      <c r="F678" s="314"/>
      <c r="G678" s="314"/>
      <c r="H678" s="314"/>
      <c r="I678" s="314"/>
      <c r="J678" s="314"/>
      <c r="K678" s="314"/>
    </row>
    <row r="679" ht="20.25" spans="1:11">
      <c r="A679" s="314"/>
      <c r="B679" s="314"/>
      <c r="C679" s="314"/>
      <c r="D679" s="314"/>
      <c r="E679" s="314"/>
      <c r="F679" s="314"/>
      <c r="G679" s="314"/>
      <c r="H679" s="314"/>
      <c r="I679" s="314"/>
      <c r="J679" s="314"/>
      <c r="K679" s="314"/>
    </row>
    <row r="680" ht="20.25" spans="1:11">
      <c r="A680" s="314"/>
      <c r="B680" s="314"/>
      <c r="C680" s="314"/>
      <c r="D680" s="314"/>
      <c r="E680" s="314"/>
      <c r="F680" s="314"/>
      <c r="G680" s="314"/>
      <c r="H680" s="314"/>
      <c r="I680" s="314"/>
      <c r="J680" s="314"/>
      <c r="K680" s="314"/>
    </row>
    <row r="681" ht="20.25" spans="1:11">
      <c r="A681" s="314"/>
      <c r="B681" s="314"/>
      <c r="C681" s="314"/>
      <c r="D681" s="314"/>
      <c r="E681" s="314"/>
      <c r="F681" s="314"/>
      <c r="G681" s="314"/>
      <c r="H681" s="314"/>
      <c r="I681" s="314"/>
      <c r="J681" s="314"/>
      <c r="K681" s="314"/>
    </row>
    <row r="682" ht="20.25" spans="1:11">
      <c r="A682" s="314"/>
      <c r="B682" s="314"/>
      <c r="C682" s="314"/>
      <c r="D682" s="314"/>
      <c r="E682" s="314"/>
      <c r="F682" s="314"/>
      <c r="G682" s="314"/>
      <c r="H682" s="314"/>
      <c r="I682" s="314"/>
      <c r="J682" s="314"/>
      <c r="K682" s="314"/>
    </row>
    <row r="683" ht="20.25" spans="1:11">
      <c r="A683" s="314"/>
      <c r="B683" s="314"/>
      <c r="C683" s="314"/>
      <c r="D683" s="314"/>
      <c r="E683" s="314"/>
      <c r="F683" s="314"/>
      <c r="G683" s="314"/>
      <c r="H683" s="314"/>
      <c r="I683" s="314"/>
      <c r="J683" s="314"/>
      <c r="K683" s="314"/>
    </row>
    <row r="684" ht="20.25" spans="1:11">
      <c r="A684" s="314"/>
      <c r="B684" s="314"/>
      <c r="C684" s="314"/>
      <c r="D684" s="314"/>
      <c r="E684" s="314"/>
      <c r="F684" s="314"/>
      <c r="G684" s="314"/>
      <c r="H684" s="314"/>
      <c r="I684" s="314"/>
      <c r="J684" s="314"/>
      <c r="K684" s="314"/>
    </row>
    <row r="685" ht="20.25" spans="1:11">
      <c r="A685" s="314"/>
      <c r="B685" s="314"/>
      <c r="C685" s="314"/>
      <c r="D685" s="314"/>
      <c r="E685" s="314"/>
      <c r="F685" s="314"/>
      <c r="G685" s="314"/>
      <c r="H685" s="314"/>
      <c r="I685" s="314"/>
      <c r="J685" s="314"/>
      <c r="K685" s="314"/>
    </row>
    <row r="686" ht="20.25" spans="1:11">
      <c r="A686" s="314"/>
      <c r="B686" s="314"/>
      <c r="C686" s="314"/>
      <c r="D686" s="314"/>
      <c r="E686" s="314"/>
      <c r="F686" s="314"/>
      <c r="G686" s="314"/>
      <c r="H686" s="314"/>
      <c r="I686" s="314"/>
      <c r="J686" s="314"/>
      <c r="K686" s="314"/>
    </row>
    <row r="687" ht="20.25" spans="1:11">
      <c r="A687" s="314"/>
      <c r="B687" s="314"/>
      <c r="C687" s="314"/>
      <c r="D687" s="314"/>
      <c r="E687" s="314"/>
      <c r="F687" s="314"/>
      <c r="G687" s="314"/>
      <c r="H687" s="314"/>
      <c r="I687" s="314"/>
      <c r="J687" s="314"/>
      <c r="K687" s="314"/>
    </row>
    <row r="688" ht="20.25" spans="1:11">
      <c r="A688" s="314"/>
      <c r="B688" s="314"/>
      <c r="C688" s="314"/>
      <c r="D688" s="314"/>
      <c r="E688" s="314"/>
      <c r="F688" s="314"/>
      <c r="G688" s="314"/>
      <c r="H688" s="314"/>
      <c r="I688" s="314"/>
      <c r="J688" s="314"/>
      <c r="K688" s="314"/>
    </row>
    <row r="689" ht="20.25" spans="1:11">
      <c r="A689" s="314"/>
      <c r="B689" s="314"/>
      <c r="C689" s="314"/>
      <c r="D689" s="314"/>
      <c r="E689" s="314"/>
      <c r="F689" s="314"/>
      <c r="G689" s="314"/>
      <c r="H689" s="314"/>
      <c r="I689" s="314"/>
      <c r="J689" s="314"/>
      <c r="K689" s="314"/>
    </row>
    <row r="690" ht="20.25" spans="1:11">
      <c r="A690" s="314"/>
      <c r="B690" s="314"/>
      <c r="C690" s="314"/>
      <c r="D690" s="314"/>
      <c r="E690" s="314"/>
      <c r="F690" s="314"/>
      <c r="G690" s="314"/>
      <c r="H690" s="314"/>
      <c r="I690" s="314"/>
      <c r="J690" s="314"/>
      <c r="K690" s="314"/>
    </row>
    <row r="691" ht="20.25" spans="1:11">
      <c r="A691" s="314"/>
      <c r="B691" s="314"/>
      <c r="C691" s="314"/>
      <c r="D691" s="314"/>
      <c r="E691" s="314"/>
      <c r="F691" s="314"/>
      <c r="G691" s="314"/>
      <c r="H691" s="314"/>
      <c r="I691" s="314"/>
      <c r="J691" s="314"/>
      <c r="K691" s="314"/>
    </row>
    <row r="692" ht="20.25" spans="1:11">
      <c r="A692" s="314"/>
      <c r="B692" s="314"/>
      <c r="C692" s="314"/>
      <c r="D692" s="314"/>
      <c r="E692" s="314"/>
      <c r="F692" s="314"/>
      <c r="G692" s="314"/>
      <c r="H692" s="314"/>
      <c r="I692" s="314"/>
      <c r="J692" s="314"/>
      <c r="K692" s="314"/>
    </row>
    <row r="693" ht="20.25" spans="1:11">
      <c r="A693" s="314"/>
      <c r="B693" s="314"/>
      <c r="C693" s="314"/>
      <c r="D693" s="314"/>
      <c r="E693" s="314"/>
      <c r="F693" s="314"/>
      <c r="G693" s="314"/>
      <c r="H693" s="314"/>
      <c r="I693" s="314"/>
      <c r="J693" s="314"/>
      <c r="K693" s="314"/>
    </row>
    <row r="694" ht="20.25" spans="1:11">
      <c r="A694" s="314"/>
      <c r="B694" s="314"/>
      <c r="C694" s="314"/>
      <c r="D694" s="314"/>
      <c r="E694" s="314"/>
      <c r="F694" s="314"/>
      <c r="G694" s="314"/>
      <c r="H694" s="314"/>
      <c r="I694" s="314"/>
      <c r="J694" s="314"/>
      <c r="K694" s="314"/>
    </row>
    <row r="695" ht="20.25" spans="1:11">
      <c r="A695" s="314"/>
      <c r="B695" s="314"/>
      <c r="C695" s="314"/>
      <c r="D695" s="314"/>
      <c r="E695" s="314"/>
      <c r="F695" s="314"/>
      <c r="G695" s="314"/>
      <c r="H695" s="314"/>
      <c r="I695" s="314"/>
      <c r="J695" s="314"/>
      <c r="K695" s="314"/>
    </row>
    <row r="696" ht="20.25" spans="1:11">
      <c r="A696" s="314"/>
      <c r="B696" s="314"/>
      <c r="C696" s="314"/>
      <c r="D696" s="314"/>
      <c r="E696" s="314"/>
      <c r="F696" s="314"/>
      <c r="G696" s="314"/>
      <c r="H696" s="314"/>
      <c r="I696" s="314"/>
      <c r="J696" s="314"/>
      <c r="K696" s="314"/>
    </row>
    <row r="697" ht="20.25" spans="1:11">
      <c r="A697" s="314"/>
      <c r="B697" s="314"/>
      <c r="C697" s="314"/>
      <c r="D697" s="314"/>
      <c r="E697" s="314"/>
      <c r="F697" s="314"/>
      <c r="G697" s="314"/>
      <c r="H697" s="314"/>
      <c r="I697" s="314"/>
      <c r="J697" s="314"/>
      <c r="K697" s="314"/>
    </row>
    <row r="698" ht="20.25" spans="1:11">
      <c r="A698" s="314"/>
      <c r="B698" s="314"/>
      <c r="C698" s="314"/>
      <c r="D698" s="314"/>
      <c r="E698" s="314"/>
      <c r="F698" s="314"/>
      <c r="G698" s="314"/>
      <c r="H698" s="314"/>
      <c r="I698" s="314"/>
      <c r="J698" s="314"/>
      <c r="K698" s="314"/>
    </row>
    <row r="699" ht="20.25" spans="1:11">
      <c r="A699" s="314"/>
      <c r="B699" s="314"/>
      <c r="C699" s="314"/>
      <c r="D699" s="314"/>
      <c r="E699" s="314"/>
      <c r="F699" s="314"/>
      <c r="G699" s="314"/>
      <c r="H699" s="314"/>
      <c r="I699" s="314"/>
      <c r="J699" s="314"/>
      <c r="K699" s="314"/>
    </row>
    <row r="700" ht="20.25" spans="1:11">
      <c r="A700" s="314"/>
      <c r="B700" s="314"/>
      <c r="C700" s="314"/>
      <c r="D700" s="314"/>
      <c r="E700" s="314"/>
      <c r="F700" s="314"/>
      <c r="G700" s="314"/>
      <c r="H700" s="314"/>
      <c r="I700" s="314"/>
      <c r="J700" s="314"/>
      <c r="K700" s="314"/>
    </row>
    <row r="701" ht="20.25" spans="1:11">
      <c r="A701" s="314"/>
      <c r="B701" s="314"/>
      <c r="C701" s="314"/>
      <c r="D701" s="314"/>
      <c r="E701" s="314"/>
      <c r="F701" s="314"/>
      <c r="G701" s="314"/>
      <c r="H701" s="314"/>
      <c r="I701" s="314"/>
      <c r="J701" s="314"/>
      <c r="K701" s="314"/>
    </row>
    <row r="702" ht="20.25" spans="1:11">
      <c r="A702" s="314"/>
      <c r="B702" s="314"/>
      <c r="C702" s="314"/>
      <c r="D702" s="314"/>
      <c r="E702" s="314"/>
      <c r="F702" s="314"/>
      <c r="G702" s="314"/>
      <c r="H702" s="314"/>
      <c r="I702" s="314"/>
      <c r="J702" s="314"/>
      <c r="K702" s="314"/>
    </row>
    <row r="703" ht="20.25" spans="1:11">
      <c r="A703" s="314"/>
      <c r="B703" s="314"/>
      <c r="C703" s="314"/>
      <c r="D703" s="314"/>
      <c r="E703" s="314"/>
      <c r="F703" s="314"/>
      <c r="G703" s="314"/>
      <c r="H703" s="314"/>
      <c r="I703" s="314"/>
      <c r="J703" s="314"/>
      <c r="K703" s="314"/>
    </row>
    <row r="704" ht="20.25" spans="1:11">
      <c r="A704" s="314"/>
      <c r="B704" s="314"/>
      <c r="C704" s="314"/>
      <c r="D704" s="314"/>
      <c r="E704" s="314"/>
      <c r="F704" s="314"/>
      <c r="G704" s="314"/>
      <c r="H704" s="314"/>
      <c r="I704" s="314"/>
      <c r="J704" s="314"/>
      <c r="K704" s="314"/>
    </row>
    <row r="705" ht="20.25" spans="1:11">
      <c r="A705" s="314"/>
      <c r="B705" s="314"/>
      <c r="C705" s="314"/>
      <c r="D705" s="314"/>
      <c r="E705" s="314"/>
      <c r="F705" s="314"/>
      <c r="G705" s="314"/>
      <c r="H705" s="314"/>
      <c r="I705" s="314"/>
      <c r="J705" s="314"/>
      <c r="K705" s="314"/>
    </row>
    <row r="706" ht="20.25" spans="1:11">
      <c r="A706" s="314"/>
      <c r="B706" s="314"/>
      <c r="C706" s="314"/>
      <c r="D706" s="314"/>
      <c r="E706" s="314"/>
      <c r="F706" s="314"/>
      <c r="G706" s="314"/>
      <c r="H706" s="314"/>
      <c r="I706" s="314"/>
      <c r="J706" s="314"/>
      <c r="K706" s="314"/>
    </row>
    <row r="707" ht="20.25" spans="1:11">
      <c r="A707" s="314"/>
      <c r="B707" s="314"/>
      <c r="C707" s="314"/>
      <c r="D707" s="314"/>
      <c r="E707" s="314"/>
      <c r="F707" s="314"/>
      <c r="G707" s="314"/>
      <c r="H707" s="314"/>
      <c r="I707" s="314"/>
      <c r="J707" s="314"/>
      <c r="K707" s="314"/>
    </row>
    <row r="708" ht="20.25" spans="1:11">
      <c r="A708" s="314"/>
      <c r="B708" s="314"/>
      <c r="C708" s="314"/>
      <c r="D708" s="314"/>
      <c r="E708" s="314"/>
      <c r="F708" s="314"/>
      <c r="G708" s="314"/>
      <c r="H708" s="314"/>
      <c r="I708" s="314"/>
      <c r="J708" s="314"/>
      <c r="K708" s="314"/>
    </row>
    <row r="709" ht="20.25" spans="1:11">
      <c r="A709" s="314"/>
      <c r="B709" s="314"/>
      <c r="C709" s="314"/>
      <c r="D709" s="314"/>
      <c r="E709" s="314"/>
      <c r="F709" s="314"/>
      <c r="G709" s="314"/>
      <c r="H709" s="314"/>
      <c r="I709" s="314"/>
      <c r="J709" s="314"/>
      <c r="K709" s="314"/>
    </row>
    <row r="710" ht="20.25" spans="1:11">
      <c r="A710" s="314"/>
      <c r="B710" s="314"/>
      <c r="C710" s="314"/>
      <c r="D710" s="314"/>
      <c r="E710" s="314"/>
      <c r="F710" s="314"/>
      <c r="G710" s="314"/>
      <c r="H710" s="314"/>
      <c r="I710" s="314"/>
      <c r="J710" s="314"/>
      <c r="K710" s="314"/>
    </row>
    <row r="711" ht="20.25" spans="1:11">
      <c r="A711" s="314"/>
      <c r="B711" s="314"/>
      <c r="C711" s="314"/>
      <c r="D711" s="314"/>
      <c r="E711" s="314"/>
      <c r="F711" s="314"/>
      <c r="G711" s="314"/>
      <c r="H711" s="314"/>
      <c r="I711" s="314"/>
      <c r="J711" s="314"/>
      <c r="K711" s="314"/>
    </row>
    <row r="712" ht="20.25" spans="1:11">
      <c r="A712" s="314"/>
      <c r="B712" s="314"/>
      <c r="C712" s="314"/>
      <c r="D712" s="314"/>
      <c r="E712" s="314"/>
      <c r="F712" s="314"/>
      <c r="G712" s="314"/>
      <c r="H712" s="314"/>
      <c r="I712" s="314"/>
      <c r="J712" s="314"/>
      <c r="K712" s="314"/>
    </row>
    <row r="713" ht="20.25" spans="1:11">
      <c r="A713" s="314"/>
      <c r="B713" s="314"/>
      <c r="C713" s="314"/>
      <c r="D713" s="314"/>
      <c r="E713" s="314"/>
      <c r="F713" s="314"/>
      <c r="G713" s="314"/>
      <c r="H713" s="314"/>
      <c r="I713" s="314"/>
      <c r="J713" s="314"/>
      <c r="K713" s="314"/>
    </row>
    <row r="714" ht="20.25" spans="1:11">
      <c r="A714" s="314"/>
      <c r="B714" s="314"/>
      <c r="C714" s="314"/>
      <c r="D714" s="314"/>
      <c r="E714" s="314"/>
      <c r="F714" s="314"/>
      <c r="G714" s="314"/>
      <c r="H714" s="314"/>
      <c r="I714" s="314"/>
      <c r="J714" s="314"/>
      <c r="K714" s="314"/>
    </row>
    <row r="715" ht="20.25" spans="1:11">
      <c r="A715" s="314"/>
      <c r="B715" s="314"/>
      <c r="C715" s="314"/>
      <c r="D715" s="314"/>
      <c r="E715" s="314"/>
      <c r="F715" s="314"/>
      <c r="G715" s="314"/>
      <c r="H715" s="314"/>
      <c r="I715" s="314"/>
      <c r="J715" s="314"/>
      <c r="K715" s="314"/>
    </row>
    <row r="716" ht="20.25" spans="1:11">
      <c r="A716" s="314"/>
      <c r="B716" s="314"/>
      <c r="C716" s="314"/>
      <c r="D716" s="314"/>
      <c r="E716" s="314"/>
      <c r="F716" s="314"/>
      <c r="G716" s="314"/>
      <c r="H716" s="314"/>
      <c r="I716" s="314"/>
      <c r="J716" s="314"/>
      <c r="K716" s="314"/>
    </row>
    <row r="717" ht="20.25" spans="1:11">
      <c r="A717" s="314"/>
      <c r="B717" s="314"/>
      <c r="C717" s="314"/>
      <c r="D717" s="314"/>
      <c r="E717" s="314"/>
      <c r="F717" s="314"/>
      <c r="G717" s="314"/>
      <c r="H717" s="314"/>
      <c r="I717" s="314"/>
      <c r="J717" s="314"/>
      <c r="K717" s="314"/>
    </row>
    <row r="718" ht="20.25" spans="1:11">
      <c r="A718" s="314"/>
      <c r="B718" s="314"/>
      <c r="C718" s="314"/>
      <c r="D718" s="314"/>
      <c r="E718" s="314"/>
      <c r="F718" s="314"/>
      <c r="G718" s="314"/>
      <c r="H718" s="314"/>
      <c r="I718" s="314"/>
      <c r="J718" s="314"/>
      <c r="K718" s="314"/>
    </row>
    <row r="719" ht="20.25" spans="1:11">
      <c r="A719" s="314"/>
      <c r="B719" s="314"/>
      <c r="C719" s="314"/>
      <c r="D719" s="314"/>
      <c r="E719" s="314"/>
      <c r="F719" s="314"/>
      <c r="G719" s="314"/>
      <c r="H719" s="314"/>
      <c r="I719" s="314"/>
      <c r="J719" s="314"/>
      <c r="K719" s="314"/>
    </row>
    <row r="720" ht="20.25" spans="1:11">
      <c r="A720" s="314"/>
      <c r="B720" s="314"/>
      <c r="C720" s="314"/>
      <c r="D720" s="314"/>
      <c r="E720" s="314"/>
      <c r="F720" s="314"/>
      <c r="G720" s="314"/>
      <c r="H720" s="314"/>
      <c r="I720" s="314"/>
      <c r="J720" s="314"/>
      <c r="K720" s="314"/>
    </row>
    <row r="721" ht="20.25" spans="1:11">
      <c r="A721" s="314"/>
      <c r="B721" s="314"/>
      <c r="C721" s="314"/>
      <c r="D721" s="314"/>
      <c r="E721" s="314"/>
      <c r="F721" s="314"/>
      <c r="G721" s="314"/>
      <c r="H721" s="314"/>
      <c r="I721" s="314"/>
      <c r="J721" s="314"/>
      <c r="K721" s="314"/>
    </row>
    <row r="722" ht="20.25" spans="1:11">
      <c r="A722" s="314"/>
      <c r="B722" s="314"/>
      <c r="C722" s="314"/>
      <c r="D722" s="314"/>
      <c r="E722" s="314"/>
      <c r="F722" s="314"/>
      <c r="G722" s="314"/>
      <c r="H722" s="314"/>
      <c r="I722" s="314"/>
      <c r="J722" s="314"/>
      <c r="K722" s="314"/>
    </row>
    <row r="723" ht="20.25" spans="1:11">
      <c r="A723" s="314"/>
      <c r="B723" s="314"/>
      <c r="C723" s="314"/>
      <c r="D723" s="314"/>
      <c r="E723" s="314"/>
      <c r="F723" s="314"/>
      <c r="G723" s="314"/>
      <c r="H723" s="314"/>
      <c r="I723" s="314"/>
      <c r="J723" s="314"/>
      <c r="K723" s="314"/>
    </row>
    <row r="724" ht="20.25" spans="1:11">
      <c r="A724" s="314"/>
      <c r="B724" s="314"/>
      <c r="C724" s="314"/>
      <c r="D724" s="314"/>
      <c r="E724" s="314"/>
      <c r="F724" s="314"/>
      <c r="G724" s="314"/>
      <c r="H724" s="314"/>
      <c r="I724" s="314"/>
      <c r="J724" s="314"/>
      <c r="K724" s="314"/>
    </row>
    <row r="725" ht="20.25" spans="1:11">
      <c r="A725" s="314"/>
      <c r="B725" s="314"/>
      <c r="C725" s="314"/>
      <c r="D725" s="314"/>
      <c r="E725" s="314"/>
      <c r="F725" s="314"/>
      <c r="G725" s="314"/>
      <c r="H725" s="314"/>
      <c r="I725" s="314"/>
      <c r="J725" s="314"/>
      <c r="K725" s="314"/>
    </row>
    <row r="726" ht="20.25" spans="1:11">
      <c r="A726" s="314"/>
      <c r="B726" s="314"/>
      <c r="C726" s="314"/>
      <c r="D726" s="314"/>
      <c r="E726" s="314"/>
      <c r="F726" s="314"/>
      <c r="G726" s="314"/>
      <c r="H726" s="314"/>
      <c r="I726" s="314"/>
      <c r="J726" s="314"/>
      <c r="K726" s="314"/>
    </row>
    <row r="727" ht="20.25" spans="1:11">
      <c r="A727" s="314"/>
      <c r="B727" s="314"/>
      <c r="C727" s="314"/>
      <c r="D727" s="314"/>
      <c r="E727" s="314"/>
      <c r="F727" s="314"/>
      <c r="G727" s="314"/>
      <c r="H727" s="314"/>
      <c r="I727" s="314"/>
      <c r="J727" s="314"/>
      <c r="K727" s="314"/>
    </row>
    <row r="728" ht="20.25" spans="1:11">
      <c r="A728" s="314"/>
      <c r="B728" s="314"/>
      <c r="C728" s="314"/>
      <c r="D728" s="314"/>
      <c r="E728" s="314"/>
      <c r="F728" s="314"/>
      <c r="G728" s="314"/>
      <c r="H728" s="314"/>
      <c r="I728" s="314"/>
      <c r="J728" s="314"/>
      <c r="K728" s="314"/>
    </row>
    <row r="729" ht="20.25" spans="1:11">
      <c r="A729" s="314"/>
      <c r="B729" s="314"/>
      <c r="C729" s="314"/>
      <c r="D729" s="314"/>
      <c r="E729" s="314"/>
      <c r="F729" s="314"/>
      <c r="G729" s="314"/>
      <c r="H729" s="314"/>
      <c r="I729" s="314"/>
      <c r="J729" s="314"/>
      <c r="K729" s="314"/>
    </row>
    <row r="730" ht="20.25" spans="1:11">
      <c r="A730" s="314"/>
      <c r="B730" s="314"/>
      <c r="C730" s="314"/>
      <c r="D730" s="314"/>
      <c r="E730" s="314"/>
      <c r="F730" s="314"/>
      <c r="G730" s="314"/>
      <c r="H730" s="314"/>
      <c r="I730" s="314"/>
      <c r="J730" s="314"/>
      <c r="K730" s="314"/>
    </row>
    <row r="731" ht="20.25" spans="1:11">
      <c r="A731" s="314"/>
      <c r="B731" s="314"/>
      <c r="C731" s="314"/>
      <c r="D731" s="314"/>
      <c r="E731" s="314"/>
      <c r="F731" s="314"/>
      <c r="G731" s="314"/>
      <c r="H731" s="314"/>
      <c r="I731" s="314"/>
      <c r="J731" s="314"/>
      <c r="K731" s="314"/>
    </row>
    <row r="732" ht="20.25" spans="1:11">
      <c r="A732" s="314"/>
      <c r="B732" s="314"/>
      <c r="C732" s="314"/>
      <c r="D732" s="314"/>
      <c r="E732" s="314"/>
      <c r="F732" s="314"/>
      <c r="G732" s="314"/>
      <c r="H732" s="314"/>
      <c r="I732" s="314"/>
      <c r="J732" s="314"/>
      <c r="K732" s="314"/>
    </row>
    <row r="733" ht="20.25" spans="1:11">
      <c r="A733" s="314"/>
      <c r="B733" s="314"/>
      <c r="C733" s="314"/>
      <c r="D733" s="314"/>
      <c r="E733" s="314"/>
      <c r="F733" s="314"/>
      <c r="G733" s="314"/>
      <c r="H733" s="314"/>
      <c r="I733" s="314"/>
      <c r="J733" s="314"/>
      <c r="K733" s="314"/>
    </row>
    <row r="734" ht="20.25" spans="1:11">
      <c r="A734" s="314"/>
      <c r="B734" s="314"/>
      <c r="C734" s="314"/>
      <c r="D734" s="314"/>
      <c r="E734" s="314"/>
      <c r="F734" s="314"/>
      <c r="G734" s="314"/>
      <c r="H734" s="314"/>
      <c r="I734" s="314"/>
      <c r="J734" s="314"/>
      <c r="K734" s="314"/>
    </row>
    <row r="735" ht="20.25" spans="1:11">
      <c r="A735" s="314"/>
      <c r="B735" s="314"/>
      <c r="C735" s="314"/>
      <c r="D735" s="314"/>
      <c r="E735" s="314"/>
      <c r="F735" s="314"/>
      <c r="G735" s="314"/>
      <c r="H735" s="314"/>
      <c r="I735" s="314"/>
      <c r="J735" s="314"/>
      <c r="K735" s="314"/>
    </row>
    <row r="736" ht="20.25" spans="1:11">
      <c r="A736" s="314"/>
      <c r="B736" s="314"/>
      <c r="C736" s="314"/>
      <c r="D736" s="314"/>
      <c r="E736" s="314"/>
      <c r="F736" s="314"/>
      <c r="G736" s="314"/>
      <c r="H736" s="314"/>
      <c r="I736" s="314"/>
      <c r="J736" s="314"/>
      <c r="K736" s="314"/>
    </row>
    <row r="737" ht="20.25" spans="1:11">
      <c r="A737" s="314"/>
      <c r="B737" s="314"/>
      <c r="C737" s="314"/>
      <c r="D737" s="314"/>
      <c r="E737" s="314"/>
      <c r="F737" s="314"/>
      <c r="G737" s="314"/>
      <c r="H737" s="314"/>
      <c r="I737" s="314"/>
      <c r="J737" s="314"/>
      <c r="K737" s="314"/>
    </row>
    <row r="738" ht="20.25" spans="1:11">
      <c r="A738" s="314"/>
      <c r="B738" s="314"/>
      <c r="C738" s="314"/>
      <c r="D738" s="314"/>
      <c r="E738" s="314"/>
      <c r="F738" s="314"/>
      <c r="G738" s="314"/>
      <c r="H738" s="314"/>
      <c r="I738" s="314"/>
      <c r="J738" s="314"/>
      <c r="K738" s="314"/>
    </row>
    <row r="739" ht="20.25" spans="1:11">
      <c r="A739" s="314"/>
      <c r="B739" s="314"/>
      <c r="C739" s="314"/>
      <c r="D739" s="314"/>
      <c r="E739" s="314"/>
      <c r="F739" s="314"/>
      <c r="G739" s="314"/>
      <c r="H739" s="314"/>
      <c r="I739" s="314"/>
      <c r="J739" s="314"/>
      <c r="K739" s="314"/>
    </row>
    <row r="740" ht="20.25" spans="1:11">
      <c r="A740" s="314"/>
      <c r="B740" s="314"/>
      <c r="C740" s="314"/>
      <c r="D740" s="314"/>
      <c r="E740" s="314"/>
      <c r="F740" s="314"/>
      <c r="G740" s="314"/>
      <c r="H740" s="314"/>
      <c r="I740" s="314"/>
      <c r="J740" s="314"/>
      <c r="K740" s="314"/>
    </row>
    <row r="741" ht="20.25" spans="1:11">
      <c r="A741" s="314"/>
      <c r="B741" s="314"/>
      <c r="C741" s="314"/>
      <c r="D741" s="314"/>
      <c r="E741" s="314"/>
      <c r="F741" s="314"/>
      <c r="G741" s="314"/>
      <c r="H741" s="314"/>
      <c r="I741" s="314"/>
      <c r="J741" s="314"/>
      <c r="K741" s="314"/>
    </row>
    <row r="742" ht="20.25" spans="1:11">
      <c r="A742" s="314"/>
      <c r="B742" s="314"/>
      <c r="C742" s="314"/>
      <c r="D742" s="314"/>
      <c r="E742" s="314"/>
      <c r="F742" s="314"/>
      <c r="G742" s="314"/>
      <c r="H742" s="314"/>
      <c r="I742" s="314"/>
      <c r="J742" s="314"/>
      <c r="K742" s="314"/>
    </row>
    <row r="743" ht="20.25" spans="1:11">
      <c r="A743" s="314"/>
      <c r="B743" s="314"/>
      <c r="C743" s="314"/>
      <c r="D743" s="314"/>
      <c r="E743" s="314"/>
      <c r="F743" s="314"/>
      <c r="G743" s="314"/>
      <c r="H743" s="314"/>
      <c r="I743" s="314"/>
      <c r="J743" s="314"/>
      <c r="K743" s="314"/>
    </row>
    <row r="744" ht="20.25" spans="1:11">
      <c r="A744" s="314"/>
      <c r="B744" s="314"/>
      <c r="C744" s="314"/>
      <c r="D744" s="314"/>
      <c r="E744" s="314"/>
      <c r="F744" s="314"/>
      <c r="G744" s="314"/>
      <c r="H744" s="314"/>
      <c r="I744" s="314"/>
      <c r="J744" s="314"/>
      <c r="K744" s="314"/>
    </row>
    <row r="745" ht="20.25" spans="1:11">
      <c r="A745" s="314"/>
      <c r="B745" s="314"/>
      <c r="C745" s="314"/>
      <c r="D745" s="314"/>
      <c r="E745" s="314"/>
      <c r="F745" s="314"/>
      <c r="G745" s="314"/>
      <c r="H745" s="314"/>
      <c r="I745" s="314"/>
      <c r="J745" s="314"/>
      <c r="K745" s="314"/>
    </row>
    <row r="746" ht="20.25" spans="1:11">
      <c r="A746" s="314"/>
      <c r="B746" s="314"/>
      <c r="C746" s="314"/>
      <c r="D746" s="314"/>
      <c r="E746" s="314"/>
      <c r="F746" s="314"/>
      <c r="G746" s="314"/>
      <c r="H746" s="314"/>
      <c r="I746" s="314"/>
      <c r="J746" s="314"/>
      <c r="K746" s="314"/>
    </row>
    <row r="747" ht="20.25" spans="1:11">
      <c r="A747" s="314"/>
      <c r="B747" s="314"/>
      <c r="C747" s="314"/>
      <c r="D747" s="314"/>
      <c r="E747" s="314"/>
      <c r="F747" s="314"/>
      <c r="G747" s="314"/>
      <c r="H747" s="314"/>
      <c r="I747" s="314"/>
      <c r="J747" s="314"/>
      <c r="K747" s="314"/>
    </row>
    <row r="748" ht="20.25" spans="1:11">
      <c r="A748" s="314"/>
      <c r="B748" s="314"/>
      <c r="C748" s="314"/>
      <c r="D748" s="314"/>
      <c r="E748" s="314"/>
      <c r="F748" s="314"/>
      <c r="G748" s="314"/>
      <c r="H748" s="314"/>
      <c r="I748" s="314"/>
      <c r="J748" s="314"/>
      <c r="K748" s="314"/>
    </row>
    <row r="749" ht="20.25" spans="1:11">
      <c r="A749" s="314"/>
      <c r="B749" s="314"/>
      <c r="C749" s="314"/>
      <c r="D749" s="314"/>
      <c r="E749" s="314"/>
      <c r="F749" s="314"/>
      <c r="G749" s="314"/>
      <c r="H749" s="314"/>
      <c r="I749" s="314"/>
      <c r="J749" s="314"/>
      <c r="K749" s="314"/>
    </row>
    <row r="750" ht="20.25" spans="1:11">
      <c r="A750" s="314"/>
      <c r="B750" s="314"/>
      <c r="C750" s="314"/>
      <c r="D750" s="314"/>
      <c r="E750" s="314"/>
      <c r="F750" s="314"/>
      <c r="G750" s="314"/>
      <c r="H750" s="314"/>
      <c r="I750" s="314"/>
      <c r="J750" s="314"/>
      <c r="K750" s="314"/>
    </row>
    <row r="751" ht="20.25" spans="1:11">
      <c r="A751" s="314"/>
      <c r="B751" s="314"/>
      <c r="C751" s="314"/>
      <c r="D751" s="314"/>
      <c r="E751" s="314"/>
      <c r="F751" s="314"/>
      <c r="G751" s="314"/>
      <c r="H751" s="314"/>
      <c r="I751" s="314"/>
      <c r="J751" s="314"/>
      <c r="K751" s="314"/>
    </row>
    <row r="752" ht="20.25" spans="1:11">
      <c r="A752" s="314"/>
      <c r="B752" s="314"/>
      <c r="C752" s="314"/>
      <c r="D752" s="314"/>
      <c r="E752" s="314"/>
      <c r="F752" s="314"/>
      <c r="G752" s="314"/>
      <c r="H752" s="314"/>
      <c r="I752" s="314"/>
      <c r="J752" s="314"/>
      <c r="K752" s="314"/>
    </row>
    <row r="753" ht="20.25" spans="1:11">
      <c r="A753" s="314"/>
      <c r="B753" s="314"/>
      <c r="C753" s="314"/>
      <c r="D753" s="314"/>
      <c r="E753" s="314"/>
      <c r="F753" s="314"/>
      <c r="G753" s="314"/>
      <c r="H753" s="314"/>
      <c r="I753" s="314"/>
      <c r="J753" s="314"/>
      <c r="K753" s="314"/>
    </row>
    <row r="754" ht="20.25" spans="1:11">
      <c r="A754" s="314"/>
      <c r="B754" s="314"/>
      <c r="C754" s="314"/>
      <c r="D754" s="314"/>
      <c r="E754" s="314"/>
      <c r="F754" s="314"/>
      <c r="G754" s="314"/>
      <c r="H754" s="314"/>
      <c r="I754" s="314"/>
      <c r="J754" s="314"/>
      <c r="K754" s="314"/>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50" customWidth="1"/>
    <col min="4" max="4" width="6" style="50" customWidth="1"/>
    <col min="5" max="5" width="7.625" style="50" customWidth="1"/>
    <col min="6" max="6" width="9.375" style="50" customWidth="1"/>
    <col min="7" max="7" width="7.25" style="154" customWidth="1"/>
    <col min="8" max="8" width="7.5" style="50" customWidth="1"/>
    <col min="9" max="9" width="4.75" style="50" customWidth="1"/>
    <col min="10" max="10" width="5.625" style="50" customWidth="1"/>
    <col min="11" max="11" width="4.75" style="50" customWidth="1"/>
    <col min="12" max="12" width="13.125" style="50" customWidth="1"/>
    <col min="13" max="13" width="6.125" style="50" customWidth="1"/>
    <col min="14" max="14" width="4.25" style="50" customWidth="1"/>
    <col min="15" max="15" width="6.125" style="50" customWidth="1"/>
    <col min="16" max="16" width="7.875" style="154" customWidth="1"/>
    <col min="17" max="17" width="6.5" style="50" customWidth="1"/>
    <col min="18" max="18" width="4.75" style="50" customWidth="1"/>
    <col min="19" max="19" width="14.5" style="50" customWidth="1"/>
    <col min="20" max="20" width="10.375" style="50" customWidth="1"/>
    <col min="21" max="21" width="5.25" style="155" customWidth="1"/>
    <col min="22" max="22" width="4.875" style="155" customWidth="1"/>
    <col min="23" max="23" width="22" style="155" customWidth="1"/>
    <col min="24" max="24" width="9.5" style="50" customWidth="1"/>
    <col min="25" max="25" width="10.125" style="50" customWidth="1"/>
    <col min="26" max="26" width="10" style="50" customWidth="1"/>
    <col min="27" max="27" width="8.375" style="50" customWidth="1"/>
    <col min="28" max="28" width="21.25" style="57" customWidth="1"/>
    <col min="29" max="29" width="15.5" style="57" customWidth="1"/>
    <col min="30" max="30" width="20.25" style="57" customWidth="1"/>
    <col min="31" max="31" width="16.625" style="57" customWidth="1"/>
    <col min="32" max="33" width="11.375" style="57" customWidth="1"/>
    <col min="34" max="34" width="13.375" style="57" customWidth="1"/>
    <col min="35" max="35" width="11.375" style="155" customWidth="1"/>
    <col min="36" max="39" width="6.125" style="57" customWidth="1"/>
    <col min="40" max="42" width="6.125" style="50" customWidth="1"/>
    <col min="43" max="45" width="13.375" style="50" customWidth="1"/>
    <col min="46" max="51" width="6.125" style="50" customWidth="1"/>
    <col min="52" max="54" width="13.625" style="50" customWidth="1"/>
    <col min="55" max="60" width="6.125" style="50" customWidth="1"/>
    <col min="61" max="61" width="15.375" style="50" customWidth="1"/>
    <col min="62" max="64" width="6.125" style="50" customWidth="1"/>
    <col min="65" max="67" width="11" style="50" customWidth="1"/>
    <col min="68" max="74" width="6.125" style="50" customWidth="1"/>
    <col min="75" max="16384" width="9" style="50"/>
  </cols>
  <sheetData>
    <row r="1" ht="22.5" spans="1:20">
      <c r="A1" s="156" t="s">
        <v>608</v>
      </c>
      <c r="B1" s="156"/>
      <c r="C1" s="156"/>
      <c r="D1" s="156"/>
      <c r="E1" s="156"/>
      <c r="F1" s="156"/>
      <c r="G1" s="156"/>
      <c r="H1" s="156"/>
      <c r="I1" s="156"/>
      <c r="J1" s="156"/>
      <c r="K1" s="156"/>
      <c r="L1" s="156"/>
      <c r="M1" s="156"/>
      <c r="N1" s="156"/>
      <c r="O1" s="156"/>
      <c r="P1" s="156"/>
      <c r="Q1" s="156"/>
      <c r="R1" s="227"/>
      <c r="S1" s="228" t="s">
        <v>760</v>
      </c>
      <c r="T1" s="229" t="s">
        <v>761</v>
      </c>
    </row>
    <row r="2" ht="20.1" customHeight="1" spans="1:74">
      <c r="A2" s="157" t="s">
        <v>740</v>
      </c>
      <c r="B2" s="157"/>
      <c r="C2" s="157"/>
      <c r="D2" s="157" t="e">
        <f>'作(5)'!C5</f>
        <v>#REF!</v>
      </c>
      <c r="E2" s="157"/>
      <c r="F2" s="157"/>
      <c r="G2" s="157"/>
      <c r="H2" s="157"/>
      <c r="I2" s="157"/>
      <c r="J2" s="157"/>
      <c r="K2" s="157"/>
      <c r="L2" s="157"/>
      <c r="M2" s="157"/>
      <c r="N2" s="202" t="s">
        <v>536</v>
      </c>
      <c r="O2" s="202"/>
      <c r="P2" s="203" t="e">
        <f>实木!B5</f>
        <v>#REF!</v>
      </c>
      <c r="Q2" s="203"/>
      <c r="T2" s="229" t="s">
        <v>760</v>
      </c>
      <c r="AA2" s="253"/>
      <c r="AB2" s="254"/>
      <c r="AC2" s="254"/>
      <c r="AD2" s="254"/>
      <c r="AE2" s="254"/>
      <c r="AF2" s="254"/>
      <c r="AG2" s="254"/>
      <c r="AH2" s="254"/>
      <c r="AI2" s="254"/>
      <c r="AJ2" s="254"/>
      <c r="AK2" s="254"/>
      <c r="AL2" s="254"/>
      <c r="AM2" s="254"/>
      <c r="AN2" s="254"/>
      <c r="AO2" s="254"/>
      <c r="AP2" s="254"/>
      <c r="AQ2" s="253"/>
      <c r="AR2" s="253"/>
      <c r="AS2" s="253"/>
      <c r="AT2" s="253"/>
      <c r="AU2" s="253"/>
      <c r="AV2" s="253"/>
      <c r="AW2" s="253"/>
      <c r="AX2" s="253"/>
      <c r="AY2" s="253"/>
      <c r="AZ2" s="253" t="s">
        <v>762</v>
      </c>
      <c r="BA2" s="253"/>
      <c r="BB2" s="253"/>
      <c r="BC2" s="253"/>
      <c r="BD2" s="253"/>
      <c r="BE2" s="253"/>
      <c r="BF2" s="253"/>
      <c r="BG2" s="253"/>
      <c r="BH2" s="253"/>
      <c r="BI2" s="253"/>
      <c r="BJ2" s="253"/>
      <c r="BK2" s="253"/>
      <c r="BL2" s="253"/>
      <c r="BM2" s="253" t="s">
        <v>763</v>
      </c>
      <c r="BN2" s="253"/>
      <c r="BO2" s="253"/>
      <c r="BP2" s="253"/>
      <c r="BQ2" s="253"/>
      <c r="BR2" s="253"/>
      <c r="BS2" s="253"/>
      <c r="BT2" s="253"/>
      <c r="BU2" s="253"/>
      <c r="BV2" s="253"/>
    </row>
    <row r="3" ht="20.1" customHeight="1" spans="1:74">
      <c r="A3" s="158" t="s">
        <v>3</v>
      </c>
      <c r="B3" s="159"/>
      <c r="C3" s="159"/>
      <c r="D3" s="159" t="e">
        <f>'作(5)'!C4</f>
        <v>#REF!</v>
      </c>
      <c r="E3" s="159"/>
      <c r="F3" s="159"/>
      <c r="G3" s="159"/>
      <c r="H3" s="159"/>
      <c r="I3" s="159"/>
      <c r="J3" s="159" t="s">
        <v>6</v>
      </c>
      <c r="K3" s="159"/>
      <c r="L3" s="204">
        <f>'作(5)'!H5</f>
        <v>0</v>
      </c>
      <c r="M3" s="204"/>
      <c r="N3" s="159" t="s">
        <v>764</v>
      </c>
      <c r="O3" s="159"/>
      <c r="P3" s="159" t="s">
        <v>765</v>
      </c>
      <c r="Q3" s="230"/>
      <c r="T3" s="50" t="s">
        <v>671</v>
      </c>
      <c r="AA3" s="255"/>
      <c r="AB3" s="256"/>
      <c r="AC3" s="256"/>
      <c r="AD3" s="256" t="s">
        <v>766</v>
      </c>
      <c r="AE3" s="256" t="s">
        <v>767</v>
      </c>
      <c r="AF3" s="257" t="s">
        <v>768</v>
      </c>
      <c r="AG3" s="257"/>
      <c r="AH3" s="257"/>
      <c r="AI3" s="257"/>
      <c r="AJ3" s="257"/>
      <c r="AK3" s="257"/>
      <c r="AL3" s="257"/>
      <c r="AM3" s="257"/>
      <c r="AN3" s="257" t="s">
        <v>769</v>
      </c>
      <c r="AO3" s="257" t="s">
        <v>648</v>
      </c>
      <c r="AP3" s="257"/>
      <c r="AQ3" s="265" t="s">
        <v>770</v>
      </c>
      <c r="AR3" s="265"/>
      <c r="AS3" s="265"/>
      <c r="AT3" s="265"/>
      <c r="AU3" s="265"/>
      <c r="AV3" s="265"/>
      <c r="AW3" s="266" t="s">
        <v>769</v>
      </c>
      <c r="AX3" s="266" t="s">
        <v>648</v>
      </c>
      <c r="AY3" s="265"/>
      <c r="AZ3" s="255" t="s">
        <v>771</v>
      </c>
      <c r="BA3" s="255"/>
      <c r="BB3" s="255"/>
      <c r="BC3" s="255"/>
      <c r="BD3" s="255"/>
      <c r="BE3" s="255"/>
      <c r="BF3" s="255" t="s">
        <v>769</v>
      </c>
      <c r="BG3" s="255"/>
      <c r="BH3" s="255"/>
      <c r="BI3" s="267" t="s">
        <v>724</v>
      </c>
      <c r="BJ3" s="267" t="s">
        <v>769</v>
      </c>
      <c r="BK3" s="267" t="s">
        <v>648</v>
      </c>
      <c r="BL3" s="267"/>
      <c r="BM3" s="268" t="s">
        <v>772</v>
      </c>
      <c r="BN3" s="268"/>
      <c r="BO3" s="268"/>
      <c r="BP3" s="268"/>
      <c r="BQ3" s="268"/>
      <c r="BR3" s="268"/>
      <c r="BS3" s="268"/>
      <c r="BT3" s="268"/>
      <c r="BU3" s="268"/>
      <c r="BV3" s="253" t="s">
        <v>773</v>
      </c>
    </row>
    <row r="4" ht="20.1" customHeight="1" spans="1:76">
      <c r="A4" s="160" t="s">
        <v>774</v>
      </c>
      <c r="B4" s="161"/>
      <c r="C4" s="161"/>
      <c r="D4" s="161">
        <f>'作(5)'!H4</f>
        <v>0</v>
      </c>
      <c r="E4" s="161"/>
      <c r="F4" s="161"/>
      <c r="G4" s="161"/>
      <c r="H4" s="161"/>
      <c r="I4" s="161"/>
      <c r="J4" s="161" t="s">
        <v>741</v>
      </c>
      <c r="K4" s="161"/>
      <c r="L4" s="205" t="e">
        <f>'作(5)'!K5</f>
        <v>#REF!</v>
      </c>
      <c r="M4" s="205"/>
      <c r="N4" s="161"/>
      <c r="O4" s="161"/>
      <c r="P4" s="161"/>
      <c r="Q4" s="231"/>
      <c r="R4" s="232"/>
      <c r="S4" s="233"/>
      <c r="T4" s="233"/>
      <c r="U4" s="49" t="s">
        <v>737</v>
      </c>
      <c r="AA4" s="258" t="s">
        <v>775</v>
      </c>
      <c r="AB4" s="258" t="s">
        <v>737</v>
      </c>
      <c r="AC4" s="258" t="s">
        <v>776</v>
      </c>
      <c r="AD4" s="258" t="s">
        <v>777</v>
      </c>
      <c r="AE4" s="258" t="s">
        <v>778</v>
      </c>
      <c r="AF4" s="259" t="s">
        <v>779</v>
      </c>
      <c r="AG4" s="264" t="s">
        <v>780</v>
      </c>
      <c r="AH4" s="264" t="s">
        <v>781</v>
      </c>
      <c r="AI4" s="264" t="s">
        <v>782</v>
      </c>
      <c r="AJ4" s="257">
        <v>1</v>
      </c>
      <c r="AK4" s="257">
        <v>0.5</v>
      </c>
      <c r="AL4" s="257">
        <v>2</v>
      </c>
      <c r="AM4" s="257">
        <v>0.15</v>
      </c>
      <c r="AN4" s="257">
        <v>50</v>
      </c>
      <c r="AO4" s="257">
        <v>1</v>
      </c>
      <c r="AP4" s="257">
        <f>AN4*AO4</f>
        <v>50</v>
      </c>
      <c r="AQ4" s="265" t="s">
        <v>783</v>
      </c>
      <c r="AR4" s="265" t="s">
        <v>780</v>
      </c>
      <c r="AS4" s="265" t="s">
        <v>781</v>
      </c>
      <c r="AT4" s="265">
        <v>1</v>
      </c>
      <c r="AU4" s="265">
        <v>0.5</v>
      </c>
      <c r="AV4" s="265">
        <v>1.2</v>
      </c>
      <c r="AW4" s="265">
        <v>290</v>
      </c>
      <c r="AX4" s="265">
        <v>1</v>
      </c>
      <c r="AY4" s="265">
        <f t="shared" ref="AY4:AY9" si="0">AW4*AX4</f>
        <v>290</v>
      </c>
      <c r="AZ4" s="255" t="s">
        <v>784</v>
      </c>
      <c r="BA4" s="255" t="s">
        <v>785</v>
      </c>
      <c r="BB4" s="255" t="s">
        <v>786</v>
      </c>
      <c r="BC4" s="255">
        <v>1</v>
      </c>
      <c r="BD4" s="255">
        <v>0.5</v>
      </c>
      <c r="BE4" s="255">
        <v>0.5</v>
      </c>
      <c r="BF4" s="255">
        <v>285</v>
      </c>
      <c r="BG4" s="255">
        <v>3</v>
      </c>
      <c r="BH4" s="255">
        <f t="shared" ref="BH4:BH9" si="1">BF4*BG4</f>
        <v>855</v>
      </c>
      <c r="BI4" s="267" t="s">
        <v>787</v>
      </c>
      <c r="BJ4" s="267">
        <v>35</v>
      </c>
      <c r="BK4" s="267">
        <v>2</v>
      </c>
      <c r="BL4" s="267">
        <f>BJ4*BK4</f>
        <v>70</v>
      </c>
      <c r="BM4" s="268"/>
      <c r="BN4" s="268"/>
      <c r="BO4" s="268"/>
      <c r="BP4" s="268"/>
      <c r="BQ4" s="268"/>
      <c r="BR4" s="268"/>
      <c r="BS4" s="268" t="s">
        <v>769</v>
      </c>
      <c r="BT4" s="268"/>
      <c r="BU4" s="268"/>
      <c r="BV4" s="253">
        <v>17</v>
      </c>
      <c r="BW4" s="50">
        <v>1</v>
      </c>
      <c r="BX4" s="50">
        <f>BV4*BW4</f>
        <v>17</v>
      </c>
    </row>
    <row r="5" ht="20.1" customHeight="1" spans="1:74">
      <c r="A5" s="158" t="s">
        <v>483</v>
      </c>
      <c r="B5" s="159" t="s">
        <v>23</v>
      </c>
      <c r="C5" s="159" t="s">
        <v>481</v>
      </c>
      <c r="D5" s="159"/>
      <c r="E5" s="159" t="s">
        <v>482</v>
      </c>
      <c r="F5" s="159"/>
      <c r="G5" s="162" t="s">
        <v>83</v>
      </c>
      <c r="H5" s="159" t="s">
        <v>314</v>
      </c>
      <c r="I5" s="158" t="s">
        <v>483</v>
      </c>
      <c r="J5" s="159" t="s">
        <v>23</v>
      </c>
      <c r="K5" s="159" t="s">
        <v>481</v>
      </c>
      <c r="L5" s="159"/>
      <c r="M5" s="159" t="s">
        <v>611</v>
      </c>
      <c r="N5" s="159"/>
      <c r="O5" s="159"/>
      <c r="P5" s="206" t="s">
        <v>83</v>
      </c>
      <c r="Q5" s="230" t="s">
        <v>314</v>
      </c>
      <c r="R5" s="232"/>
      <c r="S5" s="233"/>
      <c r="T5" s="233"/>
      <c r="U5" s="49" t="s">
        <v>743</v>
      </c>
      <c r="AA5" s="258" t="s">
        <v>788</v>
      </c>
      <c r="AB5" s="258" t="s">
        <v>739</v>
      </c>
      <c r="AC5" s="258" t="s">
        <v>789</v>
      </c>
      <c r="AD5" s="258" t="s">
        <v>790</v>
      </c>
      <c r="AE5" s="258" t="s">
        <v>791</v>
      </c>
      <c r="AF5" s="259" t="s">
        <v>779</v>
      </c>
      <c r="AG5" s="264" t="s">
        <v>780</v>
      </c>
      <c r="AH5" s="264" t="s">
        <v>781</v>
      </c>
      <c r="AI5" s="264" t="s">
        <v>792</v>
      </c>
      <c r="AJ5" s="257">
        <v>1</v>
      </c>
      <c r="AK5" s="257">
        <v>0.5</v>
      </c>
      <c r="AL5" s="257">
        <v>2</v>
      </c>
      <c r="AM5" s="257">
        <v>0.15</v>
      </c>
      <c r="AN5" s="257">
        <v>280</v>
      </c>
      <c r="AO5" s="257">
        <v>1</v>
      </c>
      <c r="AP5" s="257">
        <f t="shared" ref="AP5:AP9" si="2">AN5*AO5</f>
        <v>280</v>
      </c>
      <c r="AQ5" s="265" t="s">
        <v>793</v>
      </c>
      <c r="AR5" s="265" t="s">
        <v>794</v>
      </c>
      <c r="AS5" s="265" t="s">
        <v>781</v>
      </c>
      <c r="AT5" s="265">
        <v>1</v>
      </c>
      <c r="AU5" s="265">
        <v>0.5</v>
      </c>
      <c r="AV5" s="265">
        <v>0.7</v>
      </c>
      <c r="AW5" s="265">
        <v>315</v>
      </c>
      <c r="AX5" s="265">
        <v>1</v>
      </c>
      <c r="AY5" s="265">
        <f t="shared" si="0"/>
        <v>315</v>
      </c>
      <c r="AZ5" s="255" t="s">
        <v>784</v>
      </c>
      <c r="BA5" s="255" t="s">
        <v>785</v>
      </c>
      <c r="BB5" s="255" t="s">
        <v>786</v>
      </c>
      <c r="BC5" s="255">
        <v>1</v>
      </c>
      <c r="BD5" s="255">
        <v>0.5</v>
      </c>
      <c r="BE5" s="255">
        <v>0.5</v>
      </c>
      <c r="BF5" s="255">
        <v>285</v>
      </c>
      <c r="BG5" s="255">
        <v>3</v>
      </c>
      <c r="BH5" s="255">
        <f t="shared" si="1"/>
        <v>855</v>
      </c>
      <c r="BI5" s="267" t="s">
        <v>787</v>
      </c>
      <c r="BJ5" s="267">
        <v>35</v>
      </c>
      <c r="BK5" s="267">
        <v>4</v>
      </c>
      <c r="BL5" s="267">
        <f t="shared" ref="BL5:BL9" si="3">BJ5*BK5</f>
        <v>140</v>
      </c>
      <c r="BM5" s="268" t="s">
        <v>784</v>
      </c>
      <c r="BN5" s="268" t="s">
        <v>785</v>
      </c>
      <c r="BO5" s="268" t="s">
        <v>786</v>
      </c>
      <c r="BP5" s="268">
        <v>1</v>
      </c>
      <c r="BQ5" s="268">
        <v>0.5</v>
      </c>
      <c r="BR5" s="268">
        <v>0.5</v>
      </c>
      <c r="BS5" s="268">
        <v>323</v>
      </c>
      <c r="BT5" s="268">
        <v>1</v>
      </c>
      <c r="BU5" s="268">
        <f>BS5*BT5</f>
        <v>323</v>
      </c>
      <c r="BV5" s="253"/>
    </row>
    <row r="6" ht="20.1" customHeight="1" spans="1:76">
      <c r="A6" s="163" t="s">
        <v>669</v>
      </c>
      <c r="B6" s="164">
        <v>1</v>
      </c>
      <c r="C6" s="164" t="s">
        <v>388</v>
      </c>
      <c r="D6" s="164"/>
      <c r="E6" s="164" t="str">
        <f>'作(5)'!J8</f>
        <v>18厚EO级素刨花板</v>
      </c>
      <c r="F6" s="164"/>
      <c r="G6" s="165">
        <f>'作(5)'!N38</f>
        <v>0</v>
      </c>
      <c r="H6" s="164" t="s">
        <v>485</v>
      </c>
      <c r="I6" s="163" t="s">
        <v>32</v>
      </c>
      <c r="J6" s="164">
        <v>1</v>
      </c>
      <c r="K6" s="164" t="str">
        <f>VLOOKUP('作(5)'!F6,AB:AE,4,0)</f>
        <v>红樱桃木皮封边</v>
      </c>
      <c r="L6" s="164"/>
      <c r="M6" s="207">
        <v>1</v>
      </c>
      <c r="N6" s="208" t="s">
        <v>795</v>
      </c>
      <c r="O6" s="184">
        <v>24</v>
      </c>
      <c r="P6" s="209">
        <f>'作(5)'!L38</f>
        <v>0</v>
      </c>
      <c r="Q6" s="234" t="s">
        <v>486</v>
      </c>
      <c r="U6" s="49" t="s">
        <v>749</v>
      </c>
      <c r="AA6" s="258" t="s">
        <v>788</v>
      </c>
      <c r="AB6" s="258" t="s">
        <v>743</v>
      </c>
      <c r="AC6" s="258" t="s">
        <v>796</v>
      </c>
      <c r="AD6" s="258" t="s">
        <v>797</v>
      </c>
      <c r="AE6" s="258" t="s">
        <v>798</v>
      </c>
      <c r="AF6" s="259" t="s">
        <v>779</v>
      </c>
      <c r="AG6" s="264" t="s">
        <v>780</v>
      </c>
      <c r="AH6" s="264" t="s">
        <v>781</v>
      </c>
      <c r="AI6" s="264" t="s">
        <v>799</v>
      </c>
      <c r="AJ6" s="257">
        <v>1</v>
      </c>
      <c r="AK6" s="257">
        <v>0.5</v>
      </c>
      <c r="AL6" s="257">
        <v>2</v>
      </c>
      <c r="AM6" s="257">
        <v>0.15</v>
      </c>
      <c r="AN6" s="257">
        <v>50</v>
      </c>
      <c r="AO6" s="257">
        <v>1</v>
      </c>
      <c r="AP6" s="257">
        <f t="shared" si="2"/>
        <v>50</v>
      </c>
      <c r="AQ6" s="265" t="s">
        <v>793</v>
      </c>
      <c r="AR6" s="265" t="s">
        <v>794</v>
      </c>
      <c r="AS6" s="265" t="s">
        <v>781</v>
      </c>
      <c r="AT6" s="265">
        <v>1</v>
      </c>
      <c r="AU6" s="265">
        <v>0.5</v>
      </c>
      <c r="AV6" s="265">
        <v>0.7</v>
      </c>
      <c r="AW6" s="265">
        <v>290</v>
      </c>
      <c r="AX6" s="265">
        <v>1</v>
      </c>
      <c r="AY6" s="265">
        <f t="shared" si="0"/>
        <v>290</v>
      </c>
      <c r="AZ6" s="255" t="s">
        <v>784</v>
      </c>
      <c r="BA6" s="255" t="s">
        <v>785</v>
      </c>
      <c r="BB6" s="255" t="s">
        <v>786</v>
      </c>
      <c r="BC6" s="255">
        <v>1</v>
      </c>
      <c r="BD6" s="255">
        <v>0.5</v>
      </c>
      <c r="BE6" s="255">
        <v>0.5</v>
      </c>
      <c r="BF6" s="255">
        <v>285</v>
      </c>
      <c r="BG6" s="255">
        <v>3</v>
      </c>
      <c r="BH6" s="255">
        <f t="shared" si="1"/>
        <v>855</v>
      </c>
      <c r="BI6" s="267" t="s">
        <v>787</v>
      </c>
      <c r="BJ6" s="267">
        <v>35</v>
      </c>
      <c r="BK6" s="267">
        <v>4</v>
      </c>
      <c r="BL6" s="267">
        <f t="shared" si="3"/>
        <v>140</v>
      </c>
      <c r="BM6" s="268"/>
      <c r="BN6" s="268"/>
      <c r="BO6" s="268"/>
      <c r="BP6" s="268"/>
      <c r="BQ6" s="268"/>
      <c r="BR6" s="268"/>
      <c r="BS6" s="268"/>
      <c r="BT6" s="268"/>
      <c r="BU6" s="268"/>
      <c r="BV6" s="253">
        <v>17</v>
      </c>
      <c r="BW6" s="50">
        <v>1</v>
      </c>
      <c r="BX6" s="50">
        <f>BV6*BW6</f>
        <v>17</v>
      </c>
    </row>
    <row r="7" ht="20.1" customHeight="1" spans="1:74">
      <c r="A7" s="163"/>
      <c r="B7" s="164">
        <v>2</v>
      </c>
      <c r="C7" s="164"/>
      <c r="D7" s="164"/>
      <c r="E7" s="164"/>
      <c r="F7" s="164"/>
      <c r="G7" s="165"/>
      <c r="H7" s="164"/>
      <c r="I7" s="163"/>
      <c r="J7" s="164">
        <v>2</v>
      </c>
      <c r="K7" s="164" t="str">
        <f>+K6</f>
        <v>红樱桃木皮封边</v>
      </c>
      <c r="L7" s="164"/>
      <c r="M7" s="207">
        <v>1</v>
      </c>
      <c r="N7" s="208" t="s">
        <v>795</v>
      </c>
      <c r="O7" s="184">
        <v>56</v>
      </c>
      <c r="P7" s="209"/>
      <c r="Q7" s="234" t="s">
        <v>486</v>
      </c>
      <c r="AA7" s="258" t="s">
        <v>788</v>
      </c>
      <c r="AB7" s="258" t="s">
        <v>748</v>
      </c>
      <c r="AC7" s="258" t="s">
        <v>796</v>
      </c>
      <c r="AD7" s="258" t="s">
        <v>797</v>
      </c>
      <c r="AE7" s="258" t="s">
        <v>800</v>
      </c>
      <c r="AF7" s="259" t="s">
        <v>779</v>
      </c>
      <c r="AG7" s="264" t="s">
        <v>780</v>
      </c>
      <c r="AH7" s="264" t="s">
        <v>781</v>
      </c>
      <c r="AI7" s="264" t="s">
        <v>799</v>
      </c>
      <c r="AJ7" s="257">
        <v>1</v>
      </c>
      <c r="AK7" s="257">
        <v>0.5</v>
      </c>
      <c r="AL7" s="257">
        <v>2</v>
      </c>
      <c r="AM7" s="257">
        <v>0.15</v>
      </c>
      <c r="AN7" s="257">
        <v>200</v>
      </c>
      <c r="AO7" s="257">
        <v>1</v>
      </c>
      <c r="AP7" s="257">
        <f t="shared" si="2"/>
        <v>200</v>
      </c>
      <c r="AQ7" s="265" t="s">
        <v>793</v>
      </c>
      <c r="AR7" s="265" t="s">
        <v>794</v>
      </c>
      <c r="AS7" s="265" t="s">
        <v>781</v>
      </c>
      <c r="AT7" s="265">
        <v>1</v>
      </c>
      <c r="AU7" s="265">
        <v>0.5</v>
      </c>
      <c r="AV7" s="265">
        <v>0.7</v>
      </c>
      <c r="AW7" s="265">
        <v>315</v>
      </c>
      <c r="AX7" s="265">
        <v>1</v>
      </c>
      <c r="AY7" s="265">
        <f t="shared" si="0"/>
        <v>315</v>
      </c>
      <c r="AZ7" s="255" t="s">
        <v>784</v>
      </c>
      <c r="BA7" s="255" t="s">
        <v>785</v>
      </c>
      <c r="BB7" s="255" t="s">
        <v>786</v>
      </c>
      <c r="BC7" s="255">
        <v>1</v>
      </c>
      <c r="BD7" s="255">
        <v>0.5</v>
      </c>
      <c r="BE7" s="255">
        <v>0.5</v>
      </c>
      <c r="BF7" s="255">
        <v>285</v>
      </c>
      <c r="BG7" s="255">
        <v>3</v>
      </c>
      <c r="BH7" s="255">
        <f t="shared" si="1"/>
        <v>855</v>
      </c>
      <c r="BI7" s="267" t="s">
        <v>787</v>
      </c>
      <c r="BJ7" s="267">
        <v>35</v>
      </c>
      <c r="BK7" s="267">
        <v>4</v>
      </c>
      <c r="BL7" s="267">
        <f t="shared" si="3"/>
        <v>140</v>
      </c>
      <c r="BM7" s="268" t="s">
        <v>784</v>
      </c>
      <c r="BN7" s="268" t="s">
        <v>785</v>
      </c>
      <c r="BO7" s="268" t="s">
        <v>786</v>
      </c>
      <c r="BP7" s="268">
        <v>1</v>
      </c>
      <c r="BQ7" s="268">
        <v>0.5</v>
      </c>
      <c r="BR7" s="268">
        <v>0.5</v>
      </c>
      <c r="BS7" s="268">
        <v>323</v>
      </c>
      <c r="BT7" s="268">
        <v>1</v>
      </c>
      <c r="BU7" s="268">
        <f>BS7*BT7</f>
        <v>323</v>
      </c>
      <c r="BV7" s="253"/>
    </row>
    <row r="8" ht="20.1" customHeight="1" spans="1:74">
      <c r="A8" s="166" t="s">
        <v>766</v>
      </c>
      <c r="B8" s="164">
        <v>1</v>
      </c>
      <c r="C8" s="164" t="str">
        <f>VLOOKUP('作(5)'!F6,AB:AC,2,0)</f>
        <v>樱桃山纹木皮</v>
      </c>
      <c r="D8" s="164"/>
      <c r="E8" s="164" t="str">
        <f>VLOOKUP('作(5)'!F6,AB:AD,3,0)</f>
        <v>樱桃山纹木皮0.5mm</v>
      </c>
      <c r="F8" s="164"/>
      <c r="G8" s="165">
        <f>'作(5)'!P38</f>
        <v>0</v>
      </c>
      <c r="H8" s="164" t="s">
        <v>336</v>
      </c>
      <c r="I8" s="163"/>
      <c r="J8" s="164">
        <v>3</v>
      </c>
      <c r="K8" s="164"/>
      <c r="L8" s="164"/>
      <c r="M8" s="164" t="s">
        <v>801</v>
      </c>
      <c r="N8" s="164"/>
      <c r="O8" s="164"/>
      <c r="P8" s="210">
        <f>(0.024*P6*2)/0.6+(0.056*P7*2)/0.6</f>
        <v>0</v>
      </c>
      <c r="Q8" s="234" t="s">
        <v>336</v>
      </c>
      <c r="AA8" s="258" t="s">
        <v>775</v>
      </c>
      <c r="AB8" s="258" t="s">
        <v>749</v>
      </c>
      <c r="AC8" s="258" t="s">
        <v>802</v>
      </c>
      <c r="AD8" s="258" t="s">
        <v>803</v>
      </c>
      <c r="AE8" s="258" t="s">
        <v>804</v>
      </c>
      <c r="AF8" s="259" t="s">
        <v>779</v>
      </c>
      <c r="AG8" s="264" t="s">
        <v>780</v>
      </c>
      <c r="AH8" s="264" t="s">
        <v>781</v>
      </c>
      <c r="AI8" s="264" t="s">
        <v>805</v>
      </c>
      <c r="AJ8" s="257">
        <v>1</v>
      </c>
      <c r="AK8" s="257">
        <v>0.5</v>
      </c>
      <c r="AL8" s="257">
        <v>2</v>
      </c>
      <c r="AM8" s="257">
        <v>0.15</v>
      </c>
      <c r="AN8" s="257">
        <v>280</v>
      </c>
      <c r="AO8" s="257">
        <v>1</v>
      </c>
      <c r="AP8" s="257">
        <f t="shared" si="2"/>
        <v>280</v>
      </c>
      <c r="AQ8" s="265" t="s">
        <v>783</v>
      </c>
      <c r="AR8" s="265" t="s">
        <v>780</v>
      </c>
      <c r="AS8" s="265" t="s">
        <v>781</v>
      </c>
      <c r="AT8" s="265">
        <v>1</v>
      </c>
      <c r="AU8" s="265">
        <v>0.5</v>
      </c>
      <c r="AV8" s="265">
        <v>1.2</v>
      </c>
      <c r="AW8" s="265">
        <v>315</v>
      </c>
      <c r="AX8" s="265">
        <v>1</v>
      </c>
      <c r="AY8" s="265">
        <f t="shared" si="0"/>
        <v>315</v>
      </c>
      <c r="AZ8" s="255" t="s">
        <v>784</v>
      </c>
      <c r="BA8" s="255" t="s">
        <v>785</v>
      </c>
      <c r="BB8" s="255" t="s">
        <v>786</v>
      </c>
      <c r="BC8" s="255">
        <v>1</v>
      </c>
      <c r="BD8" s="255">
        <v>0.5</v>
      </c>
      <c r="BE8" s="255">
        <v>0.8</v>
      </c>
      <c r="BF8" s="255">
        <v>238</v>
      </c>
      <c r="BG8" s="255">
        <v>2</v>
      </c>
      <c r="BH8" s="255">
        <f t="shared" si="1"/>
        <v>476</v>
      </c>
      <c r="BI8" s="267" t="s">
        <v>787</v>
      </c>
      <c r="BJ8" s="267">
        <v>35</v>
      </c>
      <c r="BK8" s="267">
        <v>2</v>
      </c>
      <c r="BL8" s="267">
        <f t="shared" si="3"/>
        <v>70</v>
      </c>
      <c r="BM8" s="268"/>
      <c r="BN8" s="268"/>
      <c r="BO8" s="268"/>
      <c r="BP8" s="268"/>
      <c r="BQ8" s="268"/>
      <c r="BR8" s="268"/>
      <c r="BS8" s="268"/>
      <c r="BT8" s="268"/>
      <c r="BU8" s="268"/>
      <c r="BV8" s="253"/>
    </row>
    <row r="9" ht="20.1" customHeight="1" spans="1:74">
      <c r="A9" s="167"/>
      <c r="B9" s="164"/>
      <c r="C9" s="164"/>
      <c r="D9" s="164"/>
      <c r="E9" s="164"/>
      <c r="F9" s="164"/>
      <c r="G9" s="165"/>
      <c r="H9" s="164"/>
      <c r="I9" s="163" t="s">
        <v>806</v>
      </c>
      <c r="J9" s="164">
        <v>4</v>
      </c>
      <c r="K9" s="164" t="s">
        <v>681</v>
      </c>
      <c r="L9" s="164"/>
      <c r="M9" s="164" t="s">
        <v>807</v>
      </c>
      <c r="N9" s="164"/>
      <c r="O9" s="164"/>
      <c r="P9" s="210">
        <f>P6*4.1+P7*10.5</f>
        <v>0</v>
      </c>
      <c r="Q9" s="234" t="s">
        <v>488</v>
      </c>
      <c r="AA9" s="258" t="s">
        <v>775</v>
      </c>
      <c r="AB9" s="258" t="s">
        <v>752</v>
      </c>
      <c r="AC9" s="258" t="s">
        <v>808</v>
      </c>
      <c r="AD9" s="258" t="s">
        <v>809</v>
      </c>
      <c r="AE9" s="258" t="s">
        <v>810</v>
      </c>
      <c r="AF9" s="259" t="s">
        <v>779</v>
      </c>
      <c r="AG9" s="264" t="s">
        <v>780</v>
      </c>
      <c r="AH9" s="264" t="s">
        <v>781</v>
      </c>
      <c r="AI9" s="264" t="s">
        <v>782</v>
      </c>
      <c r="AJ9" s="257">
        <v>1</v>
      </c>
      <c r="AK9" s="257">
        <v>0.5</v>
      </c>
      <c r="AL9" s="257">
        <v>2</v>
      </c>
      <c r="AM9" s="257">
        <v>0.15</v>
      </c>
      <c r="AN9" s="257">
        <v>280</v>
      </c>
      <c r="AO9" s="257">
        <v>1</v>
      </c>
      <c r="AP9" s="257">
        <f t="shared" si="2"/>
        <v>280</v>
      </c>
      <c r="AQ9" s="265" t="s">
        <v>783</v>
      </c>
      <c r="AR9" s="265" t="s">
        <v>780</v>
      </c>
      <c r="AS9" s="265" t="s">
        <v>781</v>
      </c>
      <c r="AT9" s="265">
        <v>1</v>
      </c>
      <c r="AU9" s="265">
        <v>0.5</v>
      </c>
      <c r="AV9" s="265">
        <v>1.2</v>
      </c>
      <c r="AW9" s="265">
        <v>315</v>
      </c>
      <c r="AX9" s="265">
        <v>1</v>
      </c>
      <c r="AY9" s="265">
        <f t="shared" si="0"/>
        <v>315</v>
      </c>
      <c r="AZ9" s="255" t="s">
        <v>784</v>
      </c>
      <c r="BA9" s="255" t="s">
        <v>785</v>
      </c>
      <c r="BB9" s="255" t="s">
        <v>786</v>
      </c>
      <c r="BC9" s="255">
        <v>1</v>
      </c>
      <c r="BD9" s="255">
        <v>0.5</v>
      </c>
      <c r="BE9" s="255">
        <v>0.5</v>
      </c>
      <c r="BF9" s="255">
        <v>285</v>
      </c>
      <c r="BG9" s="255">
        <v>3</v>
      </c>
      <c r="BH9" s="255">
        <f t="shared" si="1"/>
        <v>855</v>
      </c>
      <c r="BI9" s="267" t="s">
        <v>787</v>
      </c>
      <c r="BJ9" s="267">
        <v>35</v>
      </c>
      <c r="BK9" s="267">
        <v>4</v>
      </c>
      <c r="BL9" s="267">
        <f t="shared" si="3"/>
        <v>140</v>
      </c>
      <c r="BM9" s="268" t="s">
        <v>784</v>
      </c>
      <c r="BN9" s="268" t="s">
        <v>785</v>
      </c>
      <c r="BO9" s="268" t="s">
        <v>786</v>
      </c>
      <c r="BP9" s="268">
        <v>1</v>
      </c>
      <c r="BQ9" s="268">
        <v>0.5</v>
      </c>
      <c r="BR9" s="268">
        <v>0.5</v>
      </c>
      <c r="BS9" s="268">
        <v>323</v>
      </c>
      <c r="BT9" s="268">
        <v>1</v>
      </c>
      <c r="BU9" s="268">
        <f>BS9*BT9</f>
        <v>323</v>
      </c>
      <c r="BV9" s="253"/>
    </row>
    <row r="10" ht="20.1" customHeight="1" spans="1:17">
      <c r="A10" s="167" t="s">
        <v>490</v>
      </c>
      <c r="B10" s="164">
        <v>1</v>
      </c>
      <c r="C10" s="164" t="s">
        <v>490</v>
      </c>
      <c r="D10" s="164"/>
      <c r="E10" s="164" t="s">
        <v>811</v>
      </c>
      <c r="F10" s="164"/>
      <c r="G10" s="165"/>
      <c r="H10" s="164" t="s">
        <v>486</v>
      </c>
      <c r="I10" s="163"/>
      <c r="J10" s="164">
        <v>5</v>
      </c>
      <c r="K10" s="164" t="s">
        <v>681</v>
      </c>
      <c r="L10" s="164"/>
      <c r="M10" s="164" t="s">
        <v>812</v>
      </c>
      <c r="N10" s="164"/>
      <c r="O10" s="164"/>
      <c r="P10" s="210"/>
      <c r="Q10" s="234" t="s">
        <v>488</v>
      </c>
    </row>
    <row r="11" ht="20.1" customHeight="1" spans="1:17">
      <c r="A11" s="168"/>
      <c r="B11" s="164">
        <v>2</v>
      </c>
      <c r="C11" s="164" t="s">
        <v>616</v>
      </c>
      <c r="D11" s="164"/>
      <c r="E11" s="164"/>
      <c r="F11" s="164"/>
      <c r="G11" s="165"/>
      <c r="H11" s="164" t="s">
        <v>617</v>
      </c>
      <c r="I11" s="163"/>
      <c r="J11" s="164">
        <v>6</v>
      </c>
      <c r="K11" s="164" t="s">
        <v>813</v>
      </c>
      <c r="L11" s="164"/>
      <c r="M11" s="164" t="s">
        <v>814</v>
      </c>
      <c r="N11" s="164"/>
      <c r="O11" s="164"/>
      <c r="P11" s="210">
        <f>G8*120</f>
        <v>0</v>
      </c>
      <c r="Q11" s="234" t="s">
        <v>488</v>
      </c>
    </row>
    <row r="12" ht="20.1" customHeight="1" spans="1:17">
      <c r="A12" s="166" t="s">
        <v>683</v>
      </c>
      <c r="B12" s="164">
        <v>1</v>
      </c>
      <c r="C12" s="169" t="s">
        <v>815</v>
      </c>
      <c r="D12" s="170"/>
      <c r="E12" s="171" t="s">
        <v>816</v>
      </c>
      <c r="F12" s="171"/>
      <c r="G12" s="172">
        <f>30*$V$32/1000</f>
        <v>0</v>
      </c>
      <c r="H12" s="171" t="s">
        <v>686</v>
      </c>
      <c r="I12" s="211"/>
      <c r="J12" s="164"/>
      <c r="K12" s="164"/>
      <c r="L12" s="164"/>
      <c r="M12" s="164"/>
      <c r="N12" s="164"/>
      <c r="O12" s="164"/>
      <c r="P12" s="210"/>
      <c r="Q12" s="234"/>
    </row>
    <row r="13" ht="20.1" customHeight="1" spans="1:17">
      <c r="A13" s="167"/>
      <c r="B13" s="164">
        <v>2</v>
      </c>
      <c r="C13" s="173"/>
      <c r="D13" s="174"/>
      <c r="E13" s="171" t="s">
        <v>727</v>
      </c>
      <c r="F13" s="171"/>
      <c r="G13" s="172">
        <f>25*$V$32/1000</f>
        <v>0</v>
      </c>
      <c r="H13" s="171" t="s">
        <v>686</v>
      </c>
      <c r="I13" s="211"/>
      <c r="J13" s="164"/>
      <c r="K13" s="164"/>
      <c r="L13" s="164"/>
      <c r="M13" s="164"/>
      <c r="N13" s="164"/>
      <c r="O13" s="164"/>
      <c r="P13" s="210"/>
      <c r="Q13" s="234"/>
    </row>
    <row r="14" ht="20.1" customHeight="1" spans="1:25">
      <c r="A14" s="167"/>
      <c r="B14" s="164">
        <v>3</v>
      </c>
      <c r="C14" s="175"/>
      <c r="D14" s="176"/>
      <c r="E14" s="171" t="s">
        <v>817</v>
      </c>
      <c r="F14" s="171"/>
      <c r="G14" s="172">
        <f>35*$V$32/1000</f>
        <v>0</v>
      </c>
      <c r="H14" s="171" t="s">
        <v>686</v>
      </c>
      <c r="I14" s="185"/>
      <c r="J14" s="164"/>
      <c r="K14" s="179"/>
      <c r="L14" s="184"/>
      <c r="M14" s="179"/>
      <c r="N14" s="208"/>
      <c r="O14" s="184"/>
      <c r="P14" s="210"/>
      <c r="Q14" s="234"/>
      <c r="T14" s="235" t="s">
        <v>818</v>
      </c>
      <c r="U14" s="236"/>
      <c r="V14" s="236"/>
      <c r="W14" s="236"/>
      <c r="X14" s="236"/>
      <c r="Y14" s="260"/>
    </row>
    <row r="15" ht="20.1" customHeight="1" spans="1:25">
      <c r="A15" s="167"/>
      <c r="B15" s="164">
        <v>4</v>
      </c>
      <c r="C15" s="177" t="s">
        <v>819</v>
      </c>
      <c r="D15" s="178"/>
      <c r="E15" s="164" t="str">
        <f>W15</f>
        <v>UA1832</v>
      </c>
      <c r="F15" s="164"/>
      <c r="G15" s="165">
        <f>Y15</f>
        <v>0</v>
      </c>
      <c r="H15" s="179" t="s">
        <v>686</v>
      </c>
      <c r="I15" s="185"/>
      <c r="J15" s="164"/>
      <c r="K15" s="185"/>
      <c r="L15" s="185"/>
      <c r="M15" s="164"/>
      <c r="N15" s="164"/>
      <c r="O15" s="164"/>
      <c r="P15" s="210"/>
      <c r="Q15" s="234"/>
      <c r="T15" s="237" t="s">
        <v>820</v>
      </c>
      <c r="U15" s="238">
        <v>50</v>
      </c>
      <c r="V15" s="237">
        <f>'作(5)'!L39</f>
        <v>0</v>
      </c>
      <c r="W15" s="239" t="s">
        <v>821</v>
      </c>
      <c r="X15" s="239">
        <f>VLOOKUP('作(5)'!F6,AB:BC,28,0)</f>
        <v>1</v>
      </c>
      <c r="Y15" s="261">
        <f>U15*$V$15*X15/1000</f>
        <v>0</v>
      </c>
    </row>
    <row r="16" ht="20.1" customHeight="1" spans="1:25">
      <c r="A16" s="167"/>
      <c r="B16" s="164">
        <v>5</v>
      </c>
      <c r="C16" s="180"/>
      <c r="D16" s="181"/>
      <c r="E16" s="164" t="str">
        <f>W16</f>
        <v>UA4032</v>
      </c>
      <c r="F16" s="164"/>
      <c r="G16" s="165">
        <f>Y16</f>
        <v>0</v>
      </c>
      <c r="H16" s="179" t="s">
        <v>686</v>
      </c>
      <c r="I16" s="185"/>
      <c r="J16" s="164"/>
      <c r="K16" s="212" t="s">
        <v>822</v>
      </c>
      <c r="L16" s="213"/>
      <c r="M16" s="213"/>
      <c r="N16" s="213"/>
      <c r="O16" s="213"/>
      <c r="P16" s="214"/>
      <c r="Q16" s="234"/>
      <c r="T16" s="240"/>
      <c r="U16" s="238">
        <v>80</v>
      </c>
      <c r="V16" s="240"/>
      <c r="W16" s="239" t="s">
        <v>823</v>
      </c>
      <c r="X16" s="239">
        <v>1</v>
      </c>
      <c r="Y16" s="261">
        <f>U16*$V$15*X16/1000</f>
        <v>0</v>
      </c>
    </row>
    <row r="17" ht="20.1" customHeight="1" spans="1:25">
      <c r="A17" s="167"/>
      <c r="B17" s="164">
        <v>6</v>
      </c>
      <c r="C17" s="180"/>
      <c r="D17" s="181"/>
      <c r="E17" s="164"/>
      <c r="F17" s="164"/>
      <c r="G17" s="165"/>
      <c r="H17" s="179"/>
      <c r="I17" s="185"/>
      <c r="J17" s="164"/>
      <c r="K17" s="215"/>
      <c r="L17" s="216"/>
      <c r="M17" s="216"/>
      <c r="N17" s="216"/>
      <c r="O17" s="216"/>
      <c r="P17" s="217"/>
      <c r="Q17" s="234"/>
      <c r="T17" s="241"/>
      <c r="U17" s="238"/>
      <c r="V17" s="241"/>
      <c r="W17" s="239"/>
      <c r="X17" s="239"/>
      <c r="Y17" s="261"/>
    </row>
    <row r="18" ht="20.1" customHeight="1" spans="1:25">
      <c r="A18" s="167"/>
      <c r="B18" s="164">
        <v>7</v>
      </c>
      <c r="C18" s="182"/>
      <c r="D18" s="183"/>
      <c r="E18" s="179"/>
      <c r="F18" s="184"/>
      <c r="G18" s="165"/>
      <c r="H18" s="179"/>
      <c r="I18" s="185"/>
      <c r="J18" s="164"/>
      <c r="K18" s="215"/>
      <c r="L18" s="216"/>
      <c r="M18" s="216"/>
      <c r="N18" s="216"/>
      <c r="O18" s="216"/>
      <c r="P18" s="217"/>
      <c r="Q18" s="234"/>
      <c r="T18" s="242"/>
      <c r="U18" s="242"/>
      <c r="V18" s="242"/>
      <c r="W18" s="243"/>
      <c r="X18" s="243"/>
      <c r="Y18" s="262"/>
    </row>
    <row r="19" ht="20.1" customHeight="1" spans="1:25">
      <c r="A19" s="167"/>
      <c r="B19" s="164">
        <v>8</v>
      </c>
      <c r="C19" s="177" t="s">
        <v>824</v>
      </c>
      <c r="D19" s="178"/>
      <c r="E19" s="164" t="str">
        <f>+IF(OR('作(5)'!F6='料单 (5)'!U4,'作(5)'!F6='料单 (5)'!U5,'作(5)'!F6='料单 (5)'!U6),"",'料单 (5)'!W19)</f>
        <v>主剂PD3200</v>
      </c>
      <c r="F19" s="164"/>
      <c r="G19" s="165">
        <f>IF(E19="","",Y19)</f>
        <v>0</v>
      </c>
      <c r="H19" s="179" t="str">
        <f>IF(E19="","","千克")</f>
        <v>千克</v>
      </c>
      <c r="I19" s="185"/>
      <c r="J19" s="164"/>
      <c r="K19" s="215"/>
      <c r="L19" s="216"/>
      <c r="M19" s="216"/>
      <c r="N19" s="216"/>
      <c r="O19" s="216"/>
      <c r="P19" s="217"/>
      <c r="Q19" s="234"/>
      <c r="T19" s="237" t="str">
        <f>C19</f>
        <v>PU清底（手工喷涂）</v>
      </c>
      <c r="U19" s="237">
        <f>VLOOKUP('作(5)'!F6,AB:BU,46,0)</f>
        <v>323</v>
      </c>
      <c r="V19" s="237">
        <f>'作(5)'!O38</f>
        <v>0</v>
      </c>
      <c r="W19" s="239" t="str">
        <f>VLOOKUP('作(5)'!F6,AB:BM,38,0)</f>
        <v>主剂PD3200</v>
      </c>
      <c r="X19" s="239">
        <f>VLOOKUP('作(5)'!F6,AB:BP,41,0)</f>
        <v>1</v>
      </c>
      <c r="Y19" s="261">
        <f>V$19*(U$19/(X$19+X$20+X$21))*X19/1000</f>
        <v>0</v>
      </c>
    </row>
    <row r="20" ht="20.1" customHeight="1" spans="1:25">
      <c r="A20" s="167"/>
      <c r="B20" s="164">
        <v>9</v>
      </c>
      <c r="C20" s="180"/>
      <c r="D20" s="181"/>
      <c r="E20" s="164" t="str">
        <f>+IF(OR('作(5)'!F6='料单 (5)'!U4,'作(5)'!F6='料单 (5)'!U5,'作(5)'!F6='料单 (5)'!U6),"",'料单 (5)'!W20)</f>
        <v>固化剂PR66</v>
      </c>
      <c r="F20" s="164"/>
      <c r="G20" s="165">
        <f>IF(E20="","",Y20)</f>
        <v>0</v>
      </c>
      <c r="H20" s="179" t="str">
        <f>IF(E20="","","千克")</f>
        <v>千克</v>
      </c>
      <c r="I20" s="185"/>
      <c r="J20" s="164"/>
      <c r="K20" s="215"/>
      <c r="L20" s="216"/>
      <c r="M20" s="216"/>
      <c r="N20" s="216"/>
      <c r="O20" s="216"/>
      <c r="P20" s="217"/>
      <c r="Q20" s="234"/>
      <c r="T20" s="240"/>
      <c r="U20" s="240"/>
      <c r="V20" s="240"/>
      <c r="W20" s="239" t="str">
        <f>VLOOKUP('作(5)'!F6,AB:BN,39,0)</f>
        <v>固化剂PR66</v>
      </c>
      <c r="X20" s="239">
        <f>VLOOKUP('作(5)'!F6,AB:BQ,42,0)</f>
        <v>0.5</v>
      </c>
      <c r="Y20" s="261">
        <f>V$19*(U$19/(X$19+X$20+X$21))*X20/1000</f>
        <v>0</v>
      </c>
    </row>
    <row r="21" ht="20.1" customHeight="1" spans="1:25">
      <c r="A21" s="167"/>
      <c r="B21" s="164">
        <v>10</v>
      </c>
      <c r="C21" s="180"/>
      <c r="D21" s="181"/>
      <c r="E21" s="164" t="str">
        <f>+IF(OR('作(5)'!F6='料单 (5)'!U4,'作(5)'!F6='料单 (5)'!U5,'作(5)'!F6='料单 (5)'!U6),"",'料单 (5)'!W21)</f>
        <v>稀料PX705/PX707</v>
      </c>
      <c r="F21" s="164"/>
      <c r="G21" s="165">
        <f>IF(E21="","",IF(E22="",Y21,Y21/1.3*1))</f>
        <v>0</v>
      </c>
      <c r="H21" s="179" t="str">
        <f>IF(E21="","","千克")</f>
        <v>千克</v>
      </c>
      <c r="I21" s="185"/>
      <c r="J21" s="164"/>
      <c r="K21" s="215"/>
      <c r="L21" s="216"/>
      <c r="M21" s="216"/>
      <c r="N21" s="216"/>
      <c r="O21" s="216"/>
      <c r="P21" s="217"/>
      <c r="Q21" s="234"/>
      <c r="T21" s="241"/>
      <c r="U21" s="241"/>
      <c r="V21" s="241"/>
      <c r="W21" s="239" t="str">
        <f>VLOOKUP('作(5)'!F6,AB:BO,40,0)</f>
        <v>稀料PX705/PX707</v>
      </c>
      <c r="X21" s="239">
        <f>VLOOKUP('作(5)'!F6,AB:BR,43,0)</f>
        <v>0.5</v>
      </c>
      <c r="Y21" s="261">
        <f>V$19*(U$19/(X$19+X$20+X$21))*X21/1000</f>
        <v>0</v>
      </c>
    </row>
    <row r="22" ht="20.1" customHeight="1" spans="1:25">
      <c r="A22" s="167"/>
      <c r="B22" s="164">
        <v>11</v>
      </c>
      <c r="C22" s="182"/>
      <c r="D22" s="183"/>
      <c r="E22" s="164" t="str">
        <f>+IF(OR('作(5)'!F6='料单 (5)'!U4,'作(5)'!F6='料单 (5)'!U5,'作(5)'!F6='料单 (5)'!U6),"",'料单 (5)'!W22)</f>
        <v>慢干水PZ807</v>
      </c>
      <c r="F22" s="164"/>
      <c r="G22" s="165">
        <f>IF(E22="","",G21*0.3)</f>
        <v>0</v>
      </c>
      <c r="H22" s="179" t="str">
        <f>IF(E22="","","千克")</f>
        <v>千克</v>
      </c>
      <c r="I22" s="185"/>
      <c r="J22" s="164"/>
      <c r="K22" s="215"/>
      <c r="L22" s="216"/>
      <c r="M22" s="216"/>
      <c r="N22" s="216"/>
      <c r="O22" s="216"/>
      <c r="P22" s="217"/>
      <c r="Q22" s="234"/>
      <c r="T22" s="240"/>
      <c r="U22" s="240"/>
      <c r="V22" s="240"/>
      <c r="W22" s="239" t="str">
        <f>IF($S$1=$T$2,"慢干水PZ807","")</f>
        <v>慢干水PZ807</v>
      </c>
      <c r="X22" s="239"/>
      <c r="Y22" s="261">
        <f>IF(W22="","",Y21*0.34)</f>
        <v>0</v>
      </c>
    </row>
    <row r="23" ht="20.1" customHeight="1" spans="1:25">
      <c r="A23" s="167"/>
      <c r="B23" s="164">
        <v>12</v>
      </c>
      <c r="C23" s="177" t="s">
        <v>825</v>
      </c>
      <c r="D23" s="178"/>
      <c r="E23" s="164" t="str">
        <f>W23</f>
        <v>主剂GT2024</v>
      </c>
      <c r="F23" s="164"/>
      <c r="G23" s="165">
        <f>Y23</f>
        <v>0</v>
      </c>
      <c r="H23" s="179" t="s">
        <v>686</v>
      </c>
      <c r="I23" s="185"/>
      <c r="J23" s="164"/>
      <c r="K23" s="215"/>
      <c r="L23" s="216"/>
      <c r="M23" s="216"/>
      <c r="N23" s="216"/>
      <c r="O23" s="216"/>
      <c r="P23" s="217"/>
      <c r="Q23" s="234"/>
      <c r="T23" s="237" t="str">
        <f>C23</f>
        <v>修色 面漆</v>
      </c>
      <c r="U23" s="237">
        <f>VLOOKUP('作(5)'!F6,AB:AP,15,0)</f>
        <v>280</v>
      </c>
      <c r="V23" s="237">
        <f>+'作(5)'!K39</f>
        <v>0</v>
      </c>
      <c r="W23" s="239" t="str">
        <f>VLOOKUP('作(5)'!F6,AB:AF,5,0)</f>
        <v>主剂GT2024</v>
      </c>
      <c r="X23" s="239">
        <f>VLOOKUP('作(5)'!F6,AB:AJ,9,0)</f>
        <v>1</v>
      </c>
      <c r="Y23" s="261">
        <f>V$23*(U$23/(X$23+X$24+X$25+X26))*X23/1000</f>
        <v>0</v>
      </c>
    </row>
    <row r="24" ht="20.1" customHeight="1" spans="1:25">
      <c r="A24" s="167"/>
      <c r="B24" s="164">
        <v>13</v>
      </c>
      <c r="C24" s="180"/>
      <c r="D24" s="181"/>
      <c r="E24" s="164" t="str">
        <f>W24</f>
        <v>固化剂PR50</v>
      </c>
      <c r="F24" s="164"/>
      <c r="G24" s="165">
        <f>Y24</f>
        <v>0</v>
      </c>
      <c r="H24" s="179" t="s">
        <v>686</v>
      </c>
      <c r="I24" s="185"/>
      <c r="J24" s="164"/>
      <c r="K24" s="218"/>
      <c r="L24" s="219"/>
      <c r="M24" s="219"/>
      <c r="N24" s="219"/>
      <c r="O24" s="219"/>
      <c r="P24" s="220"/>
      <c r="Q24" s="244"/>
      <c r="T24" s="240"/>
      <c r="U24" s="240"/>
      <c r="V24" s="240"/>
      <c r="W24" s="239" t="str">
        <f>VLOOKUP('作(5)'!F6,AB:AG,6,0)</f>
        <v>固化剂PR50</v>
      </c>
      <c r="X24" s="239">
        <f>VLOOKUP('作(5)'!F6,AB:AK,10,0)</f>
        <v>0.5</v>
      </c>
      <c r="Y24" s="261">
        <f>V$23*(U$23/(X$23+X$24+X$25+X26))*X24/1000</f>
        <v>0</v>
      </c>
    </row>
    <row r="25" ht="20.1" customHeight="1" spans="1:25">
      <c r="A25" s="167"/>
      <c r="B25" s="164">
        <v>14</v>
      </c>
      <c r="C25" s="180"/>
      <c r="D25" s="181"/>
      <c r="E25" s="164" t="str">
        <f>W25</f>
        <v>稀料PX903/PX904</v>
      </c>
      <c r="F25" s="164"/>
      <c r="G25" s="165">
        <f>IF(E27="",Y25,Y25/1.3*1)</f>
        <v>0</v>
      </c>
      <c r="H25" s="179" t="s">
        <v>686</v>
      </c>
      <c r="I25" s="185"/>
      <c r="J25" s="164"/>
      <c r="K25" s="221"/>
      <c r="L25" s="211"/>
      <c r="M25" s="164"/>
      <c r="N25" s="164"/>
      <c r="O25" s="164"/>
      <c r="P25" s="210"/>
      <c r="Q25" s="234"/>
      <c r="T25" s="240"/>
      <c r="U25" s="240"/>
      <c r="V25" s="240"/>
      <c r="W25" s="239" t="str">
        <f>VLOOKUP('作(5)'!F6,AB:AH,7,0)</f>
        <v>稀料PX903/PX904</v>
      </c>
      <c r="X25" s="239">
        <f>VLOOKUP('作(5)'!F6,AB:AL,11,0)</f>
        <v>2</v>
      </c>
      <c r="Y25" s="261">
        <f>V$23*(U$23/(X$23+X$24+X$25+X26))*X25/1000</f>
        <v>0</v>
      </c>
    </row>
    <row r="26" ht="20.1" customHeight="1" spans="1:25">
      <c r="A26" s="167"/>
      <c r="B26" s="164">
        <v>15</v>
      </c>
      <c r="C26" s="180"/>
      <c r="D26" s="181"/>
      <c r="E26" s="179" t="str">
        <f>W26</f>
        <v>PBJ3992</v>
      </c>
      <c r="F26" s="184"/>
      <c r="G26" s="165">
        <f>+Y26</f>
        <v>0</v>
      </c>
      <c r="H26" s="179" t="s">
        <v>686</v>
      </c>
      <c r="I26" s="185"/>
      <c r="J26" s="164"/>
      <c r="K26" s="221"/>
      <c r="L26" s="211"/>
      <c r="M26" s="164"/>
      <c r="N26" s="164"/>
      <c r="O26" s="164"/>
      <c r="P26" s="210"/>
      <c r="Q26" s="234"/>
      <c r="T26" s="240"/>
      <c r="U26" s="241"/>
      <c r="V26" s="240"/>
      <c r="W26" s="239" t="str">
        <f>VLOOKUP('作(5)'!F6,AB:AI,8,0)</f>
        <v>PBJ3992</v>
      </c>
      <c r="X26" s="239">
        <f>VLOOKUP('作(5)'!F6,AB:AM,12,0)</f>
        <v>0.15</v>
      </c>
      <c r="Y26" s="261">
        <f>V$23*(U$23/(X$23+X$24+X$25+X26))*X26/1000</f>
        <v>0</v>
      </c>
    </row>
    <row r="27" ht="20.1" customHeight="1" spans="1:25">
      <c r="A27" s="167"/>
      <c r="B27" s="164">
        <v>16</v>
      </c>
      <c r="C27" s="182"/>
      <c r="D27" s="183"/>
      <c r="E27" s="179" t="str">
        <f>IF($S$1=$T$2,"慢干水PZ807","")</f>
        <v>慢干水PZ807</v>
      </c>
      <c r="F27" s="184"/>
      <c r="G27" s="165">
        <f>IF(E27="","",G25*0.3)</f>
        <v>0</v>
      </c>
      <c r="H27" s="179" t="str">
        <f>IF(E27="","","千克")</f>
        <v>千克</v>
      </c>
      <c r="I27" s="185"/>
      <c r="J27" s="164"/>
      <c r="K27" s="185"/>
      <c r="L27" s="185"/>
      <c r="M27" s="164"/>
      <c r="N27" s="164"/>
      <c r="O27" s="164"/>
      <c r="P27" s="210"/>
      <c r="Q27" s="234"/>
      <c r="T27" s="241"/>
      <c r="U27" s="237"/>
      <c r="V27" s="237"/>
      <c r="W27" s="239" t="s">
        <v>826</v>
      </c>
      <c r="X27" s="239"/>
      <c r="Y27" s="261"/>
    </row>
    <row r="28" ht="20.1" customHeight="1" spans="1:25">
      <c r="A28" s="167"/>
      <c r="B28" s="164">
        <v>17</v>
      </c>
      <c r="C28" s="185" t="s">
        <v>827</v>
      </c>
      <c r="D28" s="185"/>
      <c r="E28" s="164" t="str">
        <f>W28</f>
        <v>主剂P86003</v>
      </c>
      <c r="F28" s="164"/>
      <c r="G28" s="165">
        <f>Y28</f>
        <v>0</v>
      </c>
      <c r="H28" s="164" t="s">
        <v>686</v>
      </c>
      <c r="I28" s="166" t="s">
        <v>683</v>
      </c>
      <c r="J28" s="164">
        <v>1</v>
      </c>
      <c r="K28" s="185" t="str">
        <f>+IF(OR('作(5)'!F6='料单 (5)'!U4,'作(5)'!F6='料单 (5)'!U5),"UV辊面","")</f>
        <v/>
      </c>
      <c r="L28" s="185"/>
      <c r="M28" s="164" t="str">
        <f>+IF(OR('作(5)'!F6='料单 (5)'!U4,'作(5)'!F6='料单 (5)'!U5),"主剂UA69225","")</f>
        <v/>
      </c>
      <c r="N28" s="164"/>
      <c r="O28" s="164"/>
      <c r="P28" s="210" t="str">
        <f>IF(M28="","",Y33)</f>
        <v/>
      </c>
      <c r="Q28" s="234" t="str">
        <f>IF(M28="","","千克")</f>
        <v/>
      </c>
      <c r="T28" s="245" t="str">
        <f>C28</f>
        <v>PU面漆（手工喷涂）</v>
      </c>
      <c r="U28" s="245">
        <f>VLOOKUP('作(5)'!F6,AB:AY,24,0)</f>
        <v>315</v>
      </c>
      <c r="V28" s="245">
        <f>+'作(5)'!K39</f>
        <v>0</v>
      </c>
      <c r="W28" s="246" t="str">
        <f>VLOOKUP('作(5)'!F6,AB:AQ,16,0)</f>
        <v>主剂P86003</v>
      </c>
      <c r="X28" s="246">
        <f>VLOOKUP('作(5)'!F6,AB:AJ,9,0)</f>
        <v>1</v>
      </c>
      <c r="Y28" s="250">
        <f>V$28*(U$28/(X$28+X$29+X$30))*X28/1000</f>
        <v>0</v>
      </c>
    </row>
    <row r="29" ht="20.1" customHeight="1" spans="1:25">
      <c r="A29" s="167"/>
      <c r="B29" s="164">
        <v>18</v>
      </c>
      <c r="C29" s="185"/>
      <c r="D29" s="185"/>
      <c r="E29" s="164" t="str">
        <f>W29</f>
        <v>固化剂PR86</v>
      </c>
      <c r="F29" s="164"/>
      <c r="G29" s="165">
        <f>Y29</f>
        <v>0</v>
      </c>
      <c r="H29" s="164" t="s">
        <v>686</v>
      </c>
      <c r="I29" s="167"/>
      <c r="J29" s="164"/>
      <c r="K29" s="185"/>
      <c r="L29" s="185"/>
      <c r="M29" s="164"/>
      <c r="N29" s="164"/>
      <c r="O29" s="164"/>
      <c r="P29" s="210"/>
      <c r="Q29" s="234"/>
      <c r="T29" s="247"/>
      <c r="U29" s="247"/>
      <c r="V29" s="247"/>
      <c r="W29" s="246" t="str">
        <f>VLOOKUP('作(5)'!F6,AB:AR,17,0)</f>
        <v>固化剂PR86</v>
      </c>
      <c r="X29" s="246">
        <f>VLOOKUP('作(5)'!F6,AB:AU,20,0)</f>
        <v>0.5</v>
      </c>
      <c r="Y29" s="250">
        <f>V$28*(U$28/(X$28+X$29+X$30))*X29/1000</f>
        <v>0</v>
      </c>
    </row>
    <row r="30" ht="20.1" customHeight="1" spans="1:25">
      <c r="A30" s="167"/>
      <c r="B30" s="164">
        <v>19</v>
      </c>
      <c r="C30" s="185"/>
      <c r="D30" s="185"/>
      <c r="E30" s="164" t="str">
        <f>W30</f>
        <v>稀料PX903/PX904</v>
      </c>
      <c r="F30" s="164"/>
      <c r="G30" s="165">
        <f>IF(E31="",Y30,Y30/1.3*1)</f>
        <v>0</v>
      </c>
      <c r="H30" s="164" t="s">
        <v>686</v>
      </c>
      <c r="I30" s="167"/>
      <c r="J30" s="164"/>
      <c r="K30" s="164"/>
      <c r="L30" s="164"/>
      <c r="M30" s="164"/>
      <c r="N30" s="164"/>
      <c r="O30" s="164"/>
      <c r="P30" s="210"/>
      <c r="Q30" s="234"/>
      <c r="T30" s="247"/>
      <c r="U30" s="247"/>
      <c r="V30" s="247"/>
      <c r="W30" s="246" t="str">
        <f>VLOOKUP('作(5)'!F6,AB:AS,18,0)</f>
        <v>稀料PX903/PX904</v>
      </c>
      <c r="X30" s="246">
        <f>VLOOKUP('作(5)'!F6,AB:AV,21,0)</f>
        <v>0.7</v>
      </c>
      <c r="Y30" s="250">
        <f>V$28*(U$28/(X$28+X$29+X$30))*X30/1000</f>
        <v>0</v>
      </c>
    </row>
    <row r="31" ht="20.1" customHeight="1" spans="1:25">
      <c r="A31" s="186"/>
      <c r="B31" s="164">
        <v>20</v>
      </c>
      <c r="C31" s="187"/>
      <c r="D31" s="187"/>
      <c r="E31" s="188" t="str">
        <f>IF($S$1=$T$2,"慢干水PZ807","")</f>
        <v>慢干水PZ807</v>
      </c>
      <c r="F31" s="189"/>
      <c r="G31" s="190">
        <f>IF(E31="","",G30*0.3)</f>
        <v>0</v>
      </c>
      <c r="H31" s="191" t="str">
        <f>H27</f>
        <v>千克</v>
      </c>
      <c r="I31" s="186"/>
      <c r="J31" s="191"/>
      <c r="K31" s="191"/>
      <c r="L31" s="191"/>
      <c r="M31" s="191"/>
      <c r="N31" s="191"/>
      <c r="O31" s="191"/>
      <c r="P31" s="190"/>
      <c r="Q31" s="248"/>
      <c r="T31" s="249"/>
      <c r="U31" s="249"/>
      <c r="V31" s="249"/>
      <c r="W31" s="246" t="str">
        <f>E31</f>
        <v>慢干水PZ807</v>
      </c>
      <c r="X31" s="246"/>
      <c r="Y31" s="250">
        <f>Y30*0.3</f>
        <v>0</v>
      </c>
    </row>
    <row r="32" ht="15" customHeight="1" spans="1:25">
      <c r="A32" s="192"/>
      <c r="B32" s="192"/>
      <c r="C32" s="192"/>
      <c r="D32" s="192"/>
      <c r="E32" s="192"/>
      <c r="F32" s="192"/>
      <c r="G32" s="193"/>
      <c r="H32" s="192"/>
      <c r="I32" s="192"/>
      <c r="J32" s="192"/>
      <c r="K32" s="192"/>
      <c r="L32" s="192"/>
      <c r="M32" s="222"/>
      <c r="N32" s="222"/>
      <c r="O32" s="222"/>
      <c r="P32" s="223"/>
      <c r="Q32" s="222"/>
      <c r="T32" s="250" t="s">
        <v>724</v>
      </c>
      <c r="U32" s="246">
        <f>VLOOKUP('作(5)'!F6,AB:BL,37,0)</f>
        <v>140</v>
      </c>
      <c r="V32" s="246">
        <f>'作(5)'!O38</f>
        <v>0</v>
      </c>
      <c r="W32" s="246" t="str">
        <f>VLOOKUP('作(5)'!F6,AB:BI,34,0)</f>
        <v>主剂UA5002</v>
      </c>
      <c r="X32" s="250"/>
      <c r="Y32" s="250">
        <f>V32*U32/1000</f>
        <v>0</v>
      </c>
    </row>
    <row r="33" ht="15" customHeight="1" spans="1:25">
      <c r="A33" s="194"/>
      <c r="B33" s="194"/>
      <c r="C33" s="192"/>
      <c r="D33" s="195" t="s">
        <v>495</v>
      </c>
      <c r="E33" s="195"/>
      <c r="F33" s="196" t="s">
        <v>624</v>
      </c>
      <c r="G33" s="196"/>
      <c r="H33" s="196"/>
      <c r="I33" s="224"/>
      <c r="J33" s="225"/>
      <c r="K33" s="224"/>
      <c r="L33" s="195" t="s">
        <v>298</v>
      </c>
      <c r="M33" s="196"/>
      <c r="N33" s="196"/>
      <c r="O33" s="222"/>
      <c r="P33" s="226"/>
      <c r="Q33" s="222"/>
      <c r="T33" s="73" t="s">
        <v>828</v>
      </c>
      <c r="U33" s="251">
        <f>VLOOKUP('作(5)'!F6,AB:BX,49,0)</f>
        <v>0</v>
      </c>
      <c r="V33" s="252">
        <f>'作(5)'!O38</f>
        <v>0</v>
      </c>
      <c r="W33" s="251" t="s">
        <v>829</v>
      </c>
      <c r="X33" s="73"/>
      <c r="Y33" s="263">
        <f>V33*U33/1000</f>
        <v>0</v>
      </c>
    </row>
    <row r="34" ht="15" customHeight="1" spans="1:17">
      <c r="A34" s="194"/>
      <c r="B34" s="194"/>
      <c r="C34" s="192"/>
      <c r="D34" s="195"/>
      <c r="E34" s="195"/>
      <c r="F34" s="195"/>
      <c r="G34" s="197"/>
      <c r="H34" s="198"/>
      <c r="I34" s="224"/>
      <c r="J34" s="225"/>
      <c r="K34" s="224"/>
      <c r="L34" s="195"/>
      <c r="M34" s="157"/>
      <c r="N34" s="157"/>
      <c r="O34" s="222"/>
      <c r="P34" s="223"/>
      <c r="Q34" s="222"/>
    </row>
    <row r="35" ht="15" customHeight="1" spans="1:17">
      <c r="A35" s="194"/>
      <c r="B35" s="194"/>
      <c r="C35" s="192"/>
      <c r="D35" s="195" t="s">
        <v>618</v>
      </c>
      <c r="E35" s="195"/>
      <c r="F35" s="199"/>
      <c r="G35" s="199"/>
      <c r="H35" s="199"/>
      <c r="I35" s="224"/>
      <c r="J35" s="225"/>
      <c r="K35" s="225" t="s">
        <v>619</v>
      </c>
      <c r="L35" s="225"/>
      <c r="M35" s="196"/>
      <c r="N35" s="196"/>
      <c r="O35" s="222"/>
      <c r="P35" s="223"/>
      <c r="Q35" s="222"/>
    </row>
    <row r="36" spans="1:17">
      <c r="A36" s="200"/>
      <c r="B36" s="200"/>
      <c r="C36" s="200"/>
      <c r="D36" s="200"/>
      <c r="E36" s="200"/>
      <c r="F36" s="200"/>
      <c r="G36" s="201"/>
      <c r="H36" s="200"/>
      <c r="I36" s="200"/>
      <c r="J36" s="200"/>
      <c r="K36" s="200"/>
      <c r="L36" s="200"/>
      <c r="M36" s="200"/>
      <c r="N36" s="200"/>
      <c r="O36" s="200"/>
      <c r="P36" s="201"/>
      <c r="Q36" s="200"/>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F3:G4"/>
    <mergeCell ref="N3:O4"/>
    <mergeCell ref="P3:Q4"/>
    <mergeCell ref="C15:D18"/>
    <mergeCell ref="C12:D14"/>
    <mergeCell ref="C23:D27"/>
    <mergeCell ref="K16:P24"/>
    <mergeCell ref="C28:D31"/>
    <mergeCell ref="C19:D22"/>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03" customWidth="1"/>
    <col min="2" max="2" width="8.625" style="103" customWidth="1"/>
    <col min="3" max="3" width="4.625" style="103" customWidth="1"/>
    <col min="4" max="4" width="9.75" style="103" customWidth="1"/>
    <col min="5" max="5" width="10.875" style="103" customWidth="1"/>
    <col min="6" max="6" width="6" style="103" customWidth="1"/>
    <col min="7" max="7" width="5.625" style="103" customWidth="1"/>
    <col min="8" max="8" width="10.125" style="103" customWidth="1"/>
    <col min="9" max="9" width="15" style="103" customWidth="1"/>
    <col min="10" max="16384" width="9" style="103"/>
  </cols>
  <sheetData>
    <row r="1" spans="1:6">
      <c r="A1" s="104"/>
      <c r="B1" s="104"/>
      <c r="C1" s="104"/>
      <c r="D1" s="104"/>
      <c r="E1" s="104"/>
      <c r="F1" s="104"/>
    </row>
    <row r="2" spans="1:9">
      <c r="A2" s="105"/>
      <c r="B2" s="105"/>
      <c r="C2" s="105"/>
      <c r="D2" s="105"/>
      <c r="E2" s="104"/>
      <c r="F2" s="104"/>
      <c r="H2" s="106" t="s">
        <v>830</v>
      </c>
      <c r="I2" s="106"/>
    </row>
    <row r="3" ht="20.25" spans="1:11">
      <c r="A3" s="107" t="s">
        <v>831</v>
      </c>
      <c r="B3" s="108"/>
      <c r="C3" s="108"/>
      <c r="D3" s="108"/>
      <c r="E3" s="108"/>
      <c r="F3" s="108"/>
      <c r="G3" s="108"/>
      <c r="H3" s="108"/>
      <c r="I3" s="108"/>
      <c r="K3" s="109" t="s">
        <v>742</v>
      </c>
    </row>
    <row r="4" ht="20.1" customHeight="1" spans="1:9">
      <c r="A4" s="109" t="s">
        <v>832</v>
      </c>
      <c r="B4" s="110" t="s">
        <v>833</v>
      </c>
      <c r="C4" s="110"/>
      <c r="D4" s="110"/>
      <c r="E4" s="111" t="s">
        <v>834</v>
      </c>
      <c r="F4" s="110" t="e">
        <f>#REF!</f>
        <v>#REF!</v>
      </c>
      <c r="G4" s="110"/>
      <c r="H4" s="103" t="s">
        <v>835</v>
      </c>
      <c r="I4" s="110" t="str">
        <f>SUM(E10:E33)&amp;"块"</f>
        <v>0块</v>
      </c>
    </row>
    <row r="5" ht="20.1" customHeight="1" spans="1:9">
      <c r="A5" s="103" t="s">
        <v>740</v>
      </c>
      <c r="B5" s="110" t="e">
        <f>#REF!</f>
        <v>#REF!</v>
      </c>
      <c r="C5" s="112"/>
      <c r="D5" s="112"/>
      <c r="E5" s="111" t="s">
        <v>836</v>
      </c>
      <c r="F5" s="113"/>
      <c r="G5" s="113"/>
      <c r="H5" s="103" t="s">
        <v>837</v>
      </c>
      <c r="I5" s="152"/>
    </row>
    <row r="6" ht="20.1" customHeight="1" spans="1:9">
      <c r="A6" s="114" t="s">
        <v>838</v>
      </c>
      <c r="B6" s="110" t="s">
        <v>833</v>
      </c>
      <c r="C6" s="110"/>
      <c r="D6" s="110"/>
      <c r="E6" s="115" t="s">
        <v>839</v>
      </c>
      <c r="F6" s="116">
        <v>89251111</v>
      </c>
      <c r="G6" s="116"/>
      <c r="H6" s="103" t="s">
        <v>840</v>
      </c>
      <c r="I6" s="110">
        <v>89251111</v>
      </c>
    </row>
    <row r="7" ht="20.1" customHeight="1" spans="1:9">
      <c r="A7" s="117" t="s">
        <v>841</v>
      </c>
      <c r="B7" s="116"/>
      <c r="C7" s="116"/>
      <c r="D7" s="116"/>
      <c r="E7" s="115" t="s">
        <v>842</v>
      </c>
      <c r="F7" s="116">
        <v>80529723</v>
      </c>
      <c r="G7" s="116"/>
      <c r="H7" s="103" t="s">
        <v>843</v>
      </c>
      <c r="I7" s="116">
        <v>80529723</v>
      </c>
    </row>
    <row r="8" ht="20.1" customHeight="1" spans="1:9">
      <c r="A8" s="114" t="s">
        <v>844</v>
      </c>
      <c r="B8" s="116" t="s">
        <v>845</v>
      </c>
      <c r="C8" s="116"/>
      <c r="D8" s="116"/>
      <c r="E8" s="116"/>
      <c r="F8" s="116"/>
      <c r="G8" s="116"/>
      <c r="H8" s="117" t="s">
        <v>846</v>
      </c>
      <c r="I8" s="110" t="s">
        <v>847</v>
      </c>
    </row>
    <row r="9" ht="20.1" customHeight="1" spans="1:9">
      <c r="A9" s="118" t="s">
        <v>369</v>
      </c>
      <c r="B9" s="118" t="s">
        <v>370</v>
      </c>
      <c r="C9" s="118" t="s">
        <v>848</v>
      </c>
      <c r="D9" s="118" t="s">
        <v>371</v>
      </c>
      <c r="E9" s="118" t="s">
        <v>83</v>
      </c>
      <c r="F9" s="118" t="s">
        <v>849</v>
      </c>
      <c r="G9" s="118"/>
      <c r="H9" s="118"/>
      <c r="I9" s="118" t="s">
        <v>30</v>
      </c>
    </row>
    <row r="10" ht="20.1" customHeight="1" spans="1:10">
      <c r="A10" s="119"/>
      <c r="B10" s="120"/>
      <c r="C10" s="118" t="s">
        <v>848</v>
      </c>
      <c r="D10" s="120"/>
      <c r="E10" s="120"/>
      <c r="F10" s="118"/>
      <c r="G10" s="118"/>
      <c r="H10" s="118"/>
      <c r="I10" s="118"/>
      <c r="J10" s="153">
        <f>B10*D10*E10/1000000</f>
        <v>0</v>
      </c>
    </row>
    <row r="11" ht="20.1" customHeight="1" spans="1:10">
      <c r="A11" s="119"/>
      <c r="B11" s="120"/>
      <c r="C11" s="118" t="s">
        <v>848</v>
      </c>
      <c r="D11" s="120"/>
      <c r="E11" s="120"/>
      <c r="F11" s="118"/>
      <c r="G11" s="118"/>
      <c r="H11" s="118"/>
      <c r="I11" s="118"/>
      <c r="J11" s="153">
        <f t="shared" ref="J11:J33" si="0">B11*D11*E11/1000000</f>
        <v>0</v>
      </c>
    </row>
    <row r="12" ht="20.1" customHeight="1" spans="1:10">
      <c r="A12" s="119"/>
      <c r="B12" s="120"/>
      <c r="C12" s="118" t="s">
        <v>848</v>
      </c>
      <c r="D12" s="120"/>
      <c r="E12" s="120"/>
      <c r="F12" s="118"/>
      <c r="G12" s="118"/>
      <c r="H12" s="118"/>
      <c r="I12" s="118"/>
      <c r="J12" s="153">
        <f t="shared" si="0"/>
        <v>0</v>
      </c>
    </row>
    <row r="13" ht="20.1" customHeight="1" spans="1:10">
      <c r="A13" s="119"/>
      <c r="B13" s="120"/>
      <c r="C13" s="118" t="s">
        <v>848</v>
      </c>
      <c r="D13" s="120"/>
      <c r="E13" s="120"/>
      <c r="F13" s="118"/>
      <c r="G13" s="118"/>
      <c r="H13" s="118"/>
      <c r="I13" s="118"/>
      <c r="J13" s="153">
        <f t="shared" si="0"/>
        <v>0</v>
      </c>
    </row>
    <row r="14" ht="20.1" customHeight="1" spans="1:10">
      <c r="A14" s="119"/>
      <c r="B14" s="121"/>
      <c r="C14" s="118" t="s">
        <v>848</v>
      </c>
      <c r="D14" s="121"/>
      <c r="E14" s="120"/>
      <c r="F14" s="118"/>
      <c r="G14" s="118"/>
      <c r="H14" s="118"/>
      <c r="I14" s="118"/>
      <c r="J14" s="153">
        <f t="shared" si="0"/>
        <v>0</v>
      </c>
    </row>
    <row r="15" ht="20.1" customHeight="1" spans="1:10">
      <c r="A15" s="119"/>
      <c r="B15" s="121"/>
      <c r="C15" s="118" t="s">
        <v>848</v>
      </c>
      <c r="D15" s="121"/>
      <c r="E15" s="120"/>
      <c r="F15" s="118"/>
      <c r="G15" s="118"/>
      <c r="H15" s="118"/>
      <c r="I15" s="118"/>
      <c r="J15" s="153">
        <f t="shared" si="0"/>
        <v>0</v>
      </c>
    </row>
    <row r="16" ht="20.1" customHeight="1" spans="1:10">
      <c r="A16" s="119"/>
      <c r="B16" s="121"/>
      <c r="C16" s="118" t="s">
        <v>848</v>
      </c>
      <c r="D16" s="121"/>
      <c r="E16" s="120"/>
      <c r="F16" s="118"/>
      <c r="G16" s="118"/>
      <c r="H16" s="118"/>
      <c r="I16" s="118"/>
      <c r="J16" s="153">
        <f t="shared" si="0"/>
        <v>0</v>
      </c>
    </row>
    <row r="17" ht="20.1" customHeight="1" spans="1:10">
      <c r="A17" s="119"/>
      <c r="B17" s="121"/>
      <c r="C17" s="118" t="s">
        <v>848</v>
      </c>
      <c r="D17" s="121"/>
      <c r="E17" s="120"/>
      <c r="F17" s="118"/>
      <c r="G17" s="118"/>
      <c r="H17" s="118"/>
      <c r="I17" s="118"/>
      <c r="J17" s="153">
        <f t="shared" si="0"/>
        <v>0</v>
      </c>
    </row>
    <row r="18" ht="20.1" customHeight="1" spans="1:10">
      <c r="A18" s="119"/>
      <c r="B18" s="121"/>
      <c r="C18" s="118" t="s">
        <v>848</v>
      </c>
      <c r="D18" s="121"/>
      <c r="E18" s="120"/>
      <c r="F18" s="118"/>
      <c r="G18" s="118"/>
      <c r="H18" s="118"/>
      <c r="I18" s="118"/>
      <c r="J18" s="153">
        <f t="shared" si="0"/>
        <v>0</v>
      </c>
    </row>
    <row r="19" ht="20.1" customHeight="1" spans="1:10">
      <c r="A19" s="119"/>
      <c r="B19" s="121"/>
      <c r="C19" s="118" t="s">
        <v>848</v>
      </c>
      <c r="D19" s="121"/>
      <c r="E19" s="121"/>
      <c r="F19" s="118"/>
      <c r="G19" s="118"/>
      <c r="H19" s="118"/>
      <c r="I19" s="118"/>
      <c r="J19" s="153">
        <f t="shared" si="0"/>
        <v>0</v>
      </c>
    </row>
    <row r="20" ht="20.1" customHeight="1" spans="1:10">
      <c r="A20" s="122"/>
      <c r="B20" s="121"/>
      <c r="C20" s="118" t="s">
        <v>848</v>
      </c>
      <c r="D20" s="121"/>
      <c r="E20" s="120"/>
      <c r="F20" s="118"/>
      <c r="G20" s="118"/>
      <c r="H20" s="118"/>
      <c r="I20" s="118"/>
      <c r="J20" s="153">
        <f t="shared" si="0"/>
        <v>0</v>
      </c>
    </row>
    <row r="21" ht="20.1" customHeight="1" spans="1:10">
      <c r="A21" s="122"/>
      <c r="B21" s="121"/>
      <c r="C21" s="118" t="s">
        <v>848</v>
      </c>
      <c r="D21" s="121"/>
      <c r="E21" s="120"/>
      <c r="F21" s="118"/>
      <c r="G21" s="118"/>
      <c r="H21" s="118"/>
      <c r="I21" s="118"/>
      <c r="J21" s="153">
        <f t="shared" si="0"/>
        <v>0</v>
      </c>
    </row>
    <row r="22" ht="20.1" customHeight="1" spans="1:10">
      <c r="A22" s="123"/>
      <c r="B22" s="121"/>
      <c r="C22" s="118" t="s">
        <v>848</v>
      </c>
      <c r="D22" s="121"/>
      <c r="E22" s="121"/>
      <c r="F22" s="118"/>
      <c r="G22" s="118"/>
      <c r="H22" s="118"/>
      <c r="I22" s="118"/>
      <c r="J22" s="153">
        <f t="shared" si="0"/>
        <v>0</v>
      </c>
    </row>
    <row r="23" ht="20.1" customHeight="1" spans="1:10">
      <c r="A23" s="123"/>
      <c r="B23" s="121"/>
      <c r="C23" s="118" t="s">
        <v>848</v>
      </c>
      <c r="D23" s="120"/>
      <c r="E23" s="121"/>
      <c r="F23" s="118"/>
      <c r="G23" s="118"/>
      <c r="H23" s="118"/>
      <c r="I23" s="118"/>
      <c r="J23" s="153">
        <f t="shared" si="0"/>
        <v>0</v>
      </c>
    </row>
    <row r="24" ht="20.1" customHeight="1" spans="1:10">
      <c r="A24" s="124"/>
      <c r="B24" s="121"/>
      <c r="C24" s="118" t="s">
        <v>848</v>
      </c>
      <c r="D24" s="120"/>
      <c r="E24" s="121"/>
      <c r="F24" s="118"/>
      <c r="G24" s="118"/>
      <c r="H24" s="118"/>
      <c r="I24" s="118"/>
      <c r="J24" s="153">
        <f t="shared" si="0"/>
        <v>0</v>
      </c>
    </row>
    <row r="25" ht="20.1" customHeight="1" spans="1:10">
      <c r="A25" s="123"/>
      <c r="B25" s="121"/>
      <c r="C25" s="118" t="s">
        <v>848</v>
      </c>
      <c r="D25" s="121"/>
      <c r="E25" s="120"/>
      <c r="F25" s="118"/>
      <c r="G25" s="118"/>
      <c r="H25" s="118"/>
      <c r="I25" s="118"/>
      <c r="J25" s="153">
        <f t="shared" si="0"/>
        <v>0</v>
      </c>
    </row>
    <row r="26" ht="20.1" customHeight="1" spans="1:10">
      <c r="A26" s="123"/>
      <c r="B26" s="121"/>
      <c r="C26" s="118" t="s">
        <v>848</v>
      </c>
      <c r="D26" s="121"/>
      <c r="E26" s="120"/>
      <c r="F26" s="118"/>
      <c r="G26" s="118"/>
      <c r="H26" s="118"/>
      <c r="I26" s="118"/>
      <c r="J26" s="153">
        <f t="shared" si="0"/>
        <v>0</v>
      </c>
    </row>
    <row r="27" ht="20.1" customHeight="1" spans="1:10">
      <c r="A27" s="123"/>
      <c r="B27" s="121"/>
      <c r="C27" s="118" t="s">
        <v>848</v>
      </c>
      <c r="D27" s="121"/>
      <c r="E27" s="120"/>
      <c r="F27" s="118"/>
      <c r="G27" s="118"/>
      <c r="H27" s="118"/>
      <c r="I27" s="118"/>
      <c r="J27" s="153">
        <f t="shared" si="0"/>
        <v>0</v>
      </c>
    </row>
    <row r="28" ht="20.1" customHeight="1" spans="1:10">
      <c r="A28" s="125" t="s">
        <v>850</v>
      </c>
      <c r="B28" s="126">
        <v>50</v>
      </c>
      <c r="C28" s="127" t="s">
        <v>848</v>
      </c>
      <c r="D28" s="126">
        <v>720</v>
      </c>
      <c r="E28" s="128"/>
      <c r="F28" s="127"/>
      <c r="G28" s="127"/>
      <c r="H28" s="127"/>
      <c r="I28" s="118"/>
      <c r="J28" s="153">
        <f t="shared" si="0"/>
        <v>0</v>
      </c>
    </row>
    <row r="29" ht="20.1" customHeight="1" spans="1:10">
      <c r="A29" s="125" t="s">
        <v>850</v>
      </c>
      <c r="B29" s="127">
        <v>50</v>
      </c>
      <c r="C29" s="127" t="s">
        <v>848</v>
      </c>
      <c r="D29" s="127">
        <v>820</v>
      </c>
      <c r="E29" s="127"/>
      <c r="F29" s="127" t="s">
        <v>851</v>
      </c>
      <c r="G29" s="127"/>
      <c r="H29" s="127"/>
      <c r="I29" s="118"/>
      <c r="J29" s="153">
        <f t="shared" si="0"/>
        <v>0</v>
      </c>
    </row>
    <row r="30" ht="20.1" customHeight="1" spans="1:10">
      <c r="A30" s="125" t="s">
        <v>756</v>
      </c>
      <c r="B30" s="127">
        <v>2400</v>
      </c>
      <c r="C30" s="127" t="s">
        <v>848</v>
      </c>
      <c r="D30" s="127"/>
      <c r="E30" s="127"/>
      <c r="F30" s="127" t="s">
        <v>852</v>
      </c>
      <c r="G30" s="127"/>
      <c r="H30" s="127"/>
      <c r="I30" s="118"/>
      <c r="J30" s="153">
        <f t="shared" si="0"/>
        <v>0</v>
      </c>
    </row>
    <row r="31" ht="20.1" customHeight="1" spans="1:10">
      <c r="A31" s="129" t="s">
        <v>19</v>
      </c>
      <c r="B31" s="118">
        <v>2400</v>
      </c>
      <c r="C31" s="118" t="s">
        <v>848</v>
      </c>
      <c r="D31" s="118">
        <v>80</v>
      </c>
      <c r="E31" s="130"/>
      <c r="F31" s="118"/>
      <c r="G31" s="118"/>
      <c r="H31" s="118"/>
      <c r="I31" s="118"/>
      <c r="J31" s="153">
        <f t="shared" si="0"/>
        <v>0</v>
      </c>
    </row>
    <row r="32" ht="20.1" customHeight="1" spans="1:10">
      <c r="A32" s="131" t="s">
        <v>853</v>
      </c>
      <c r="B32" s="132">
        <v>2400</v>
      </c>
      <c r="C32" s="132" t="s">
        <v>848</v>
      </c>
      <c r="D32" s="132">
        <v>80</v>
      </c>
      <c r="E32" s="132"/>
      <c r="F32" s="132"/>
      <c r="G32" s="132"/>
      <c r="H32" s="132"/>
      <c r="I32" s="132">
        <v>2</v>
      </c>
      <c r="J32" s="153">
        <f t="shared" si="0"/>
        <v>0</v>
      </c>
    </row>
    <row r="33" ht="20.1" customHeight="1" spans="1:10">
      <c r="A33" s="131" t="s">
        <v>854</v>
      </c>
      <c r="B33" s="132">
        <v>2400</v>
      </c>
      <c r="C33" s="132" t="s">
        <v>848</v>
      </c>
      <c r="D33" s="132"/>
      <c r="E33" s="133"/>
      <c r="F33" s="132"/>
      <c r="G33" s="132"/>
      <c r="H33" s="132"/>
      <c r="I33" s="132">
        <v>2</v>
      </c>
      <c r="J33" s="153">
        <f t="shared" si="0"/>
        <v>0</v>
      </c>
    </row>
    <row r="34" ht="20.1" customHeight="1" spans="1:9">
      <c r="A34" s="134" t="s">
        <v>855</v>
      </c>
      <c r="B34" s="135"/>
      <c r="C34" s="135"/>
      <c r="D34" s="135"/>
      <c r="E34" s="135"/>
      <c r="F34" s="135"/>
      <c r="G34" s="135"/>
      <c r="H34" s="135"/>
      <c r="I34" s="135"/>
    </row>
    <row r="35" ht="20.1" customHeight="1" spans="1:9">
      <c r="A35" s="136"/>
      <c r="B35" s="136"/>
      <c r="C35" s="136"/>
      <c r="D35" s="136"/>
      <c r="E35" s="136"/>
      <c r="F35" s="136"/>
      <c r="G35" s="136"/>
      <c r="H35" s="136"/>
      <c r="I35" s="136"/>
    </row>
    <row r="36" ht="20.1" customHeight="1" spans="1:9">
      <c r="A36" s="137" t="s">
        <v>856</v>
      </c>
      <c r="B36" s="137"/>
      <c r="C36" s="137"/>
      <c r="D36" s="137"/>
      <c r="E36" s="137"/>
      <c r="F36" s="137"/>
      <c r="G36" s="137"/>
      <c r="H36" s="137"/>
      <c r="I36" s="137"/>
    </row>
    <row r="37" ht="20.1" customHeight="1" spans="1:9">
      <c r="A37" s="138"/>
      <c r="B37" s="139"/>
      <c r="C37" s="102"/>
      <c r="D37" s="102"/>
      <c r="E37" s="102"/>
      <c r="F37" s="140"/>
      <c r="G37" s="141"/>
      <c r="H37" s="140"/>
      <c r="I37" s="147"/>
    </row>
    <row r="38" s="102" customFormat="1" ht="20.1" customHeight="1" spans="1:9">
      <c r="A38" s="142" t="s">
        <v>473</v>
      </c>
      <c r="B38" s="140" t="s">
        <v>624</v>
      </c>
      <c r="C38" s="140"/>
      <c r="D38" s="111"/>
      <c r="E38" s="104"/>
      <c r="F38" s="111" t="s">
        <v>298</v>
      </c>
      <c r="G38" s="111"/>
      <c r="H38" s="111"/>
      <c r="I38" s="147"/>
    </row>
    <row r="39" ht="20.1" customHeight="1" spans="1:9">
      <c r="A39" s="143"/>
      <c r="B39" s="144"/>
      <c r="C39" s="145"/>
      <c r="D39" s="146"/>
      <c r="E39" s="147"/>
      <c r="F39" s="146"/>
      <c r="G39" s="148"/>
      <c r="H39" s="146"/>
      <c r="I39" s="149"/>
    </row>
    <row r="40" ht="20.1" customHeight="1" spans="1:9">
      <c r="A40" s="143"/>
      <c r="B40" s="146"/>
      <c r="C40" s="140"/>
      <c r="D40" s="146"/>
      <c r="E40" s="147"/>
      <c r="F40" s="146"/>
      <c r="G40" s="148"/>
      <c r="H40" s="146"/>
      <c r="I40" s="149"/>
    </row>
    <row r="41" ht="21.75" customHeight="1" spans="1:9">
      <c r="A41" s="143"/>
      <c r="B41" s="146"/>
      <c r="C41" s="140"/>
      <c r="D41" s="146"/>
      <c r="E41" s="147"/>
      <c r="F41" s="146"/>
      <c r="G41" s="148"/>
      <c r="H41" s="146"/>
      <c r="I41" s="149"/>
    </row>
    <row r="42" ht="21.75" customHeight="1" spans="1:9">
      <c r="A42" s="143"/>
      <c r="B42" s="146"/>
      <c r="C42" s="140"/>
      <c r="D42" s="146"/>
      <c r="E42" s="147"/>
      <c r="F42" s="146"/>
      <c r="G42" s="148"/>
      <c r="H42" s="146"/>
      <c r="I42" s="149"/>
    </row>
    <row r="43" ht="21.75" customHeight="1" spans="1:9">
      <c r="A43" s="143"/>
      <c r="B43" s="146"/>
      <c r="C43" s="140"/>
      <c r="D43" s="146"/>
      <c r="E43" s="147"/>
      <c r="F43" s="146"/>
      <c r="G43" s="148"/>
      <c r="H43" s="146"/>
      <c r="I43" s="149"/>
    </row>
    <row r="44" ht="21.75" customHeight="1" spans="1:9">
      <c r="A44" s="143"/>
      <c r="B44" s="146"/>
      <c r="C44" s="140"/>
      <c r="D44" s="146"/>
      <c r="E44" s="147"/>
      <c r="F44" s="146"/>
      <c r="G44" s="148"/>
      <c r="H44" s="146"/>
      <c r="I44" s="149"/>
    </row>
    <row r="45" ht="21.75" customHeight="1" spans="1:9">
      <c r="A45" s="143"/>
      <c r="B45" s="146"/>
      <c r="C45" s="146"/>
      <c r="D45" s="146"/>
      <c r="E45" s="149"/>
      <c r="F45" s="146"/>
      <c r="G45" s="148"/>
      <c r="H45" s="146"/>
      <c r="I45" s="149"/>
    </row>
    <row r="46" ht="20.25" spans="1:9">
      <c r="A46" s="150"/>
      <c r="B46" s="151"/>
      <c r="C46" s="150"/>
      <c r="E46" s="150"/>
      <c r="F46" s="150"/>
      <c r="G46" s="150"/>
      <c r="H46" s="150"/>
      <c r="I46" s="150"/>
    </row>
    <row r="47" ht="20.25" spans="1:9">
      <c r="A47" s="150"/>
      <c r="B47" s="150"/>
      <c r="C47" s="150"/>
      <c r="D47" s="150"/>
      <c r="E47" s="150"/>
      <c r="F47" s="150"/>
      <c r="G47" s="150"/>
      <c r="H47" s="150"/>
      <c r="I47" s="150"/>
    </row>
    <row r="48" ht="20.25" spans="1:9">
      <c r="A48" s="150"/>
      <c r="B48" s="150"/>
      <c r="C48" s="150"/>
      <c r="D48" s="150"/>
      <c r="E48" s="150"/>
      <c r="F48" s="150"/>
      <c r="G48" s="150"/>
      <c r="H48" s="150"/>
      <c r="I48" s="150"/>
    </row>
    <row r="49" ht="20.25" spans="1:9">
      <c r="A49" s="150"/>
      <c r="B49" s="150"/>
      <c r="C49" s="150"/>
      <c r="D49" s="150"/>
      <c r="E49" s="150"/>
      <c r="F49" s="150"/>
      <c r="G49" s="150"/>
      <c r="H49" s="150"/>
      <c r="I49" s="150"/>
    </row>
    <row r="50" ht="20.25" spans="1:9">
      <c r="A50" s="150"/>
      <c r="B50" s="150"/>
      <c r="C50" s="150"/>
      <c r="D50" s="150"/>
      <c r="E50" s="150"/>
      <c r="F50" s="150"/>
      <c r="G50" s="150"/>
      <c r="H50" s="150"/>
      <c r="I50" s="150"/>
    </row>
    <row r="51" ht="20.25" spans="1:9">
      <c r="A51" s="150"/>
      <c r="B51" s="150"/>
      <c r="C51" s="150"/>
      <c r="D51" s="150"/>
      <c r="E51" s="150"/>
      <c r="F51" s="150"/>
      <c r="G51" s="150"/>
      <c r="H51" s="150"/>
      <c r="I51" s="150"/>
    </row>
    <row r="52" ht="20.25" spans="1:9">
      <c r="A52" s="150"/>
      <c r="B52" s="150"/>
      <c r="C52" s="150"/>
      <c r="D52" s="150"/>
      <c r="E52" s="150"/>
      <c r="F52" s="150"/>
      <c r="G52" s="150"/>
      <c r="H52" s="150"/>
      <c r="I52" s="150"/>
    </row>
    <row r="53" ht="20.25" spans="1:9">
      <c r="A53" s="150"/>
      <c r="B53" s="150"/>
      <c r="C53" s="150"/>
      <c r="D53" s="150"/>
      <c r="E53" s="150"/>
      <c r="F53" s="150"/>
      <c r="G53" s="150"/>
      <c r="H53" s="150"/>
      <c r="I53" s="150"/>
    </row>
    <row r="54" ht="20.25" spans="1:9">
      <c r="A54" s="150"/>
      <c r="B54" s="150"/>
      <c r="C54" s="150"/>
      <c r="D54" s="150"/>
      <c r="E54" s="150"/>
      <c r="F54" s="150"/>
      <c r="G54" s="150"/>
      <c r="H54" s="150"/>
      <c r="I54" s="150"/>
    </row>
    <row r="55" ht="20.25" spans="1:9">
      <c r="A55" s="150"/>
      <c r="B55" s="150"/>
      <c r="C55" s="150"/>
      <c r="D55" s="150"/>
      <c r="E55" s="150"/>
      <c r="F55" s="150"/>
      <c r="G55" s="150"/>
      <c r="H55" s="150"/>
      <c r="I55" s="150"/>
    </row>
    <row r="56" ht="20.25" spans="1:9">
      <c r="A56" s="150"/>
      <c r="B56" s="150"/>
      <c r="C56" s="150"/>
      <c r="D56" s="150"/>
      <c r="E56" s="150"/>
      <c r="F56" s="150"/>
      <c r="G56" s="150"/>
      <c r="H56" s="150"/>
      <c r="I56" s="150"/>
    </row>
    <row r="57" ht="20.25" spans="1:9">
      <c r="A57" s="150"/>
      <c r="B57" s="150"/>
      <c r="C57" s="150"/>
      <c r="D57" s="150"/>
      <c r="E57" s="150"/>
      <c r="F57" s="150"/>
      <c r="G57" s="150"/>
      <c r="H57" s="150"/>
      <c r="I57" s="150"/>
    </row>
    <row r="58" ht="20.25" spans="1:9">
      <c r="A58" s="150"/>
      <c r="B58" s="150"/>
      <c r="C58" s="150"/>
      <c r="D58" s="150"/>
      <c r="E58" s="150"/>
      <c r="F58" s="150"/>
      <c r="G58" s="150"/>
      <c r="H58" s="150"/>
      <c r="I58" s="150"/>
    </row>
    <row r="59" ht="20.25" spans="1:9">
      <c r="A59" s="150"/>
      <c r="B59" s="150"/>
      <c r="C59" s="150"/>
      <c r="D59" s="150"/>
      <c r="E59" s="150"/>
      <c r="F59" s="150"/>
      <c r="G59" s="150"/>
      <c r="H59" s="150"/>
      <c r="I59" s="150"/>
    </row>
    <row r="60" ht="20.25" spans="1:9">
      <c r="A60" s="150"/>
      <c r="B60" s="150"/>
      <c r="C60" s="150"/>
      <c r="D60" s="150"/>
      <c r="E60" s="150"/>
      <c r="F60" s="150"/>
      <c r="G60" s="150"/>
      <c r="H60" s="150"/>
      <c r="I60" s="150"/>
    </row>
    <row r="61" ht="20.25" spans="1:9">
      <c r="A61" s="150"/>
      <c r="B61" s="150"/>
      <c r="C61" s="150"/>
      <c r="D61" s="150"/>
      <c r="E61" s="150"/>
      <c r="F61" s="150"/>
      <c r="G61" s="150"/>
      <c r="H61" s="150"/>
      <c r="I61" s="150"/>
    </row>
    <row r="62" ht="20.25" spans="1:9">
      <c r="A62" s="150"/>
      <c r="B62" s="150"/>
      <c r="C62" s="150"/>
      <c r="D62" s="150"/>
      <c r="E62" s="150"/>
      <c r="F62" s="150"/>
      <c r="G62" s="150"/>
      <c r="H62" s="150"/>
      <c r="I62" s="150"/>
    </row>
    <row r="63" ht="20.25" spans="1:9">
      <c r="A63" s="150"/>
      <c r="B63" s="150"/>
      <c r="C63" s="150"/>
      <c r="D63" s="150"/>
      <c r="E63" s="150"/>
      <c r="F63" s="150"/>
      <c r="G63" s="150"/>
      <c r="H63" s="150"/>
      <c r="I63" s="150"/>
    </row>
    <row r="64" ht="20.25" spans="1:9">
      <c r="A64" s="150"/>
      <c r="B64" s="150"/>
      <c r="C64" s="150"/>
      <c r="D64" s="150"/>
      <c r="E64" s="150"/>
      <c r="F64" s="150"/>
      <c r="G64" s="150"/>
      <c r="H64" s="150"/>
      <c r="I64" s="150"/>
    </row>
    <row r="65" ht="20.25" spans="1:9">
      <c r="A65" s="150"/>
      <c r="B65" s="150"/>
      <c r="C65" s="150"/>
      <c r="D65" s="150"/>
      <c r="E65" s="150"/>
      <c r="F65" s="150"/>
      <c r="G65" s="150"/>
      <c r="H65" s="150"/>
      <c r="I65" s="150"/>
    </row>
    <row r="66" ht="20.25" spans="1:9">
      <c r="A66" s="150"/>
      <c r="B66" s="150"/>
      <c r="C66" s="150"/>
      <c r="D66" s="150"/>
      <c r="E66" s="150"/>
      <c r="F66" s="150"/>
      <c r="G66" s="150"/>
      <c r="H66" s="150"/>
      <c r="I66" s="150"/>
    </row>
    <row r="67" ht="20.25" spans="1:9">
      <c r="A67" s="150"/>
      <c r="B67" s="150"/>
      <c r="C67" s="150"/>
      <c r="D67" s="150"/>
      <c r="E67" s="150"/>
      <c r="F67" s="150"/>
      <c r="G67" s="150"/>
      <c r="H67" s="150"/>
      <c r="I67" s="150"/>
    </row>
    <row r="68" ht="20.25" spans="1:9">
      <c r="A68" s="150"/>
      <c r="B68" s="150"/>
      <c r="C68" s="150"/>
      <c r="D68" s="150"/>
      <c r="E68" s="150"/>
      <c r="F68" s="150"/>
      <c r="G68" s="150"/>
      <c r="H68" s="150"/>
      <c r="I68" s="150"/>
    </row>
    <row r="69" ht="20.25" spans="1:9">
      <c r="A69" s="150"/>
      <c r="B69" s="150"/>
      <c r="C69" s="150"/>
      <c r="D69" s="150"/>
      <c r="E69" s="150"/>
      <c r="F69" s="150"/>
      <c r="G69" s="150"/>
      <c r="H69" s="150"/>
      <c r="I69" s="150"/>
    </row>
    <row r="70" ht="20.25" spans="1:9">
      <c r="A70" s="150"/>
      <c r="B70" s="150"/>
      <c r="C70" s="150"/>
      <c r="D70" s="150"/>
      <c r="E70" s="150"/>
      <c r="F70" s="150"/>
      <c r="G70" s="150"/>
      <c r="H70" s="150"/>
      <c r="I70" s="150"/>
    </row>
    <row r="71" ht="20.25" spans="1:9">
      <c r="A71" s="150"/>
      <c r="B71" s="150"/>
      <c r="C71" s="150"/>
      <c r="D71" s="150"/>
      <c r="E71" s="150"/>
      <c r="F71" s="150"/>
      <c r="G71" s="150"/>
      <c r="H71" s="150"/>
      <c r="I71" s="150"/>
    </row>
    <row r="72" ht="20.25" spans="1:9">
      <c r="A72" s="150"/>
      <c r="B72" s="150"/>
      <c r="C72" s="150"/>
      <c r="D72" s="150"/>
      <c r="E72" s="150"/>
      <c r="F72" s="150"/>
      <c r="G72" s="150"/>
      <c r="H72" s="150"/>
      <c r="I72" s="150"/>
    </row>
    <row r="73" ht="20.25" spans="1:9">
      <c r="A73" s="150"/>
      <c r="B73" s="150"/>
      <c r="C73" s="150"/>
      <c r="D73" s="150"/>
      <c r="E73" s="150"/>
      <c r="F73" s="150"/>
      <c r="G73" s="150"/>
      <c r="H73" s="150"/>
      <c r="I73" s="150"/>
    </row>
    <row r="74" ht="20.25" spans="1:9">
      <c r="A74" s="150"/>
      <c r="B74" s="150"/>
      <c r="C74" s="150"/>
      <c r="D74" s="150"/>
      <c r="E74" s="150"/>
      <c r="F74" s="150"/>
      <c r="G74" s="150"/>
      <c r="H74" s="150"/>
      <c r="I74" s="150"/>
    </row>
    <row r="75" ht="20.25" spans="1:9">
      <c r="A75" s="150"/>
      <c r="B75" s="150"/>
      <c r="C75" s="150"/>
      <c r="D75" s="150"/>
      <c r="E75" s="150"/>
      <c r="F75" s="150"/>
      <c r="G75" s="150"/>
      <c r="H75" s="150"/>
      <c r="I75" s="150"/>
    </row>
    <row r="76" ht="20.25" spans="1:9">
      <c r="A76" s="150"/>
      <c r="B76" s="150"/>
      <c r="C76" s="150"/>
      <c r="D76" s="150"/>
      <c r="E76" s="150"/>
      <c r="F76" s="150"/>
      <c r="G76" s="150"/>
      <c r="H76" s="150"/>
      <c r="I76" s="150"/>
    </row>
    <row r="77" ht="20.25" spans="1:9">
      <c r="A77" s="150"/>
      <c r="B77" s="150"/>
      <c r="C77" s="150"/>
      <c r="D77" s="150"/>
      <c r="E77" s="150"/>
      <c r="F77" s="150"/>
      <c r="G77" s="150"/>
      <c r="H77" s="150"/>
      <c r="I77" s="150"/>
    </row>
    <row r="78" ht="20.25" spans="1:9">
      <c r="A78" s="150"/>
      <c r="B78" s="150"/>
      <c r="C78" s="150"/>
      <c r="D78" s="150"/>
      <c r="E78" s="150"/>
      <c r="F78" s="150"/>
      <c r="G78" s="150"/>
      <c r="H78" s="150"/>
      <c r="I78" s="150"/>
    </row>
    <row r="79" ht="20.25" spans="1:9">
      <c r="A79" s="150"/>
      <c r="B79" s="150"/>
      <c r="C79" s="150"/>
      <c r="D79" s="150"/>
      <c r="E79" s="150"/>
      <c r="F79" s="150"/>
      <c r="G79" s="150"/>
      <c r="H79" s="150"/>
      <c r="I79" s="150"/>
    </row>
    <row r="80" ht="20.25" spans="1:9">
      <c r="A80" s="150"/>
      <c r="B80" s="150"/>
      <c r="C80" s="150"/>
      <c r="D80" s="150"/>
      <c r="E80" s="150"/>
      <c r="F80" s="150"/>
      <c r="G80" s="150"/>
      <c r="H80" s="150"/>
      <c r="I80" s="150"/>
    </row>
    <row r="81" ht="20.25" spans="1:9">
      <c r="A81" s="150"/>
      <c r="B81" s="150"/>
      <c r="C81" s="150"/>
      <c r="D81" s="150"/>
      <c r="E81" s="150"/>
      <c r="F81" s="150"/>
      <c r="G81" s="150"/>
      <c r="H81" s="150"/>
      <c r="I81" s="150"/>
    </row>
    <row r="82" ht="20.25" spans="1:9">
      <c r="A82" s="150"/>
      <c r="B82" s="150"/>
      <c r="C82" s="150"/>
      <c r="D82" s="150"/>
      <c r="E82" s="150"/>
      <c r="F82" s="150"/>
      <c r="G82" s="150"/>
      <c r="H82" s="150"/>
      <c r="I82" s="150"/>
    </row>
    <row r="83" ht="20.25" spans="1:9">
      <c r="A83" s="150"/>
      <c r="B83" s="150"/>
      <c r="C83" s="150"/>
      <c r="D83" s="150"/>
      <c r="E83" s="150"/>
      <c r="F83" s="150"/>
      <c r="G83" s="150"/>
      <c r="H83" s="150"/>
      <c r="I83" s="150"/>
    </row>
    <row r="84" ht="20.25" spans="1:9">
      <c r="A84" s="150"/>
      <c r="B84" s="150"/>
      <c r="C84" s="150"/>
      <c r="D84" s="150"/>
      <c r="E84" s="150"/>
      <c r="F84" s="150"/>
      <c r="G84" s="150"/>
      <c r="H84" s="150"/>
      <c r="I84" s="150"/>
    </row>
    <row r="85" ht="20.25" spans="1:9">
      <c r="A85" s="150"/>
      <c r="B85" s="150"/>
      <c r="C85" s="150"/>
      <c r="D85" s="150"/>
      <c r="E85" s="150"/>
      <c r="F85" s="150"/>
      <c r="G85" s="150"/>
      <c r="H85" s="150"/>
      <c r="I85" s="150"/>
    </row>
    <row r="86" ht="20.25" spans="1:9">
      <c r="A86" s="150"/>
      <c r="B86" s="150"/>
      <c r="C86" s="150"/>
      <c r="D86" s="150"/>
      <c r="E86" s="150"/>
      <c r="F86" s="150"/>
      <c r="G86" s="150"/>
      <c r="H86" s="150"/>
      <c r="I86" s="150"/>
    </row>
    <row r="87" ht="20.25" spans="1:9">
      <c r="A87" s="150"/>
      <c r="B87" s="150"/>
      <c r="C87" s="150"/>
      <c r="D87" s="150"/>
      <c r="E87" s="150"/>
      <c r="F87" s="150"/>
      <c r="G87" s="150"/>
      <c r="H87" s="150"/>
      <c r="I87" s="150"/>
    </row>
    <row r="88" ht="20.25" spans="1:9">
      <c r="A88" s="150"/>
      <c r="B88" s="150"/>
      <c r="C88" s="150"/>
      <c r="D88" s="150"/>
      <c r="E88" s="150"/>
      <c r="F88" s="150"/>
      <c r="G88" s="150"/>
      <c r="H88" s="150"/>
      <c r="I88" s="150"/>
    </row>
    <row r="89" ht="20.25" spans="1:9">
      <c r="A89" s="150"/>
      <c r="B89" s="150"/>
      <c r="C89" s="150"/>
      <c r="D89" s="150"/>
      <c r="E89" s="150"/>
      <c r="F89" s="150"/>
      <c r="G89" s="150"/>
      <c r="H89" s="150"/>
      <c r="I89" s="150"/>
    </row>
    <row r="90" ht="20.25" spans="1:9">
      <c r="A90" s="150"/>
      <c r="B90" s="150"/>
      <c r="C90" s="150"/>
      <c r="D90" s="150"/>
      <c r="E90" s="150"/>
      <c r="F90" s="150"/>
      <c r="G90" s="150"/>
      <c r="H90" s="150"/>
      <c r="I90" s="150"/>
    </row>
    <row r="91" ht="20.25" spans="1:9">
      <c r="A91" s="150"/>
      <c r="B91" s="150"/>
      <c r="C91" s="150"/>
      <c r="D91" s="150"/>
      <c r="E91" s="150"/>
      <c r="F91" s="150"/>
      <c r="G91" s="150"/>
      <c r="H91" s="150"/>
      <c r="I91" s="150"/>
    </row>
    <row r="92" ht="20.25" spans="1:9">
      <c r="A92" s="150"/>
      <c r="B92" s="150"/>
      <c r="C92" s="150"/>
      <c r="D92" s="150"/>
      <c r="E92" s="150"/>
      <c r="F92" s="150"/>
      <c r="G92" s="150"/>
      <c r="H92" s="150"/>
      <c r="I92" s="150"/>
    </row>
    <row r="93" ht="20.25" spans="1:9">
      <c r="A93" s="150"/>
      <c r="B93" s="150"/>
      <c r="C93" s="150"/>
      <c r="D93" s="150"/>
      <c r="E93" s="150"/>
      <c r="F93" s="150"/>
      <c r="G93" s="150"/>
      <c r="H93" s="150"/>
      <c r="I93" s="150"/>
    </row>
    <row r="94" ht="20.25" spans="1:9">
      <c r="A94" s="150"/>
      <c r="B94" s="150"/>
      <c r="C94" s="150"/>
      <c r="D94" s="150"/>
      <c r="E94" s="150"/>
      <c r="F94" s="150"/>
      <c r="G94" s="150"/>
      <c r="H94" s="150"/>
      <c r="I94" s="150"/>
    </row>
    <row r="95" ht="20.25" spans="1:9">
      <c r="A95" s="150"/>
      <c r="B95" s="150"/>
      <c r="C95" s="150"/>
      <c r="D95" s="150"/>
      <c r="E95" s="150"/>
      <c r="F95" s="150"/>
      <c r="G95" s="150"/>
      <c r="H95" s="150"/>
      <c r="I95" s="150"/>
    </row>
    <row r="96" ht="20.25" spans="1:9">
      <c r="A96" s="150"/>
      <c r="B96" s="150"/>
      <c r="C96" s="150"/>
      <c r="D96" s="150"/>
      <c r="E96" s="150"/>
      <c r="F96" s="150"/>
      <c r="G96" s="150"/>
      <c r="H96" s="150"/>
      <c r="I96" s="150"/>
    </row>
    <row r="97" ht="20.25" spans="1:9">
      <c r="A97" s="150"/>
      <c r="B97" s="150"/>
      <c r="C97" s="150"/>
      <c r="D97" s="150"/>
      <c r="E97" s="150"/>
      <c r="F97" s="150"/>
      <c r="G97" s="150"/>
      <c r="H97" s="150"/>
      <c r="I97" s="150"/>
    </row>
    <row r="98" ht="20.25" spans="1:9">
      <c r="A98" s="150"/>
      <c r="B98" s="150"/>
      <c r="C98" s="150"/>
      <c r="D98" s="150"/>
      <c r="E98" s="150"/>
      <c r="F98" s="150"/>
      <c r="G98" s="150"/>
      <c r="H98" s="150"/>
      <c r="I98" s="150"/>
    </row>
    <row r="99" ht="20.25" spans="1:9">
      <c r="A99" s="150"/>
      <c r="B99" s="150"/>
      <c r="C99" s="150"/>
      <c r="D99" s="150"/>
      <c r="E99" s="150"/>
      <c r="F99" s="150"/>
      <c r="G99" s="150"/>
      <c r="H99" s="150"/>
      <c r="I99" s="150"/>
    </row>
    <row r="100" ht="20.25" spans="1:9">
      <c r="A100" s="150"/>
      <c r="B100" s="150"/>
      <c r="C100" s="150"/>
      <c r="D100" s="150"/>
      <c r="E100" s="150"/>
      <c r="F100" s="150"/>
      <c r="G100" s="150"/>
      <c r="H100" s="150"/>
      <c r="I100" s="150"/>
    </row>
    <row r="101" ht="20.25" spans="1:9">
      <c r="A101" s="150"/>
      <c r="B101" s="150"/>
      <c r="C101" s="150"/>
      <c r="D101" s="150"/>
      <c r="E101" s="150"/>
      <c r="F101" s="150"/>
      <c r="G101" s="150"/>
      <c r="H101" s="150"/>
      <c r="I101" s="150"/>
    </row>
    <row r="102" ht="20.25" spans="1:9">
      <c r="A102" s="150"/>
      <c r="B102" s="150"/>
      <c r="C102" s="150"/>
      <c r="D102" s="150"/>
      <c r="E102" s="150"/>
      <c r="F102" s="150"/>
      <c r="G102" s="150"/>
      <c r="H102" s="150"/>
      <c r="I102" s="150"/>
    </row>
    <row r="103" ht="20.25" spans="1:9">
      <c r="A103" s="150"/>
      <c r="B103" s="150"/>
      <c r="C103" s="150"/>
      <c r="D103" s="150"/>
      <c r="E103" s="150"/>
      <c r="F103" s="150"/>
      <c r="G103" s="150"/>
      <c r="H103" s="150"/>
      <c r="I103" s="150"/>
    </row>
    <row r="104" ht="20.25" spans="1:9">
      <c r="A104" s="150"/>
      <c r="B104" s="150"/>
      <c r="C104" s="150"/>
      <c r="D104" s="150"/>
      <c r="E104" s="150"/>
      <c r="F104" s="150"/>
      <c r="G104" s="150"/>
      <c r="H104" s="150"/>
      <c r="I104" s="150"/>
    </row>
    <row r="105" ht="20.25" spans="1:9">
      <c r="A105" s="150"/>
      <c r="B105" s="150"/>
      <c r="C105" s="150"/>
      <c r="D105" s="150"/>
      <c r="E105" s="150"/>
      <c r="F105" s="150"/>
      <c r="G105" s="150"/>
      <c r="H105" s="150"/>
      <c r="I105" s="150"/>
    </row>
    <row r="106" ht="20.25" spans="1:9">
      <c r="A106" s="150"/>
      <c r="B106" s="150"/>
      <c r="C106" s="150"/>
      <c r="D106" s="150"/>
      <c r="E106" s="150"/>
      <c r="F106" s="150"/>
      <c r="G106" s="150"/>
      <c r="H106" s="150"/>
      <c r="I106" s="150"/>
    </row>
    <row r="107" ht="20.25" spans="1:9">
      <c r="A107" s="150"/>
      <c r="B107" s="150"/>
      <c r="C107" s="150"/>
      <c r="D107" s="150"/>
      <c r="E107" s="150"/>
      <c r="F107" s="150"/>
      <c r="G107" s="150"/>
      <c r="H107" s="150"/>
      <c r="I107" s="150"/>
    </row>
    <row r="108" ht="20.25" spans="1:9">
      <c r="A108" s="150"/>
      <c r="B108" s="150"/>
      <c r="C108" s="150"/>
      <c r="D108" s="150"/>
      <c r="E108" s="150"/>
      <c r="F108" s="150"/>
      <c r="G108" s="150"/>
      <c r="H108" s="150"/>
      <c r="I108" s="150"/>
    </row>
    <row r="109" ht="20.25" spans="1:9">
      <c r="A109" s="150"/>
      <c r="B109" s="150"/>
      <c r="C109" s="150"/>
      <c r="D109" s="150"/>
      <c r="E109" s="150"/>
      <c r="F109" s="150"/>
      <c r="G109" s="150"/>
      <c r="H109" s="150"/>
      <c r="I109" s="150"/>
    </row>
    <row r="110" ht="20.25" spans="1:9">
      <c r="A110" s="150"/>
      <c r="B110" s="150"/>
      <c r="C110" s="150"/>
      <c r="D110" s="150"/>
      <c r="E110" s="150"/>
      <c r="F110" s="150"/>
      <c r="G110" s="150"/>
      <c r="H110" s="150"/>
      <c r="I110" s="150"/>
    </row>
    <row r="111" ht="20.25" spans="1:9">
      <c r="A111" s="150"/>
      <c r="B111" s="150"/>
      <c r="C111" s="150"/>
      <c r="D111" s="150"/>
      <c r="E111" s="150"/>
      <c r="F111" s="150"/>
      <c r="G111" s="150"/>
      <c r="H111" s="150"/>
      <c r="I111" s="150"/>
    </row>
    <row r="112" ht="20.25" spans="1:9">
      <c r="A112" s="150"/>
      <c r="B112" s="150"/>
      <c r="C112" s="150"/>
      <c r="D112" s="150"/>
      <c r="E112" s="150"/>
      <c r="F112" s="150"/>
      <c r="G112" s="150"/>
      <c r="H112" s="150"/>
      <c r="I112" s="150"/>
    </row>
    <row r="113" ht="20.25" spans="1:9">
      <c r="A113" s="150"/>
      <c r="B113" s="150"/>
      <c r="C113" s="150"/>
      <c r="D113" s="150"/>
      <c r="E113" s="150"/>
      <c r="F113" s="150"/>
      <c r="G113" s="150"/>
      <c r="H113" s="150"/>
      <c r="I113" s="150"/>
    </row>
    <row r="114" ht="20.25" spans="1:9">
      <c r="A114" s="150"/>
      <c r="B114" s="150"/>
      <c r="C114" s="150"/>
      <c r="D114" s="150"/>
      <c r="E114" s="150"/>
      <c r="F114" s="150"/>
      <c r="G114" s="150"/>
      <c r="H114" s="150"/>
      <c r="I114" s="150"/>
    </row>
    <row r="115" ht="20.25" spans="1:9">
      <c r="A115" s="150"/>
      <c r="B115" s="150"/>
      <c r="C115" s="150"/>
      <c r="D115" s="150"/>
      <c r="E115" s="150"/>
      <c r="F115" s="150"/>
      <c r="G115" s="150"/>
      <c r="H115" s="150"/>
      <c r="I115" s="150"/>
    </row>
    <row r="116" ht="20.25" spans="1:9">
      <c r="A116" s="150"/>
      <c r="B116" s="150"/>
      <c r="C116" s="150"/>
      <c r="D116" s="150"/>
      <c r="E116" s="150"/>
      <c r="F116" s="150"/>
      <c r="G116" s="150"/>
      <c r="H116" s="150"/>
      <c r="I116" s="150"/>
    </row>
    <row r="117" ht="20.25" spans="1:9">
      <c r="A117" s="150"/>
      <c r="B117" s="150"/>
      <c r="C117" s="150"/>
      <c r="D117" s="150"/>
      <c r="E117" s="150"/>
      <c r="F117" s="150"/>
      <c r="G117" s="150"/>
      <c r="H117" s="150"/>
      <c r="I117" s="150"/>
    </row>
    <row r="118" ht="20.25" spans="1:9">
      <c r="A118" s="150"/>
      <c r="B118" s="150"/>
      <c r="C118" s="150"/>
      <c r="D118" s="150"/>
      <c r="E118" s="150"/>
      <c r="F118" s="150"/>
      <c r="G118" s="150"/>
      <c r="H118" s="150"/>
      <c r="I118" s="150"/>
    </row>
    <row r="119" ht="20.25" spans="1:9">
      <c r="A119" s="150"/>
      <c r="B119" s="150"/>
      <c r="C119" s="150"/>
      <c r="D119" s="150"/>
      <c r="E119" s="150"/>
      <c r="F119" s="150"/>
      <c r="G119" s="150"/>
      <c r="H119" s="150"/>
      <c r="I119" s="150"/>
    </row>
    <row r="120" ht="20.25" spans="1:9">
      <c r="A120" s="150"/>
      <c r="B120" s="150"/>
      <c r="C120" s="150"/>
      <c r="D120" s="150"/>
      <c r="E120" s="150"/>
      <c r="F120" s="150"/>
      <c r="G120" s="150"/>
      <c r="H120" s="150"/>
      <c r="I120" s="150"/>
    </row>
    <row r="121" ht="20.25" spans="1:9">
      <c r="A121" s="150"/>
      <c r="B121" s="150"/>
      <c r="C121" s="150"/>
      <c r="D121" s="150"/>
      <c r="E121" s="150"/>
      <c r="F121" s="150"/>
      <c r="G121" s="150"/>
      <c r="H121" s="150"/>
      <c r="I121" s="150"/>
    </row>
    <row r="122" ht="20.25" spans="1:9">
      <c r="A122" s="150"/>
      <c r="B122" s="150"/>
      <c r="C122" s="150"/>
      <c r="D122" s="150"/>
      <c r="E122" s="150"/>
      <c r="F122" s="150"/>
      <c r="G122" s="150"/>
      <c r="H122" s="150"/>
      <c r="I122" s="150"/>
    </row>
    <row r="123" ht="20.25" spans="1:9">
      <c r="A123" s="150"/>
      <c r="B123" s="150"/>
      <c r="C123" s="150"/>
      <c r="D123" s="150"/>
      <c r="E123" s="150"/>
      <c r="F123" s="150"/>
      <c r="G123" s="150"/>
      <c r="H123" s="150"/>
      <c r="I123" s="150"/>
    </row>
    <row r="124" ht="20.25" spans="1:9">
      <c r="A124" s="150"/>
      <c r="B124" s="150"/>
      <c r="C124" s="150"/>
      <c r="D124" s="150"/>
      <c r="E124" s="150"/>
      <c r="F124" s="150"/>
      <c r="G124" s="150"/>
      <c r="H124" s="150"/>
      <c r="I124" s="150"/>
    </row>
    <row r="125" ht="20.25" spans="1:9">
      <c r="A125" s="150"/>
      <c r="B125" s="150"/>
      <c r="C125" s="150"/>
      <c r="D125" s="150"/>
      <c r="E125" s="150"/>
      <c r="F125" s="150"/>
      <c r="G125" s="150"/>
      <c r="H125" s="150"/>
      <c r="I125" s="150"/>
    </row>
    <row r="126" ht="20.25" spans="1:9">
      <c r="A126" s="150"/>
      <c r="B126" s="150"/>
      <c r="C126" s="150"/>
      <c r="D126" s="150"/>
      <c r="E126" s="150"/>
      <c r="F126" s="150"/>
      <c r="G126" s="150"/>
      <c r="H126" s="150"/>
      <c r="I126" s="150"/>
    </row>
    <row r="127" ht="20.25" spans="1:9">
      <c r="A127" s="150"/>
      <c r="B127" s="150"/>
      <c r="C127" s="150"/>
      <c r="D127" s="150"/>
      <c r="E127" s="150"/>
      <c r="F127" s="150"/>
      <c r="G127" s="150"/>
      <c r="H127" s="150"/>
      <c r="I127" s="150"/>
    </row>
    <row r="128" ht="20.25" spans="1:9">
      <c r="A128" s="150"/>
      <c r="B128" s="150"/>
      <c r="C128" s="150"/>
      <c r="D128" s="150"/>
      <c r="E128" s="150"/>
      <c r="F128" s="150"/>
      <c r="G128" s="150"/>
      <c r="H128" s="150"/>
      <c r="I128" s="150"/>
    </row>
    <row r="129" ht="20.25" spans="1:9">
      <c r="A129" s="150"/>
      <c r="B129" s="150"/>
      <c r="C129" s="150"/>
      <c r="D129" s="150"/>
      <c r="E129" s="150"/>
      <c r="F129" s="150"/>
      <c r="G129" s="150"/>
      <c r="H129" s="150"/>
      <c r="I129" s="150"/>
    </row>
    <row r="130" ht="20.25" spans="1:9">
      <c r="A130" s="150"/>
      <c r="B130" s="150"/>
      <c r="C130" s="150"/>
      <c r="D130" s="150"/>
      <c r="E130" s="150"/>
      <c r="F130" s="150"/>
      <c r="G130" s="150"/>
      <c r="H130" s="150"/>
      <c r="I130" s="150"/>
    </row>
    <row r="131" ht="20.25" spans="1:9">
      <c r="A131" s="150"/>
      <c r="B131" s="150"/>
      <c r="C131" s="150"/>
      <c r="D131" s="150"/>
      <c r="E131" s="150"/>
      <c r="F131" s="150"/>
      <c r="G131" s="150"/>
      <c r="H131" s="150"/>
      <c r="I131" s="150"/>
    </row>
    <row r="132" ht="20.25" spans="1:9">
      <c r="A132" s="150"/>
      <c r="B132" s="150"/>
      <c r="C132" s="150"/>
      <c r="D132" s="150"/>
      <c r="E132" s="150"/>
      <c r="F132" s="150"/>
      <c r="G132" s="150"/>
      <c r="H132" s="150"/>
      <c r="I132" s="150"/>
    </row>
    <row r="133" ht="20.25" spans="1:9">
      <c r="A133" s="150"/>
      <c r="B133" s="150"/>
      <c r="C133" s="150"/>
      <c r="D133" s="150"/>
      <c r="E133" s="150"/>
      <c r="F133" s="150"/>
      <c r="G133" s="150"/>
      <c r="H133" s="150"/>
      <c r="I133" s="150"/>
    </row>
    <row r="134" ht="20.25" spans="1:9">
      <c r="A134" s="150"/>
      <c r="B134" s="150"/>
      <c r="C134" s="150"/>
      <c r="D134" s="150"/>
      <c r="E134" s="150"/>
      <c r="F134" s="150"/>
      <c r="G134" s="150"/>
      <c r="H134" s="150"/>
      <c r="I134" s="150"/>
    </row>
    <row r="135" ht="20.25" spans="1:9">
      <c r="A135" s="150"/>
      <c r="B135" s="150"/>
      <c r="C135" s="150"/>
      <c r="D135" s="150"/>
      <c r="E135" s="150"/>
      <c r="F135" s="150"/>
      <c r="G135" s="150"/>
      <c r="H135" s="150"/>
      <c r="I135" s="150"/>
    </row>
    <row r="136" ht="20.25" spans="1:9">
      <c r="A136" s="150"/>
      <c r="B136" s="150"/>
      <c r="C136" s="150"/>
      <c r="D136" s="150"/>
      <c r="E136" s="150"/>
      <c r="F136" s="150"/>
      <c r="G136" s="150"/>
      <c r="H136" s="150"/>
      <c r="I136" s="150"/>
    </row>
    <row r="137" ht="20.25" spans="1:9">
      <c r="A137" s="150"/>
      <c r="B137" s="150"/>
      <c r="C137" s="150"/>
      <c r="D137" s="150"/>
      <c r="E137" s="150"/>
      <c r="F137" s="150"/>
      <c r="G137" s="150"/>
      <c r="H137" s="150"/>
      <c r="I137" s="150"/>
    </row>
    <row r="138" ht="20.25" spans="1:9">
      <c r="A138" s="150"/>
      <c r="B138" s="150"/>
      <c r="C138" s="150"/>
      <c r="D138" s="150"/>
      <c r="E138" s="150"/>
      <c r="F138" s="150"/>
      <c r="G138" s="150"/>
      <c r="H138" s="150"/>
      <c r="I138" s="150"/>
    </row>
    <row r="139" ht="20.25" spans="1:9">
      <c r="A139" s="150"/>
      <c r="B139" s="150"/>
      <c r="C139" s="150"/>
      <c r="D139" s="150"/>
      <c r="E139" s="150"/>
      <c r="F139" s="150"/>
      <c r="G139" s="150"/>
      <c r="H139" s="150"/>
      <c r="I139" s="150"/>
    </row>
    <row r="140" ht="20.25" spans="1:9">
      <c r="A140" s="150"/>
      <c r="B140" s="150"/>
      <c r="C140" s="150"/>
      <c r="D140" s="150"/>
      <c r="E140" s="150"/>
      <c r="F140" s="150"/>
      <c r="G140" s="150"/>
      <c r="H140" s="150"/>
      <c r="I140" s="150"/>
    </row>
    <row r="141" ht="20.25" spans="1:9">
      <c r="A141" s="150"/>
      <c r="B141" s="150"/>
      <c r="C141" s="150"/>
      <c r="D141" s="150"/>
      <c r="E141" s="150"/>
      <c r="F141" s="150"/>
      <c r="G141" s="150"/>
      <c r="H141" s="150"/>
      <c r="I141" s="150"/>
    </row>
    <row r="142" ht="20.25" spans="1:9">
      <c r="A142" s="150"/>
      <c r="B142" s="150"/>
      <c r="C142" s="150"/>
      <c r="D142" s="150"/>
      <c r="E142" s="150"/>
      <c r="F142" s="150"/>
      <c r="G142" s="150"/>
      <c r="H142" s="150"/>
      <c r="I142" s="150"/>
    </row>
    <row r="143" ht="20.25" spans="1:9">
      <c r="A143" s="150"/>
      <c r="B143" s="150"/>
      <c r="C143" s="150"/>
      <c r="D143" s="150"/>
      <c r="E143" s="150"/>
      <c r="F143" s="150"/>
      <c r="G143" s="150"/>
      <c r="H143" s="150"/>
      <c r="I143" s="150"/>
    </row>
    <row r="144" ht="20.25" spans="1:9">
      <c r="A144" s="150"/>
      <c r="B144" s="150"/>
      <c r="C144" s="150"/>
      <c r="D144" s="150"/>
      <c r="E144" s="150"/>
      <c r="F144" s="150"/>
      <c r="G144" s="150"/>
      <c r="H144" s="150"/>
      <c r="I144" s="150"/>
    </row>
    <row r="145" ht="20.25" spans="1:9">
      <c r="A145" s="150"/>
      <c r="B145" s="150"/>
      <c r="C145" s="150"/>
      <c r="D145" s="150"/>
      <c r="E145" s="150"/>
      <c r="F145" s="150"/>
      <c r="G145" s="150"/>
      <c r="H145" s="150"/>
      <c r="I145" s="150"/>
    </row>
    <row r="146" ht="20.25" spans="1:9">
      <c r="A146" s="150"/>
      <c r="B146" s="150"/>
      <c r="C146" s="150"/>
      <c r="D146" s="150"/>
      <c r="E146" s="150"/>
      <c r="F146" s="150"/>
      <c r="G146" s="150"/>
      <c r="H146" s="150"/>
      <c r="I146" s="150"/>
    </row>
    <row r="147" ht="20.25" spans="1:9">
      <c r="A147" s="150"/>
      <c r="B147" s="150"/>
      <c r="C147" s="150"/>
      <c r="D147" s="150"/>
      <c r="E147" s="150"/>
      <c r="F147" s="150"/>
      <c r="G147" s="150"/>
      <c r="H147" s="150"/>
      <c r="I147" s="150"/>
    </row>
    <row r="148" ht="20.25" spans="1:9">
      <c r="A148" s="150"/>
      <c r="B148" s="150"/>
      <c r="C148" s="150"/>
      <c r="D148" s="150"/>
      <c r="E148" s="150"/>
      <c r="F148" s="150"/>
      <c r="G148" s="150"/>
      <c r="H148" s="150"/>
      <c r="I148" s="150"/>
    </row>
    <row r="149" ht="20.25" spans="1:9">
      <c r="A149" s="150"/>
      <c r="B149" s="150"/>
      <c r="C149" s="150"/>
      <c r="D149" s="150"/>
      <c r="E149" s="150"/>
      <c r="F149" s="150"/>
      <c r="G149" s="150"/>
      <c r="H149" s="150"/>
      <c r="I149" s="150"/>
    </row>
    <row r="150" ht="20.25" spans="1:9">
      <c r="A150" s="150"/>
      <c r="B150" s="150"/>
      <c r="C150" s="150"/>
      <c r="D150" s="150"/>
      <c r="E150" s="150"/>
      <c r="F150" s="150"/>
      <c r="G150" s="150"/>
      <c r="H150" s="150"/>
      <c r="I150" s="150"/>
    </row>
    <row r="151" ht="20.25" spans="1:9">
      <c r="A151" s="150"/>
      <c r="B151" s="150"/>
      <c r="C151" s="150"/>
      <c r="D151" s="150"/>
      <c r="E151" s="150"/>
      <c r="F151" s="150"/>
      <c r="G151" s="150"/>
      <c r="H151" s="150"/>
      <c r="I151" s="150"/>
    </row>
    <row r="152" ht="20.25" spans="1:9">
      <c r="A152" s="150"/>
      <c r="B152" s="150"/>
      <c r="C152" s="150"/>
      <c r="D152" s="150"/>
      <c r="E152" s="150"/>
      <c r="F152" s="150"/>
      <c r="G152" s="150"/>
      <c r="H152" s="150"/>
      <c r="I152" s="150"/>
    </row>
    <row r="153" ht="20.25" spans="1:9">
      <c r="A153" s="150"/>
      <c r="B153" s="150"/>
      <c r="C153" s="150"/>
      <c r="D153" s="150"/>
      <c r="E153" s="150"/>
      <c r="F153" s="150"/>
      <c r="G153" s="150"/>
      <c r="H153" s="150"/>
      <c r="I153" s="150"/>
    </row>
    <row r="154" ht="20.25" spans="1:9">
      <c r="A154" s="150"/>
      <c r="B154" s="150"/>
      <c r="C154" s="150"/>
      <c r="D154" s="150"/>
      <c r="E154" s="150"/>
      <c r="F154" s="150"/>
      <c r="G154" s="150"/>
      <c r="H154" s="150"/>
      <c r="I154" s="150"/>
    </row>
    <row r="155" ht="20.25" spans="1:9">
      <c r="A155" s="150"/>
      <c r="B155" s="150"/>
      <c r="C155" s="150"/>
      <c r="D155" s="150"/>
      <c r="E155" s="150"/>
      <c r="F155" s="150"/>
      <c r="G155" s="150"/>
      <c r="H155" s="150"/>
      <c r="I155" s="150"/>
    </row>
    <row r="156" ht="20.25" spans="1:9">
      <c r="A156" s="150"/>
      <c r="B156" s="150"/>
      <c r="C156" s="150"/>
      <c r="D156" s="150"/>
      <c r="E156" s="150"/>
      <c r="F156" s="150"/>
      <c r="G156" s="150"/>
      <c r="H156" s="150"/>
      <c r="I156" s="150"/>
    </row>
    <row r="157" ht="20.25" spans="1:9">
      <c r="A157" s="150"/>
      <c r="B157" s="150"/>
      <c r="C157" s="150"/>
      <c r="D157" s="150"/>
      <c r="E157" s="150"/>
      <c r="F157" s="150"/>
      <c r="G157" s="150"/>
      <c r="H157" s="150"/>
      <c r="I157" s="150"/>
    </row>
    <row r="158" ht="20.25" spans="1:9">
      <c r="A158" s="150"/>
      <c r="B158" s="150"/>
      <c r="C158" s="150"/>
      <c r="D158" s="150"/>
      <c r="E158" s="150"/>
      <c r="F158" s="150"/>
      <c r="G158" s="150"/>
      <c r="H158" s="150"/>
      <c r="I158" s="150"/>
    </row>
    <row r="159" ht="20.25" spans="1:9">
      <c r="A159" s="150"/>
      <c r="B159" s="150"/>
      <c r="C159" s="150"/>
      <c r="D159" s="150"/>
      <c r="E159" s="150"/>
      <c r="F159" s="150"/>
      <c r="G159" s="150"/>
      <c r="H159" s="150"/>
      <c r="I159" s="150"/>
    </row>
    <row r="160" ht="20.25" spans="1:9">
      <c r="A160" s="150"/>
      <c r="B160" s="150"/>
      <c r="C160" s="150"/>
      <c r="D160" s="150"/>
      <c r="E160" s="150"/>
      <c r="F160" s="150"/>
      <c r="G160" s="150"/>
      <c r="H160" s="150"/>
      <c r="I160" s="150"/>
    </row>
    <row r="161" ht="20.25" spans="1:9">
      <c r="A161" s="150"/>
      <c r="B161" s="150"/>
      <c r="C161" s="150"/>
      <c r="D161" s="150"/>
      <c r="E161" s="150"/>
      <c r="F161" s="150"/>
      <c r="G161" s="150"/>
      <c r="H161" s="150"/>
      <c r="I161" s="150"/>
    </row>
    <row r="162" ht="20.25" spans="1:9">
      <c r="A162" s="150"/>
      <c r="B162" s="150"/>
      <c r="C162" s="150"/>
      <c r="D162" s="150"/>
      <c r="E162" s="150"/>
      <c r="F162" s="150"/>
      <c r="G162" s="150"/>
      <c r="H162" s="150"/>
      <c r="I162" s="150"/>
    </row>
    <row r="163" ht="20.25" spans="1:9">
      <c r="A163" s="150"/>
      <c r="B163" s="150"/>
      <c r="C163" s="150"/>
      <c r="D163" s="150"/>
      <c r="E163" s="150"/>
      <c r="F163" s="150"/>
      <c r="G163" s="150"/>
      <c r="H163" s="150"/>
      <c r="I163" s="150"/>
    </row>
    <row r="164" ht="20.25" spans="1:9">
      <c r="A164" s="150"/>
      <c r="B164" s="150"/>
      <c r="C164" s="150"/>
      <c r="D164" s="150"/>
      <c r="E164" s="150"/>
      <c r="F164" s="150"/>
      <c r="G164" s="150"/>
      <c r="H164" s="150"/>
      <c r="I164" s="150"/>
    </row>
    <row r="165" ht="20.25" spans="1:9">
      <c r="A165" s="150"/>
      <c r="B165" s="150"/>
      <c r="C165" s="150"/>
      <c r="D165" s="150"/>
      <c r="E165" s="150"/>
      <c r="F165" s="150"/>
      <c r="G165" s="150"/>
      <c r="H165" s="150"/>
      <c r="I165" s="150"/>
    </row>
    <row r="166" ht="20.25" spans="1:9">
      <c r="A166" s="150"/>
      <c r="B166" s="150"/>
      <c r="C166" s="150"/>
      <c r="D166" s="150"/>
      <c r="E166" s="150"/>
      <c r="F166" s="150"/>
      <c r="G166" s="150"/>
      <c r="H166" s="150"/>
      <c r="I166" s="150"/>
    </row>
    <row r="167" ht="20.25" spans="1:9">
      <c r="A167" s="150"/>
      <c r="B167" s="150"/>
      <c r="C167" s="150"/>
      <c r="D167" s="150"/>
      <c r="E167" s="150"/>
      <c r="F167" s="150"/>
      <c r="G167" s="150"/>
      <c r="H167" s="150"/>
      <c r="I167" s="150"/>
    </row>
    <row r="168" ht="20.25" spans="1:9">
      <c r="A168" s="150"/>
      <c r="B168" s="150"/>
      <c r="C168" s="150"/>
      <c r="D168" s="150"/>
      <c r="E168" s="150"/>
      <c r="F168" s="150"/>
      <c r="G168" s="150"/>
      <c r="H168" s="150"/>
      <c r="I168" s="150"/>
    </row>
    <row r="169" ht="20.25" spans="1:9">
      <c r="A169" s="150"/>
      <c r="B169" s="150"/>
      <c r="C169" s="150"/>
      <c r="D169" s="150"/>
      <c r="E169" s="150"/>
      <c r="F169" s="150"/>
      <c r="G169" s="150"/>
      <c r="H169" s="150"/>
      <c r="I169" s="150"/>
    </row>
    <row r="170" ht="20.25" spans="1:9">
      <c r="A170" s="150"/>
      <c r="B170" s="150"/>
      <c r="C170" s="150"/>
      <c r="D170" s="150"/>
      <c r="E170" s="150"/>
      <c r="F170" s="150"/>
      <c r="G170" s="150"/>
      <c r="H170" s="150"/>
      <c r="I170" s="150"/>
    </row>
    <row r="171" ht="20.25" spans="1:9">
      <c r="A171" s="150"/>
      <c r="B171" s="150"/>
      <c r="C171" s="150"/>
      <c r="D171" s="150"/>
      <c r="E171" s="150"/>
      <c r="F171" s="150"/>
      <c r="G171" s="150"/>
      <c r="H171" s="150"/>
      <c r="I171" s="150"/>
    </row>
    <row r="172" ht="20.25" spans="1:9">
      <c r="A172" s="150"/>
      <c r="B172" s="150"/>
      <c r="C172" s="150"/>
      <c r="D172" s="150"/>
      <c r="E172" s="150"/>
      <c r="F172" s="150"/>
      <c r="G172" s="150"/>
      <c r="H172" s="150"/>
      <c r="I172" s="150"/>
    </row>
    <row r="173" ht="20.25" spans="1:9">
      <c r="A173" s="150"/>
      <c r="B173" s="150"/>
      <c r="C173" s="150"/>
      <c r="D173" s="150"/>
      <c r="E173" s="150"/>
      <c r="F173" s="150"/>
      <c r="G173" s="150"/>
      <c r="H173" s="150"/>
      <c r="I173" s="150"/>
    </row>
    <row r="174" ht="20.25" spans="1:9">
      <c r="A174" s="150"/>
      <c r="B174" s="150"/>
      <c r="C174" s="150"/>
      <c r="D174" s="150"/>
      <c r="E174" s="150"/>
      <c r="F174" s="150"/>
      <c r="G174" s="150"/>
      <c r="H174" s="150"/>
      <c r="I174" s="150"/>
    </row>
    <row r="175" ht="20.25" spans="1:9">
      <c r="A175" s="150"/>
      <c r="B175" s="150"/>
      <c r="C175" s="150"/>
      <c r="D175" s="150"/>
      <c r="E175" s="150"/>
      <c r="F175" s="150"/>
      <c r="G175" s="150"/>
      <c r="H175" s="150"/>
      <c r="I175" s="150"/>
    </row>
    <row r="176" ht="20.25" spans="1:9">
      <c r="A176" s="150"/>
      <c r="B176" s="150"/>
      <c r="C176" s="150"/>
      <c r="D176" s="150"/>
      <c r="E176" s="150"/>
      <c r="F176" s="150"/>
      <c r="G176" s="150"/>
      <c r="H176" s="150"/>
      <c r="I176" s="150"/>
    </row>
    <row r="177" ht="20.25" spans="1:9">
      <c r="A177" s="150"/>
      <c r="B177" s="150"/>
      <c r="C177" s="150"/>
      <c r="D177" s="150"/>
      <c r="E177" s="150"/>
      <c r="F177" s="150"/>
      <c r="G177" s="150"/>
      <c r="H177" s="150"/>
      <c r="I177" s="150"/>
    </row>
    <row r="178" ht="20.25" spans="1:9">
      <c r="A178" s="150"/>
      <c r="B178" s="150"/>
      <c r="C178" s="150"/>
      <c r="D178" s="150"/>
      <c r="E178" s="150"/>
      <c r="F178" s="150"/>
      <c r="G178" s="150"/>
      <c r="H178" s="150"/>
      <c r="I178" s="150"/>
    </row>
    <row r="179" ht="20.25" spans="1:9">
      <c r="A179" s="150"/>
      <c r="B179" s="150"/>
      <c r="C179" s="150"/>
      <c r="D179" s="150"/>
      <c r="E179" s="150"/>
      <c r="F179" s="150"/>
      <c r="G179" s="150"/>
      <c r="H179" s="150"/>
      <c r="I179" s="150"/>
    </row>
    <row r="180" ht="20.25" spans="1:9">
      <c r="A180" s="150"/>
      <c r="B180" s="150"/>
      <c r="C180" s="150"/>
      <c r="D180" s="150"/>
      <c r="E180" s="150"/>
      <c r="F180" s="150"/>
      <c r="G180" s="150"/>
      <c r="H180" s="150"/>
      <c r="I180" s="150"/>
    </row>
    <row r="181" ht="20.25" spans="1:9">
      <c r="A181" s="150"/>
      <c r="B181" s="150"/>
      <c r="C181" s="150"/>
      <c r="D181" s="150"/>
      <c r="E181" s="150"/>
      <c r="F181" s="150"/>
      <c r="G181" s="150"/>
      <c r="H181" s="150"/>
      <c r="I181" s="150"/>
    </row>
    <row r="182" ht="20.25" spans="1:9">
      <c r="A182" s="150"/>
      <c r="B182" s="150"/>
      <c r="C182" s="150"/>
      <c r="D182" s="150"/>
      <c r="E182" s="150"/>
      <c r="F182" s="150"/>
      <c r="G182" s="150"/>
      <c r="H182" s="150"/>
      <c r="I182" s="150"/>
    </row>
    <row r="183" ht="20.25" spans="1:9">
      <c r="A183" s="150"/>
      <c r="B183" s="150"/>
      <c r="C183" s="150"/>
      <c r="D183" s="150"/>
      <c r="E183" s="150"/>
      <c r="F183" s="150"/>
      <c r="G183" s="150"/>
      <c r="H183" s="150"/>
      <c r="I183" s="150"/>
    </row>
    <row r="184" ht="20.25" spans="1:9">
      <c r="A184" s="150"/>
      <c r="B184" s="150"/>
      <c r="C184" s="150"/>
      <c r="D184" s="150"/>
      <c r="E184" s="150"/>
      <c r="F184" s="150"/>
      <c r="G184" s="150"/>
      <c r="H184" s="150"/>
      <c r="I184" s="150"/>
    </row>
    <row r="185" ht="20.25" spans="1:9">
      <c r="A185" s="150"/>
      <c r="B185" s="150"/>
      <c r="C185" s="150"/>
      <c r="D185" s="150"/>
      <c r="E185" s="150"/>
      <c r="F185" s="150"/>
      <c r="G185" s="150"/>
      <c r="H185" s="150"/>
      <c r="I185" s="150"/>
    </row>
    <row r="186" ht="20.25" spans="1:9">
      <c r="A186" s="150"/>
      <c r="B186" s="150"/>
      <c r="C186" s="150"/>
      <c r="D186" s="150"/>
      <c r="E186" s="150"/>
      <c r="F186" s="150"/>
      <c r="G186" s="150"/>
      <c r="H186" s="150"/>
      <c r="I186" s="150"/>
    </row>
    <row r="187" ht="20.25" spans="1:9">
      <c r="A187" s="150"/>
      <c r="B187" s="150"/>
      <c r="C187" s="150"/>
      <c r="D187" s="150"/>
      <c r="E187" s="150"/>
      <c r="F187" s="150"/>
      <c r="G187" s="150"/>
      <c r="H187" s="150"/>
      <c r="I187" s="150"/>
    </row>
    <row r="188" ht="20.25" spans="1:9">
      <c r="A188" s="150"/>
      <c r="B188" s="150"/>
      <c r="C188" s="150"/>
      <c r="D188" s="150"/>
      <c r="E188" s="150"/>
      <c r="F188" s="150"/>
      <c r="G188" s="150"/>
      <c r="H188" s="150"/>
      <c r="I188" s="150"/>
    </row>
    <row r="189" ht="20.25" spans="1:9">
      <c r="A189" s="150"/>
      <c r="B189" s="150"/>
      <c r="C189" s="150"/>
      <c r="D189" s="150"/>
      <c r="E189" s="150"/>
      <c r="F189" s="150"/>
      <c r="G189" s="150"/>
      <c r="H189" s="150"/>
      <c r="I189" s="150"/>
    </row>
    <row r="190" ht="20.25" spans="1:9">
      <c r="A190" s="150"/>
      <c r="B190" s="150"/>
      <c r="C190" s="150"/>
      <c r="D190" s="150"/>
      <c r="E190" s="150"/>
      <c r="F190" s="150"/>
      <c r="G190" s="150"/>
      <c r="H190" s="150"/>
      <c r="I190" s="150"/>
    </row>
    <row r="191" ht="20.25" spans="1:9">
      <c r="A191" s="150"/>
      <c r="B191" s="150"/>
      <c r="C191" s="150"/>
      <c r="D191" s="150"/>
      <c r="E191" s="150"/>
      <c r="F191" s="150"/>
      <c r="G191" s="150"/>
      <c r="H191" s="150"/>
      <c r="I191" s="150"/>
    </row>
    <row r="192" ht="20.25" spans="1:9">
      <c r="A192" s="150"/>
      <c r="B192" s="150"/>
      <c r="C192" s="150"/>
      <c r="D192" s="150"/>
      <c r="E192" s="150"/>
      <c r="F192" s="150"/>
      <c r="G192" s="150"/>
      <c r="H192" s="150"/>
      <c r="I192" s="150"/>
    </row>
    <row r="193" ht="20.25" spans="1:9">
      <c r="A193" s="150"/>
      <c r="B193" s="150"/>
      <c r="C193" s="150"/>
      <c r="D193" s="150"/>
      <c r="E193" s="150"/>
      <c r="F193" s="150"/>
      <c r="G193" s="150"/>
      <c r="H193" s="150"/>
      <c r="I193" s="150"/>
    </row>
    <row r="194" ht="20.25" spans="1:9">
      <c r="A194" s="150"/>
      <c r="B194" s="150"/>
      <c r="C194" s="150"/>
      <c r="D194" s="150"/>
      <c r="E194" s="150"/>
      <c r="F194" s="150"/>
      <c r="G194" s="150"/>
      <c r="H194" s="150"/>
      <c r="I194" s="150"/>
    </row>
    <row r="195" ht="20.25" spans="1:9">
      <c r="A195" s="150"/>
      <c r="B195" s="150"/>
      <c r="C195" s="150"/>
      <c r="D195" s="150"/>
      <c r="E195" s="150"/>
      <c r="F195" s="150"/>
      <c r="G195" s="150"/>
      <c r="H195" s="150"/>
      <c r="I195" s="150"/>
    </row>
    <row r="196" ht="20.25" spans="1:9">
      <c r="A196" s="150"/>
      <c r="B196" s="150"/>
      <c r="C196" s="150"/>
      <c r="D196" s="150"/>
      <c r="E196" s="150"/>
      <c r="F196" s="150"/>
      <c r="G196" s="150"/>
      <c r="H196" s="150"/>
      <c r="I196" s="150"/>
    </row>
    <row r="197" ht="20.25" spans="1:9">
      <c r="A197" s="150"/>
      <c r="B197" s="150"/>
      <c r="C197" s="150"/>
      <c r="D197" s="150"/>
      <c r="E197" s="150"/>
      <c r="F197" s="150"/>
      <c r="G197" s="150"/>
      <c r="H197" s="150"/>
      <c r="I197" s="150"/>
    </row>
    <row r="198" ht="20.25" spans="1:9">
      <c r="A198" s="150"/>
      <c r="B198" s="150"/>
      <c r="C198" s="150"/>
      <c r="D198" s="150"/>
      <c r="E198" s="150"/>
      <c r="F198" s="150"/>
      <c r="G198" s="150"/>
      <c r="H198" s="150"/>
      <c r="I198" s="150"/>
    </row>
    <row r="199" ht="20.25" spans="1:9">
      <c r="A199" s="150"/>
      <c r="B199" s="150"/>
      <c r="C199" s="150"/>
      <c r="D199" s="150"/>
      <c r="E199" s="150"/>
      <c r="F199" s="150"/>
      <c r="G199" s="150"/>
      <c r="H199" s="150"/>
      <c r="I199" s="150"/>
    </row>
    <row r="200" ht="20.25" spans="1:9">
      <c r="A200" s="150"/>
      <c r="B200" s="150"/>
      <c r="C200" s="150"/>
      <c r="D200" s="150"/>
      <c r="E200" s="150"/>
      <c r="F200" s="150"/>
      <c r="G200" s="150"/>
      <c r="H200" s="150"/>
      <c r="I200" s="150"/>
    </row>
    <row r="201" ht="20.25" spans="1:9">
      <c r="A201" s="150"/>
      <c r="B201" s="150"/>
      <c r="C201" s="150"/>
      <c r="D201" s="150"/>
      <c r="E201" s="150"/>
      <c r="F201" s="150"/>
      <c r="G201" s="150"/>
      <c r="H201" s="150"/>
      <c r="I201" s="150"/>
    </row>
    <row r="202" ht="20.25" spans="1:9">
      <c r="A202" s="150"/>
      <c r="B202" s="150"/>
      <c r="C202" s="150"/>
      <c r="D202" s="150"/>
      <c r="E202" s="150"/>
      <c r="F202" s="150"/>
      <c r="G202" s="150"/>
      <c r="H202" s="150"/>
      <c r="I202" s="150"/>
    </row>
    <row r="203" ht="20.25" spans="1:9">
      <c r="A203" s="150"/>
      <c r="B203" s="150"/>
      <c r="C203" s="150"/>
      <c r="D203" s="150"/>
      <c r="E203" s="150"/>
      <c r="F203" s="150"/>
      <c r="G203" s="150"/>
      <c r="H203" s="150"/>
      <c r="I203" s="150"/>
    </row>
    <row r="204" ht="20.25" spans="1:9">
      <c r="A204" s="150"/>
      <c r="B204" s="150"/>
      <c r="C204" s="150"/>
      <c r="D204" s="150"/>
      <c r="E204" s="150"/>
      <c r="F204" s="150"/>
      <c r="G204" s="150"/>
      <c r="H204" s="150"/>
      <c r="I204" s="150"/>
    </row>
    <row r="205" ht="20.25" spans="1:9">
      <c r="A205" s="150"/>
      <c r="B205" s="150"/>
      <c r="C205" s="150"/>
      <c r="D205" s="150"/>
      <c r="E205" s="150"/>
      <c r="F205" s="150"/>
      <c r="G205" s="150"/>
      <c r="H205" s="150"/>
      <c r="I205" s="150"/>
    </row>
    <row r="206" ht="20.25" spans="1:9">
      <c r="A206" s="150"/>
      <c r="B206" s="150"/>
      <c r="C206" s="150"/>
      <c r="D206" s="150"/>
      <c r="E206" s="150"/>
      <c r="F206" s="150"/>
      <c r="G206" s="150"/>
      <c r="H206" s="150"/>
      <c r="I206" s="150"/>
    </row>
    <row r="207" ht="20.25" spans="1:9">
      <c r="A207" s="150"/>
      <c r="B207" s="150"/>
      <c r="C207" s="150"/>
      <c r="D207" s="150"/>
      <c r="E207" s="150"/>
      <c r="F207" s="150"/>
      <c r="G207" s="150"/>
      <c r="H207" s="150"/>
      <c r="I207" s="150"/>
    </row>
    <row r="208" ht="20.25" spans="1:9">
      <c r="A208" s="150"/>
      <c r="B208" s="150"/>
      <c r="C208" s="150"/>
      <c r="D208" s="150"/>
      <c r="E208" s="150"/>
      <c r="F208" s="150"/>
      <c r="G208" s="150"/>
      <c r="H208" s="150"/>
      <c r="I208" s="150"/>
    </row>
    <row r="209" ht="20.25" spans="1:9">
      <c r="A209" s="150"/>
      <c r="B209" s="150"/>
      <c r="C209" s="150"/>
      <c r="D209" s="150"/>
      <c r="E209" s="150"/>
      <c r="F209" s="150"/>
      <c r="G209" s="150"/>
      <c r="H209" s="150"/>
      <c r="I209" s="150"/>
    </row>
    <row r="210" ht="20.25" spans="1:9">
      <c r="A210" s="150"/>
      <c r="B210" s="150"/>
      <c r="C210" s="150"/>
      <c r="D210" s="150"/>
      <c r="E210" s="150"/>
      <c r="F210" s="150"/>
      <c r="G210" s="150"/>
      <c r="H210" s="150"/>
      <c r="I210" s="150"/>
    </row>
    <row r="211" ht="20.25" spans="1:9">
      <c r="A211" s="150"/>
      <c r="B211" s="150"/>
      <c r="C211" s="150"/>
      <c r="D211" s="150"/>
      <c r="E211" s="150"/>
      <c r="F211" s="150"/>
      <c r="G211" s="150"/>
      <c r="H211" s="150"/>
      <c r="I211" s="150"/>
    </row>
    <row r="212" ht="20.25" spans="1:9">
      <c r="A212" s="150"/>
      <c r="B212" s="150"/>
      <c r="C212" s="150"/>
      <c r="D212" s="150"/>
      <c r="E212" s="150"/>
      <c r="F212" s="150"/>
      <c r="G212" s="150"/>
      <c r="H212" s="150"/>
      <c r="I212" s="150"/>
    </row>
    <row r="213" ht="20.25" spans="1:9">
      <c r="A213" s="150"/>
      <c r="B213" s="150"/>
      <c r="C213" s="150"/>
      <c r="D213" s="150"/>
      <c r="E213" s="150"/>
      <c r="F213" s="150"/>
      <c r="G213" s="150"/>
      <c r="H213" s="150"/>
      <c r="I213" s="150"/>
    </row>
    <row r="214" ht="20.25" spans="1:9">
      <c r="A214" s="150"/>
      <c r="B214" s="150"/>
      <c r="C214" s="150"/>
      <c r="D214" s="150"/>
      <c r="E214" s="150"/>
      <c r="F214" s="150"/>
      <c r="G214" s="150"/>
      <c r="H214" s="150"/>
      <c r="I214" s="150"/>
    </row>
    <row r="215" ht="20.25" spans="1:9">
      <c r="A215" s="150"/>
      <c r="B215" s="150"/>
      <c r="C215" s="150"/>
      <c r="D215" s="150"/>
      <c r="E215" s="150"/>
      <c r="F215" s="150"/>
      <c r="G215" s="150"/>
      <c r="H215" s="150"/>
      <c r="I215" s="150"/>
    </row>
    <row r="216" ht="20.25" spans="1:9">
      <c r="A216" s="150"/>
      <c r="B216" s="150"/>
      <c r="C216" s="150"/>
      <c r="D216" s="150"/>
      <c r="E216" s="150"/>
      <c r="F216" s="150"/>
      <c r="G216" s="150"/>
      <c r="H216" s="150"/>
      <c r="I216" s="150"/>
    </row>
    <row r="217" ht="20.25" spans="1:9">
      <c r="A217" s="150"/>
      <c r="B217" s="150"/>
      <c r="C217" s="150"/>
      <c r="D217" s="150"/>
      <c r="E217" s="150"/>
      <c r="F217" s="150"/>
      <c r="G217" s="150"/>
      <c r="H217" s="150"/>
      <c r="I217" s="150"/>
    </row>
    <row r="218" ht="20.25" spans="1:9">
      <c r="A218" s="150"/>
      <c r="B218" s="150"/>
      <c r="C218" s="150"/>
      <c r="D218" s="150"/>
      <c r="E218" s="150"/>
      <c r="F218" s="150"/>
      <c r="G218" s="150"/>
      <c r="H218" s="150"/>
      <c r="I218" s="150"/>
    </row>
    <row r="219" ht="20.25" spans="1:9">
      <c r="A219" s="150"/>
      <c r="B219" s="150"/>
      <c r="C219" s="150"/>
      <c r="D219" s="150"/>
      <c r="E219" s="150"/>
      <c r="F219" s="150"/>
      <c r="G219" s="150"/>
      <c r="H219" s="150"/>
      <c r="I219" s="150"/>
    </row>
    <row r="220" ht="20.25" spans="1:9">
      <c r="A220" s="150"/>
      <c r="B220" s="150"/>
      <c r="C220" s="150"/>
      <c r="D220" s="150"/>
      <c r="E220" s="150"/>
      <c r="F220" s="150"/>
      <c r="G220" s="150"/>
      <c r="H220" s="150"/>
      <c r="I220" s="150"/>
    </row>
    <row r="221" ht="20.25" spans="1:9">
      <c r="A221" s="150"/>
      <c r="B221" s="150"/>
      <c r="C221" s="150"/>
      <c r="D221" s="150"/>
      <c r="E221" s="150"/>
      <c r="F221" s="150"/>
      <c r="G221" s="150"/>
      <c r="H221" s="150"/>
      <c r="I221" s="150"/>
    </row>
    <row r="222" ht="20.25" spans="1:9">
      <c r="A222" s="150"/>
      <c r="B222" s="150"/>
      <c r="C222" s="150"/>
      <c r="D222" s="150"/>
      <c r="E222" s="150"/>
      <c r="F222" s="150"/>
      <c r="G222" s="150"/>
      <c r="H222" s="150"/>
      <c r="I222" s="150"/>
    </row>
    <row r="223" ht="20.25" spans="1:9">
      <c r="A223" s="150"/>
      <c r="B223" s="150"/>
      <c r="C223" s="150"/>
      <c r="D223" s="150"/>
      <c r="E223" s="150"/>
      <c r="F223" s="150"/>
      <c r="G223" s="150"/>
      <c r="H223" s="150"/>
      <c r="I223" s="150"/>
    </row>
    <row r="224" ht="20.25" spans="1:9">
      <c r="A224" s="150"/>
      <c r="B224" s="150"/>
      <c r="C224" s="150"/>
      <c r="D224" s="150"/>
      <c r="E224" s="150"/>
      <c r="F224" s="150"/>
      <c r="G224" s="150"/>
      <c r="H224" s="150"/>
      <c r="I224" s="150"/>
    </row>
    <row r="225" ht="20.25" spans="1:9">
      <c r="A225" s="150"/>
      <c r="B225" s="150"/>
      <c r="C225" s="150"/>
      <c r="D225" s="150"/>
      <c r="E225" s="150"/>
      <c r="F225" s="150"/>
      <c r="G225" s="150"/>
      <c r="H225" s="150"/>
      <c r="I225" s="150"/>
    </row>
    <row r="226" ht="20.25" spans="1:9">
      <c r="A226" s="150"/>
      <c r="B226" s="150"/>
      <c r="C226" s="150"/>
      <c r="D226" s="150"/>
      <c r="E226" s="150"/>
      <c r="F226" s="150"/>
      <c r="G226" s="150"/>
      <c r="H226" s="150"/>
      <c r="I226" s="150"/>
    </row>
    <row r="227" ht="20.25" spans="1:9">
      <c r="A227" s="150"/>
      <c r="B227" s="150"/>
      <c r="C227" s="150"/>
      <c r="D227" s="150"/>
      <c r="E227" s="150"/>
      <c r="F227" s="150"/>
      <c r="G227" s="150"/>
      <c r="H227" s="150"/>
      <c r="I227" s="150"/>
    </row>
    <row r="228" ht="20.25" spans="1:9">
      <c r="A228" s="150"/>
      <c r="B228" s="150"/>
      <c r="C228" s="150"/>
      <c r="D228" s="150"/>
      <c r="E228" s="150"/>
      <c r="F228" s="150"/>
      <c r="G228" s="150"/>
      <c r="H228" s="150"/>
      <c r="I228" s="150"/>
    </row>
    <row r="229" ht="20.25" spans="1:9">
      <c r="A229" s="150"/>
      <c r="B229" s="150"/>
      <c r="C229" s="150"/>
      <c r="D229" s="150"/>
      <c r="E229" s="150"/>
      <c r="F229" s="150"/>
      <c r="G229" s="150"/>
      <c r="H229" s="150"/>
      <c r="I229" s="150"/>
    </row>
    <row r="230" ht="20.25" spans="1:9">
      <c r="A230" s="150"/>
      <c r="B230" s="150"/>
      <c r="C230" s="150"/>
      <c r="D230" s="150"/>
      <c r="E230" s="150"/>
      <c r="F230" s="150"/>
      <c r="G230" s="150"/>
      <c r="H230" s="150"/>
      <c r="I230" s="150"/>
    </row>
    <row r="231" ht="20.25" spans="1:9">
      <c r="A231" s="150"/>
      <c r="B231" s="150"/>
      <c r="C231" s="150"/>
      <c r="D231" s="150"/>
      <c r="E231" s="150"/>
      <c r="F231" s="150"/>
      <c r="G231" s="150"/>
      <c r="H231" s="150"/>
      <c r="I231" s="150"/>
    </row>
    <row r="232" ht="20.25" spans="1:9">
      <c r="A232" s="150"/>
      <c r="B232" s="150"/>
      <c r="C232" s="150"/>
      <c r="D232" s="150"/>
      <c r="E232" s="150"/>
      <c r="F232" s="150"/>
      <c r="G232" s="150"/>
      <c r="H232" s="150"/>
      <c r="I232" s="150"/>
    </row>
    <row r="233" ht="20.25" spans="1:9">
      <c r="A233" s="150"/>
      <c r="B233" s="150"/>
      <c r="C233" s="150"/>
      <c r="D233" s="150"/>
      <c r="E233" s="150"/>
      <c r="F233" s="150"/>
      <c r="G233" s="150"/>
      <c r="H233" s="150"/>
      <c r="I233" s="150"/>
    </row>
    <row r="234" ht="20.25" spans="1:9">
      <c r="A234" s="150"/>
      <c r="B234" s="150"/>
      <c r="C234" s="150"/>
      <c r="D234" s="150"/>
      <c r="E234" s="150"/>
      <c r="F234" s="150"/>
      <c r="G234" s="150"/>
      <c r="H234" s="150"/>
      <c r="I234" s="150"/>
    </row>
    <row r="235" ht="20.25" spans="1:9">
      <c r="A235" s="150"/>
      <c r="B235" s="150"/>
      <c r="C235" s="150"/>
      <c r="D235" s="150"/>
      <c r="E235" s="150"/>
      <c r="F235" s="150"/>
      <c r="G235" s="150"/>
      <c r="H235" s="150"/>
      <c r="I235" s="150"/>
    </row>
    <row r="236" ht="20.25" spans="1:9">
      <c r="A236" s="150"/>
      <c r="B236" s="150"/>
      <c r="C236" s="150"/>
      <c r="D236" s="150"/>
      <c r="E236" s="150"/>
      <c r="F236" s="150"/>
      <c r="G236" s="150"/>
      <c r="H236" s="150"/>
      <c r="I236" s="150"/>
    </row>
    <row r="237" ht="20.25" spans="1:9">
      <c r="A237" s="150"/>
      <c r="B237" s="150"/>
      <c r="C237" s="150"/>
      <c r="D237" s="150"/>
      <c r="E237" s="150"/>
      <c r="F237" s="150"/>
      <c r="G237" s="150"/>
      <c r="H237" s="150"/>
      <c r="I237" s="150"/>
    </row>
    <row r="238" ht="20.25" spans="1:9">
      <c r="A238" s="150"/>
      <c r="B238" s="150"/>
      <c r="C238" s="150"/>
      <c r="D238" s="150"/>
      <c r="E238" s="150"/>
      <c r="F238" s="150"/>
      <c r="G238" s="150"/>
      <c r="H238" s="150"/>
      <c r="I238" s="150"/>
    </row>
    <row r="239" ht="20.25" spans="1:9">
      <c r="A239" s="150"/>
      <c r="B239" s="150"/>
      <c r="C239" s="150"/>
      <c r="D239" s="150"/>
      <c r="E239" s="150"/>
      <c r="F239" s="150"/>
      <c r="G239" s="150"/>
      <c r="H239" s="150"/>
      <c r="I239" s="150"/>
    </row>
    <row r="240" ht="20.25" spans="1:9">
      <c r="A240" s="150"/>
      <c r="B240" s="150"/>
      <c r="C240" s="150"/>
      <c r="D240" s="150"/>
      <c r="E240" s="150"/>
      <c r="F240" s="150"/>
      <c r="G240" s="150"/>
      <c r="H240" s="150"/>
      <c r="I240" s="150"/>
    </row>
    <row r="241" ht="20.25" spans="1:9">
      <c r="A241" s="150"/>
      <c r="B241" s="150"/>
      <c r="C241" s="150"/>
      <c r="D241" s="150"/>
      <c r="E241" s="150"/>
      <c r="F241" s="150"/>
      <c r="G241" s="150"/>
      <c r="H241" s="150"/>
      <c r="I241" s="150"/>
    </row>
    <row r="242" ht="20.25" spans="1:9">
      <c r="A242" s="150"/>
      <c r="B242" s="150"/>
      <c r="C242" s="150"/>
      <c r="D242" s="150"/>
      <c r="E242" s="150"/>
      <c r="F242" s="150"/>
      <c r="G242" s="150"/>
      <c r="H242" s="150"/>
      <c r="I242" s="150"/>
    </row>
    <row r="243" ht="20.25" spans="1:9">
      <c r="A243" s="150"/>
      <c r="B243" s="150"/>
      <c r="C243" s="150"/>
      <c r="D243" s="150"/>
      <c r="E243" s="150"/>
      <c r="F243" s="150"/>
      <c r="G243" s="150"/>
      <c r="H243" s="150"/>
      <c r="I243" s="150"/>
    </row>
    <row r="244" ht="20.25" spans="1:9">
      <c r="A244" s="150"/>
      <c r="B244" s="150"/>
      <c r="C244" s="150"/>
      <c r="D244" s="150"/>
      <c r="E244" s="150"/>
      <c r="F244" s="150"/>
      <c r="G244" s="150"/>
      <c r="H244" s="150"/>
      <c r="I244" s="150"/>
    </row>
    <row r="245" ht="20.25" spans="1:9">
      <c r="A245" s="150"/>
      <c r="B245" s="150"/>
      <c r="C245" s="150"/>
      <c r="D245" s="150"/>
      <c r="E245" s="150"/>
      <c r="F245" s="150"/>
      <c r="G245" s="150"/>
      <c r="H245" s="150"/>
      <c r="I245" s="150"/>
    </row>
    <row r="246" ht="20.25" spans="1:9">
      <c r="A246" s="150"/>
      <c r="B246" s="150"/>
      <c r="C246" s="150"/>
      <c r="D246" s="150"/>
      <c r="E246" s="150"/>
      <c r="F246" s="150"/>
      <c r="G246" s="150"/>
      <c r="H246" s="150"/>
      <c r="I246" s="150"/>
    </row>
    <row r="247" ht="20.25" spans="1:9">
      <c r="A247" s="150"/>
      <c r="B247" s="150"/>
      <c r="C247" s="150"/>
      <c r="D247" s="150"/>
      <c r="E247" s="150"/>
      <c r="F247" s="150"/>
      <c r="G247" s="150"/>
      <c r="H247" s="150"/>
      <c r="I247" s="150"/>
    </row>
    <row r="248" ht="20.25" spans="1:9">
      <c r="A248" s="150"/>
      <c r="B248" s="150"/>
      <c r="C248" s="150"/>
      <c r="D248" s="150"/>
      <c r="E248" s="150"/>
      <c r="F248" s="150"/>
      <c r="G248" s="150"/>
      <c r="H248" s="150"/>
      <c r="I248" s="150"/>
    </row>
    <row r="249" ht="20.25" spans="1:9">
      <c r="A249" s="150"/>
      <c r="B249" s="150"/>
      <c r="C249" s="150"/>
      <c r="D249" s="150"/>
      <c r="E249" s="150"/>
      <c r="F249" s="150"/>
      <c r="G249" s="150"/>
      <c r="H249" s="150"/>
      <c r="I249" s="150"/>
    </row>
    <row r="250" ht="20.25" spans="1:9">
      <c r="A250" s="150"/>
      <c r="B250" s="150"/>
      <c r="C250" s="150"/>
      <c r="D250" s="150"/>
      <c r="E250" s="150"/>
      <c r="F250" s="150"/>
      <c r="G250" s="150"/>
      <c r="H250" s="150"/>
      <c r="I250" s="150"/>
    </row>
    <row r="251" ht="20.25" spans="1:9">
      <c r="A251" s="150"/>
      <c r="B251" s="150"/>
      <c r="C251" s="150"/>
      <c r="D251" s="150"/>
      <c r="E251" s="150"/>
      <c r="F251" s="150"/>
      <c r="G251" s="150"/>
      <c r="H251" s="150"/>
      <c r="I251" s="150"/>
    </row>
    <row r="252" ht="20.25" spans="1:9">
      <c r="A252" s="150"/>
      <c r="B252" s="150"/>
      <c r="C252" s="150"/>
      <c r="D252" s="150"/>
      <c r="E252" s="150"/>
      <c r="F252" s="150"/>
      <c r="G252" s="150"/>
      <c r="H252" s="150"/>
      <c r="I252" s="150"/>
    </row>
    <row r="253" ht="20.25" spans="1:9">
      <c r="A253" s="150"/>
      <c r="B253" s="150"/>
      <c r="C253" s="150"/>
      <c r="D253" s="150"/>
      <c r="E253" s="150"/>
      <c r="F253" s="150"/>
      <c r="G253" s="150"/>
      <c r="H253" s="150"/>
      <c r="I253" s="150"/>
    </row>
    <row r="254" ht="20.25" spans="1:9">
      <c r="A254" s="150"/>
      <c r="B254" s="150"/>
      <c r="C254" s="150"/>
      <c r="D254" s="150"/>
      <c r="E254" s="150"/>
      <c r="F254" s="150"/>
      <c r="G254" s="150"/>
      <c r="H254" s="150"/>
      <c r="I254" s="150"/>
    </row>
    <row r="255" ht="20.25" spans="1:9">
      <c r="A255" s="150"/>
      <c r="B255" s="150"/>
      <c r="C255" s="150"/>
      <c r="D255" s="150"/>
      <c r="E255" s="150"/>
      <c r="F255" s="150"/>
      <c r="G255" s="150"/>
      <c r="H255" s="150"/>
      <c r="I255" s="150"/>
    </row>
    <row r="256" ht="20.25" spans="1:9">
      <c r="A256" s="150"/>
      <c r="B256" s="150"/>
      <c r="C256" s="150"/>
      <c r="D256" s="150"/>
      <c r="E256" s="150"/>
      <c r="F256" s="150"/>
      <c r="G256" s="150"/>
      <c r="H256" s="150"/>
      <c r="I256" s="150"/>
    </row>
    <row r="257" ht="20.25" spans="1:9">
      <c r="A257" s="150"/>
      <c r="B257" s="150"/>
      <c r="C257" s="150"/>
      <c r="D257" s="150"/>
      <c r="E257" s="150"/>
      <c r="F257" s="150"/>
      <c r="G257" s="150"/>
      <c r="H257" s="150"/>
      <c r="I257" s="150"/>
    </row>
    <row r="258" ht="20.25" spans="1:9">
      <c r="A258" s="150"/>
      <c r="B258" s="150"/>
      <c r="C258" s="150"/>
      <c r="D258" s="150"/>
      <c r="E258" s="150"/>
      <c r="F258" s="150"/>
      <c r="G258" s="150"/>
      <c r="H258" s="150"/>
      <c r="I258" s="150"/>
    </row>
    <row r="259" ht="20.25" spans="1:9">
      <c r="A259" s="150"/>
      <c r="B259" s="150"/>
      <c r="C259" s="150"/>
      <c r="D259" s="150"/>
      <c r="E259" s="150"/>
      <c r="F259" s="150"/>
      <c r="G259" s="150"/>
      <c r="H259" s="150"/>
      <c r="I259" s="150"/>
    </row>
    <row r="260" ht="20.25" spans="1:9">
      <c r="A260" s="150"/>
      <c r="B260" s="150"/>
      <c r="C260" s="150"/>
      <c r="D260" s="150"/>
      <c r="E260" s="150"/>
      <c r="F260" s="150"/>
      <c r="G260" s="150"/>
      <c r="H260" s="150"/>
      <c r="I260" s="150"/>
    </row>
    <row r="261" ht="20.25" spans="1:9">
      <c r="A261" s="150"/>
      <c r="B261" s="150"/>
      <c r="C261" s="150"/>
      <c r="D261" s="150"/>
      <c r="E261" s="150"/>
      <c r="F261" s="150"/>
      <c r="G261" s="150"/>
      <c r="H261" s="150"/>
      <c r="I261" s="150"/>
    </row>
    <row r="262" ht="20.25" spans="1:9">
      <c r="A262" s="150"/>
      <c r="B262" s="150"/>
      <c r="C262" s="150"/>
      <c r="D262" s="150"/>
      <c r="E262" s="150"/>
      <c r="F262" s="150"/>
      <c r="G262" s="150"/>
      <c r="H262" s="150"/>
      <c r="I262" s="150"/>
    </row>
    <row r="263" ht="20.25" spans="1:9">
      <c r="A263" s="150"/>
      <c r="B263" s="150"/>
      <c r="C263" s="150"/>
      <c r="D263" s="150"/>
      <c r="E263" s="150"/>
      <c r="F263" s="150"/>
      <c r="G263" s="150"/>
      <c r="H263" s="150"/>
      <c r="I263" s="150"/>
    </row>
    <row r="264" ht="20.25" spans="1:9">
      <c r="A264" s="150"/>
      <c r="B264" s="150"/>
      <c r="C264" s="150"/>
      <c r="D264" s="150"/>
      <c r="E264" s="150"/>
      <c r="F264" s="150"/>
      <c r="G264" s="150"/>
      <c r="H264" s="150"/>
      <c r="I264" s="150"/>
    </row>
    <row r="265" ht="20.25" spans="1:9">
      <c r="A265" s="150"/>
      <c r="B265" s="150"/>
      <c r="C265" s="150"/>
      <c r="D265" s="150"/>
      <c r="E265" s="150"/>
      <c r="F265" s="150"/>
      <c r="G265" s="150"/>
      <c r="H265" s="150"/>
      <c r="I265" s="150"/>
    </row>
    <row r="266" ht="20.25" spans="1:9">
      <c r="A266" s="150"/>
      <c r="B266" s="150"/>
      <c r="C266" s="150"/>
      <c r="D266" s="150"/>
      <c r="E266" s="150"/>
      <c r="F266" s="150"/>
      <c r="G266" s="150"/>
      <c r="H266" s="150"/>
      <c r="I266" s="150"/>
    </row>
    <row r="267" ht="20.25" spans="1:9">
      <c r="A267" s="150"/>
      <c r="B267" s="150"/>
      <c r="C267" s="150"/>
      <c r="D267" s="150"/>
      <c r="E267" s="150"/>
      <c r="F267" s="150"/>
      <c r="G267" s="150"/>
      <c r="H267" s="150"/>
      <c r="I267" s="150"/>
    </row>
    <row r="268" ht="20.25" spans="1:9">
      <c r="A268" s="150"/>
      <c r="B268" s="150"/>
      <c r="C268" s="150"/>
      <c r="D268" s="150"/>
      <c r="E268" s="150"/>
      <c r="F268" s="150"/>
      <c r="G268" s="150"/>
      <c r="H268" s="150"/>
      <c r="I268" s="150"/>
    </row>
    <row r="269" ht="20.25" spans="1:9">
      <c r="A269" s="150"/>
      <c r="B269" s="150"/>
      <c r="C269" s="150"/>
      <c r="D269" s="150"/>
      <c r="E269" s="150"/>
      <c r="F269" s="150"/>
      <c r="G269" s="150"/>
      <c r="H269" s="150"/>
      <c r="I269" s="150"/>
    </row>
    <row r="270" ht="20.25" spans="1:9">
      <c r="A270" s="150"/>
      <c r="B270" s="150"/>
      <c r="C270" s="150"/>
      <c r="D270" s="150"/>
      <c r="E270" s="150"/>
      <c r="F270" s="150"/>
      <c r="G270" s="150"/>
      <c r="H270" s="150"/>
      <c r="I270" s="150"/>
    </row>
    <row r="271" ht="20.25" spans="1:9">
      <c r="A271" s="150"/>
      <c r="B271" s="150"/>
      <c r="C271" s="150"/>
      <c r="D271" s="150"/>
      <c r="E271" s="150"/>
      <c r="F271" s="150"/>
      <c r="G271" s="150"/>
      <c r="H271" s="150"/>
      <c r="I271" s="150"/>
    </row>
    <row r="272" ht="20.25" spans="1:9">
      <c r="A272" s="150"/>
      <c r="B272" s="150"/>
      <c r="C272" s="150"/>
      <c r="D272" s="150"/>
      <c r="E272" s="150"/>
      <c r="F272" s="150"/>
      <c r="G272" s="150"/>
      <c r="H272" s="150"/>
      <c r="I272" s="150"/>
    </row>
    <row r="273" ht="20.25" spans="1:9">
      <c r="A273" s="150"/>
      <c r="B273" s="150"/>
      <c r="C273" s="150"/>
      <c r="D273" s="150"/>
      <c r="E273" s="150"/>
      <c r="F273" s="150"/>
      <c r="G273" s="150"/>
      <c r="H273" s="150"/>
      <c r="I273" s="150"/>
    </row>
    <row r="274" ht="20.25" spans="1:9">
      <c r="A274" s="150"/>
      <c r="B274" s="150"/>
      <c r="C274" s="150"/>
      <c r="D274" s="150"/>
      <c r="E274" s="150"/>
      <c r="F274" s="150"/>
      <c r="G274" s="150"/>
      <c r="H274" s="150"/>
      <c r="I274" s="150"/>
    </row>
    <row r="275" ht="20.25" spans="1:9">
      <c r="A275" s="150"/>
      <c r="B275" s="150"/>
      <c r="C275" s="150"/>
      <c r="D275" s="150"/>
      <c r="E275" s="150"/>
      <c r="F275" s="150"/>
      <c r="G275" s="150"/>
      <c r="H275" s="150"/>
      <c r="I275" s="150"/>
    </row>
    <row r="276" ht="20.25" spans="1:9">
      <c r="A276" s="150"/>
      <c r="B276" s="150"/>
      <c r="C276" s="150"/>
      <c r="D276" s="150"/>
      <c r="E276" s="150"/>
      <c r="F276" s="150"/>
      <c r="G276" s="150"/>
      <c r="H276" s="150"/>
      <c r="I276" s="150"/>
    </row>
    <row r="277" ht="20.25" spans="1:9">
      <c r="A277" s="150"/>
      <c r="B277" s="150"/>
      <c r="C277" s="150"/>
      <c r="D277" s="150"/>
      <c r="E277" s="150"/>
      <c r="F277" s="150"/>
      <c r="G277" s="150"/>
      <c r="H277" s="150"/>
      <c r="I277" s="150"/>
    </row>
    <row r="278" ht="20.25" spans="1:9">
      <c r="A278" s="150"/>
      <c r="B278" s="150"/>
      <c r="C278" s="150"/>
      <c r="D278" s="150"/>
      <c r="E278" s="150"/>
      <c r="F278" s="150"/>
      <c r="G278" s="150"/>
      <c r="H278" s="150"/>
      <c r="I278" s="150"/>
    </row>
    <row r="279" ht="20.25" spans="1:9">
      <c r="A279" s="150"/>
      <c r="B279" s="150"/>
      <c r="C279" s="150"/>
      <c r="D279" s="150"/>
      <c r="E279" s="150"/>
      <c r="F279" s="150"/>
      <c r="G279" s="150"/>
      <c r="H279" s="150"/>
      <c r="I279" s="150"/>
    </row>
    <row r="280" ht="20.25" spans="1:9">
      <c r="A280" s="150"/>
      <c r="B280" s="150"/>
      <c r="C280" s="150"/>
      <c r="D280" s="150"/>
      <c r="E280" s="150"/>
      <c r="F280" s="150"/>
      <c r="G280" s="150"/>
      <c r="H280" s="150"/>
      <c r="I280" s="150"/>
    </row>
    <row r="281" ht="20.25" spans="1:9">
      <c r="A281" s="150"/>
      <c r="B281" s="150"/>
      <c r="C281" s="150"/>
      <c r="D281" s="150"/>
      <c r="E281" s="150"/>
      <c r="F281" s="150"/>
      <c r="G281" s="150"/>
      <c r="H281" s="150"/>
      <c r="I281" s="150"/>
    </row>
    <row r="282" ht="20.25" spans="1:9">
      <c r="A282" s="150"/>
      <c r="B282" s="150"/>
      <c r="C282" s="150"/>
      <c r="D282" s="150"/>
      <c r="E282" s="150"/>
      <c r="F282" s="150"/>
      <c r="G282" s="150"/>
      <c r="H282" s="150"/>
      <c r="I282" s="150"/>
    </row>
    <row r="283" ht="20.25" spans="1:9">
      <c r="A283" s="150"/>
      <c r="B283" s="150"/>
      <c r="C283" s="150"/>
      <c r="D283" s="150"/>
      <c r="E283" s="150"/>
      <c r="F283" s="150"/>
      <c r="G283" s="150"/>
      <c r="H283" s="150"/>
      <c r="I283" s="150"/>
    </row>
    <row r="284" ht="20.25" spans="1:9">
      <c r="A284" s="150"/>
      <c r="B284" s="150"/>
      <c r="C284" s="150"/>
      <c r="D284" s="150"/>
      <c r="E284" s="150"/>
      <c r="F284" s="150"/>
      <c r="G284" s="150"/>
      <c r="H284" s="150"/>
      <c r="I284" s="150"/>
    </row>
    <row r="285" ht="20.25" spans="1:9">
      <c r="A285" s="150"/>
      <c r="B285" s="150"/>
      <c r="C285" s="150"/>
      <c r="D285" s="150"/>
      <c r="E285" s="150"/>
      <c r="F285" s="150"/>
      <c r="G285" s="150"/>
      <c r="H285" s="150"/>
      <c r="I285" s="150"/>
    </row>
    <row r="286" ht="20.25" spans="1:9">
      <c r="A286" s="150"/>
      <c r="B286" s="150"/>
      <c r="C286" s="150"/>
      <c r="D286" s="150"/>
      <c r="E286" s="150"/>
      <c r="F286" s="150"/>
      <c r="G286" s="150"/>
      <c r="H286" s="150"/>
      <c r="I286" s="150"/>
    </row>
    <row r="287" ht="20.25" spans="1:9">
      <c r="A287" s="150"/>
      <c r="B287" s="150"/>
      <c r="C287" s="150"/>
      <c r="D287" s="150"/>
      <c r="E287" s="150"/>
      <c r="F287" s="150"/>
      <c r="G287" s="150"/>
      <c r="H287" s="150"/>
      <c r="I287" s="150"/>
    </row>
    <row r="288" ht="20.25" spans="1:9">
      <c r="A288" s="150"/>
      <c r="B288" s="150"/>
      <c r="C288" s="150"/>
      <c r="D288" s="150"/>
      <c r="E288" s="150"/>
      <c r="F288" s="150"/>
      <c r="G288" s="150"/>
      <c r="H288" s="150"/>
      <c r="I288" s="150"/>
    </row>
    <row r="289" ht="20.25" spans="1:9">
      <c r="A289" s="150"/>
      <c r="B289" s="150"/>
      <c r="C289" s="150"/>
      <c r="D289" s="150"/>
      <c r="E289" s="150"/>
      <c r="F289" s="150"/>
      <c r="G289" s="150"/>
      <c r="H289" s="150"/>
      <c r="I289" s="150"/>
    </row>
    <row r="290" ht="20.25" spans="1:9">
      <c r="A290" s="150"/>
      <c r="B290" s="150"/>
      <c r="C290" s="150"/>
      <c r="D290" s="150"/>
      <c r="E290" s="150"/>
      <c r="F290" s="150"/>
      <c r="G290" s="150"/>
      <c r="H290" s="150"/>
      <c r="I290" s="150"/>
    </row>
    <row r="291" ht="20.25" spans="1:9">
      <c r="A291" s="150"/>
      <c r="B291" s="150"/>
      <c r="C291" s="150"/>
      <c r="D291" s="150"/>
      <c r="E291" s="150"/>
      <c r="F291" s="150"/>
      <c r="G291" s="150"/>
      <c r="H291" s="150"/>
      <c r="I291" s="150"/>
    </row>
    <row r="292" ht="20.25" spans="1:9">
      <c r="A292" s="150"/>
      <c r="B292" s="150"/>
      <c r="C292" s="150"/>
      <c r="D292" s="150"/>
      <c r="E292" s="150"/>
      <c r="F292" s="150"/>
      <c r="G292" s="150"/>
      <c r="H292" s="150"/>
      <c r="I292" s="150"/>
    </row>
    <row r="293" ht="20.25" spans="1:9">
      <c r="A293" s="150"/>
      <c r="B293" s="150"/>
      <c r="C293" s="150"/>
      <c r="D293" s="150"/>
      <c r="E293" s="150"/>
      <c r="F293" s="150"/>
      <c r="G293" s="150"/>
      <c r="H293" s="150"/>
      <c r="I293" s="150"/>
    </row>
    <row r="294" ht="20.25" spans="1:9">
      <c r="A294" s="150"/>
      <c r="B294" s="150"/>
      <c r="C294" s="150"/>
      <c r="D294" s="150"/>
      <c r="E294" s="150"/>
      <c r="F294" s="150"/>
      <c r="G294" s="150"/>
      <c r="H294" s="150"/>
      <c r="I294" s="150"/>
    </row>
    <row r="295" ht="20.25" spans="1:9">
      <c r="A295" s="150"/>
      <c r="B295" s="150"/>
      <c r="C295" s="150"/>
      <c r="D295" s="150"/>
      <c r="E295" s="150"/>
      <c r="F295" s="150"/>
      <c r="G295" s="150"/>
      <c r="H295" s="150"/>
      <c r="I295" s="150"/>
    </row>
    <row r="296" ht="20.25" spans="1:9">
      <c r="A296" s="150"/>
      <c r="B296" s="150"/>
      <c r="C296" s="150"/>
      <c r="D296" s="150"/>
      <c r="E296" s="150"/>
      <c r="F296" s="150"/>
      <c r="G296" s="150"/>
      <c r="H296" s="150"/>
      <c r="I296" s="150"/>
    </row>
    <row r="297" ht="20.25" spans="1:9">
      <c r="A297" s="150"/>
      <c r="B297" s="150"/>
      <c r="C297" s="150"/>
      <c r="D297" s="150"/>
      <c r="E297" s="150"/>
      <c r="F297" s="150"/>
      <c r="G297" s="150"/>
      <c r="H297" s="150"/>
      <c r="I297" s="150"/>
    </row>
    <row r="298" ht="20.25" spans="1:9">
      <c r="A298" s="150"/>
      <c r="B298" s="150"/>
      <c r="C298" s="150"/>
      <c r="D298" s="150"/>
      <c r="E298" s="150"/>
      <c r="F298" s="150"/>
      <c r="G298" s="150"/>
      <c r="H298" s="150"/>
      <c r="I298" s="150"/>
    </row>
    <row r="299" ht="20.25" spans="1:9">
      <c r="A299" s="150"/>
      <c r="B299" s="150"/>
      <c r="C299" s="150"/>
      <c r="D299" s="150"/>
      <c r="E299" s="150"/>
      <c r="F299" s="150"/>
      <c r="G299" s="150"/>
      <c r="H299" s="150"/>
      <c r="I299" s="150"/>
    </row>
    <row r="300" ht="20.25" spans="1:9">
      <c r="A300" s="150"/>
      <c r="B300" s="150"/>
      <c r="C300" s="150"/>
      <c r="D300" s="150"/>
      <c r="E300" s="150"/>
      <c r="F300" s="150"/>
      <c r="G300" s="150"/>
      <c r="H300" s="150"/>
      <c r="I300" s="150"/>
    </row>
    <row r="301" ht="20.25" spans="1:9">
      <c r="A301" s="150"/>
      <c r="B301" s="150"/>
      <c r="C301" s="150"/>
      <c r="D301" s="150"/>
      <c r="E301" s="150"/>
      <c r="F301" s="150"/>
      <c r="G301" s="150"/>
      <c r="H301" s="150"/>
      <c r="I301" s="150"/>
    </row>
    <row r="302" ht="20.25" spans="1:9">
      <c r="A302" s="150"/>
      <c r="B302" s="150"/>
      <c r="C302" s="150"/>
      <c r="D302" s="150"/>
      <c r="E302" s="150"/>
      <c r="F302" s="150"/>
      <c r="G302" s="150"/>
      <c r="H302" s="150"/>
      <c r="I302" s="150"/>
    </row>
    <row r="303" ht="20.25" spans="1:9">
      <c r="A303" s="150"/>
      <c r="B303" s="150"/>
      <c r="C303" s="150"/>
      <c r="D303" s="150"/>
      <c r="E303" s="150"/>
      <c r="F303" s="150"/>
      <c r="G303" s="150"/>
      <c r="H303" s="150"/>
      <c r="I303" s="150"/>
    </row>
    <row r="304" ht="20.25" spans="1:9">
      <c r="A304" s="150"/>
      <c r="B304" s="150"/>
      <c r="C304" s="150"/>
      <c r="D304" s="150"/>
      <c r="E304" s="150"/>
      <c r="F304" s="150"/>
      <c r="G304" s="150"/>
      <c r="H304" s="150"/>
      <c r="I304" s="150"/>
    </row>
    <row r="305" ht="20.25" spans="1:9">
      <c r="A305" s="150"/>
      <c r="B305" s="150"/>
      <c r="C305" s="150"/>
      <c r="D305" s="150"/>
      <c r="E305" s="150"/>
      <c r="F305" s="150"/>
      <c r="G305" s="150"/>
      <c r="H305" s="150"/>
      <c r="I305" s="150"/>
    </row>
    <row r="306" ht="20.25" spans="1:9">
      <c r="A306" s="150"/>
      <c r="B306" s="150"/>
      <c r="C306" s="150"/>
      <c r="D306" s="150"/>
      <c r="E306" s="150"/>
      <c r="F306" s="150"/>
      <c r="G306" s="150"/>
      <c r="H306" s="150"/>
      <c r="I306" s="150"/>
    </row>
    <row r="307" ht="20.25" spans="1:9">
      <c r="A307" s="150"/>
      <c r="B307" s="150"/>
      <c r="C307" s="150"/>
      <c r="D307" s="150"/>
      <c r="E307" s="150"/>
      <c r="F307" s="150"/>
      <c r="G307" s="150"/>
      <c r="H307" s="150"/>
      <c r="I307" s="150"/>
    </row>
    <row r="308" ht="20.25" spans="1:9">
      <c r="A308" s="150"/>
      <c r="B308" s="150"/>
      <c r="C308" s="150"/>
      <c r="D308" s="150"/>
      <c r="E308" s="150"/>
      <c r="F308" s="150"/>
      <c r="G308" s="150"/>
      <c r="H308" s="150"/>
      <c r="I308" s="150"/>
    </row>
    <row r="309" ht="20.25" spans="1:9">
      <c r="A309" s="150"/>
      <c r="B309" s="150"/>
      <c r="C309" s="150"/>
      <c r="D309" s="150"/>
      <c r="E309" s="150"/>
      <c r="F309" s="150"/>
      <c r="G309" s="150"/>
      <c r="H309" s="150"/>
      <c r="I309" s="150"/>
    </row>
    <row r="310" ht="20.25" spans="1:9">
      <c r="A310" s="150"/>
      <c r="B310" s="150"/>
      <c r="C310" s="150"/>
      <c r="D310" s="150"/>
      <c r="E310" s="150"/>
      <c r="F310" s="150"/>
      <c r="G310" s="150"/>
      <c r="H310" s="150"/>
      <c r="I310" s="150"/>
    </row>
    <row r="311" ht="20.25" spans="1:9">
      <c r="A311" s="150"/>
      <c r="B311" s="150"/>
      <c r="C311" s="150"/>
      <c r="D311" s="150"/>
      <c r="E311" s="150"/>
      <c r="F311" s="150"/>
      <c r="G311" s="150"/>
      <c r="H311" s="150"/>
      <c r="I311" s="150"/>
    </row>
    <row r="312" ht="20.25" spans="1:9">
      <c r="A312" s="150"/>
      <c r="B312" s="150"/>
      <c r="C312" s="150"/>
      <c r="D312" s="150"/>
      <c r="E312" s="150"/>
      <c r="F312" s="150"/>
      <c r="G312" s="150"/>
      <c r="H312" s="150"/>
      <c r="I312" s="150"/>
    </row>
    <row r="313" ht="20.25" spans="1:9">
      <c r="A313" s="150"/>
      <c r="B313" s="150"/>
      <c r="C313" s="150"/>
      <c r="D313" s="150"/>
      <c r="E313" s="150"/>
      <c r="F313" s="150"/>
      <c r="G313" s="150"/>
      <c r="H313" s="150"/>
      <c r="I313" s="150"/>
    </row>
    <row r="314" ht="20.25" spans="1:9">
      <c r="A314" s="150"/>
      <c r="B314" s="150"/>
      <c r="C314" s="150"/>
      <c r="D314" s="150"/>
      <c r="E314" s="150"/>
      <c r="F314" s="150"/>
      <c r="G314" s="150"/>
      <c r="H314" s="150"/>
      <c r="I314" s="150"/>
    </row>
    <row r="315" ht="20.25" spans="1:9">
      <c r="A315" s="150"/>
      <c r="B315" s="150"/>
      <c r="C315" s="150"/>
      <c r="D315" s="150"/>
      <c r="E315" s="150"/>
      <c r="F315" s="150"/>
      <c r="G315" s="150"/>
      <c r="H315" s="150"/>
      <c r="I315" s="150"/>
    </row>
    <row r="316" ht="20.25" spans="1:9">
      <c r="A316" s="150"/>
      <c r="B316" s="150"/>
      <c r="C316" s="150"/>
      <c r="D316" s="150"/>
      <c r="E316" s="150"/>
      <c r="F316" s="150"/>
      <c r="G316" s="150"/>
      <c r="H316" s="150"/>
      <c r="I316" s="150"/>
    </row>
    <row r="317" ht="20.25" spans="1:9">
      <c r="A317" s="150"/>
      <c r="B317" s="150"/>
      <c r="C317" s="150"/>
      <c r="D317" s="150"/>
      <c r="E317" s="150"/>
      <c r="F317" s="150"/>
      <c r="G317" s="150"/>
      <c r="H317" s="150"/>
      <c r="I317" s="150"/>
    </row>
    <row r="318" ht="20.25" spans="1:9">
      <c r="A318" s="150"/>
      <c r="B318" s="150"/>
      <c r="C318" s="150"/>
      <c r="D318" s="150"/>
      <c r="E318" s="150"/>
      <c r="F318" s="150"/>
      <c r="G318" s="150"/>
      <c r="H318" s="150"/>
      <c r="I318" s="150"/>
    </row>
    <row r="319" ht="20.25" spans="1:9">
      <c r="A319" s="150"/>
      <c r="B319" s="150"/>
      <c r="C319" s="150"/>
      <c r="D319" s="150"/>
      <c r="E319" s="150"/>
      <c r="F319" s="150"/>
      <c r="G319" s="150"/>
      <c r="H319" s="150"/>
      <c r="I319" s="150"/>
    </row>
    <row r="320" ht="20.25" spans="1:9">
      <c r="A320" s="150"/>
      <c r="B320" s="150"/>
      <c r="C320" s="150"/>
      <c r="D320" s="150"/>
      <c r="E320" s="150"/>
      <c r="F320" s="150"/>
      <c r="G320" s="150"/>
      <c r="H320" s="150"/>
      <c r="I320" s="150"/>
    </row>
    <row r="321" ht="20.25" spans="1:9">
      <c r="A321" s="150"/>
      <c r="B321" s="150"/>
      <c r="C321" s="150"/>
      <c r="D321" s="150"/>
      <c r="E321" s="150"/>
      <c r="F321" s="150"/>
      <c r="G321" s="150"/>
      <c r="H321" s="150"/>
      <c r="I321" s="150"/>
    </row>
    <row r="322" ht="20.25" spans="1:9">
      <c r="A322" s="150"/>
      <c r="B322" s="150"/>
      <c r="C322" s="150"/>
      <c r="D322" s="150"/>
      <c r="E322" s="150"/>
      <c r="F322" s="150"/>
      <c r="G322" s="150"/>
      <c r="H322" s="150"/>
      <c r="I322" s="150"/>
    </row>
    <row r="323" ht="20.25" spans="1:9">
      <c r="A323" s="150"/>
      <c r="B323" s="150"/>
      <c r="C323" s="150"/>
      <c r="D323" s="150"/>
      <c r="E323" s="150"/>
      <c r="F323" s="150"/>
      <c r="G323" s="150"/>
      <c r="H323" s="150"/>
      <c r="I323" s="150"/>
    </row>
    <row r="324" ht="20.25" spans="1:9">
      <c r="A324" s="150"/>
      <c r="B324" s="150"/>
      <c r="C324" s="150"/>
      <c r="D324" s="150"/>
      <c r="E324" s="150"/>
      <c r="F324" s="150"/>
      <c r="G324" s="150"/>
      <c r="H324" s="150"/>
      <c r="I324" s="150"/>
    </row>
    <row r="325" ht="20.25" spans="1:9">
      <c r="A325" s="150"/>
      <c r="B325" s="150"/>
      <c r="C325" s="150"/>
      <c r="D325" s="150"/>
      <c r="E325" s="150"/>
      <c r="F325" s="150"/>
      <c r="G325" s="150"/>
      <c r="H325" s="150"/>
      <c r="I325" s="150"/>
    </row>
    <row r="326" ht="20.25" spans="1:9">
      <c r="A326" s="150"/>
      <c r="B326" s="150"/>
      <c r="C326" s="150"/>
      <c r="D326" s="150"/>
      <c r="E326" s="150"/>
      <c r="F326" s="150"/>
      <c r="G326" s="150"/>
      <c r="H326" s="150"/>
      <c r="I326" s="150"/>
    </row>
    <row r="327" ht="20.25" spans="1:9">
      <c r="A327" s="150"/>
      <c r="B327" s="150"/>
      <c r="C327" s="150"/>
      <c r="D327" s="150"/>
      <c r="E327" s="150"/>
      <c r="F327" s="150"/>
      <c r="G327" s="150"/>
      <c r="H327" s="150"/>
      <c r="I327" s="150"/>
    </row>
    <row r="328" ht="20.25" spans="1:9">
      <c r="A328" s="150"/>
      <c r="B328" s="150"/>
      <c r="C328" s="150"/>
      <c r="D328" s="150"/>
      <c r="E328" s="150"/>
      <c r="F328" s="150"/>
      <c r="G328" s="150"/>
      <c r="H328" s="150"/>
      <c r="I328" s="150"/>
    </row>
    <row r="329" ht="20.25" spans="1:9">
      <c r="A329" s="150"/>
      <c r="B329" s="150"/>
      <c r="C329" s="150"/>
      <c r="D329" s="150"/>
      <c r="E329" s="150"/>
      <c r="F329" s="150"/>
      <c r="G329" s="150"/>
      <c r="H329" s="150"/>
      <c r="I329" s="150"/>
    </row>
    <row r="330" ht="20.25" spans="1:9">
      <c r="A330" s="150"/>
      <c r="B330" s="150"/>
      <c r="C330" s="150"/>
      <c r="D330" s="150"/>
      <c r="E330" s="150"/>
      <c r="F330" s="150"/>
      <c r="G330" s="150"/>
      <c r="H330" s="150"/>
      <c r="I330" s="150"/>
    </row>
    <row r="331" ht="20.25" spans="1:9">
      <c r="A331" s="150"/>
      <c r="B331" s="150"/>
      <c r="C331" s="150"/>
      <c r="D331" s="150"/>
      <c r="E331" s="150"/>
      <c r="F331" s="150"/>
      <c r="G331" s="150"/>
      <c r="H331" s="150"/>
      <c r="I331" s="150"/>
    </row>
    <row r="332" ht="20.25" spans="1:9">
      <c r="A332" s="150"/>
      <c r="B332" s="150"/>
      <c r="C332" s="150"/>
      <c r="D332" s="150"/>
      <c r="E332" s="150"/>
      <c r="F332" s="150"/>
      <c r="G332" s="150"/>
      <c r="H332" s="150"/>
      <c r="I332" s="150"/>
    </row>
    <row r="333" ht="20.25" spans="1:9">
      <c r="A333" s="150"/>
      <c r="B333" s="150"/>
      <c r="C333" s="150"/>
      <c r="D333" s="150"/>
      <c r="E333" s="150"/>
      <c r="F333" s="150"/>
      <c r="G333" s="150"/>
      <c r="H333" s="150"/>
      <c r="I333" s="150"/>
    </row>
    <row r="334" ht="20.25" spans="1:9">
      <c r="A334" s="150"/>
      <c r="B334" s="150"/>
      <c r="C334" s="150"/>
      <c r="D334" s="150"/>
      <c r="E334" s="150"/>
      <c r="F334" s="150"/>
      <c r="G334" s="150"/>
      <c r="H334" s="150"/>
      <c r="I334" s="150"/>
    </row>
    <row r="335" ht="20.25" spans="1:9">
      <c r="A335" s="150"/>
      <c r="B335" s="150"/>
      <c r="C335" s="150"/>
      <c r="D335" s="150"/>
      <c r="E335" s="150"/>
      <c r="F335" s="150"/>
      <c r="G335" s="150"/>
      <c r="H335" s="150"/>
      <c r="I335" s="150"/>
    </row>
    <row r="336" ht="20.25" spans="1:9">
      <c r="A336" s="150"/>
      <c r="B336" s="150"/>
      <c r="C336" s="150"/>
      <c r="D336" s="150"/>
      <c r="E336" s="150"/>
      <c r="F336" s="150"/>
      <c r="G336" s="150"/>
      <c r="H336" s="150"/>
      <c r="I336" s="150"/>
    </row>
    <row r="337" ht="20.25" spans="1:9">
      <c r="A337" s="150"/>
      <c r="B337" s="150"/>
      <c r="C337" s="150"/>
      <c r="D337" s="150"/>
      <c r="E337" s="150"/>
      <c r="F337" s="150"/>
      <c r="G337" s="150"/>
      <c r="H337" s="150"/>
      <c r="I337" s="150"/>
    </row>
    <row r="338" ht="20.25" spans="1:9">
      <c r="A338" s="150"/>
      <c r="B338" s="150"/>
      <c r="C338" s="150"/>
      <c r="D338" s="150"/>
      <c r="E338" s="150"/>
      <c r="F338" s="150"/>
      <c r="G338" s="150"/>
      <c r="H338" s="150"/>
      <c r="I338" s="150"/>
    </row>
    <row r="339" ht="20.25" spans="1:9">
      <c r="A339" s="150"/>
      <c r="B339" s="150"/>
      <c r="C339" s="150"/>
      <c r="D339" s="150"/>
      <c r="E339" s="150"/>
      <c r="F339" s="150"/>
      <c r="G339" s="150"/>
      <c r="H339" s="150"/>
      <c r="I339" s="150"/>
    </row>
    <row r="340" ht="20.25" spans="1:9">
      <c r="A340" s="150"/>
      <c r="B340" s="150"/>
      <c r="C340" s="150"/>
      <c r="D340" s="150"/>
      <c r="E340" s="150"/>
      <c r="F340" s="150"/>
      <c r="G340" s="150"/>
      <c r="H340" s="150"/>
      <c r="I340" s="150"/>
    </row>
    <row r="341" ht="20.25" spans="1:9">
      <c r="A341" s="150"/>
      <c r="B341" s="150"/>
      <c r="C341" s="150"/>
      <c r="D341" s="150"/>
      <c r="E341" s="150"/>
      <c r="F341" s="150"/>
      <c r="G341" s="150"/>
      <c r="H341" s="150"/>
      <c r="I341" s="150"/>
    </row>
    <row r="342" ht="20.25" spans="1:9">
      <c r="A342" s="150"/>
      <c r="B342" s="150"/>
      <c r="C342" s="150"/>
      <c r="D342" s="150"/>
      <c r="E342" s="150"/>
      <c r="F342" s="150"/>
      <c r="G342" s="150"/>
      <c r="H342" s="150"/>
      <c r="I342" s="150"/>
    </row>
    <row r="343" ht="20.25" spans="1:9">
      <c r="A343" s="150"/>
      <c r="B343" s="150"/>
      <c r="C343" s="150"/>
      <c r="D343" s="150"/>
      <c r="E343" s="150"/>
      <c r="F343" s="150"/>
      <c r="G343" s="150"/>
      <c r="H343" s="150"/>
      <c r="I343" s="150"/>
    </row>
    <row r="344" ht="20.25" spans="1:9">
      <c r="A344" s="150"/>
      <c r="B344" s="150"/>
      <c r="C344" s="150"/>
      <c r="D344" s="150"/>
      <c r="E344" s="150"/>
      <c r="F344" s="150"/>
      <c r="G344" s="150"/>
      <c r="H344" s="150"/>
      <c r="I344" s="150"/>
    </row>
    <row r="345" ht="20.25" spans="1:9">
      <c r="A345" s="150"/>
      <c r="B345" s="150"/>
      <c r="C345" s="150"/>
      <c r="D345" s="150"/>
      <c r="E345" s="150"/>
      <c r="F345" s="150"/>
      <c r="G345" s="150"/>
      <c r="H345" s="150"/>
      <c r="I345" s="150"/>
    </row>
    <row r="346" ht="20.25" spans="1:9">
      <c r="A346" s="150"/>
      <c r="B346" s="150"/>
      <c r="C346" s="150"/>
      <c r="D346" s="150"/>
      <c r="E346" s="150"/>
      <c r="F346" s="150"/>
      <c r="G346" s="150"/>
      <c r="H346" s="150"/>
      <c r="I346" s="150"/>
    </row>
    <row r="347" ht="20.25" spans="1:9">
      <c r="A347" s="150"/>
      <c r="B347" s="150"/>
      <c r="C347" s="150"/>
      <c r="D347" s="150"/>
      <c r="E347" s="150"/>
      <c r="F347" s="150"/>
      <c r="G347" s="150"/>
      <c r="H347" s="150"/>
      <c r="I347" s="150"/>
    </row>
    <row r="348" ht="20.25" spans="1:9">
      <c r="A348" s="150"/>
      <c r="B348" s="150"/>
      <c r="C348" s="150"/>
      <c r="D348" s="150"/>
      <c r="E348" s="150"/>
      <c r="F348" s="150"/>
      <c r="G348" s="150"/>
      <c r="H348" s="150"/>
      <c r="I348" s="150"/>
    </row>
    <row r="349" ht="20.25" spans="1:9">
      <c r="A349" s="150"/>
      <c r="B349" s="150"/>
      <c r="C349" s="150"/>
      <c r="D349" s="150"/>
      <c r="E349" s="150"/>
      <c r="F349" s="150"/>
      <c r="G349" s="150"/>
      <c r="H349" s="150"/>
      <c r="I349" s="150"/>
    </row>
    <row r="350" ht="20.25" spans="1:9">
      <c r="A350" s="150"/>
      <c r="B350" s="150"/>
      <c r="C350" s="150"/>
      <c r="D350" s="150"/>
      <c r="E350" s="150"/>
      <c r="F350" s="150"/>
      <c r="G350" s="150"/>
      <c r="H350" s="150"/>
      <c r="I350" s="150"/>
    </row>
    <row r="351" ht="20.25" spans="1:9">
      <c r="A351" s="150"/>
      <c r="B351" s="150"/>
      <c r="C351" s="150"/>
      <c r="D351" s="150"/>
      <c r="E351" s="150"/>
      <c r="F351" s="150"/>
      <c r="G351" s="150"/>
      <c r="H351" s="150"/>
      <c r="I351" s="150"/>
    </row>
    <row r="352" ht="20.25" spans="1:9">
      <c r="A352" s="150"/>
      <c r="B352" s="150"/>
      <c r="C352" s="150"/>
      <c r="D352" s="150"/>
      <c r="E352" s="150"/>
      <c r="F352" s="150"/>
      <c r="G352" s="150"/>
      <c r="H352" s="150"/>
      <c r="I352" s="150"/>
    </row>
    <row r="353" ht="20.25" spans="1:9">
      <c r="A353" s="150"/>
      <c r="B353" s="150"/>
      <c r="C353" s="150"/>
      <c r="D353" s="150"/>
      <c r="E353" s="150"/>
      <c r="F353" s="150"/>
      <c r="G353" s="150"/>
      <c r="H353" s="150"/>
      <c r="I353" s="150"/>
    </row>
    <row r="354" ht="20.25" spans="1:9">
      <c r="A354" s="150"/>
      <c r="B354" s="150"/>
      <c r="C354" s="150"/>
      <c r="D354" s="150"/>
      <c r="E354" s="150"/>
      <c r="F354" s="150"/>
      <c r="G354" s="150"/>
      <c r="H354" s="150"/>
      <c r="I354" s="150"/>
    </row>
    <row r="355" ht="20.25" spans="1:9">
      <c r="A355" s="150"/>
      <c r="B355" s="150"/>
      <c r="C355" s="150"/>
      <c r="D355" s="150"/>
      <c r="E355" s="150"/>
      <c r="F355" s="150"/>
      <c r="G355" s="150"/>
      <c r="H355" s="150"/>
      <c r="I355" s="150"/>
    </row>
    <row r="356" ht="20.25" spans="1:9">
      <c r="A356" s="150"/>
      <c r="B356" s="150"/>
      <c r="C356" s="150"/>
      <c r="D356" s="150"/>
      <c r="E356" s="150"/>
      <c r="F356" s="150"/>
      <c r="G356" s="150"/>
      <c r="H356" s="150"/>
      <c r="I356" s="150"/>
    </row>
    <row r="357" ht="20.25" spans="1:9">
      <c r="A357" s="150"/>
      <c r="B357" s="150"/>
      <c r="C357" s="150"/>
      <c r="D357" s="150"/>
      <c r="E357" s="150"/>
      <c r="F357" s="150"/>
      <c r="G357" s="150"/>
      <c r="H357" s="150"/>
      <c r="I357" s="150"/>
    </row>
    <row r="358" ht="20.25" spans="1:9">
      <c r="A358" s="150"/>
      <c r="B358" s="150"/>
      <c r="C358" s="150"/>
      <c r="D358" s="150"/>
      <c r="E358" s="150"/>
      <c r="F358" s="150"/>
      <c r="G358" s="150"/>
      <c r="H358" s="150"/>
      <c r="I358" s="150"/>
    </row>
    <row r="359" ht="20.25" spans="1:9">
      <c r="A359" s="150"/>
      <c r="B359" s="150"/>
      <c r="C359" s="150"/>
      <c r="D359" s="150"/>
      <c r="E359" s="150"/>
      <c r="F359" s="150"/>
      <c r="G359" s="150"/>
      <c r="H359" s="150"/>
      <c r="I359" s="150"/>
    </row>
    <row r="360" ht="20.25" spans="1:9">
      <c r="A360" s="150"/>
      <c r="B360" s="150"/>
      <c r="C360" s="150"/>
      <c r="D360" s="150"/>
      <c r="E360" s="150"/>
      <c r="F360" s="150"/>
      <c r="G360" s="150"/>
      <c r="H360" s="150"/>
      <c r="I360" s="150"/>
    </row>
    <row r="361" ht="20.25" spans="1:9">
      <c r="A361" s="150"/>
      <c r="B361" s="150"/>
      <c r="C361" s="150"/>
      <c r="D361" s="150"/>
      <c r="E361" s="150"/>
      <c r="F361" s="150"/>
      <c r="G361" s="150"/>
      <c r="H361" s="150"/>
      <c r="I361" s="150"/>
    </row>
    <row r="362" ht="20.25" spans="1:9">
      <c r="A362" s="150"/>
      <c r="B362" s="150"/>
      <c r="C362" s="150"/>
      <c r="D362" s="150"/>
      <c r="E362" s="150"/>
      <c r="F362" s="150"/>
      <c r="G362" s="150"/>
      <c r="H362" s="150"/>
      <c r="I362" s="150"/>
    </row>
    <row r="363" ht="20.25" spans="1:9">
      <c r="A363" s="150"/>
      <c r="B363" s="150"/>
      <c r="C363" s="150"/>
      <c r="D363" s="150"/>
      <c r="E363" s="150"/>
      <c r="F363" s="150"/>
      <c r="G363" s="150"/>
      <c r="H363" s="150"/>
      <c r="I363" s="150"/>
    </row>
    <row r="364" ht="20.25" spans="1:9">
      <c r="A364" s="150"/>
      <c r="B364" s="150"/>
      <c r="C364" s="150"/>
      <c r="D364" s="150"/>
      <c r="E364" s="150"/>
      <c r="F364" s="150"/>
      <c r="G364" s="150"/>
      <c r="H364" s="150"/>
      <c r="I364" s="150"/>
    </row>
    <row r="365" ht="20.25" spans="1:9">
      <c r="A365" s="150"/>
      <c r="B365" s="150"/>
      <c r="C365" s="150"/>
      <c r="D365" s="150"/>
      <c r="E365" s="150"/>
      <c r="F365" s="150"/>
      <c r="G365" s="150"/>
      <c r="H365" s="150"/>
      <c r="I365" s="150"/>
    </row>
    <row r="366" ht="20.25" spans="1:9">
      <c r="A366" s="150"/>
      <c r="B366" s="150"/>
      <c r="C366" s="150"/>
      <c r="D366" s="150"/>
      <c r="E366" s="150"/>
      <c r="F366" s="150"/>
      <c r="G366" s="150"/>
      <c r="H366" s="150"/>
      <c r="I366" s="150"/>
    </row>
    <row r="367" ht="20.25" spans="1:9">
      <c r="A367" s="150"/>
      <c r="B367" s="150"/>
      <c r="C367" s="150"/>
      <c r="D367" s="150"/>
      <c r="E367" s="150"/>
      <c r="F367" s="150"/>
      <c r="G367" s="150"/>
      <c r="H367" s="150"/>
      <c r="I367" s="150"/>
    </row>
    <row r="368" ht="20.25" spans="1:9">
      <c r="A368" s="150"/>
      <c r="B368" s="150"/>
      <c r="C368" s="150"/>
      <c r="D368" s="150"/>
      <c r="E368" s="150"/>
      <c r="F368" s="150"/>
      <c r="G368" s="150"/>
      <c r="H368" s="150"/>
      <c r="I368" s="150"/>
    </row>
    <row r="369" ht="20.25" spans="1:9">
      <c r="A369" s="150"/>
      <c r="B369" s="150"/>
      <c r="C369" s="150"/>
      <c r="D369" s="150"/>
      <c r="E369" s="150"/>
      <c r="F369" s="150"/>
      <c r="G369" s="150"/>
      <c r="H369" s="150"/>
      <c r="I369" s="150"/>
    </row>
    <row r="370" ht="20.25" spans="1:9">
      <c r="A370" s="150"/>
      <c r="B370" s="150"/>
      <c r="C370" s="150"/>
      <c r="D370" s="150"/>
      <c r="E370" s="150"/>
      <c r="F370" s="150"/>
      <c r="G370" s="150"/>
      <c r="H370" s="150"/>
      <c r="I370" s="150"/>
    </row>
    <row r="371" ht="20.25" spans="1:9">
      <c r="A371" s="150"/>
      <c r="B371" s="150"/>
      <c r="C371" s="150"/>
      <c r="D371" s="150"/>
      <c r="E371" s="150"/>
      <c r="F371" s="150"/>
      <c r="G371" s="150"/>
      <c r="H371" s="150"/>
      <c r="I371" s="150"/>
    </row>
    <row r="372" ht="20.25" spans="1:9">
      <c r="A372" s="150"/>
      <c r="B372" s="150"/>
      <c r="C372" s="150"/>
      <c r="D372" s="150"/>
      <c r="E372" s="150"/>
      <c r="F372" s="150"/>
      <c r="G372" s="150"/>
      <c r="H372" s="150"/>
      <c r="I372" s="150"/>
    </row>
    <row r="373" ht="20.25" spans="1:9">
      <c r="A373" s="150"/>
      <c r="B373" s="150"/>
      <c r="C373" s="150"/>
      <c r="D373" s="150"/>
      <c r="E373" s="150"/>
      <c r="F373" s="150"/>
      <c r="G373" s="150"/>
      <c r="H373" s="150"/>
      <c r="I373" s="150"/>
    </row>
    <row r="374" ht="20.25" spans="1:9">
      <c r="A374" s="150"/>
      <c r="B374" s="150"/>
      <c r="C374" s="150"/>
      <c r="D374" s="150"/>
      <c r="E374" s="150"/>
      <c r="F374" s="150"/>
      <c r="G374" s="150"/>
      <c r="H374" s="150"/>
      <c r="I374" s="150"/>
    </row>
    <row r="375" ht="20.25" spans="1:9">
      <c r="A375" s="150"/>
      <c r="B375" s="150"/>
      <c r="C375" s="150"/>
      <c r="D375" s="150"/>
      <c r="E375" s="150"/>
      <c r="F375" s="150"/>
      <c r="G375" s="150"/>
      <c r="H375" s="150"/>
      <c r="I375" s="150"/>
    </row>
    <row r="376" ht="20.25" spans="1:9">
      <c r="A376" s="150"/>
      <c r="B376" s="150"/>
      <c r="C376" s="150"/>
      <c r="D376" s="150"/>
      <c r="E376" s="150"/>
      <c r="F376" s="150"/>
      <c r="G376" s="150"/>
      <c r="H376" s="150"/>
      <c r="I376" s="150"/>
    </row>
    <row r="377" ht="20.25" spans="1:9">
      <c r="A377" s="150"/>
      <c r="B377" s="150"/>
      <c r="C377" s="150"/>
      <c r="D377" s="150"/>
      <c r="E377" s="150"/>
      <c r="F377" s="150"/>
      <c r="G377" s="150"/>
      <c r="H377" s="150"/>
      <c r="I377" s="150"/>
    </row>
    <row r="378" ht="20.25" spans="1:9">
      <c r="A378" s="150"/>
      <c r="B378" s="150"/>
      <c r="C378" s="150"/>
      <c r="D378" s="150"/>
      <c r="E378" s="150"/>
      <c r="F378" s="150"/>
      <c r="G378" s="150"/>
      <c r="H378" s="150"/>
      <c r="I378" s="150"/>
    </row>
    <row r="379" ht="20.25" spans="1:9">
      <c r="A379" s="150"/>
      <c r="B379" s="150"/>
      <c r="C379" s="150"/>
      <c r="D379" s="150"/>
      <c r="E379" s="150"/>
      <c r="F379" s="150"/>
      <c r="G379" s="150"/>
      <c r="H379" s="150"/>
      <c r="I379" s="150"/>
    </row>
    <row r="380" ht="20.25" spans="1:9">
      <c r="A380" s="150"/>
      <c r="B380" s="150"/>
      <c r="C380" s="150"/>
      <c r="D380" s="150"/>
      <c r="E380" s="150"/>
      <c r="F380" s="150"/>
      <c r="G380" s="150"/>
      <c r="H380" s="150"/>
      <c r="I380" s="150"/>
    </row>
    <row r="381" ht="20.25" spans="1:9">
      <c r="A381" s="150"/>
      <c r="B381" s="150"/>
      <c r="C381" s="150"/>
      <c r="D381" s="150"/>
      <c r="E381" s="150"/>
      <c r="F381" s="150"/>
      <c r="G381" s="150"/>
      <c r="H381" s="150"/>
      <c r="I381" s="150"/>
    </row>
    <row r="382" ht="20.25" spans="1:9">
      <c r="A382" s="150"/>
      <c r="B382" s="150"/>
      <c r="C382" s="150"/>
      <c r="D382" s="150"/>
      <c r="E382" s="150"/>
      <c r="F382" s="150"/>
      <c r="G382" s="150"/>
      <c r="H382" s="150"/>
      <c r="I382" s="150"/>
    </row>
    <row r="383" ht="20.25" spans="1:9">
      <c r="A383" s="150"/>
      <c r="B383" s="150"/>
      <c r="C383" s="150"/>
      <c r="D383" s="150"/>
      <c r="E383" s="150"/>
      <c r="F383" s="150"/>
      <c r="G383" s="150"/>
      <c r="H383" s="150"/>
      <c r="I383" s="150"/>
    </row>
    <row r="384" ht="20.25" spans="1:9">
      <c r="A384" s="150"/>
      <c r="B384" s="150"/>
      <c r="C384" s="150"/>
      <c r="D384" s="150"/>
      <c r="E384" s="150"/>
      <c r="F384" s="150"/>
      <c r="G384" s="150"/>
      <c r="H384" s="150"/>
      <c r="I384" s="150"/>
    </row>
    <row r="385" ht="20.25" spans="1:9">
      <c r="A385" s="150"/>
      <c r="B385" s="150"/>
      <c r="C385" s="150"/>
      <c r="D385" s="150"/>
      <c r="E385" s="150"/>
      <c r="F385" s="150"/>
      <c r="G385" s="150"/>
      <c r="H385" s="150"/>
      <c r="I385" s="150"/>
    </row>
    <row r="386" ht="20.25" spans="1:9">
      <c r="A386" s="150"/>
      <c r="B386" s="150"/>
      <c r="C386" s="150"/>
      <c r="D386" s="150"/>
      <c r="E386" s="150"/>
      <c r="F386" s="150"/>
      <c r="G386" s="150"/>
      <c r="H386" s="150"/>
      <c r="I386" s="150"/>
    </row>
    <row r="387" ht="20.25" spans="1:9">
      <c r="A387" s="150"/>
      <c r="B387" s="150"/>
      <c r="C387" s="150"/>
      <c r="D387" s="150"/>
      <c r="E387" s="150"/>
      <c r="F387" s="150"/>
      <c r="G387" s="150"/>
      <c r="H387" s="150"/>
      <c r="I387" s="150"/>
    </row>
    <row r="388" ht="20.25" spans="1:9">
      <c r="A388" s="150"/>
      <c r="B388" s="150"/>
      <c r="C388" s="150"/>
      <c r="D388" s="150"/>
      <c r="E388" s="150"/>
      <c r="F388" s="150"/>
      <c r="G388" s="150"/>
      <c r="H388" s="150"/>
      <c r="I388" s="150"/>
    </row>
    <row r="389" ht="20.25" spans="1:9">
      <c r="A389" s="150"/>
      <c r="B389" s="150"/>
      <c r="C389" s="150"/>
      <c r="D389" s="150"/>
      <c r="E389" s="150"/>
      <c r="F389" s="150"/>
      <c r="G389" s="150"/>
      <c r="H389" s="150"/>
      <c r="I389" s="150"/>
    </row>
    <row r="390" ht="20.25" spans="1:9">
      <c r="A390" s="150"/>
      <c r="B390" s="150"/>
      <c r="C390" s="150"/>
      <c r="D390" s="150"/>
      <c r="E390" s="150"/>
      <c r="F390" s="150"/>
      <c r="G390" s="150"/>
      <c r="H390" s="150"/>
      <c r="I390" s="150"/>
    </row>
    <row r="391" ht="20.25" spans="1:9">
      <c r="A391" s="150"/>
      <c r="B391" s="150"/>
      <c r="C391" s="150"/>
      <c r="D391" s="150"/>
      <c r="E391" s="150"/>
      <c r="F391" s="150"/>
      <c r="G391" s="150"/>
      <c r="H391" s="150"/>
      <c r="I391" s="150"/>
    </row>
    <row r="392" ht="20.25" spans="1:9">
      <c r="A392" s="150"/>
      <c r="B392" s="150"/>
      <c r="C392" s="150"/>
      <c r="D392" s="150"/>
      <c r="E392" s="150"/>
      <c r="F392" s="150"/>
      <c r="G392" s="150"/>
      <c r="H392" s="150"/>
      <c r="I392" s="150"/>
    </row>
    <row r="393" ht="20.25" spans="1:9">
      <c r="A393" s="150"/>
      <c r="B393" s="150"/>
      <c r="C393" s="150"/>
      <c r="D393" s="150"/>
      <c r="E393" s="150"/>
      <c r="F393" s="150"/>
      <c r="G393" s="150"/>
      <c r="H393" s="150"/>
      <c r="I393" s="150"/>
    </row>
    <row r="394" ht="20.25" spans="1:9">
      <c r="A394" s="150"/>
      <c r="B394" s="150"/>
      <c r="C394" s="150"/>
      <c r="D394" s="150"/>
      <c r="E394" s="150"/>
      <c r="F394" s="150"/>
      <c r="G394" s="150"/>
      <c r="H394" s="150"/>
      <c r="I394" s="150"/>
    </row>
    <row r="395" ht="20.25" spans="1:9">
      <c r="A395" s="150"/>
      <c r="B395" s="150"/>
      <c r="C395" s="150"/>
      <c r="D395" s="150"/>
      <c r="E395" s="150"/>
      <c r="F395" s="150"/>
      <c r="G395" s="150"/>
      <c r="H395" s="150"/>
      <c r="I395" s="150"/>
    </row>
    <row r="396" ht="20.25" spans="1:9">
      <c r="A396" s="150"/>
      <c r="B396" s="150"/>
      <c r="C396" s="150"/>
      <c r="D396" s="150"/>
      <c r="E396" s="150"/>
      <c r="F396" s="150"/>
      <c r="G396" s="150"/>
      <c r="H396" s="150"/>
      <c r="I396" s="150"/>
    </row>
    <row r="397" ht="20.25" spans="1:9">
      <c r="A397" s="150"/>
      <c r="B397" s="150"/>
      <c r="C397" s="150"/>
      <c r="D397" s="150"/>
      <c r="E397" s="150"/>
      <c r="F397" s="150"/>
      <c r="G397" s="150"/>
      <c r="H397" s="150"/>
      <c r="I397" s="150"/>
    </row>
    <row r="398" ht="20.25" spans="1:9">
      <c r="A398" s="150"/>
      <c r="B398" s="150"/>
      <c r="C398" s="150"/>
      <c r="D398" s="150"/>
      <c r="E398" s="150"/>
      <c r="F398" s="150"/>
      <c r="G398" s="150"/>
      <c r="H398" s="150"/>
      <c r="I398" s="150"/>
    </row>
    <row r="399" ht="20.25" spans="1:9">
      <c r="A399" s="150"/>
      <c r="B399" s="150"/>
      <c r="C399" s="150"/>
      <c r="D399" s="150"/>
      <c r="E399" s="150"/>
      <c r="F399" s="150"/>
      <c r="G399" s="150"/>
      <c r="H399" s="150"/>
      <c r="I399" s="150"/>
    </row>
    <row r="400" ht="20.25" spans="1:9">
      <c r="A400" s="150"/>
      <c r="B400" s="150"/>
      <c r="C400" s="150"/>
      <c r="D400" s="150"/>
      <c r="E400" s="150"/>
      <c r="F400" s="150"/>
      <c r="G400" s="150"/>
      <c r="H400" s="150"/>
      <c r="I400" s="150"/>
    </row>
    <row r="401" ht="20.25" spans="1:9">
      <c r="A401" s="150"/>
      <c r="B401" s="150"/>
      <c r="C401" s="150"/>
      <c r="D401" s="150"/>
      <c r="E401" s="150"/>
      <c r="F401" s="150"/>
      <c r="G401" s="150"/>
      <c r="H401" s="150"/>
      <c r="I401" s="150"/>
    </row>
    <row r="402" ht="20.25" spans="1:9">
      <c r="A402" s="150"/>
      <c r="B402" s="150"/>
      <c r="C402" s="150"/>
      <c r="D402" s="150"/>
      <c r="E402" s="150"/>
      <c r="F402" s="150"/>
      <c r="G402" s="150"/>
      <c r="H402" s="150"/>
      <c r="I402" s="150"/>
    </row>
    <row r="403" ht="20.25" spans="1:9">
      <c r="A403" s="150"/>
      <c r="B403" s="150"/>
      <c r="C403" s="150"/>
      <c r="D403" s="150"/>
      <c r="E403" s="150"/>
      <c r="F403" s="150"/>
      <c r="G403" s="150"/>
      <c r="H403" s="150"/>
      <c r="I403" s="150"/>
    </row>
    <row r="404" ht="20.25" spans="1:9">
      <c r="A404" s="150"/>
      <c r="B404" s="150"/>
      <c r="C404" s="150"/>
      <c r="D404" s="150"/>
      <c r="E404" s="150"/>
      <c r="F404" s="150"/>
      <c r="G404" s="150"/>
      <c r="H404" s="150"/>
      <c r="I404" s="150"/>
    </row>
    <row r="405" ht="20.25" spans="1:9">
      <c r="A405" s="150"/>
      <c r="B405" s="150"/>
      <c r="C405" s="150"/>
      <c r="D405" s="150"/>
      <c r="E405" s="150"/>
      <c r="F405" s="150"/>
      <c r="G405" s="150"/>
      <c r="H405" s="150"/>
      <c r="I405" s="150"/>
    </row>
    <row r="406" ht="20.25" spans="1:9">
      <c r="A406" s="150"/>
      <c r="B406" s="150"/>
      <c r="C406" s="150"/>
      <c r="D406" s="150"/>
      <c r="E406" s="150"/>
      <c r="F406" s="150"/>
      <c r="G406" s="150"/>
      <c r="H406" s="150"/>
      <c r="I406" s="150"/>
    </row>
    <row r="407" ht="20.25" spans="1:9">
      <c r="A407" s="150"/>
      <c r="B407" s="150"/>
      <c r="C407" s="150"/>
      <c r="D407" s="150"/>
      <c r="E407" s="150"/>
      <c r="F407" s="150"/>
      <c r="G407" s="150"/>
      <c r="H407" s="150"/>
      <c r="I407" s="150"/>
    </row>
    <row r="408" ht="20.25" spans="1:9">
      <c r="A408" s="150"/>
      <c r="B408" s="150"/>
      <c r="C408" s="150"/>
      <c r="D408" s="150"/>
      <c r="E408" s="150"/>
      <c r="F408" s="150"/>
      <c r="G408" s="150"/>
      <c r="H408" s="150"/>
      <c r="I408" s="150"/>
    </row>
    <row r="409" ht="20.25" spans="1:9">
      <c r="A409" s="150"/>
      <c r="B409" s="150"/>
      <c r="C409" s="150"/>
      <c r="D409" s="150"/>
      <c r="E409" s="150"/>
      <c r="F409" s="150"/>
      <c r="G409" s="150"/>
      <c r="H409" s="150"/>
      <c r="I409" s="150"/>
    </row>
    <row r="410" ht="20.25" spans="1:9">
      <c r="A410" s="150"/>
      <c r="B410" s="150"/>
      <c r="C410" s="150"/>
      <c r="D410" s="150"/>
      <c r="E410" s="150"/>
      <c r="F410" s="150"/>
      <c r="G410" s="150"/>
      <c r="H410" s="150"/>
      <c r="I410" s="150"/>
    </row>
    <row r="411" ht="20.25" spans="1:9">
      <c r="A411" s="150"/>
      <c r="B411" s="150"/>
      <c r="C411" s="150"/>
      <c r="D411" s="150"/>
      <c r="E411" s="150"/>
      <c r="F411" s="150"/>
      <c r="G411" s="150"/>
      <c r="H411" s="150"/>
      <c r="I411" s="150"/>
    </row>
    <row r="412" ht="20.25" spans="1:9">
      <c r="A412" s="150"/>
      <c r="B412" s="150"/>
      <c r="C412" s="150"/>
      <c r="D412" s="150"/>
      <c r="E412" s="150"/>
      <c r="F412" s="150"/>
      <c r="G412" s="150"/>
      <c r="H412" s="150"/>
      <c r="I412" s="150"/>
    </row>
    <row r="413" ht="20.25" spans="1:9">
      <c r="A413" s="150"/>
      <c r="B413" s="150"/>
      <c r="C413" s="150"/>
      <c r="D413" s="150"/>
      <c r="E413" s="150"/>
      <c r="F413" s="150"/>
      <c r="G413" s="150"/>
      <c r="H413" s="150"/>
      <c r="I413" s="150"/>
    </row>
    <row r="414" ht="20.25" spans="1:9">
      <c r="A414" s="150"/>
      <c r="B414" s="150"/>
      <c r="C414" s="150"/>
      <c r="D414" s="150"/>
      <c r="E414" s="150"/>
      <c r="F414" s="150"/>
      <c r="G414" s="150"/>
      <c r="H414" s="150"/>
      <c r="I414" s="150"/>
    </row>
    <row r="415" ht="20.25" spans="1:9">
      <c r="A415" s="150"/>
      <c r="B415" s="150"/>
      <c r="C415" s="150"/>
      <c r="D415" s="150"/>
      <c r="E415" s="150"/>
      <c r="F415" s="150"/>
      <c r="G415" s="150"/>
      <c r="H415" s="150"/>
      <c r="I415" s="150"/>
    </row>
    <row r="416" ht="20.25" spans="1:9">
      <c r="A416" s="150"/>
      <c r="B416" s="150"/>
      <c r="C416" s="150"/>
      <c r="D416" s="150"/>
      <c r="E416" s="150"/>
      <c r="F416" s="150"/>
      <c r="G416" s="150"/>
      <c r="H416" s="150"/>
      <c r="I416" s="150"/>
    </row>
    <row r="417" ht="20.25" spans="1:9">
      <c r="A417" s="150"/>
      <c r="B417" s="150"/>
      <c r="C417" s="150"/>
      <c r="D417" s="150"/>
      <c r="E417" s="150"/>
      <c r="F417" s="150"/>
      <c r="G417" s="150"/>
      <c r="H417" s="150"/>
      <c r="I417" s="150"/>
    </row>
    <row r="418" ht="20.25" spans="1:9">
      <c r="A418" s="150"/>
      <c r="B418" s="150"/>
      <c r="C418" s="150"/>
      <c r="D418" s="150"/>
      <c r="E418" s="150"/>
      <c r="F418" s="150"/>
      <c r="G418" s="150"/>
      <c r="H418" s="150"/>
      <c r="I418" s="150"/>
    </row>
    <row r="419" ht="20.25" spans="1:9">
      <c r="A419" s="150"/>
      <c r="B419" s="150"/>
      <c r="C419" s="150"/>
      <c r="D419" s="150"/>
      <c r="E419" s="150"/>
      <c r="F419" s="150"/>
      <c r="G419" s="150"/>
      <c r="H419" s="150"/>
      <c r="I419" s="150"/>
    </row>
    <row r="420" ht="20.25" spans="1:9">
      <c r="A420" s="150"/>
      <c r="B420" s="150"/>
      <c r="C420" s="150"/>
      <c r="D420" s="150"/>
      <c r="E420" s="150"/>
      <c r="F420" s="150"/>
      <c r="G420" s="150"/>
      <c r="H420" s="150"/>
      <c r="I420" s="150"/>
    </row>
    <row r="421" ht="20.25" spans="1:9">
      <c r="A421" s="150"/>
      <c r="B421" s="150"/>
      <c r="C421" s="150"/>
      <c r="D421" s="150"/>
      <c r="E421" s="150"/>
      <c r="F421" s="150"/>
      <c r="G421" s="150"/>
      <c r="H421" s="150"/>
      <c r="I421" s="150"/>
    </row>
    <row r="422" ht="20.25" spans="1:9">
      <c r="A422" s="150"/>
      <c r="B422" s="150"/>
      <c r="C422" s="150"/>
      <c r="D422" s="150"/>
      <c r="E422" s="150"/>
      <c r="F422" s="150"/>
      <c r="G422" s="150"/>
      <c r="H422" s="150"/>
      <c r="I422" s="150"/>
    </row>
    <row r="423" ht="20.25" spans="1:9">
      <c r="A423" s="150"/>
      <c r="B423" s="150"/>
      <c r="C423" s="150"/>
      <c r="D423" s="150"/>
      <c r="E423" s="150"/>
      <c r="F423" s="150"/>
      <c r="G423" s="150"/>
      <c r="H423" s="150"/>
      <c r="I423" s="150"/>
    </row>
    <row r="424" ht="20.25" spans="1:9">
      <c r="A424" s="150"/>
      <c r="B424" s="150"/>
      <c r="C424" s="150"/>
      <c r="D424" s="150"/>
      <c r="E424" s="150"/>
      <c r="F424" s="150"/>
      <c r="G424" s="150"/>
      <c r="H424" s="150"/>
      <c r="I424" s="150"/>
    </row>
    <row r="425" ht="20.25" spans="1:9">
      <c r="A425" s="150"/>
      <c r="B425" s="150"/>
      <c r="C425" s="150"/>
      <c r="D425" s="150"/>
      <c r="E425" s="150"/>
      <c r="F425" s="150"/>
      <c r="G425" s="150"/>
      <c r="H425" s="150"/>
      <c r="I425" s="150"/>
    </row>
    <row r="426" ht="20.25" spans="1:9">
      <c r="A426" s="150"/>
      <c r="B426" s="150"/>
      <c r="C426" s="150"/>
      <c r="D426" s="150"/>
      <c r="E426" s="150"/>
      <c r="F426" s="150"/>
      <c r="G426" s="150"/>
      <c r="H426" s="150"/>
      <c r="I426" s="150"/>
    </row>
    <row r="427" ht="20.25" spans="1:9">
      <c r="A427" s="150"/>
      <c r="B427" s="150"/>
      <c r="C427" s="150"/>
      <c r="D427" s="150"/>
      <c r="E427" s="150"/>
      <c r="F427" s="150"/>
      <c r="G427" s="150"/>
      <c r="H427" s="150"/>
      <c r="I427" s="150"/>
    </row>
    <row r="428" ht="20.25" spans="1:9">
      <c r="A428" s="150"/>
      <c r="B428" s="150"/>
      <c r="C428" s="150"/>
      <c r="D428" s="150"/>
      <c r="E428" s="150"/>
      <c r="F428" s="150"/>
      <c r="G428" s="150"/>
      <c r="H428" s="150"/>
      <c r="I428" s="150"/>
    </row>
    <row r="429" ht="20.25" spans="1:9">
      <c r="A429" s="150"/>
      <c r="B429" s="150"/>
      <c r="C429" s="150"/>
      <c r="D429" s="150"/>
      <c r="E429" s="150"/>
      <c r="F429" s="150"/>
      <c r="G429" s="150"/>
      <c r="H429" s="150"/>
      <c r="I429" s="150"/>
    </row>
    <row r="430" ht="20.25" spans="1:9">
      <c r="A430" s="150"/>
      <c r="B430" s="150"/>
      <c r="C430" s="150"/>
      <c r="D430" s="150"/>
      <c r="E430" s="150"/>
      <c r="F430" s="150"/>
      <c r="G430" s="150"/>
      <c r="H430" s="150"/>
      <c r="I430" s="150"/>
    </row>
    <row r="431" ht="20.25" spans="1:9">
      <c r="A431" s="150"/>
      <c r="B431" s="150"/>
      <c r="C431" s="150"/>
      <c r="D431" s="150"/>
      <c r="E431" s="150"/>
      <c r="F431" s="150"/>
      <c r="G431" s="150"/>
      <c r="H431" s="150"/>
      <c r="I431" s="150"/>
    </row>
    <row r="432" ht="20.25" spans="1:9">
      <c r="A432" s="150"/>
      <c r="B432" s="150"/>
      <c r="C432" s="150"/>
      <c r="D432" s="150"/>
      <c r="E432" s="150"/>
      <c r="F432" s="150"/>
      <c r="G432" s="150"/>
      <c r="H432" s="150"/>
      <c r="I432" s="150"/>
    </row>
    <row r="433" ht="20.25" spans="1:9">
      <c r="A433" s="150"/>
      <c r="B433" s="150"/>
      <c r="C433" s="150"/>
      <c r="D433" s="150"/>
      <c r="E433" s="150"/>
      <c r="F433" s="150"/>
      <c r="G433" s="150"/>
      <c r="H433" s="150"/>
      <c r="I433" s="150"/>
    </row>
    <row r="434" ht="20.25" spans="1:9">
      <c r="A434" s="150"/>
      <c r="B434" s="150"/>
      <c r="C434" s="150"/>
      <c r="D434" s="150"/>
      <c r="E434" s="150"/>
      <c r="F434" s="150"/>
      <c r="G434" s="150"/>
      <c r="H434" s="150"/>
      <c r="I434" s="150"/>
    </row>
    <row r="435" ht="20.25" spans="1:9">
      <c r="A435" s="150"/>
      <c r="B435" s="150"/>
      <c r="C435" s="150"/>
      <c r="D435" s="150"/>
      <c r="E435" s="150"/>
      <c r="F435" s="150"/>
      <c r="G435" s="150"/>
      <c r="H435" s="150"/>
      <c r="I435" s="150"/>
    </row>
    <row r="436" ht="20.25" spans="1:9">
      <c r="A436" s="150"/>
      <c r="B436" s="150"/>
      <c r="C436" s="150"/>
      <c r="D436" s="150"/>
      <c r="E436" s="150"/>
      <c r="F436" s="150"/>
      <c r="G436" s="150"/>
      <c r="H436" s="150"/>
      <c r="I436" s="150"/>
    </row>
    <row r="437" ht="20.25" spans="1:9">
      <c r="A437" s="150"/>
      <c r="B437" s="150"/>
      <c r="C437" s="150"/>
      <c r="D437" s="150"/>
      <c r="E437" s="150"/>
      <c r="F437" s="150"/>
      <c r="G437" s="150"/>
      <c r="H437" s="150"/>
      <c r="I437" s="150"/>
    </row>
    <row r="438" ht="20.25" spans="1:9">
      <c r="A438" s="150"/>
      <c r="B438" s="150"/>
      <c r="C438" s="150"/>
      <c r="D438" s="150"/>
      <c r="E438" s="150"/>
      <c r="F438" s="150"/>
      <c r="G438" s="150"/>
      <c r="H438" s="150"/>
      <c r="I438" s="150"/>
    </row>
    <row r="439" ht="20.25" spans="1:9">
      <c r="A439" s="150"/>
      <c r="B439" s="150"/>
      <c r="C439" s="150"/>
      <c r="D439" s="150"/>
      <c r="E439" s="150"/>
      <c r="F439" s="150"/>
      <c r="G439" s="150"/>
      <c r="H439" s="150"/>
      <c r="I439" s="150"/>
    </row>
    <row r="440" ht="20.25" spans="1:9">
      <c r="A440" s="150"/>
      <c r="B440" s="150"/>
      <c r="C440" s="150"/>
      <c r="D440" s="150"/>
      <c r="E440" s="150"/>
      <c r="F440" s="150"/>
      <c r="G440" s="150"/>
      <c r="H440" s="150"/>
      <c r="I440" s="150"/>
    </row>
    <row r="441" ht="20.25" spans="1:9">
      <c r="A441" s="150"/>
      <c r="B441" s="150"/>
      <c r="C441" s="150"/>
      <c r="D441" s="150"/>
      <c r="E441" s="150"/>
      <c r="F441" s="150"/>
      <c r="G441" s="150"/>
      <c r="H441" s="150"/>
      <c r="I441" s="150"/>
    </row>
    <row r="442" ht="20.25" spans="1:9">
      <c r="A442" s="150"/>
      <c r="B442" s="150"/>
      <c r="C442" s="150"/>
      <c r="D442" s="150"/>
      <c r="E442" s="150"/>
      <c r="F442" s="150"/>
      <c r="G442" s="150"/>
      <c r="H442" s="150"/>
      <c r="I442" s="150"/>
    </row>
    <row r="443" ht="20.25" spans="1:9">
      <c r="A443" s="150"/>
      <c r="B443" s="150"/>
      <c r="C443" s="150"/>
      <c r="D443" s="150"/>
      <c r="E443" s="150"/>
      <c r="F443" s="150"/>
      <c r="G443" s="150"/>
      <c r="H443" s="150"/>
      <c r="I443" s="150"/>
    </row>
    <row r="444" ht="20.25" spans="1:9">
      <c r="A444" s="150"/>
      <c r="B444" s="150"/>
      <c r="C444" s="150"/>
      <c r="D444" s="150"/>
      <c r="E444" s="150"/>
      <c r="F444" s="150"/>
      <c r="G444" s="150"/>
      <c r="H444" s="150"/>
      <c r="I444" s="150"/>
    </row>
    <row r="445" ht="20.25" spans="1:9">
      <c r="A445" s="150"/>
      <c r="B445" s="150"/>
      <c r="C445" s="150"/>
      <c r="D445" s="150"/>
      <c r="E445" s="150"/>
      <c r="F445" s="150"/>
      <c r="G445" s="150"/>
      <c r="H445" s="150"/>
      <c r="I445" s="150"/>
    </row>
    <row r="446" ht="20.25" spans="1:9">
      <c r="A446" s="150"/>
      <c r="B446" s="150"/>
      <c r="C446" s="150"/>
      <c r="D446" s="150"/>
      <c r="E446" s="150"/>
      <c r="F446" s="150"/>
      <c r="G446" s="150"/>
      <c r="H446" s="150"/>
      <c r="I446" s="150"/>
    </row>
    <row r="447" ht="20.25" spans="1:9">
      <c r="A447" s="150"/>
      <c r="B447" s="150"/>
      <c r="C447" s="150"/>
      <c r="D447" s="150"/>
      <c r="E447" s="150"/>
      <c r="F447" s="150"/>
      <c r="G447" s="150"/>
      <c r="H447" s="150"/>
      <c r="I447" s="150"/>
    </row>
    <row r="448" ht="20.25" spans="1:9">
      <c r="A448" s="150"/>
      <c r="B448" s="150"/>
      <c r="C448" s="150"/>
      <c r="D448" s="150"/>
      <c r="E448" s="150"/>
      <c r="F448" s="150"/>
      <c r="G448" s="150"/>
      <c r="H448" s="150"/>
      <c r="I448" s="150"/>
    </row>
    <row r="449" ht="20.25" spans="1:9">
      <c r="A449" s="150"/>
      <c r="B449" s="150"/>
      <c r="C449" s="150"/>
      <c r="D449" s="150"/>
      <c r="E449" s="150"/>
      <c r="F449" s="150"/>
      <c r="G449" s="150"/>
      <c r="H449" s="150"/>
      <c r="I449" s="150"/>
    </row>
    <row r="450" ht="20.25" spans="1:9">
      <c r="A450" s="150"/>
      <c r="B450" s="150"/>
      <c r="C450" s="150"/>
      <c r="D450" s="150"/>
      <c r="E450" s="150"/>
      <c r="F450" s="150"/>
      <c r="G450" s="150"/>
      <c r="H450" s="150"/>
      <c r="I450" s="150"/>
    </row>
    <row r="451" ht="20.25" spans="1:9">
      <c r="A451" s="150"/>
      <c r="B451" s="150"/>
      <c r="C451" s="150"/>
      <c r="D451" s="150"/>
      <c r="E451" s="150"/>
      <c r="F451" s="150"/>
      <c r="G451" s="150"/>
      <c r="H451" s="150"/>
      <c r="I451" s="150"/>
    </row>
    <row r="452" ht="20.25" spans="1:9">
      <c r="A452" s="150"/>
      <c r="B452" s="150"/>
      <c r="C452" s="150"/>
      <c r="D452" s="150"/>
      <c r="E452" s="150"/>
      <c r="F452" s="150"/>
      <c r="G452" s="150"/>
      <c r="H452" s="150"/>
      <c r="I452" s="150"/>
    </row>
    <row r="453" ht="20.25" spans="1:9">
      <c r="A453" s="150"/>
      <c r="B453" s="150"/>
      <c r="C453" s="150"/>
      <c r="D453" s="150"/>
      <c r="E453" s="150"/>
      <c r="F453" s="150"/>
      <c r="G453" s="150"/>
      <c r="H453" s="150"/>
      <c r="I453" s="150"/>
    </row>
    <row r="454" ht="20.25" spans="1:9">
      <c r="A454" s="150"/>
      <c r="B454" s="150"/>
      <c r="C454" s="150"/>
      <c r="D454" s="150"/>
      <c r="E454" s="150"/>
      <c r="F454" s="150"/>
      <c r="G454" s="150"/>
      <c r="H454" s="150"/>
      <c r="I454" s="150"/>
    </row>
    <row r="455" ht="20.25" spans="1:9">
      <c r="A455" s="150"/>
      <c r="B455" s="150"/>
      <c r="C455" s="150"/>
      <c r="D455" s="150"/>
      <c r="E455" s="150"/>
      <c r="F455" s="150"/>
      <c r="G455" s="150"/>
      <c r="H455" s="150"/>
      <c r="I455" s="150"/>
    </row>
    <row r="456" ht="20.25" spans="1:9">
      <c r="A456" s="150"/>
      <c r="B456" s="150"/>
      <c r="C456" s="150"/>
      <c r="D456" s="150"/>
      <c r="E456" s="150"/>
      <c r="F456" s="150"/>
      <c r="G456" s="150"/>
      <c r="H456" s="150"/>
      <c r="I456" s="150"/>
    </row>
    <row r="457" ht="20.25" spans="1:9">
      <c r="A457" s="150"/>
      <c r="B457" s="150"/>
      <c r="C457" s="150"/>
      <c r="D457" s="150"/>
      <c r="E457" s="150"/>
      <c r="F457" s="150"/>
      <c r="G457" s="150"/>
      <c r="H457" s="150"/>
      <c r="I457" s="150"/>
    </row>
    <row r="458" ht="20.25" spans="1:9">
      <c r="A458" s="150"/>
      <c r="B458" s="150"/>
      <c r="C458" s="150"/>
      <c r="D458" s="150"/>
      <c r="E458" s="150"/>
      <c r="F458" s="150"/>
      <c r="G458" s="150"/>
      <c r="H458" s="150"/>
      <c r="I458" s="150"/>
    </row>
    <row r="459" ht="20.25" spans="1:9">
      <c r="A459" s="150"/>
      <c r="B459" s="150"/>
      <c r="C459" s="150"/>
      <c r="D459" s="150"/>
      <c r="E459" s="150"/>
      <c r="F459" s="150"/>
      <c r="G459" s="150"/>
      <c r="H459" s="150"/>
      <c r="I459" s="150"/>
    </row>
    <row r="460" ht="20.25" spans="1:9">
      <c r="A460" s="150"/>
      <c r="B460" s="150"/>
      <c r="C460" s="150"/>
      <c r="D460" s="150"/>
      <c r="E460" s="150"/>
      <c r="F460" s="150"/>
      <c r="G460" s="150"/>
      <c r="H460" s="150"/>
      <c r="I460" s="150"/>
    </row>
    <row r="461" ht="20.25" spans="1:9">
      <c r="A461" s="150"/>
      <c r="B461" s="150"/>
      <c r="C461" s="150"/>
      <c r="D461" s="150"/>
      <c r="E461" s="150"/>
      <c r="F461" s="150"/>
      <c r="G461" s="150"/>
      <c r="H461" s="150"/>
      <c r="I461" s="150"/>
    </row>
    <row r="462" ht="20.25" spans="1:9">
      <c r="A462" s="150"/>
      <c r="B462" s="150"/>
      <c r="C462" s="150"/>
      <c r="D462" s="150"/>
      <c r="E462" s="150"/>
      <c r="F462" s="150"/>
      <c r="G462" s="150"/>
      <c r="H462" s="150"/>
      <c r="I462" s="150"/>
    </row>
    <row r="463" ht="20.25" spans="1:9">
      <c r="A463" s="150"/>
      <c r="B463" s="150"/>
      <c r="C463" s="150"/>
      <c r="D463" s="150"/>
      <c r="E463" s="150"/>
      <c r="F463" s="150"/>
      <c r="G463" s="150"/>
      <c r="H463" s="150"/>
      <c r="I463" s="150"/>
    </row>
    <row r="464" ht="20.25" spans="1:9">
      <c r="A464" s="150"/>
      <c r="B464" s="150"/>
      <c r="C464" s="150"/>
      <c r="D464" s="150"/>
      <c r="E464" s="150"/>
      <c r="F464" s="150"/>
      <c r="G464" s="150"/>
      <c r="H464" s="150"/>
      <c r="I464" s="150"/>
    </row>
    <row r="465" ht="20.25" spans="1:9">
      <c r="A465" s="150"/>
      <c r="B465" s="150"/>
      <c r="C465" s="150"/>
      <c r="D465" s="150"/>
      <c r="E465" s="150"/>
      <c r="F465" s="150"/>
      <c r="G465" s="150"/>
      <c r="H465" s="150"/>
      <c r="I465" s="150"/>
    </row>
    <row r="466" ht="20.25" spans="1:9">
      <c r="A466" s="150"/>
      <c r="B466" s="150"/>
      <c r="C466" s="150"/>
      <c r="D466" s="150"/>
      <c r="E466" s="150"/>
      <c r="F466" s="150"/>
      <c r="G466" s="150"/>
      <c r="H466" s="150"/>
      <c r="I466" s="150"/>
    </row>
    <row r="467" ht="20.25" spans="1:9">
      <c r="A467" s="150"/>
      <c r="B467" s="150"/>
      <c r="C467" s="150"/>
      <c r="D467" s="150"/>
      <c r="E467" s="150"/>
      <c r="F467" s="150"/>
      <c r="G467" s="150"/>
      <c r="H467" s="150"/>
      <c r="I467" s="150"/>
    </row>
    <row r="468" ht="20.25" spans="1:9">
      <c r="A468" s="150"/>
      <c r="B468" s="150"/>
      <c r="C468" s="150"/>
      <c r="D468" s="150"/>
      <c r="E468" s="150"/>
      <c r="F468" s="150"/>
      <c r="G468" s="150"/>
      <c r="H468" s="150"/>
      <c r="I468" s="150"/>
    </row>
    <row r="469" ht="20.25" spans="1:9">
      <c r="A469" s="150"/>
      <c r="B469" s="150"/>
      <c r="C469" s="150"/>
      <c r="D469" s="150"/>
      <c r="E469" s="150"/>
      <c r="F469" s="150"/>
      <c r="G469" s="150"/>
      <c r="H469" s="150"/>
      <c r="I469" s="150"/>
    </row>
    <row r="470" ht="20.25" spans="1:9">
      <c r="A470" s="150"/>
      <c r="B470" s="150"/>
      <c r="C470" s="150"/>
      <c r="D470" s="150"/>
      <c r="E470" s="150"/>
      <c r="F470" s="150"/>
      <c r="G470" s="150"/>
      <c r="H470" s="150"/>
      <c r="I470" s="150"/>
    </row>
    <row r="471" ht="20.25" spans="1:9">
      <c r="A471" s="150"/>
      <c r="B471" s="150"/>
      <c r="C471" s="150"/>
      <c r="D471" s="150"/>
      <c r="E471" s="150"/>
      <c r="F471" s="150"/>
      <c r="G471" s="150"/>
      <c r="H471" s="150"/>
      <c r="I471" s="150"/>
    </row>
    <row r="472" ht="20.25" spans="1:9">
      <c r="A472" s="150"/>
      <c r="B472" s="150"/>
      <c r="C472" s="150"/>
      <c r="D472" s="150"/>
      <c r="E472" s="150"/>
      <c r="F472" s="150"/>
      <c r="G472" s="150"/>
      <c r="H472" s="150"/>
      <c r="I472" s="150"/>
    </row>
    <row r="473" ht="20.25" spans="1:9">
      <c r="A473" s="150"/>
      <c r="B473" s="150"/>
      <c r="C473" s="150"/>
      <c r="D473" s="150"/>
      <c r="E473" s="150"/>
      <c r="F473" s="150"/>
      <c r="G473" s="150"/>
      <c r="H473" s="150"/>
      <c r="I473" s="150"/>
    </row>
    <row r="474" ht="20.25" spans="1:9">
      <c r="A474" s="150"/>
      <c r="B474" s="150"/>
      <c r="C474" s="150"/>
      <c r="D474" s="150"/>
      <c r="E474" s="150"/>
      <c r="F474" s="150"/>
      <c r="G474" s="150"/>
      <c r="H474" s="150"/>
      <c r="I474" s="150"/>
    </row>
    <row r="475" ht="20.25" spans="1:9">
      <c r="A475" s="150"/>
      <c r="B475" s="150"/>
      <c r="C475" s="150"/>
      <c r="D475" s="150"/>
      <c r="E475" s="150"/>
      <c r="F475" s="150"/>
      <c r="G475" s="150"/>
      <c r="H475" s="150"/>
      <c r="I475" s="150"/>
    </row>
    <row r="476" ht="20.25" spans="1:9">
      <c r="A476" s="150"/>
      <c r="B476" s="150"/>
      <c r="C476" s="150"/>
      <c r="D476" s="150"/>
      <c r="E476" s="150"/>
      <c r="F476" s="150"/>
      <c r="G476" s="150"/>
      <c r="H476" s="150"/>
      <c r="I476" s="150"/>
    </row>
    <row r="477" ht="20.25" spans="1:9">
      <c r="A477" s="150"/>
      <c r="B477" s="150"/>
      <c r="C477" s="150"/>
      <c r="D477" s="150"/>
      <c r="E477" s="150"/>
      <c r="F477" s="150"/>
      <c r="G477" s="150"/>
      <c r="H477" s="150"/>
      <c r="I477" s="150"/>
    </row>
    <row r="478" ht="20.25" spans="1:9">
      <c r="A478" s="150"/>
      <c r="B478" s="150"/>
      <c r="C478" s="150"/>
      <c r="D478" s="150"/>
      <c r="E478" s="150"/>
      <c r="F478" s="150"/>
      <c r="G478" s="150"/>
      <c r="H478" s="150"/>
      <c r="I478" s="150"/>
    </row>
    <row r="479" ht="20.25" spans="1:9">
      <c r="A479" s="150"/>
      <c r="B479" s="150"/>
      <c r="C479" s="150"/>
      <c r="D479" s="150"/>
      <c r="E479" s="150"/>
      <c r="F479" s="150"/>
      <c r="G479" s="150"/>
      <c r="H479" s="150"/>
      <c r="I479" s="150"/>
    </row>
    <row r="480" ht="20.25" spans="1:9">
      <c r="A480" s="150"/>
      <c r="B480" s="150"/>
      <c r="C480" s="150"/>
      <c r="D480" s="150"/>
      <c r="E480" s="150"/>
      <c r="F480" s="150"/>
      <c r="G480" s="150"/>
      <c r="H480" s="150"/>
      <c r="I480" s="150"/>
    </row>
    <row r="481" ht="20.25" spans="1:9">
      <c r="A481" s="150"/>
      <c r="B481" s="150"/>
      <c r="C481" s="150"/>
      <c r="D481" s="150"/>
      <c r="E481" s="150"/>
      <c r="F481" s="150"/>
      <c r="G481" s="150"/>
      <c r="H481" s="150"/>
      <c r="I481" s="150"/>
    </row>
    <row r="482" ht="20.25" spans="1:9">
      <c r="A482" s="150"/>
      <c r="B482" s="150"/>
      <c r="C482" s="150"/>
      <c r="D482" s="150"/>
      <c r="E482" s="150"/>
      <c r="F482" s="150"/>
      <c r="G482" s="150"/>
      <c r="H482" s="150"/>
      <c r="I482" s="150"/>
    </row>
    <row r="483" ht="20.25" spans="1:9">
      <c r="A483" s="150"/>
      <c r="B483" s="150"/>
      <c r="C483" s="150"/>
      <c r="D483" s="150"/>
      <c r="E483" s="150"/>
      <c r="F483" s="150"/>
      <c r="G483" s="150"/>
      <c r="H483" s="150"/>
      <c r="I483" s="150"/>
    </row>
    <row r="484" ht="20.25" spans="1:9">
      <c r="A484" s="150"/>
      <c r="B484" s="150"/>
      <c r="C484" s="150"/>
      <c r="D484" s="150"/>
      <c r="E484" s="150"/>
      <c r="F484" s="150"/>
      <c r="G484" s="150"/>
      <c r="H484" s="150"/>
      <c r="I484" s="150"/>
    </row>
    <row r="485" ht="20.25" spans="1:9">
      <c r="A485" s="150"/>
      <c r="B485" s="150"/>
      <c r="C485" s="150"/>
      <c r="D485" s="150"/>
      <c r="E485" s="150"/>
      <c r="F485" s="150"/>
      <c r="G485" s="150"/>
      <c r="H485" s="150"/>
      <c r="I485" s="150"/>
    </row>
    <row r="486" ht="20.25" spans="1:9">
      <c r="A486" s="150"/>
      <c r="B486" s="150"/>
      <c r="C486" s="150"/>
      <c r="D486" s="150"/>
      <c r="E486" s="150"/>
      <c r="F486" s="150"/>
      <c r="G486" s="150"/>
      <c r="H486" s="150"/>
      <c r="I486" s="150"/>
    </row>
    <row r="487" ht="20.25" spans="1:9">
      <c r="A487" s="150"/>
      <c r="B487" s="150"/>
      <c r="C487" s="150"/>
      <c r="D487" s="150"/>
      <c r="E487" s="150"/>
      <c r="F487" s="150"/>
      <c r="G487" s="150"/>
      <c r="H487" s="150"/>
      <c r="I487" s="150"/>
    </row>
    <row r="488" ht="20.25" spans="1:9">
      <c r="A488" s="150"/>
      <c r="B488" s="150"/>
      <c r="C488" s="150"/>
      <c r="D488" s="150"/>
      <c r="E488" s="150"/>
      <c r="F488" s="150"/>
      <c r="G488" s="150"/>
      <c r="H488" s="150"/>
      <c r="I488" s="150"/>
    </row>
    <row r="489" ht="20.25" spans="1:9">
      <c r="A489" s="150"/>
      <c r="B489" s="150"/>
      <c r="C489" s="150"/>
      <c r="D489" s="150"/>
      <c r="E489" s="150"/>
      <c r="F489" s="150"/>
      <c r="G489" s="150"/>
      <c r="H489" s="150"/>
      <c r="I489" s="150"/>
    </row>
    <row r="490" ht="20.25" spans="1:9">
      <c r="A490" s="150"/>
      <c r="B490" s="150"/>
      <c r="C490" s="150"/>
      <c r="D490" s="150"/>
      <c r="E490" s="150"/>
      <c r="F490" s="150"/>
      <c r="G490" s="150"/>
      <c r="H490" s="150"/>
      <c r="I490" s="150"/>
    </row>
    <row r="491" ht="20.25" spans="1:9">
      <c r="A491" s="150"/>
      <c r="B491" s="150"/>
      <c r="C491" s="150"/>
      <c r="D491" s="150"/>
      <c r="E491" s="150"/>
      <c r="F491" s="150"/>
      <c r="G491" s="150"/>
      <c r="H491" s="150"/>
      <c r="I491" s="150"/>
    </row>
    <row r="492" ht="20.25" spans="1:9">
      <c r="A492" s="150"/>
      <c r="B492" s="150"/>
      <c r="C492" s="150"/>
      <c r="D492" s="150"/>
      <c r="E492" s="150"/>
      <c r="F492" s="150"/>
      <c r="G492" s="150"/>
      <c r="H492" s="150"/>
      <c r="I492" s="150"/>
    </row>
    <row r="493" ht="20.25" spans="1:9">
      <c r="A493" s="150"/>
      <c r="B493" s="150"/>
      <c r="C493" s="150"/>
      <c r="D493" s="150"/>
      <c r="E493" s="150"/>
      <c r="F493" s="150"/>
      <c r="G493" s="150"/>
      <c r="H493" s="150"/>
      <c r="I493" s="150"/>
    </row>
    <row r="494" ht="20.25" spans="1:9">
      <c r="A494" s="150"/>
      <c r="B494" s="150"/>
      <c r="C494" s="150"/>
      <c r="D494" s="150"/>
      <c r="E494" s="150"/>
      <c r="F494" s="150"/>
      <c r="G494" s="150"/>
      <c r="H494" s="150"/>
      <c r="I494" s="150"/>
    </row>
    <row r="495" ht="20.25" spans="1:9">
      <c r="A495" s="150"/>
      <c r="B495" s="150"/>
      <c r="C495" s="150"/>
      <c r="D495" s="150"/>
      <c r="E495" s="150"/>
      <c r="F495" s="150"/>
      <c r="G495" s="150"/>
      <c r="H495" s="150"/>
      <c r="I495" s="150"/>
    </row>
    <row r="496" ht="20.25" spans="1:9">
      <c r="A496" s="150"/>
      <c r="B496" s="150"/>
      <c r="C496" s="150"/>
      <c r="D496" s="150"/>
      <c r="E496" s="150"/>
      <c r="F496" s="150"/>
      <c r="G496" s="150"/>
      <c r="H496" s="150"/>
      <c r="I496" s="150"/>
    </row>
    <row r="497" ht="20.25" spans="1:9">
      <c r="A497" s="150"/>
      <c r="B497" s="150"/>
      <c r="C497" s="150"/>
      <c r="D497" s="150"/>
      <c r="E497" s="150"/>
      <c r="F497" s="150"/>
      <c r="G497" s="150"/>
      <c r="H497" s="150"/>
      <c r="I497" s="150"/>
    </row>
    <row r="498" ht="20.25" spans="1:9">
      <c r="A498" s="150"/>
      <c r="B498" s="150"/>
      <c r="C498" s="150"/>
      <c r="D498" s="150"/>
      <c r="E498" s="150"/>
      <c r="F498" s="150"/>
      <c r="G498" s="150"/>
      <c r="H498" s="150"/>
      <c r="I498" s="150"/>
    </row>
    <row r="499" ht="20.25" spans="1:9">
      <c r="A499" s="150"/>
      <c r="B499" s="150"/>
      <c r="C499" s="150"/>
      <c r="D499" s="150"/>
      <c r="E499" s="150"/>
      <c r="F499" s="150"/>
      <c r="G499" s="150"/>
      <c r="H499" s="150"/>
      <c r="I499" s="150"/>
    </row>
    <row r="500" ht="20.25" spans="1:9">
      <c r="A500" s="150"/>
      <c r="B500" s="150"/>
      <c r="C500" s="150"/>
      <c r="D500" s="150"/>
      <c r="E500" s="150"/>
      <c r="F500" s="150"/>
      <c r="G500" s="150"/>
      <c r="H500" s="150"/>
      <c r="I500" s="150"/>
    </row>
    <row r="501" ht="20.25" spans="1:9">
      <c r="A501" s="150"/>
      <c r="B501" s="150"/>
      <c r="C501" s="150"/>
      <c r="D501" s="150"/>
      <c r="E501" s="150"/>
      <c r="F501" s="150"/>
      <c r="G501" s="150"/>
      <c r="H501" s="150"/>
      <c r="I501" s="150"/>
    </row>
    <row r="502" ht="20.25" spans="1:9">
      <c r="A502" s="150"/>
      <c r="B502" s="150"/>
      <c r="C502" s="150"/>
      <c r="D502" s="150"/>
      <c r="E502" s="150"/>
      <c r="F502" s="150"/>
      <c r="G502" s="150"/>
      <c r="H502" s="150"/>
      <c r="I502" s="150"/>
    </row>
    <row r="503" ht="20.25" spans="1:9">
      <c r="A503" s="150"/>
      <c r="B503" s="150"/>
      <c r="C503" s="150"/>
      <c r="D503" s="150"/>
      <c r="E503" s="150"/>
      <c r="F503" s="150"/>
      <c r="G503" s="150"/>
      <c r="H503" s="150"/>
      <c r="I503" s="150"/>
    </row>
    <row r="504" ht="20.25" spans="1:9">
      <c r="A504" s="150"/>
      <c r="B504" s="150"/>
      <c r="C504" s="150"/>
      <c r="D504" s="150"/>
      <c r="E504" s="150"/>
      <c r="F504" s="150"/>
      <c r="G504" s="150"/>
      <c r="H504" s="150"/>
      <c r="I504" s="150"/>
    </row>
    <row r="505" ht="20.25" spans="1:9">
      <c r="A505" s="150"/>
      <c r="B505" s="150"/>
      <c r="C505" s="150"/>
      <c r="D505" s="150"/>
      <c r="E505" s="150"/>
      <c r="F505" s="150"/>
      <c r="G505" s="150"/>
      <c r="H505" s="150"/>
      <c r="I505" s="150"/>
    </row>
    <row r="506" ht="20.25" spans="1:9">
      <c r="A506" s="150"/>
      <c r="B506" s="150"/>
      <c r="C506" s="150"/>
      <c r="D506" s="150"/>
      <c r="E506" s="150"/>
      <c r="F506" s="150"/>
      <c r="G506" s="150"/>
      <c r="H506" s="150"/>
      <c r="I506" s="150"/>
    </row>
    <row r="507" ht="20.25" spans="1:9">
      <c r="A507" s="150"/>
      <c r="B507" s="150"/>
      <c r="C507" s="150"/>
      <c r="D507" s="150"/>
      <c r="E507" s="150"/>
      <c r="F507" s="150"/>
      <c r="G507" s="150"/>
      <c r="H507" s="150"/>
      <c r="I507" s="150"/>
    </row>
    <row r="508" ht="20.25" spans="1:9">
      <c r="A508" s="150"/>
      <c r="B508" s="150"/>
      <c r="C508" s="150"/>
      <c r="D508" s="150"/>
      <c r="E508" s="150"/>
      <c r="F508" s="150"/>
      <c r="G508" s="150"/>
      <c r="H508" s="150"/>
      <c r="I508" s="150"/>
    </row>
    <row r="509" ht="20.25" spans="1:9">
      <c r="A509" s="150"/>
      <c r="B509" s="150"/>
      <c r="C509" s="150"/>
      <c r="D509" s="150"/>
      <c r="E509" s="150"/>
      <c r="F509" s="150"/>
      <c r="G509" s="150"/>
      <c r="H509" s="150"/>
      <c r="I509" s="150"/>
    </row>
    <row r="510" ht="20.25" spans="1:9">
      <c r="A510" s="150"/>
      <c r="B510" s="150"/>
      <c r="C510" s="150"/>
      <c r="D510" s="150"/>
      <c r="E510" s="150"/>
      <c r="F510" s="150"/>
      <c r="G510" s="150"/>
      <c r="H510" s="150"/>
      <c r="I510" s="150"/>
    </row>
    <row r="511" ht="20.25" spans="1:9">
      <c r="A511" s="150"/>
      <c r="B511" s="150"/>
      <c r="C511" s="150"/>
      <c r="D511" s="150"/>
      <c r="E511" s="150"/>
      <c r="F511" s="150"/>
      <c r="G511" s="150"/>
      <c r="H511" s="150"/>
      <c r="I511" s="150"/>
    </row>
    <row r="512" ht="20.25" spans="1:9">
      <c r="A512" s="150"/>
      <c r="B512" s="150"/>
      <c r="C512" s="150"/>
      <c r="D512" s="150"/>
      <c r="E512" s="150"/>
      <c r="F512" s="150"/>
      <c r="G512" s="150"/>
      <c r="H512" s="150"/>
      <c r="I512" s="150"/>
    </row>
    <row r="513" ht="20.25" spans="1:9">
      <c r="A513" s="150"/>
      <c r="B513" s="150"/>
      <c r="C513" s="150"/>
      <c r="D513" s="150"/>
      <c r="E513" s="150"/>
      <c r="F513" s="150"/>
      <c r="G513" s="150"/>
      <c r="H513" s="150"/>
      <c r="I513" s="150"/>
    </row>
    <row r="514" ht="20.25" spans="1:9">
      <c r="A514" s="150"/>
      <c r="B514" s="150"/>
      <c r="C514" s="150"/>
      <c r="D514" s="150"/>
      <c r="E514" s="150"/>
      <c r="F514" s="150"/>
      <c r="G514" s="150"/>
      <c r="H514" s="150"/>
      <c r="I514" s="150"/>
    </row>
    <row r="515" ht="20.25" spans="1:9">
      <c r="A515" s="150"/>
      <c r="B515" s="150"/>
      <c r="C515" s="150"/>
      <c r="D515" s="150"/>
      <c r="E515" s="150"/>
      <c r="F515" s="150"/>
      <c r="G515" s="150"/>
      <c r="H515" s="150"/>
      <c r="I515" s="150"/>
    </row>
    <row r="516" ht="20.25" spans="1:9">
      <c r="A516" s="150"/>
      <c r="B516" s="150"/>
      <c r="C516" s="150"/>
      <c r="D516" s="150"/>
      <c r="E516" s="150"/>
      <c r="F516" s="150"/>
      <c r="G516" s="150"/>
      <c r="H516" s="150"/>
      <c r="I516" s="150"/>
    </row>
    <row r="517" ht="20.25" spans="1:9">
      <c r="A517" s="150"/>
      <c r="B517" s="150"/>
      <c r="C517" s="150"/>
      <c r="D517" s="150"/>
      <c r="E517" s="150"/>
      <c r="F517" s="150"/>
      <c r="G517" s="150"/>
      <c r="H517" s="150"/>
      <c r="I517" s="150"/>
    </row>
    <row r="518" ht="20.25" spans="1:9">
      <c r="A518" s="150"/>
      <c r="B518" s="150"/>
      <c r="C518" s="150"/>
      <c r="D518" s="150"/>
      <c r="E518" s="150"/>
      <c r="F518" s="150"/>
      <c r="G518" s="150"/>
      <c r="H518" s="150"/>
      <c r="I518" s="150"/>
    </row>
    <row r="519" ht="20.25" spans="1:9">
      <c r="A519" s="150"/>
      <c r="B519" s="150"/>
      <c r="C519" s="150"/>
      <c r="D519" s="150"/>
      <c r="E519" s="150"/>
      <c r="F519" s="150"/>
      <c r="G519" s="150"/>
      <c r="H519" s="150"/>
      <c r="I519" s="150"/>
    </row>
    <row r="520" ht="20.25" spans="1:9">
      <c r="A520" s="150"/>
      <c r="B520" s="150"/>
      <c r="C520" s="150"/>
      <c r="D520" s="150"/>
      <c r="E520" s="150"/>
      <c r="F520" s="150"/>
      <c r="G520" s="150"/>
      <c r="H520" s="150"/>
      <c r="I520" s="150"/>
    </row>
    <row r="521" ht="20.25" spans="1:9">
      <c r="A521" s="150"/>
      <c r="B521" s="150"/>
      <c r="C521" s="150"/>
      <c r="D521" s="150"/>
      <c r="E521" s="150"/>
      <c r="F521" s="150"/>
      <c r="G521" s="150"/>
      <c r="H521" s="150"/>
      <c r="I521" s="150"/>
    </row>
    <row r="522" ht="20.25" spans="1:9">
      <c r="A522" s="150"/>
      <c r="B522" s="150"/>
      <c r="C522" s="150"/>
      <c r="D522" s="150"/>
      <c r="E522" s="150"/>
      <c r="F522" s="150"/>
      <c r="G522" s="150"/>
      <c r="H522" s="150"/>
      <c r="I522" s="150"/>
    </row>
    <row r="523" ht="20.25" spans="1:9">
      <c r="A523" s="150"/>
      <c r="B523" s="150"/>
      <c r="C523" s="150"/>
      <c r="D523" s="150"/>
      <c r="E523" s="150"/>
      <c r="F523" s="150"/>
      <c r="G523" s="150"/>
      <c r="H523" s="150"/>
      <c r="I523" s="150"/>
    </row>
    <row r="524" ht="20.25" spans="1:9">
      <c r="A524" s="150"/>
      <c r="B524" s="150"/>
      <c r="C524" s="150"/>
      <c r="D524" s="150"/>
      <c r="E524" s="150"/>
      <c r="F524" s="150"/>
      <c r="G524" s="150"/>
      <c r="H524" s="150"/>
      <c r="I524" s="150"/>
    </row>
    <row r="525" ht="20.25" spans="1:9">
      <c r="A525" s="150"/>
      <c r="B525" s="150"/>
      <c r="C525" s="150"/>
      <c r="D525" s="150"/>
      <c r="E525" s="150"/>
      <c r="F525" s="150"/>
      <c r="G525" s="150"/>
      <c r="H525" s="150"/>
      <c r="I525" s="150"/>
    </row>
    <row r="526" ht="20.25" spans="1:9">
      <c r="A526" s="150"/>
      <c r="B526" s="150"/>
      <c r="C526" s="150"/>
      <c r="D526" s="150"/>
      <c r="E526" s="150"/>
      <c r="F526" s="150"/>
      <c r="G526" s="150"/>
      <c r="H526" s="150"/>
      <c r="I526" s="150"/>
    </row>
    <row r="527" ht="20.25" spans="1:9">
      <c r="A527" s="150"/>
      <c r="B527" s="150"/>
      <c r="C527" s="150"/>
      <c r="D527" s="150"/>
      <c r="E527" s="150"/>
      <c r="F527" s="150"/>
      <c r="G527" s="150"/>
      <c r="H527" s="150"/>
      <c r="I527" s="150"/>
    </row>
    <row r="528" ht="20.25" spans="1:9">
      <c r="A528" s="150"/>
      <c r="B528" s="150"/>
      <c r="C528" s="150"/>
      <c r="D528" s="150"/>
      <c r="E528" s="150"/>
      <c r="F528" s="150"/>
      <c r="G528" s="150"/>
      <c r="H528" s="150"/>
      <c r="I528" s="150"/>
    </row>
    <row r="529" ht="20.25" spans="1:9">
      <c r="A529" s="150"/>
      <c r="B529" s="150"/>
      <c r="C529" s="150"/>
      <c r="D529" s="150"/>
      <c r="E529" s="150"/>
      <c r="F529" s="150"/>
      <c r="G529" s="150"/>
      <c r="H529" s="150"/>
      <c r="I529" s="150"/>
    </row>
    <row r="530" ht="20.25" spans="1:9">
      <c r="A530" s="150"/>
      <c r="B530" s="150"/>
      <c r="C530" s="150"/>
      <c r="D530" s="150"/>
      <c r="E530" s="150"/>
      <c r="F530" s="150"/>
      <c r="G530" s="150"/>
      <c r="H530" s="150"/>
      <c r="I530" s="150"/>
    </row>
    <row r="531" ht="20.25" spans="1:9">
      <c r="A531" s="150"/>
      <c r="B531" s="150"/>
      <c r="C531" s="150"/>
      <c r="D531" s="150"/>
      <c r="E531" s="150"/>
      <c r="F531" s="150"/>
      <c r="G531" s="150"/>
      <c r="H531" s="150"/>
      <c r="I531" s="150"/>
    </row>
    <row r="532" ht="20.25" spans="1:9">
      <c r="A532" s="150"/>
      <c r="B532" s="150"/>
      <c r="C532" s="150"/>
      <c r="D532" s="150"/>
      <c r="E532" s="150"/>
      <c r="F532" s="150"/>
      <c r="G532" s="150"/>
      <c r="H532" s="150"/>
      <c r="I532" s="150"/>
    </row>
    <row r="533" ht="20.25" spans="1:9">
      <c r="A533" s="150"/>
      <c r="B533" s="150"/>
      <c r="C533" s="150"/>
      <c r="D533" s="150"/>
      <c r="E533" s="150"/>
      <c r="F533" s="150"/>
      <c r="G533" s="150"/>
      <c r="H533" s="150"/>
      <c r="I533" s="150"/>
    </row>
    <row r="534" ht="20.25" spans="1:9">
      <c r="A534" s="150"/>
      <c r="B534" s="150"/>
      <c r="C534" s="150"/>
      <c r="D534" s="150"/>
      <c r="E534" s="150"/>
      <c r="F534" s="150"/>
      <c r="G534" s="150"/>
      <c r="H534" s="150"/>
      <c r="I534" s="150"/>
    </row>
    <row r="535" ht="20.25" spans="1:9">
      <c r="A535" s="150"/>
      <c r="B535" s="150"/>
      <c r="C535" s="150"/>
      <c r="D535" s="150"/>
      <c r="E535" s="150"/>
      <c r="F535" s="150"/>
      <c r="G535" s="150"/>
      <c r="H535" s="150"/>
      <c r="I535" s="150"/>
    </row>
    <row r="536" ht="20.25" spans="1:9">
      <c r="A536" s="150"/>
      <c r="B536" s="150"/>
      <c r="C536" s="150"/>
      <c r="D536" s="150"/>
      <c r="E536" s="150"/>
      <c r="F536" s="150"/>
      <c r="G536" s="150"/>
      <c r="H536" s="150"/>
      <c r="I536" s="150"/>
    </row>
    <row r="537" ht="20.25" spans="1:9">
      <c r="A537" s="150"/>
      <c r="B537" s="150"/>
      <c r="C537" s="150"/>
      <c r="D537" s="150"/>
      <c r="E537" s="150"/>
      <c r="F537" s="150"/>
      <c r="G537" s="150"/>
      <c r="H537" s="150"/>
      <c r="I537" s="150"/>
    </row>
    <row r="538" ht="20.25" spans="1:9">
      <c r="A538" s="150"/>
      <c r="B538" s="150"/>
      <c r="C538" s="150"/>
      <c r="D538" s="150"/>
      <c r="E538" s="150"/>
      <c r="F538" s="150"/>
      <c r="G538" s="150"/>
      <c r="H538" s="150"/>
      <c r="I538" s="150"/>
    </row>
    <row r="539" ht="20.25" spans="1:9">
      <c r="A539" s="150"/>
      <c r="B539" s="150"/>
      <c r="C539" s="150"/>
      <c r="D539" s="150"/>
      <c r="E539" s="150"/>
      <c r="F539" s="150"/>
      <c r="G539" s="150"/>
      <c r="H539" s="150"/>
      <c r="I539" s="150"/>
    </row>
    <row r="540" ht="20.25" spans="1:9">
      <c r="A540" s="150"/>
      <c r="B540" s="150"/>
      <c r="C540" s="150"/>
      <c r="D540" s="150"/>
      <c r="E540" s="150"/>
      <c r="F540" s="150"/>
      <c r="G540" s="150"/>
      <c r="H540" s="150"/>
      <c r="I540" s="150"/>
    </row>
    <row r="541" ht="20.25" spans="1:9">
      <c r="A541" s="150"/>
      <c r="B541" s="150"/>
      <c r="C541" s="150"/>
      <c r="D541" s="150"/>
      <c r="E541" s="150"/>
      <c r="F541" s="150"/>
      <c r="G541" s="150"/>
      <c r="H541" s="150"/>
      <c r="I541" s="150"/>
    </row>
    <row r="542" ht="20.25" spans="1:9">
      <c r="A542" s="150"/>
      <c r="B542" s="150"/>
      <c r="C542" s="150"/>
      <c r="D542" s="150"/>
      <c r="E542" s="150"/>
      <c r="F542" s="150"/>
      <c r="G542" s="150"/>
      <c r="H542" s="150"/>
      <c r="I542" s="150"/>
    </row>
    <row r="543" ht="20.25" spans="1:9">
      <c r="A543" s="150"/>
      <c r="B543" s="150"/>
      <c r="C543" s="150"/>
      <c r="D543" s="150"/>
      <c r="E543" s="150"/>
      <c r="F543" s="150"/>
      <c r="G543" s="150"/>
      <c r="H543" s="150"/>
      <c r="I543" s="150"/>
    </row>
    <row r="544" ht="20.25" spans="1:9">
      <c r="A544" s="150"/>
      <c r="B544" s="150"/>
      <c r="C544" s="150"/>
      <c r="D544" s="150"/>
      <c r="E544" s="150"/>
      <c r="F544" s="150"/>
      <c r="G544" s="150"/>
      <c r="H544" s="150"/>
      <c r="I544" s="150"/>
    </row>
    <row r="545" ht="20.25" spans="1:9">
      <c r="A545" s="150"/>
      <c r="B545" s="150"/>
      <c r="C545" s="150"/>
      <c r="D545" s="150"/>
      <c r="E545" s="150"/>
      <c r="F545" s="150"/>
      <c r="G545" s="150"/>
      <c r="H545" s="150"/>
      <c r="I545" s="150"/>
    </row>
    <row r="546" ht="20.25" spans="1:9">
      <c r="A546" s="150"/>
      <c r="B546" s="150"/>
      <c r="C546" s="150"/>
      <c r="D546" s="150"/>
      <c r="E546" s="150"/>
      <c r="F546" s="150"/>
      <c r="G546" s="150"/>
      <c r="H546" s="150"/>
      <c r="I546" s="150"/>
    </row>
    <row r="547" ht="20.25" spans="1:9">
      <c r="A547" s="150"/>
      <c r="B547" s="150"/>
      <c r="C547" s="150"/>
      <c r="D547" s="150"/>
      <c r="E547" s="150"/>
      <c r="F547" s="150"/>
      <c r="G547" s="150"/>
      <c r="H547" s="150"/>
      <c r="I547" s="150"/>
    </row>
    <row r="548" ht="20.25" spans="1:9">
      <c r="A548" s="150"/>
      <c r="B548" s="150"/>
      <c r="C548" s="150"/>
      <c r="D548" s="150"/>
      <c r="E548" s="150"/>
      <c r="F548" s="150"/>
      <c r="G548" s="150"/>
      <c r="H548" s="150"/>
      <c r="I548" s="150"/>
    </row>
    <row r="549" ht="20.25" spans="1:9">
      <c r="A549" s="150"/>
      <c r="B549" s="150"/>
      <c r="C549" s="150"/>
      <c r="D549" s="150"/>
      <c r="E549" s="150"/>
      <c r="F549" s="150"/>
      <c r="G549" s="150"/>
      <c r="H549" s="150"/>
      <c r="I549" s="150"/>
    </row>
    <row r="550" ht="20.25" spans="1:9">
      <c r="A550" s="150"/>
      <c r="B550" s="150"/>
      <c r="C550" s="150"/>
      <c r="D550" s="150"/>
      <c r="E550" s="150"/>
      <c r="F550" s="150"/>
      <c r="G550" s="150"/>
      <c r="H550" s="150"/>
      <c r="I550" s="150"/>
    </row>
    <row r="551" ht="20.25" spans="1:9">
      <c r="A551" s="150"/>
      <c r="B551" s="150"/>
      <c r="C551" s="150"/>
      <c r="D551" s="150"/>
      <c r="E551" s="150"/>
      <c r="F551" s="150"/>
      <c r="G551" s="150"/>
      <c r="H551" s="150"/>
      <c r="I551" s="150"/>
    </row>
    <row r="552" ht="20.25" spans="1:9">
      <c r="A552" s="150"/>
      <c r="B552" s="150"/>
      <c r="C552" s="150"/>
      <c r="D552" s="150"/>
      <c r="E552" s="150"/>
      <c r="F552" s="150"/>
      <c r="G552" s="150"/>
      <c r="H552" s="150"/>
      <c r="I552" s="150"/>
    </row>
    <row r="553" ht="20.25" spans="1:9">
      <c r="A553" s="150"/>
      <c r="B553" s="150"/>
      <c r="C553" s="150"/>
      <c r="D553" s="150"/>
      <c r="E553" s="150"/>
      <c r="F553" s="150"/>
      <c r="G553" s="150"/>
      <c r="H553" s="150"/>
      <c r="I553" s="150"/>
    </row>
    <row r="554" ht="20.25" spans="1:9">
      <c r="A554" s="150"/>
      <c r="B554" s="150"/>
      <c r="C554" s="150"/>
      <c r="D554" s="150"/>
      <c r="E554" s="150"/>
      <c r="F554" s="150"/>
      <c r="G554" s="150"/>
      <c r="H554" s="150"/>
      <c r="I554" s="150"/>
    </row>
    <row r="555" ht="20.25" spans="1:9">
      <c r="A555" s="150"/>
      <c r="B555" s="150"/>
      <c r="C555" s="150"/>
      <c r="D555" s="150"/>
      <c r="E555" s="150"/>
      <c r="F555" s="150"/>
      <c r="G555" s="150"/>
      <c r="H555" s="150"/>
      <c r="I555" s="150"/>
    </row>
    <row r="556" ht="20.25" spans="1:9">
      <c r="A556" s="150"/>
      <c r="B556" s="150"/>
      <c r="C556" s="150"/>
      <c r="D556" s="150"/>
      <c r="E556" s="150"/>
      <c r="F556" s="150"/>
      <c r="G556" s="150"/>
      <c r="H556" s="150"/>
      <c r="I556" s="150"/>
    </row>
    <row r="557" ht="20.25" spans="1:9">
      <c r="A557" s="150"/>
      <c r="B557" s="150"/>
      <c r="C557" s="150"/>
      <c r="D557" s="150"/>
      <c r="E557" s="150"/>
      <c r="F557" s="150"/>
      <c r="G557" s="150"/>
      <c r="H557" s="150"/>
      <c r="I557" s="150"/>
    </row>
    <row r="558" ht="20.25" spans="1:9">
      <c r="A558" s="150"/>
      <c r="B558" s="150"/>
      <c r="C558" s="150"/>
      <c r="D558" s="150"/>
      <c r="E558" s="150"/>
      <c r="F558" s="150"/>
      <c r="G558" s="150"/>
      <c r="H558" s="150"/>
      <c r="I558" s="150"/>
    </row>
    <row r="559" ht="20.25" spans="1:9">
      <c r="A559" s="150"/>
      <c r="B559" s="150"/>
      <c r="C559" s="150"/>
      <c r="D559" s="150"/>
      <c r="E559" s="150"/>
      <c r="F559" s="150"/>
      <c r="G559" s="150"/>
      <c r="H559" s="150"/>
      <c r="I559" s="150"/>
    </row>
    <row r="560" ht="20.25" spans="1:9">
      <c r="A560" s="150"/>
      <c r="B560" s="150"/>
      <c r="C560" s="150"/>
      <c r="D560" s="150"/>
      <c r="E560" s="150"/>
      <c r="F560" s="150"/>
      <c r="G560" s="150"/>
      <c r="H560" s="150"/>
      <c r="I560" s="150"/>
    </row>
    <row r="561" ht="20.25" spans="1:9">
      <c r="A561" s="150"/>
      <c r="B561" s="150"/>
      <c r="C561" s="150"/>
      <c r="D561" s="150"/>
      <c r="E561" s="150"/>
      <c r="F561" s="150"/>
      <c r="G561" s="150"/>
      <c r="H561" s="150"/>
      <c r="I561" s="150"/>
    </row>
    <row r="562" ht="20.25" spans="1:9">
      <c r="A562" s="150"/>
      <c r="B562" s="150"/>
      <c r="C562" s="150"/>
      <c r="D562" s="150"/>
      <c r="E562" s="150"/>
      <c r="F562" s="150"/>
      <c r="G562" s="150"/>
      <c r="H562" s="150"/>
      <c r="I562" s="150"/>
    </row>
    <row r="563" ht="20.25" spans="1:9">
      <c r="A563" s="150"/>
      <c r="B563" s="150"/>
      <c r="C563" s="150"/>
      <c r="D563" s="150"/>
      <c r="E563" s="150"/>
      <c r="F563" s="150"/>
      <c r="G563" s="150"/>
      <c r="H563" s="150"/>
      <c r="I563" s="150"/>
    </row>
    <row r="564" ht="20.25" spans="1:9">
      <c r="A564" s="150"/>
      <c r="B564" s="150"/>
      <c r="C564" s="150"/>
      <c r="D564" s="150"/>
      <c r="E564" s="150"/>
      <c r="F564" s="150"/>
      <c r="G564" s="150"/>
      <c r="H564" s="150"/>
      <c r="I564" s="150"/>
    </row>
    <row r="565" ht="20.25" spans="1:9">
      <c r="A565" s="150"/>
      <c r="B565" s="150"/>
      <c r="C565" s="150"/>
      <c r="D565" s="150"/>
      <c r="E565" s="150"/>
      <c r="F565" s="150"/>
      <c r="G565" s="150"/>
      <c r="H565" s="150"/>
      <c r="I565" s="150"/>
    </row>
    <row r="566" ht="20.25" spans="1:9">
      <c r="A566" s="150"/>
      <c r="B566" s="150"/>
      <c r="C566" s="150"/>
      <c r="D566" s="150"/>
      <c r="E566" s="150"/>
      <c r="F566" s="150"/>
      <c r="G566" s="150"/>
      <c r="H566" s="150"/>
      <c r="I566" s="150"/>
    </row>
    <row r="567" ht="20.25" spans="1:9">
      <c r="A567" s="150"/>
      <c r="B567" s="150"/>
      <c r="C567" s="150"/>
      <c r="D567" s="150"/>
      <c r="E567" s="150"/>
      <c r="F567" s="150"/>
      <c r="G567" s="150"/>
      <c r="H567" s="150"/>
      <c r="I567" s="150"/>
    </row>
    <row r="568" ht="20.25" spans="1:9">
      <c r="A568" s="150"/>
      <c r="B568" s="150"/>
      <c r="C568" s="150"/>
      <c r="D568" s="150"/>
      <c r="E568" s="150"/>
      <c r="F568" s="150"/>
      <c r="G568" s="150"/>
      <c r="H568" s="150"/>
      <c r="I568" s="150"/>
    </row>
    <row r="569" ht="20.25" spans="1:9">
      <c r="A569" s="150"/>
      <c r="B569" s="150"/>
      <c r="C569" s="150"/>
      <c r="D569" s="150"/>
      <c r="E569" s="150"/>
      <c r="F569" s="150"/>
      <c r="G569" s="150"/>
      <c r="H569" s="150"/>
      <c r="I569" s="150"/>
    </row>
    <row r="570" ht="20.25" spans="1:9">
      <c r="A570" s="150"/>
      <c r="B570" s="150"/>
      <c r="C570" s="150"/>
      <c r="D570" s="150"/>
      <c r="E570" s="150"/>
      <c r="F570" s="150"/>
      <c r="G570" s="150"/>
      <c r="H570" s="150"/>
      <c r="I570" s="150"/>
    </row>
    <row r="571" ht="20.25" spans="1:9">
      <c r="A571" s="150"/>
      <c r="B571" s="150"/>
      <c r="C571" s="150"/>
      <c r="D571" s="150"/>
      <c r="E571" s="150"/>
      <c r="F571" s="150"/>
      <c r="G571" s="150"/>
      <c r="H571" s="150"/>
      <c r="I571" s="150"/>
    </row>
    <row r="572" ht="20.25" spans="1:9">
      <c r="A572" s="150"/>
      <c r="B572" s="150"/>
      <c r="C572" s="150"/>
      <c r="D572" s="150"/>
      <c r="E572" s="150"/>
      <c r="F572" s="150"/>
      <c r="G572" s="150"/>
      <c r="H572" s="150"/>
      <c r="I572" s="150"/>
    </row>
    <row r="573" ht="20.25" spans="1:9">
      <c r="A573" s="150"/>
      <c r="B573" s="150"/>
      <c r="C573" s="150"/>
      <c r="D573" s="150"/>
      <c r="E573" s="150"/>
      <c r="F573" s="150"/>
      <c r="G573" s="150"/>
      <c r="H573" s="150"/>
      <c r="I573" s="150"/>
    </row>
    <row r="574" ht="20.25" spans="1:9">
      <c r="A574" s="150"/>
      <c r="B574" s="150"/>
      <c r="C574" s="150"/>
      <c r="D574" s="150"/>
      <c r="E574" s="150"/>
      <c r="F574" s="150"/>
      <c r="G574" s="150"/>
      <c r="H574" s="150"/>
      <c r="I574" s="150"/>
    </row>
    <row r="575" ht="20.25" spans="1:9">
      <c r="A575" s="150"/>
      <c r="B575" s="150"/>
      <c r="C575" s="150"/>
      <c r="D575" s="150"/>
      <c r="E575" s="150"/>
      <c r="F575" s="150"/>
      <c r="G575" s="150"/>
      <c r="H575" s="150"/>
      <c r="I575" s="150"/>
    </row>
    <row r="576" ht="20.25" spans="1:9">
      <c r="A576" s="150"/>
      <c r="B576" s="150"/>
      <c r="C576" s="150"/>
      <c r="D576" s="150"/>
      <c r="E576" s="150"/>
      <c r="F576" s="150"/>
      <c r="G576" s="150"/>
      <c r="H576" s="150"/>
      <c r="I576" s="150"/>
    </row>
    <row r="577" ht="20.25" spans="1:9">
      <c r="A577" s="150"/>
      <c r="B577" s="150"/>
      <c r="C577" s="150"/>
      <c r="D577" s="150"/>
      <c r="E577" s="150"/>
      <c r="F577" s="150"/>
      <c r="G577" s="150"/>
      <c r="H577" s="150"/>
      <c r="I577" s="150"/>
    </row>
    <row r="578" ht="20.25" spans="1:9">
      <c r="A578" s="150"/>
      <c r="B578" s="150"/>
      <c r="C578" s="150"/>
      <c r="D578" s="150"/>
      <c r="E578" s="150"/>
      <c r="F578" s="150"/>
      <c r="G578" s="150"/>
      <c r="H578" s="150"/>
      <c r="I578" s="150"/>
    </row>
    <row r="579" ht="20.25" spans="1:9">
      <c r="A579" s="150"/>
      <c r="B579" s="150"/>
      <c r="C579" s="150"/>
      <c r="D579" s="150"/>
      <c r="E579" s="150"/>
      <c r="F579" s="150"/>
      <c r="G579" s="150"/>
      <c r="H579" s="150"/>
      <c r="I579" s="150"/>
    </row>
    <row r="580" ht="20.25" spans="1:9">
      <c r="A580" s="150"/>
      <c r="B580" s="150"/>
      <c r="C580" s="150"/>
      <c r="D580" s="150"/>
      <c r="E580" s="150"/>
      <c r="F580" s="150"/>
      <c r="G580" s="150"/>
      <c r="H580" s="150"/>
      <c r="I580" s="150"/>
    </row>
    <row r="581" ht="20.25" spans="1:9">
      <c r="A581" s="150"/>
      <c r="B581" s="150"/>
      <c r="C581" s="150"/>
      <c r="D581" s="150"/>
      <c r="E581" s="150"/>
      <c r="F581" s="150"/>
      <c r="G581" s="150"/>
      <c r="H581" s="150"/>
      <c r="I581" s="150"/>
    </row>
    <row r="582" ht="20.25" spans="1:9">
      <c r="A582" s="150"/>
      <c r="B582" s="150"/>
      <c r="C582" s="150"/>
      <c r="D582" s="150"/>
      <c r="E582" s="150"/>
      <c r="F582" s="150"/>
      <c r="G582" s="150"/>
      <c r="H582" s="150"/>
      <c r="I582" s="150"/>
    </row>
    <row r="583" ht="20.25" spans="1:9">
      <c r="A583" s="150"/>
      <c r="B583" s="150"/>
      <c r="C583" s="150"/>
      <c r="D583" s="150"/>
      <c r="E583" s="150"/>
      <c r="F583" s="150"/>
      <c r="G583" s="150"/>
      <c r="H583" s="150"/>
      <c r="I583" s="150"/>
    </row>
    <row r="584" ht="20.25" spans="1:9">
      <c r="A584" s="150"/>
      <c r="B584" s="150"/>
      <c r="C584" s="150"/>
      <c r="D584" s="150"/>
      <c r="E584" s="150"/>
      <c r="F584" s="150"/>
      <c r="G584" s="150"/>
      <c r="H584" s="150"/>
      <c r="I584" s="150"/>
    </row>
    <row r="585" ht="20.25" spans="1:9">
      <c r="A585" s="150"/>
      <c r="B585" s="150"/>
      <c r="C585" s="150"/>
      <c r="D585" s="150"/>
      <c r="E585" s="150"/>
      <c r="F585" s="150"/>
      <c r="G585" s="150"/>
      <c r="H585" s="150"/>
      <c r="I585" s="150"/>
    </row>
    <row r="586" ht="20.25" spans="1:9">
      <c r="A586" s="150"/>
      <c r="B586" s="150"/>
      <c r="C586" s="150"/>
      <c r="D586" s="150"/>
      <c r="E586" s="150"/>
      <c r="F586" s="150"/>
      <c r="G586" s="150"/>
      <c r="H586" s="150"/>
      <c r="I586" s="150"/>
    </row>
    <row r="587" ht="20.25" spans="1:9">
      <c r="A587" s="150"/>
      <c r="B587" s="150"/>
      <c r="C587" s="150"/>
      <c r="D587" s="150"/>
      <c r="E587" s="150"/>
      <c r="F587" s="150"/>
      <c r="G587" s="150"/>
      <c r="H587" s="150"/>
      <c r="I587" s="150"/>
    </row>
    <row r="588" ht="20.25" spans="1:9">
      <c r="A588" s="150"/>
      <c r="B588" s="150"/>
      <c r="C588" s="150"/>
      <c r="D588" s="150"/>
      <c r="E588" s="150"/>
      <c r="F588" s="150"/>
      <c r="G588" s="150"/>
      <c r="H588" s="150"/>
      <c r="I588" s="150"/>
    </row>
    <row r="589" ht="20.25" spans="1:9">
      <c r="A589" s="150"/>
      <c r="B589" s="150"/>
      <c r="C589" s="150"/>
      <c r="D589" s="150"/>
      <c r="E589" s="150"/>
      <c r="F589" s="150"/>
      <c r="G589" s="150"/>
      <c r="H589" s="150"/>
      <c r="I589" s="150"/>
    </row>
    <row r="590" ht="20.25" spans="1:9">
      <c r="A590" s="150"/>
      <c r="B590" s="150"/>
      <c r="C590" s="150"/>
      <c r="D590" s="150"/>
      <c r="E590" s="150"/>
      <c r="F590" s="150"/>
      <c r="G590" s="150"/>
      <c r="H590" s="150"/>
      <c r="I590" s="150"/>
    </row>
    <row r="591" ht="20.25" spans="1:9">
      <c r="A591" s="150"/>
      <c r="B591" s="150"/>
      <c r="C591" s="150"/>
      <c r="D591" s="150"/>
      <c r="E591" s="150"/>
      <c r="F591" s="150"/>
      <c r="G591" s="150"/>
      <c r="H591" s="150"/>
      <c r="I591" s="150"/>
    </row>
    <row r="592" ht="20.25" spans="1:9">
      <c r="A592" s="150"/>
      <c r="B592" s="150"/>
      <c r="C592" s="150"/>
      <c r="D592" s="150"/>
      <c r="E592" s="150"/>
      <c r="F592" s="150"/>
      <c r="G592" s="150"/>
      <c r="H592" s="150"/>
      <c r="I592" s="150"/>
    </row>
    <row r="593" ht="20.25" spans="1:9">
      <c r="A593" s="150"/>
      <c r="B593" s="150"/>
      <c r="C593" s="150"/>
      <c r="D593" s="150"/>
      <c r="E593" s="150"/>
      <c r="F593" s="150"/>
      <c r="G593" s="150"/>
      <c r="H593" s="150"/>
      <c r="I593" s="150"/>
    </row>
    <row r="594" ht="20.25" spans="1:9">
      <c r="A594" s="150"/>
      <c r="B594" s="150"/>
      <c r="C594" s="150"/>
      <c r="D594" s="150"/>
      <c r="E594" s="150"/>
      <c r="F594" s="150"/>
      <c r="G594" s="150"/>
      <c r="H594" s="150"/>
      <c r="I594" s="150"/>
    </row>
    <row r="595" ht="20.25" spans="1:9">
      <c r="A595" s="150"/>
      <c r="B595" s="150"/>
      <c r="C595" s="150"/>
      <c r="D595" s="150"/>
      <c r="E595" s="150"/>
      <c r="F595" s="150"/>
      <c r="G595" s="150"/>
      <c r="H595" s="150"/>
      <c r="I595" s="150"/>
    </row>
    <row r="596" ht="20.25" spans="1:9">
      <c r="A596" s="150"/>
      <c r="B596" s="150"/>
      <c r="C596" s="150"/>
      <c r="D596" s="150"/>
      <c r="E596" s="150"/>
      <c r="F596" s="150"/>
      <c r="G596" s="150"/>
      <c r="H596" s="150"/>
      <c r="I596" s="150"/>
    </row>
    <row r="597" ht="20.25" spans="1:9">
      <c r="A597" s="150"/>
      <c r="B597" s="150"/>
      <c r="C597" s="150"/>
      <c r="D597" s="150"/>
      <c r="E597" s="150"/>
      <c r="F597" s="150"/>
      <c r="G597" s="150"/>
      <c r="H597" s="150"/>
      <c r="I597" s="150"/>
    </row>
    <row r="598" ht="20.25" spans="1:9">
      <c r="A598" s="150"/>
      <c r="B598" s="150"/>
      <c r="C598" s="150"/>
      <c r="D598" s="150"/>
      <c r="E598" s="150"/>
      <c r="F598" s="150"/>
      <c r="G598" s="150"/>
      <c r="H598" s="150"/>
      <c r="I598" s="150"/>
    </row>
    <row r="599" ht="20.25" spans="1:9">
      <c r="A599" s="150"/>
      <c r="B599" s="150"/>
      <c r="C599" s="150"/>
      <c r="D599" s="150"/>
      <c r="E599" s="150"/>
      <c r="F599" s="150"/>
      <c r="G599" s="150"/>
      <c r="H599" s="150"/>
      <c r="I599" s="150"/>
    </row>
    <row r="600" ht="20.25" spans="1:9">
      <c r="A600" s="150"/>
      <c r="B600" s="150"/>
      <c r="C600" s="150"/>
      <c r="D600" s="150"/>
      <c r="E600" s="150"/>
      <c r="F600" s="150"/>
      <c r="G600" s="150"/>
      <c r="H600" s="150"/>
      <c r="I600" s="150"/>
    </row>
    <row r="601" ht="20.25" spans="1:9">
      <c r="A601" s="150"/>
      <c r="B601" s="150"/>
      <c r="C601" s="150"/>
      <c r="D601" s="150"/>
      <c r="E601" s="150"/>
      <c r="F601" s="150"/>
      <c r="G601" s="150"/>
      <c r="H601" s="150"/>
      <c r="I601" s="150"/>
    </row>
    <row r="602" ht="20.25" spans="1:9">
      <c r="A602" s="150"/>
      <c r="B602" s="150"/>
      <c r="C602" s="150"/>
      <c r="D602" s="150"/>
      <c r="E602" s="150"/>
      <c r="F602" s="150"/>
      <c r="G602" s="150"/>
      <c r="H602" s="150"/>
      <c r="I602" s="150"/>
    </row>
    <row r="603" ht="20.25" spans="1:9">
      <c r="A603" s="150"/>
      <c r="B603" s="150"/>
      <c r="C603" s="150"/>
      <c r="D603" s="150"/>
      <c r="E603" s="150"/>
      <c r="F603" s="150"/>
      <c r="G603" s="150"/>
      <c r="H603" s="150"/>
      <c r="I603" s="150"/>
    </row>
    <row r="604" ht="20.25" spans="1:9">
      <c r="A604" s="150"/>
      <c r="B604" s="150"/>
      <c r="C604" s="150"/>
      <c r="D604" s="150"/>
      <c r="E604" s="150"/>
      <c r="F604" s="150"/>
      <c r="G604" s="150"/>
      <c r="H604" s="150"/>
      <c r="I604" s="150"/>
    </row>
    <row r="605" ht="20.25" spans="1:9">
      <c r="A605" s="150"/>
      <c r="B605" s="150"/>
      <c r="C605" s="150"/>
      <c r="D605" s="150"/>
      <c r="E605" s="150"/>
      <c r="F605" s="150"/>
      <c r="G605" s="150"/>
      <c r="H605" s="150"/>
      <c r="I605" s="150"/>
    </row>
    <row r="606" ht="20.25" spans="1:9">
      <c r="A606" s="150"/>
      <c r="B606" s="150"/>
      <c r="C606" s="150"/>
      <c r="D606" s="150"/>
      <c r="E606" s="150"/>
      <c r="F606" s="150"/>
      <c r="G606" s="150"/>
      <c r="H606" s="150"/>
      <c r="I606" s="150"/>
    </row>
    <row r="607" ht="20.25" spans="1:9">
      <c r="A607" s="150"/>
      <c r="B607" s="150"/>
      <c r="C607" s="150"/>
      <c r="D607" s="150"/>
      <c r="E607" s="150"/>
      <c r="F607" s="150"/>
      <c r="G607" s="150"/>
      <c r="H607" s="150"/>
      <c r="I607" s="150"/>
    </row>
    <row r="608" ht="20.25" spans="1:9">
      <c r="A608" s="150"/>
      <c r="B608" s="150"/>
      <c r="C608" s="150"/>
      <c r="D608" s="150"/>
      <c r="E608" s="150"/>
      <c r="F608" s="150"/>
      <c r="G608" s="150"/>
      <c r="H608" s="150"/>
      <c r="I608" s="150"/>
    </row>
    <row r="609" ht="20.25" spans="1:9">
      <c r="A609" s="150"/>
      <c r="B609" s="150"/>
      <c r="C609" s="150"/>
      <c r="D609" s="150"/>
      <c r="E609" s="150"/>
      <c r="F609" s="150"/>
      <c r="G609" s="150"/>
      <c r="H609" s="150"/>
      <c r="I609" s="150"/>
    </row>
    <row r="610" ht="20.25" spans="1:9">
      <c r="A610" s="150"/>
      <c r="B610" s="150"/>
      <c r="C610" s="150"/>
      <c r="D610" s="150"/>
      <c r="E610" s="150"/>
      <c r="F610" s="150"/>
      <c r="G610" s="150"/>
      <c r="H610" s="150"/>
      <c r="I610" s="150"/>
    </row>
    <row r="611" ht="20.25" spans="1:9">
      <c r="A611" s="150"/>
      <c r="B611" s="150"/>
      <c r="C611" s="150"/>
      <c r="D611" s="150"/>
      <c r="E611" s="150"/>
      <c r="F611" s="150"/>
      <c r="G611" s="150"/>
      <c r="H611" s="150"/>
      <c r="I611" s="150"/>
    </row>
    <row r="612" ht="20.25" spans="1:9">
      <c r="A612" s="150"/>
      <c r="B612" s="150"/>
      <c r="C612" s="150"/>
      <c r="D612" s="150"/>
      <c r="E612" s="150"/>
      <c r="F612" s="150"/>
      <c r="G612" s="150"/>
      <c r="H612" s="150"/>
      <c r="I612" s="150"/>
    </row>
    <row r="613" ht="20.25" spans="1:9">
      <c r="A613" s="150"/>
      <c r="B613" s="150"/>
      <c r="C613" s="150"/>
      <c r="D613" s="150"/>
      <c r="E613" s="150"/>
      <c r="F613" s="150"/>
      <c r="G613" s="150"/>
      <c r="H613" s="150"/>
      <c r="I613" s="150"/>
    </row>
    <row r="614" ht="20.25" spans="1:9">
      <c r="A614" s="150"/>
      <c r="B614" s="150"/>
      <c r="C614" s="150"/>
      <c r="D614" s="150"/>
      <c r="E614" s="150"/>
      <c r="F614" s="150"/>
      <c r="G614" s="150"/>
      <c r="H614" s="150"/>
      <c r="I614" s="150"/>
    </row>
    <row r="615" ht="20.25" spans="1:9">
      <c r="A615" s="150"/>
      <c r="B615" s="150"/>
      <c r="C615" s="150"/>
      <c r="D615" s="150"/>
      <c r="E615" s="150"/>
      <c r="F615" s="150"/>
      <c r="G615" s="150"/>
      <c r="H615" s="150"/>
      <c r="I615" s="150"/>
    </row>
    <row r="616" ht="20.25" spans="1:9">
      <c r="A616" s="150"/>
      <c r="B616" s="150"/>
      <c r="C616" s="150"/>
      <c r="D616" s="150"/>
      <c r="E616" s="150"/>
      <c r="F616" s="150"/>
      <c r="G616" s="150"/>
      <c r="H616" s="150"/>
      <c r="I616" s="150"/>
    </row>
    <row r="617" ht="20.25" spans="1:9">
      <c r="A617" s="150"/>
      <c r="B617" s="150"/>
      <c r="C617" s="150"/>
      <c r="D617" s="150"/>
      <c r="E617" s="150"/>
      <c r="F617" s="150"/>
      <c r="G617" s="150"/>
      <c r="H617" s="150"/>
      <c r="I617" s="150"/>
    </row>
    <row r="618" ht="20.25" spans="1:9">
      <c r="A618" s="150"/>
      <c r="B618" s="150"/>
      <c r="C618" s="150"/>
      <c r="D618" s="150"/>
      <c r="E618" s="150"/>
      <c r="F618" s="150"/>
      <c r="G618" s="150"/>
      <c r="H618" s="150"/>
      <c r="I618" s="150"/>
    </row>
    <row r="619" ht="20.25" spans="1:9">
      <c r="A619" s="150"/>
      <c r="B619" s="150"/>
      <c r="C619" s="150"/>
      <c r="D619" s="150"/>
      <c r="E619" s="150"/>
      <c r="F619" s="150"/>
      <c r="G619" s="150"/>
      <c r="H619" s="150"/>
      <c r="I619" s="150"/>
    </row>
    <row r="620" ht="20.25" spans="1:9">
      <c r="A620" s="150"/>
      <c r="B620" s="150"/>
      <c r="C620" s="150"/>
      <c r="D620" s="150"/>
      <c r="E620" s="150"/>
      <c r="F620" s="150"/>
      <c r="G620" s="150"/>
      <c r="H620" s="150"/>
      <c r="I620" s="150"/>
    </row>
    <row r="621" ht="20.25" spans="1:9">
      <c r="A621" s="150"/>
      <c r="B621" s="150"/>
      <c r="C621" s="150"/>
      <c r="D621" s="150"/>
      <c r="E621" s="150"/>
      <c r="F621" s="150"/>
      <c r="G621" s="150"/>
      <c r="H621" s="150"/>
      <c r="I621" s="150"/>
    </row>
    <row r="622" ht="20.25" spans="1:9">
      <c r="A622" s="150"/>
      <c r="B622" s="150"/>
      <c r="C622" s="150"/>
      <c r="D622" s="150"/>
      <c r="E622" s="150"/>
      <c r="F622" s="150"/>
      <c r="G622" s="150"/>
      <c r="H622" s="150"/>
      <c r="I622" s="150"/>
    </row>
    <row r="623" ht="20.25" spans="1:9">
      <c r="A623" s="150"/>
      <c r="B623" s="150"/>
      <c r="C623" s="150"/>
      <c r="D623" s="150"/>
      <c r="E623" s="150"/>
      <c r="F623" s="150"/>
      <c r="G623" s="150"/>
      <c r="H623" s="150"/>
      <c r="I623" s="150"/>
    </row>
    <row r="624" ht="20.25" spans="1:9">
      <c r="A624" s="150"/>
      <c r="B624" s="150"/>
      <c r="C624" s="150"/>
      <c r="D624" s="150"/>
      <c r="E624" s="150"/>
      <c r="F624" s="150"/>
      <c r="G624" s="150"/>
      <c r="H624" s="150"/>
      <c r="I624" s="150"/>
    </row>
    <row r="625" ht="20.25" spans="1:9">
      <c r="A625" s="150"/>
      <c r="B625" s="150"/>
      <c r="C625" s="150"/>
      <c r="D625" s="150"/>
      <c r="E625" s="150"/>
      <c r="F625" s="150"/>
      <c r="G625" s="150"/>
      <c r="H625" s="150"/>
      <c r="I625" s="150"/>
    </row>
    <row r="626" ht="20.25" spans="1:9">
      <c r="A626" s="150"/>
      <c r="B626" s="150"/>
      <c r="C626" s="150"/>
      <c r="D626" s="150"/>
      <c r="E626" s="150"/>
      <c r="F626" s="150"/>
      <c r="G626" s="150"/>
      <c r="H626" s="150"/>
      <c r="I626" s="150"/>
    </row>
    <row r="627" ht="20.25" spans="1:9">
      <c r="A627" s="150"/>
      <c r="B627" s="150"/>
      <c r="C627" s="150"/>
      <c r="D627" s="150"/>
      <c r="E627" s="150"/>
      <c r="F627" s="150"/>
      <c r="G627" s="150"/>
      <c r="H627" s="150"/>
      <c r="I627" s="150"/>
    </row>
    <row r="628" ht="20.25" spans="1:9">
      <c r="A628" s="150"/>
      <c r="B628" s="150"/>
      <c r="C628" s="150"/>
      <c r="D628" s="150"/>
      <c r="E628" s="150"/>
      <c r="F628" s="150"/>
      <c r="G628" s="150"/>
      <c r="H628" s="150"/>
      <c r="I628" s="150"/>
    </row>
    <row r="629" ht="20.25" spans="1:9">
      <c r="A629" s="150"/>
      <c r="B629" s="150"/>
      <c r="C629" s="150"/>
      <c r="D629" s="150"/>
      <c r="E629" s="150"/>
      <c r="F629" s="150"/>
      <c r="G629" s="150"/>
      <c r="H629" s="150"/>
      <c r="I629" s="150"/>
    </row>
    <row r="630" ht="20.25" spans="1:9">
      <c r="A630" s="150"/>
      <c r="B630" s="150"/>
      <c r="C630" s="150"/>
      <c r="D630" s="150"/>
      <c r="E630" s="150"/>
      <c r="F630" s="150"/>
      <c r="G630" s="150"/>
      <c r="H630" s="150"/>
      <c r="I630" s="150"/>
    </row>
    <row r="631" ht="20.25" spans="1:9">
      <c r="A631" s="150"/>
      <c r="B631" s="150"/>
      <c r="C631" s="150"/>
      <c r="D631" s="150"/>
      <c r="E631" s="150"/>
      <c r="F631" s="150"/>
      <c r="G631" s="150"/>
      <c r="H631" s="150"/>
      <c r="I631" s="150"/>
    </row>
    <row r="632" ht="20.25" spans="1:9">
      <c r="A632" s="150"/>
      <c r="B632" s="150"/>
      <c r="C632" s="150"/>
      <c r="D632" s="150"/>
      <c r="E632" s="150"/>
      <c r="F632" s="150"/>
      <c r="G632" s="150"/>
      <c r="H632" s="150"/>
      <c r="I632" s="150"/>
    </row>
    <row r="633" ht="20.25" spans="1:9">
      <c r="A633" s="150"/>
      <c r="B633" s="150"/>
      <c r="C633" s="150"/>
      <c r="D633" s="150"/>
      <c r="E633" s="150"/>
      <c r="F633" s="150"/>
      <c r="G633" s="150"/>
      <c r="H633" s="150"/>
      <c r="I633" s="150"/>
    </row>
    <row r="634" ht="20.25" spans="1:9">
      <c r="A634" s="150"/>
      <c r="B634" s="150"/>
      <c r="C634" s="150"/>
      <c r="D634" s="150"/>
      <c r="E634" s="150"/>
      <c r="F634" s="150"/>
      <c r="G634" s="150"/>
      <c r="H634" s="150"/>
      <c r="I634" s="150"/>
    </row>
    <row r="635" ht="20.25" spans="1:9">
      <c r="A635" s="150"/>
      <c r="B635" s="150"/>
      <c r="C635" s="150"/>
      <c r="D635" s="150"/>
      <c r="E635" s="150"/>
      <c r="F635" s="150"/>
      <c r="G635" s="150"/>
      <c r="H635" s="150"/>
      <c r="I635" s="150"/>
    </row>
    <row r="636" ht="20.25" spans="1:9">
      <c r="A636" s="150"/>
      <c r="B636" s="150"/>
      <c r="C636" s="150"/>
      <c r="D636" s="150"/>
      <c r="E636" s="150"/>
      <c r="F636" s="150"/>
      <c r="G636" s="150"/>
      <c r="H636" s="150"/>
      <c r="I636" s="150"/>
    </row>
    <row r="637" ht="20.25" spans="1:9">
      <c r="A637" s="150"/>
      <c r="B637" s="150"/>
      <c r="C637" s="150"/>
      <c r="D637" s="150"/>
      <c r="E637" s="150"/>
      <c r="F637" s="150"/>
      <c r="G637" s="150"/>
      <c r="H637" s="150"/>
      <c r="I637" s="150"/>
    </row>
    <row r="638" ht="20.25" spans="1:9">
      <c r="A638" s="150"/>
      <c r="B638" s="150"/>
      <c r="C638" s="150"/>
      <c r="D638" s="150"/>
      <c r="E638" s="150"/>
      <c r="F638" s="150"/>
      <c r="G638" s="150"/>
      <c r="H638" s="150"/>
      <c r="I638" s="150"/>
    </row>
    <row r="639" ht="20.25" spans="1:9">
      <c r="A639" s="150"/>
      <c r="B639" s="150"/>
      <c r="C639" s="150"/>
      <c r="D639" s="150"/>
      <c r="E639" s="150"/>
      <c r="F639" s="150"/>
      <c r="G639" s="150"/>
      <c r="H639" s="150"/>
      <c r="I639" s="150"/>
    </row>
    <row r="640" ht="20.25" spans="1:9">
      <c r="A640" s="150"/>
      <c r="B640" s="150"/>
      <c r="C640" s="150"/>
      <c r="D640" s="150"/>
      <c r="E640" s="150"/>
      <c r="F640" s="150"/>
      <c r="G640" s="150"/>
      <c r="H640" s="150"/>
      <c r="I640" s="150"/>
    </row>
    <row r="641" ht="20.25" spans="1:9">
      <c r="A641" s="150"/>
      <c r="B641" s="150"/>
      <c r="C641" s="150"/>
      <c r="D641" s="150"/>
      <c r="E641" s="150"/>
      <c r="F641" s="150"/>
      <c r="G641" s="150"/>
      <c r="H641" s="150"/>
      <c r="I641" s="150"/>
    </row>
    <row r="642" ht="20.25" spans="1:9">
      <c r="A642" s="150"/>
      <c r="B642" s="150"/>
      <c r="C642" s="150"/>
      <c r="D642" s="150"/>
      <c r="E642" s="150"/>
      <c r="F642" s="150"/>
      <c r="G642" s="150"/>
      <c r="H642" s="150"/>
      <c r="I642" s="150"/>
    </row>
    <row r="643" ht="20.25" spans="1:9">
      <c r="A643" s="150"/>
      <c r="B643" s="150"/>
      <c r="C643" s="150"/>
      <c r="D643" s="150"/>
      <c r="E643" s="150"/>
      <c r="F643" s="150"/>
      <c r="G643" s="150"/>
      <c r="H643" s="150"/>
      <c r="I643" s="150"/>
    </row>
    <row r="644" ht="20.25" spans="1:9">
      <c r="A644" s="150"/>
      <c r="B644" s="150"/>
      <c r="C644" s="150"/>
      <c r="D644" s="150"/>
      <c r="E644" s="150"/>
      <c r="F644" s="150"/>
      <c r="G644" s="150"/>
      <c r="H644" s="150"/>
      <c r="I644" s="150"/>
    </row>
    <row r="645" ht="20.25" spans="1:9">
      <c r="A645" s="150"/>
      <c r="B645" s="150"/>
      <c r="C645" s="150"/>
      <c r="D645" s="150"/>
      <c r="E645" s="150"/>
      <c r="F645" s="150"/>
      <c r="G645" s="150"/>
      <c r="H645" s="150"/>
      <c r="I645" s="150"/>
    </row>
    <row r="646" ht="20.25" spans="1:9">
      <c r="A646" s="150"/>
      <c r="B646" s="150"/>
      <c r="C646" s="150"/>
      <c r="D646" s="150"/>
      <c r="E646" s="150"/>
      <c r="F646" s="150"/>
      <c r="G646" s="150"/>
      <c r="H646" s="150"/>
      <c r="I646" s="150"/>
    </row>
    <row r="647" ht="20.25" spans="1:9">
      <c r="A647" s="150"/>
      <c r="B647" s="150"/>
      <c r="C647" s="150"/>
      <c r="D647" s="150"/>
      <c r="E647" s="150"/>
      <c r="F647" s="150"/>
      <c r="G647" s="150"/>
      <c r="H647" s="150"/>
      <c r="I647" s="150"/>
    </row>
    <row r="648" ht="20.25" spans="1:9">
      <c r="A648" s="150"/>
      <c r="B648" s="150"/>
      <c r="C648" s="150"/>
      <c r="D648" s="150"/>
      <c r="E648" s="150"/>
      <c r="F648" s="150"/>
      <c r="G648" s="150"/>
      <c r="H648" s="150"/>
      <c r="I648" s="150"/>
    </row>
    <row r="649" ht="20.25" spans="1:9">
      <c r="A649" s="150"/>
      <c r="B649" s="150"/>
      <c r="C649" s="150"/>
      <c r="D649" s="150"/>
      <c r="E649" s="150"/>
      <c r="F649" s="150"/>
      <c r="G649" s="150"/>
      <c r="H649" s="150"/>
      <c r="I649" s="150"/>
    </row>
    <row r="650" ht="20.25" spans="1:9">
      <c r="A650" s="150"/>
      <c r="B650" s="150"/>
      <c r="C650" s="150"/>
      <c r="D650" s="150"/>
      <c r="E650" s="150"/>
      <c r="F650" s="150"/>
      <c r="G650" s="150"/>
      <c r="H650" s="150"/>
      <c r="I650" s="150"/>
    </row>
    <row r="651" ht="20.25" spans="1:9">
      <c r="A651" s="150"/>
      <c r="B651" s="150"/>
      <c r="C651" s="150"/>
      <c r="D651" s="150"/>
      <c r="E651" s="150"/>
      <c r="F651" s="150"/>
      <c r="G651" s="150"/>
      <c r="H651" s="150"/>
      <c r="I651" s="150"/>
    </row>
    <row r="652" ht="20.25" spans="1:9">
      <c r="A652" s="150"/>
      <c r="B652" s="150"/>
      <c r="C652" s="150"/>
      <c r="D652" s="150"/>
      <c r="E652" s="150"/>
      <c r="F652" s="150"/>
      <c r="G652" s="150"/>
      <c r="H652" s="150"/>
      <c r="I652" s="150"/>
    </row>
    <row r="653" ht="20.25" spans="1:9">
      <c r="A653" s="150"/>
      <c r="B653" s="150"/>
      <c r="C653" s="150"/>
      <c r="D653" s="150"/>
      <c r="E653" s="150"/>
      <c r="F653" s="150"/>
      <c r="G653" s="150"/>
      <c r="H653" s="150"/>
      <c r="I653" s="150"/>
    </row>
    <row r="654" ht="20.25" spans="1:9">
      <c r="A654" s="150"/>
      <c r="B654" s="150"/>
      <c r="C654" s="150"/>
      <c r="D654" s="150"/>
      <c r="E654" s="150"/>
      <c r="F654" s="150"/>
      <c r="G654" s="150"/>
      <c r="H654" s="150"/>
      <c r="I654" s="150"/>
    </row>
    <row r="655" ht="20.25" spans="1:9">
      <c r="A655" s="150"/>
      <c r="B655" s="150"/>
      <c r="C655" s="150"/>
      <c r="D655" s="150"/>
      <c r="E655" s="150"/>
      <c r="F655" s="150"/>
      <c r="G655" s="150"/>
      <c r="H655" s="150"/>
      <c r="I655" s="150"/>
    </row>
    <row r="656" ht="20.25" spans="1:9">
      <c r="A656" s="150"/>
      <c r="B656" s="150"/>
      <c r="C656" s="150"/>
      <c r="D656" s="150"/>
      <c r="E656" s="150"/>
      <c r="F656" s="150"/>
      <c r="G656" s="150"/>
      <c r="H656" s="150"/>
      <c r="I656" s="150"/>
    </row>
    <row r="657" ht="20.25" spans="1:9">
      <c r="A657" s="150"/>
      <c r="B657" s="150"/>
      <c r="C657" s="150"/>
      <c r="D657" s="150"/>
      <c r="E657" s="150"/>
      <c r="F657" s="150"/>
      <c r="G657" s="150"/>
      <c r="H657" s="150"/>
      <c r="I657" s="150"/>
    </row>
    <row r="658" ht="20.25" spans="1:9">
      <c r="A658" s="150"/>
      <c r="B658" s="150"/>
      <c r="C658" s="150"/>
      <c r="D658" s="150"/>
      <c r="E658" s="150"/>
      <c r="F658" s="150"/>
      <c r="G658" s="150"/>
      <c r="H658" s="150"/>
      <c r="I658" s="150"/>
    </row>
    <row r="659" ht="20.25" spans="1:9">
      <c r="A659" s="150"/>
      <c r="B659" s="150"/>
      <c r="C659" s="150"/>
      <c r="D659" s="150"/>
      <c r="E659" s="150"/>
      <c r="F659" s="150"/>
      <c r="G659" s="150"/>
      <c r="H659" s="150"/>
      <c r="I659" s="150"/>
    </row>
    <row r="660" ht="20.25" spans="1:9">
      <c r="A660" s="150"/>
      <c r="B660" s="150"/>
      <c r="C660" s="150"/>
      <c r="D660" s="150"/>
      <c r="E660" s="150"/>
      <c r="F660" s="150"/>
      <c r="G660" s="150"/>
      <c r="H660" s="150"/>
      <c r="I660" s="150"/>
    </row>
    <row r="661" ht="20.25" spans="1:9">
      <c r="A661" s="150"/>
      <c r="B661" s="150"/>
      <c r="C661" s="150"/>
      <c r="D661" s="150"/>
      <c r="E661" s="150"/>
      <c r="F661" s="150"/>
      <c r="G661" s="150"/>
      <c r="H661" s="150"/>
      <c r="I661" s="150"/>
    </row>
    <row r="662" ht="20.25" spans="1:9">
      <c r="A662" s="150"/>
      <c r="B662" s="150"/>
      <c r="C662" s="150"/>
      <c r="D662" s="150"/>
      <c r="E662" s="150"/>
      <c r="F662" s="150"/>
      <c r="G662" s="150"/>
      <c r="H662" s="150"/>
      <c r="I662" s="150"/>
    </row>
    <row r="663" ht="20.25" spans="1:9">
      <c r="A663" s="150"/>
      <c r="B663" s="150"/>
      <c r="C663" s="150"/>
      <c r="D663" s="150"/>
      <c r="E663" s="150"/>
      <c r="F663" s="150"/>
      <c r="G663" s="150"/>
      <c r="H663" s="150"/>
      <c r="I663" s="150"/>
    </row>
    <row r="664" ht="20.25" spans="1:9">
      <c r="A664" s="150"/>
      <c r="B664" s="150"/>
      <c r="C664" s="150"/>
      <c r="D664" s="150"/>
      <c r="E664" s="150"/>
      <c r="F664" s="150"/>
      <c r="G664" s="150"/>
      <c r="H664" s="150"/>
      <c r="I664" s="150"/>
    </row>
    <row r="665" ht="20.25" spans="1:9">
      <c r="A665" s="150"/>
      <c r="B665" s="150"/>
      <c r="C665" s="150"/>
      <c r="D665" s="150"/>
      <c r="E665" s="150"/>
      <c r="F665" s="150"/>
      <c r="G665" s="150"/>
      <c r="H665" s="150"/>
      <c r="I665" s="150"/>
    </row>
    <row r="666" ht="20.25" spans="1:9">
      <c r="A666" s="150"/>
      <c r="B666" s="150"/>
      <c r="C666" s="150"/>
      <c r="D666" s="150"/>
      <c r="E666" s="150"/>
      <c r="F666" s="150"/>
      <c r="G666" s="150"/>
      <c r="H666" s="150"/>
      <c r="I666" s="150"/>
    </row>
    <row r="667" ht="20.25" spans="1:9">
      <c r="A667" s="150"/>
      <c r="B667" s="150"/>
      <c r="C667" s="150"/>
      <c r="D667" s="150"/>
      <c r="E667" s="150"/>
      <c r="F667" s="150"/>
      <c r="G667" s="150"/>
      <c r="H667" s="150"/>
      <c r="I667" s="150"/>
    </row>
    <row r="668" ht="20.25" spans="1:9">
      <c r="A668" s="150"/>
      <c r="B668" s="150"/>
      <c r="C668" s="150"/>
      <c r="D668" s="150"/>
      <c r="E668" s="150"/>
      <c r="F668" s="150"/>
      <c r="G668" s="150"/>
      <c r="H668" s="150"/>
      <c r="I668" s="150"/>
    </row>
    <row r="669" ht="20.25" spans="1:9">
      <c r="A669" s="150"/>
      <c r="B669" s="150"/>
      <c r="C669" s="150"/>
      <c r="D669" s="150"/>
      <c r="E669" s="150"/>
      <c r="F669" s="150"/>
      <c r="G669" s="150"/>
      <c r="H669" s="150"/>
      <c r="I669" s="150"/>
    </row>
    <row r="670" ht="20.25" spans="1:9">
      <c r="A670" s="150"/>
      <c r="B670" s="150"/>
      <c r="C670" s="150"/>
      <c r="D670" s="150"/>
      <c r="E670" s="150"/>
      <c r="F670" s="150"/>
      <c r="G670" s="150"/>
      <c r="H670" s="150"/>
      <c r="I670" s="150"/>
    </row>
    <row r="671" ht="20.25" spans="1:9">
      <c r="A671" s="150"/>
      <c r="B671" s="150"/>
      <c r="C671" s="150"/>
      <c r="D671" s="150"/>
      <c r="E671" s="150"/>
      <c r="F671" s="150"/>
      <c r="G671" s="150"/>
      <c r="H671" s="150"/>
      <c r="I671" s="150"/>
    </row>
    <row r="672" ht="20.25" spans="1:9">
      <c r="A672" s="150"/>
      <c r="B672" s="150"/>
      <c r="C672" s="150"/>
      <c r="D672" s="150"/>
      <c r="E672" s="150"/>
      <c r="F672" s="150"/>
      <c r="G672" s="150"/>
      <c r="H672" s="150"/>
      <c r="I672" s="150"/>
    </row>
    <row r="673" ht="20.25" spans="1:9">
      <c r="A673" s="150"/>
      <c r="B673" s="150"/>
      <c r="C673" s="150"/>
      <c r="D673" s="150"/>
      <c r="E673" s="150"/>
      <c r="F673" s="150"/>
      <c r="G673" s="150"/>
      <c r="H673" s="150"/>
      <c r="I673" s="150"/>
    </row>
    <row r="674" ht="20.25" spans="1:9">
      <c r="A674" s="150"/>
      <c r="B674" s="150"/>
      <c r="C674" s="150"/>
      <c r="D674" s="150"/>
      <c r="E674" s="150"/>
      <c r="F674" s="150"/>
      <c r="G674" s="150"/>
      <c r="H674" s="150"/>
      <c r="I674" s="150"/>
    </row>
    <row r="675" ht="20.25" spans="1:9">
      <c r="A675" s="150"/>
      <c r="B675" s="150"/>
      <c r="C675" s="150"/>
      <c r="D675" s="150"/>
      <c r="E675" s="150"/>
      <c r="F675" s="150"/>
      <c r="G675" s="150"/>
      <c r="H675" s="150"/>
      <c r="I675" s="150"/>
    </row>
    <row r="676" ht="20.25" spans="1:9">
      <c r="A676" s="150"/>
      <c r="B676" s="150"/>
      <c r="C676" s="150"/>
      <c r="D676" s="150"/>
      <c r="E676" s="150"/>
      <c r="F676" s="150"/>
      <c r="G676" s="150"/>
      <c r="H676" s="150"/>
      <c r="I676" s="150"/>
    </row>
    <row r="677" ht="20.25" spans="1:9">
      <c r="A677" s="150"/>
      <c r="B677" s="150"/>
      <c r="C677" s="150"/>
      <c r="D677" s="150"/>
      <c r="E677" s="150"/>
      <c r="F677" s="150"/>
      <c r="G677" s="150"/>
      <c r="H677" s="150"/>
      <c r="I677" s="150"/>
    </row>
    <row r="678" ht="20.25" spans="1:9">
      <c r="A678" s="150"/>
      <c r="B678" s="150"/>
      <c r="C678" s="150"/>
      <c r="D678" s="150"/>
      <c r="E678" s="150"/>
      <c r="F678" s="150"/>
      <c r="G678" s="150"/>
      <c r="H678" s="150"/>
      <c r="I678" s="150"/>
    </row>
    <row r="679" ht="20.25" spans="1:9">
      <c r="A679" s="150"/>
      <c r="B679" s="150"/>
      <c r="C679" s="150"/>
      <c r="D679" s="150"/>
      <c r="E679" s="150"/>
      <c r="F679" s="150"/>
      <c r="G679" s="150"/>
      <c r="H679" s="150"/>
      <c r="I679" s="150"/>
    </row>
    <row r="680" ht="20.25" spans="1:9">
      <c r="A680" s="150"/>
      <c r="B680" s="150"/>
      <c r="C680" s="150"/>
      <c r="D680" s="150"/>
      <c r="E680" s="150"/>
      <c r="F680" s="150"/>
      <c r="G680" s="150"/>
      <c r="H680" s="150"/>
      <c r="I680" s="150"/>
    </row>
    <row r="681" ht="20.25" spans="1:9">
      <c r="A681" s="150"/>
      <c r="B681" s="150"/>
      <c r="C681" s="150"/>
      <c r="D681" s="150"/>
      <c r="E681" s="150"/>
      <c r="F681" s="150"/>
      <c r="G681" s="150"/>
      <c r="H681" s="150"/>
      <c r="I681" s="150"/>
    </row>
    <row r="682" ht="20.25" spans="1:9">
      <c r="A682" s="150"/>
      <c r="B682" s="150"/>
      <c r="C682" s="150"/>
      <c r="D682" s="150"/>
      <c r="E682" s="150"/>
      <c r="F682" s="150"/>
      <c r="G682" s="150"/>
      <c r="H682" s="150"/>
      <c r="I682" s="150"/>
    </row>
    <row r="683" ht="20.25" spans="1:9">
      <c r="A683" s="150"/>
      <c r="B683" s="150"/>
      <c r="C683" s="150"/>
      <c r="D683" s="150"/>
      <c r="E683" s="150"/>
      <c r="F683" s="150"/>
      <c r="G683" s="150"/>
      <c r="H683" s="150"/>
      <c r="I683" s="150"/>
    </row>
    <row r="684" ht="20.25" spans="1:9">
      <c r="A684" s="150"/>
      <c r="B684" s="150"/>
      <c r="C684" s="150"/>
      <c r="D684" s="150"/>
      <c r="E684" s="150"/>
      <c r="F684" s="150"/>
      <c r="G684" s="150"/>
      <c r="H684" s="150"/>
      <c r="I684" s="150"/>
    </row>
    <row r="685" ht="20.25" spans="1:9">
      <c r="A685" s="150"/>
      <c r="B685" s="150"/>
      <c r="C685" s="150"/>
      <c r="D685" s="150"/>
      <c r="E685" s="150"/>
      <c r="F685" s="150"/>
      <c r="G685" s="150"/>
      <c r="H685" s="150"/>
      <c r="I685" s="150"/>
    </row>
    <row r="686" ht="20.25" spans="1:9">
      <c r="A686" s="150"/>
      <c r="B686" s="150"/>
      <c r="C686" s="150"/>
      <c r="D686" s="150"/>
      <c r="E686" s="150"/>
      <c r="F686" s="150"/>
      <c r="G686" s="150"/>
      <c r="H686" s="150"/>
      <c r="I686" s="150"/>
    </row>
    <row r="687" ht="20.25" spans="1:9">
      <c r="A687" s="150"/>
      <c r="B687" s="150"/>
      <c r="C687" s="150"/>
      <c r="D687" s="150"/>
      <c r="E687" s="150"/>
      <c r="F687" s="150"/>
      <c r="G687" s="150"/>
      <c r="H687" s="150"/>
      <c r="I687" s="150"/>
    </row>
    <row r="688" ht="20.25" spans="1:9">
      <c r="A688" s="150"/>
      <c r="B688" s="150"/>
      <c r="C688" s="150"/>
      <c r="D688" s="150"/>
      <c r="E688" s="150"/>
      <c r="F688" s="150"/>
      <c r="G688" s="150"/>
      <c r="H688" s="150"/>
      <c r="I688" s="150"/>
    </row>
    <row r="689" ht="20.25" spans="1:9">
      <c r="A689" s="150"/>
      <c r="B689" s="150"/>
      <c r="C689" s="150"/>
      <c r="D689" s="150"/>
      <c r="E689" s="150"/>
      <c r="F689" s="150"/>
      <c r="G689" s="150"/>
      <c r="H689" s="150"/>
      <c r="I689" s="150"/>
    </row>
    <row r="690" ht="20.25" spans="1:9">
      <c r="A690" s="150"/>
      <c r="B690" s="150"/>
      <c r="C690" s="150"/>
      <c r="D690" s="150"/>
      <c r="E690" s="150"/>
      <c r="F690" s="150"/>
      <c r="G690" s="150"/>
      <c r="H690" s="150"/>
      <c r="I690" s="150"/>
    </row>
    <row r="691" ht="20.25" spans="1:9">
      <c r="A691" s="150"/>
      <c r="B691" s="150"/>
      <c r="C691" s="150"/>
      <c r="D691" s="150"/>
      <c r="E691" s="150"/>
      <c r="F691" s="150"/>
      <c r="G691" s="150"/>
      <c r="H691" s="150"/>
      <c r="I691" s="150"/>
    </row>
    <row r="692" ht="20.25" spans="1:9">
      <c r="A692" s="150"/>
      <c r="B692" s="150"/>
      <c r="C692" s="150"/>
      <c r="D692" s="150"/>
      <c r="E692" s="150"/>
      <c r="F692" s="150"/>
      <c r="G692" s="150"/>
      <c r="H692" s="150"/>
      <c r="I692" s="150"/>
    </row>
    <row r="693" ht="20.25" spans="1:9">
      <c r="A693" s="150"/>
      <c r="B693" s="150"/>
      <c r="C693" s="150"/>
      <c r="D693" s="150"/>
      <c r="E693" s="150"/>
      <c r="F693" s="150"/>
      <c r="G693" s="150"/>
      <c r="H693" s="150"/>
      <c r="I693" s="150"/>
    </row>
    <row r="694" ht="20.25" spans="1:9">
      <c r="A694" s="150"/>
      <c r="B694" s="150"/>
      <c r="C694" s="150"/>
      <c r="D694" s="150"/>
      <c r="E694" s="150"/>
      <c r="F694" s="150"/>
      <c r="G694" s="150"/>
      <c r="H694" s="150"/>
      <c r="I694" s="150"/>
    </row>
    <row r="695" ht="20.25" spans="1:9">
      <c r="A695" s="150"/>
      <c r="B695" s="150"/>
      <c r="C695" s="150"/>
      <c r="D695" s="150"/>
      <c r="E695" s="150"/>
      <c r="F695" s="150"/>
      <c r="G695" s="150"/>
      <c r="H695" s="150"/>
      <c r="I695" s="150"/>
    </row>
    <row r="696" ht="20.25" spans="1:9">
      <c r="A696" s="150"/>
      <c r="B696" s="150"/>
      <c r="C696" s="150"/>
      <c r="D696" s="150"/>
      <c r="E696" s="150"/>
      <c r="F696" s="150"/>
      <c r="G696" s="150"/>
      <c r="H696" s="150"/>
      <c r="I696" s="150"/>
    </row>
    <row r="697" ht="20.25" spans="1:9">
      <c r="A697" s="150"/>
      <c r="B697" s="150"/>
      <c r="C697" s="150"/>
      <c r="D697" s="150"/>
      <c r="E697" s="150"/>
      <c r="F697" s="150"/>
      <c r="G697" s="150"/>
      <c r="H697" s="150"/>
      <c r="I697" s="150"/>
    </row>
    <row r="698" ht="20.25" spans="1:9">
      <c r="A698" s="150"/>
      <c r="B698" s="150"/>
      <c r="C698" s="150"/>
      <c r="D698" s="150"/>
      <c r="E698" s="150"/>
      <c r="F698" s="150"/>
      <c r="G698" s="150"/>
      <c r="H698" s="150"/>
      <c r="I698" s="150"/>
    </row>
    <row r="699" ht="20.25" spans="1:9">
      <c r="A699" s="150"/>
      <c r="B699" s="150"/>
      <c r="C699" s="150"/>
      <c r="D699" s="150"/>
      <c r="E699" s="150"/>
      <c r="F699" s="150"/>
      <c r="G699" s="150"/>
      <c r="H699" s="150"/>
      <c r="I699" s="150"/>
    </row>
    <row r="700" ht="20.25" spans="1:9">
      <c r="A700" s="150"/>
      <c r="B700" s="150"/>
      <c r="C700" s="150"/>
      <c r="D700" s="150"/>
      <c r="E700" s="150"/>
      <c r="F700" s="150"/>
      <c r="G700" s="150"/>
      <c r="H700" s="150"/>
      <c r="I700" s="150"/>
    </row>
    <row r="701" ht="20.25" spans="1:9">
      <c r="A701" s="150"/>
      <c r="B701" s="150"/>
      <c r="C701" s="150"/>
      <c r="D701" s="150"/>
      <c r="E701" s="150"/>
      <c r="F701" s="150"/>
      <c r="G701" s="150"/>
      <c r="H701" s="150"/>
      <c r="I701" s="150"/>
    </row>
    <row r="702" ht="20.25" spans="1:9">
      <c r="A702" s="150"/>
      <c r="B702" s="150"/>
      <c r="C702" s="150"/>
      <c r="D702" s="150"/>
      <c r="E702" s="150"/>
      <c r="F702" s="150"/>
      <c r="G702" s="150"/>
      <c r="H702" s="150"/>
      <c r="I702" s="150"/>
    </row>
    <row r="703" ht="20.25" spans="1:9">
      <c r="A703" s="150"/>
      <c r="B703" s="150"/>
      <c r="C703" s="150"/>
      <c r="D703" s="150"/>
      <c r="E703" s="150"/>
      <c r="F703" s="150"/>
      <c r="G703" s="150"/>
      <c r="H703" s="150"/>
      <c r="I703" s="150"/>
    </row>
    <row r="704" ht="20.25" spans="1:9">
      <c r="A704" s="150"/>
      <c r="B704" s="150"/>
      <c r="C704" s="150"/>
      <c r="D704" s="150"/>
      <c r="E704" s="150"/>
      <c r="F704" s="150"/>
      <c r="G704" s="150"/>
      <c r="H704" s="150"/>
      <c r="I704" s="150"/>
    </row>
    <row r="705" ht="20.25" spans="1:9">
      <c r="A705" s="150"/>
      <c r="B705" s="150"/>
      <c r="C705" s="150"/>
      <c r="D705" s="150"/>
      <c r="E705" s="150"/>
      <c r="F705" s="150"/>
      <c r="G705" s="150"/>
      <c r="H705" s="150"/>
      <c r="I705" s="150"/>
    </row>
    <row r="706" ht="20.25" spans="1:9">
      <c r="A706" s="150"/>
      <c r="B706" s="150"/>
      <c r="C706" s="150"/>
      <c r="D706" s="150"/>
      <c r="E706" s="150"/>
      <c r="F706" s="150"/>
      <c r="G706" s="150"/>
      <c r="H706" s="150"/>
      <c r="I706" s="150"/>
    </row>
    <row r="707" ht="20.25" spans="1:9">
      <c r="A707" s="150"/>
      <c r="B707" s="150"/>
      <c r="C707" s="150"/>
      <c r="D707" s="150"/>
      <c r="E707" s="150"/>
      <c r="F707" s="150"/>
      <c r="G707" s="150"/>
      <c r="H707" s="150"/>
      <c r="I707" s="150"/>
    </row>
    <row r="708" ht="20.25" spans="1:9">
      <c r="A708" s="150"/>
      <c r="B708" s="150"/>
      <c r="C708" s="150"/>
      <c r="D708" s="150"/>
      <c r="E708" s="150"/>
      <c r="F708" s="150"/>
      <c r="G708" s="150"/>
      <c r="H708" s="150"/>
      <c r="I708" s="150"/>
    </row>
    <row r="709" ht="20.25" spans="1:9">
      <c r="A709" s="150"/>
      <c r="B709" s="150"/>
      <c r="C709" s="150"/>
      <c r="D709" s="150"/>
      <c r="E709" s="150"/>
      <c r="F709" s="150"/>
      <c r="G709" s="150"/>
      <c r="H709" s="150"/>
      <c r="I709" s="150"/>
    </row>
    <row r="710" ht="20.25" spans="1:9">
      <c r="A710" s="150"/>
      <c r="B710" s="150"/>
      <c r="C710" s="150"/>
      <c r="D710" s="150"/>
      <c r="E710" s="150"/>
      <c r="F710" s="150"/>
      <c r="G710" s="150"/>
      <c r="H710" s="150"/>
      <c r="I710" s="150"/>
    </row>
    <row r="711" ht="20.25" spans="1:9">
      <c r="A711" s="150"/>
      <c r="B711" s="150"/>
      <c r="C711" s="150"/>
      <c r="D711" s="150"/>
      <c r="E711" s="150"/>
      <c r="F711" s="150"/>
      <c r="G711" s="150"/>
      <c r="H711" s="150"/>
      <c r="I711" s="150"/>
    </row>
    <row r="712" ht="20.25" spans="1:9">
      <c r="A712" s="150"/>
      <c r="B712" s="150"/>
      <c r="C712" s="150"/>
      <c r="D712" s="150"/>
      <c r="E712" s="150"/>
      <c r="F712" s="150"/>
      <c r="G712" s="150"/>
      <c r="H712" s="150"/>
      <c r="I712" s="150"/>
    </row>
    <row r="713" ht="20.25" spans="1:9">
      <c r="A713" s="150"/>
      <c r="B713" s="150"/>
      <c r="C713" s="150"/>
      <c r="D713" s="150"/>
      <c r="E713" s="150"/>
      <c r="F713" s="150"/>
      <c r="G713" s="150"/>
      <c r="H713" s="150"/>
      <c r="I713" s="150"/>
    </row>
    <row r="714" ht="20.25" spans="1:9">
      <c r="A714" s="150"/>
      <c r="B714" s="150"/>
      <c r="C714" s="150"/>
      <c r="D714" s="150"/>
      <c r="E714" s="150"/>
      <c r="F714" s="150"/>
      <c r="G714" s="150"/>
      <c r="H714" s="150"/>
      <c r="I714" s="150"/>
    </row>
    <row r="715" ht="20.25" spans="1:9">
      <c r="A715" s="150"/>
      <c r="B715" s="150"/>
      <c r="C715" s="150"/>
      <c r="D715" s="150"/>
      <c r="E715" s="150"/>
      <c r="F715" s="150"/>
      <c r="G715" s="150"/>
      <c r="H715" s="150"/>
      <c r="I715" s="150"/>
    </row>
    <row r="716" ht="20.25" spans="1:9">
      <c r="A716" s="150"/>
      <c r="B716" s="150"/>
      <c r="C716" s="150"/>
      <c r="D716" s="150"/>
      <c r="E716" s="150"/>
      <c r="F716" s="150"/>
      <c r="G716" s="150"/>
      <c r="H716" s="150"/>
      <c r="I716" s="150"/>
    </row>
    <row r="717" ht="20.25" spans="1:9">
      <c r="A717" s="150"/>
      <c r="B717" s="150"/>
      <c r="C717" s="150"/>
      <c r="D717" s="150"/>
      <c r="E717" s="150"/>
      <c r="F717" s="150"/>
      <c r="G717" s="150"/>
      <c r="H717" s="150"/>
      <c r="I717" s="150"/>
    </row>
    <row r="718" ht="20.25" spans="1:9">
      <c r="A718" s="150"/>
      <c r="B718" s="150"/>
      <c r="C718" s="150"/>
      <c r="D718" s="150"/>
      <c r="E718" s="150"/>
      <c r="F718" s="150"/>
      <c r="G718" s="150"/>
      <c r="H718" s="150"/>
      <c r="I718" s="150"/>
    </row>
    <row r="719" ht="20.25" spans="1:9">
      <c r="A719" s="150"/>
      <c r="B719" s="150"/>
      <c r="C719" s="150"/>
      <c r="D719" s="150"/>
      <c r="E719" s="150"/>
      <c r="F719" s="150"/>
      <c r="G719" s="150"/>
      <c r="H719" s="150"/>
      <c r="I719" s="150"/>
    </row>
    <row r="720" ht="20.25" spans="1:9">
      <c r="A720" s="150"/>
      <c r="B720" s="150"/>
      <c r="C720" s="150"/>
      <c r="D720" s="150"/>
      <c r="E720" s="150"/>
      <c r="F720" s="150"/>
      <c r="G720" s="150"/>
      <c r="H720" s="150"/>
      <c r="I720" s="150"/>
    </row>
    <row r="721" ht="20.25" spans="1:9">
      <c r="A721" s="150"/>
      <c r="B721" s="150"/>
      <c r="C721" s="150"/>
      <c r="D721" s="150"/>
      <c r="E721" s="150"/>
      <c r="F721" s="150"/>
      <c r="G721" s="150"/>
      <c r="H721" s="150"/>
      <c r="I721" s="150"/>
    </row>
    <row r="722" ht="20.25" spans="1:9">
      <c r="A722" s="150"/>
      <c r="B722" s="150"/>
      <c r="C722" s="150"/>
      <c r="D722" s="150"/>
      <c r="E722" s="150"/>
      <c r="F722" s="150"/>
      <c r="G722" s="150"/>
      <c r="H722" s="150"/>
      <c r="I722" s="150"/>
    </row>
    <row r="723" ht="20.25" spans="1:9">
      <c r="A723" s="150"/>
      <c r="B723" s="150"/>
      <c r="C723" s="150"/>
      <c r="D723" s="150"/>
      <c r="E723" s="150"/>
      <c r="F723" s="150"/>
      <c r="G723" s="150"/>
      <c r="H723" s="150"/>
      <c r="I723" s="150"/>
    </row>
    <row r="724" ht="20.25" spans="1:9">
      <c r="A724" s="150"/>
      <c r="B724" s="150"/>
      <c r="C724" s="150"/>
      <c r="D724" s="150"/>
      <c r="E724" s="150"/>
      <c r="F724" s="150"/>
      <c r="G724" s="150"/>
      <c r="H724" s="150"/>
      <c r="I724" s="150"/>
    </row>
    <row r="725" ht="20.25" spans="1:9">
      <c r="A725" s="150"/>
      <c r="B725" s="150"/>
      <c r="C725" s="150"/>
      <c r="D725" s="150"/>
      <c r="E725" s="150"/>
      <c r="F725" s="150"/>
      <c r="G725" s="150"/>
      <c r="H725" s="150"/>
      <c r="I725" s="150"/>
    </row>
    <row r="726" ht="20.25" spans="1:9">
      <c r="A726" s="150"/>
      <c r="B726" s="150"/>
      <c r="C726" s="150"/>
      <c r="D726" s="150"/>
      <c r="E726" s="150"/>
      <c r="F726" s="150"/>
      <c r="G726" s="150"/>
      <c r="H726" s="150"/>
      <c r="I726" s="150"/>
    </row>
    <row r="727" ht="20.25" spans="1:9">
      <c r="A727" s="150"/>
      <c r="B727" s="150"/>
      <c r="C727" s="150"/>
      <c r="D727" s="150"/>
      <c r="E727" s="150"/>
      <c r="F727" s="150"/>
      <c r="G727" s="150"/>
      <c r="H727" s="150"/>
      <c r="I727" s="150"/>
    </row>
    <row r="728" ht="20.25" spans="1:9">
      <c r="A728" s="150"/>
      <c r="B728" s="150"/>
      <c r="C728" s="150"/>
      <c r="D728" s="150"/>
      <c r="E728" s="150"/>
      <c r="F728" s="150"/>
      <c r="G728" s="150"/>
      <c r="H728" s="150"/>
      <c r="I728" s="150"/>
    </row>
    <row r="729" ht="20.25" spans="1:9">
      <c r="A729" s="150"/>
      <c r="B729" s="150"/>
      <c r="C729" s="150"/>
      <c r="D729" s="150"/>
      <c r="E729" s="150"/>
      <c r="F729" s="150"/>
      <c r="G729" s="150"/>
      <c r="H729" s="150"/>
      <c r="I729" s="150"/>
    </row>
    <row r="730" ht="20.25" spans="1:9">
      <c r="A730" s="150"/>
      <c r="B730" s="150"/>
      <c r="C730" s="150"/>
      <c r="D730" s="150"/>
      <c r="E730" s="150"/>
      <c r="F730" s="150"/>
      <c r="G730" s="150"/>
      <c r="H730" s="150"/>
      <c r="I730" s="150"/>
    </row>
    <row r="731" ht="20.25" spans="1:9">
      <c r="A731" s="150"/>
      <c r="B731" s="150"/>
      <c r="C731" s="150"/>
      <c r="D731" s="150"/>
      <c r="E731" s="150"/>
      <c r="F731" s="150"/>
      <c r="G731" s="150"/>
      <c r="H731" s="150"/>
      <c r="I731" s="150"/>
    </row>
    <row r="732" ht="20.25" spans="1:9">
      <c r="A732" s="150"/>
      <c r="B732" s="150"/>
      <c r="C732" s="150"/>
      <c r="D732" s="150"/>
      <c r="E732" s="150"/>
      <c r="F732" s="150"/>
      <c r="G732" s="150"/>
      <c r="H732" s="150"/>
      <c r="I732" s="150"/>
    </row>
    <row r="733" ht="20.25" spans="1:9">
      <c r="A733" s="150"/>
      <c r="B733" s="150"/>
      <c r="C733" s="150"/>
      <c r="D733" s="150"/>
      <c r="E733" s="150"/>
      <c r="F733" s="150"/>
      <c r="G733" s="150"/>
      <c r="H733" s="150"/>
      <c r="I733" s="150"/>
    </row>
    <row r="734" ht="20.25" spans="1:9">
      <c r="A734" s="150"/>
      <c r="B734" s="150"/>
      <c r="C734" s="150"/>
      <c r="D734" s="150"/>
      <c r="E734" s="150"/>
      <c r="F734" s="150"/>
      <c r="G734" s="150"/>
      <c r="H734" s="150"/>
      <c r="I734" s="150"/>
    </row>
    <row r="735" ht="20.25" spans="1:9">
      <c r="A735" s="150"/>
      <c r="B735" s="150"/>
      <c r="C735" s="150"/>
      <c r="D735" s="150"/>
      <c r="E735" s="150"/>
      <c r="F735" s="150"/>
      <c r="G735" s="150"/>
      <c r="H735" s="150"/>
      <c r="I735" s="150"/>
    </row>
    <row r="736" ht="20.25" spans="1:9">
      <c r="A736" s="150"/>
      <c r="B736" s="150"/>
      <c r="C736" s="150"/>
      <c r="D736" s="150"/>
      <c r="E736" s="150"/>
      <c r="F736" s="150"/>
      <c r="G736" s="150"/>
      <c r="H736" s="150"/>
      <c r="I736" s="150"/>
    </row>
    <row r="737" ht="20.25" spans="1:9">
      <c r="A737" s="150"/>
      <c r="B737" s="150"/>
      <c r="C737" s="150"/>
      <c r="D737" s="150"/>
      <c r="E737" s="150"/>
      <c r="F737" s="150"/>
      <c r="G737" s="150"/>
      <c r="H737" s="150"/>
      <c r="I737" s="150"/>
    </row>
    <row r="738" ht="20.25" spans="1:9">
      <c r="A738" s="150"/>
      <c r="B738" s="150"/>
      <c r="C738" s="150"/>
      <c r="D738" s="150"/>
      <c r="E738" s="150"/>
      <c r="F738" s="150"/>
      <c r="G738" s="150"/>
      <c r="H738" s="150"/>
      <c r="I738" s="150"/>
    </row>
    <row r="739" ht="20.25" spans="1:9">
      <c r="A739" s="150"/>
      <c r="B739" s="150"/>
      <c r="C739" s="150"/>
      <c r="D739" s="150"/>
      <c r="E739" s="150"/>
      <c r="F739" s="150"/>
      <c r="G739" s="150"/>
      <c r="H739" s="150"/>
      <c r="I739" s="150"/>
    </row>
    <row r="740" ht="20.25" spans="1:9">
      <c r="A740" s="150"/>
      <c r="B740" s="150"/>
      <c r="C740" s="150"/>
      <c r="D740" s="150"/>
      <c r="E740" s="150"/>
      <c r="F740" s="150"/>
      <c r="G740" s="150"/>
      <c r="H740" s="150"/>
      <c r="I740" s="150"/>
    </row>
    <row r="741" ht="20.25" spans="1:9">
      <c r="A741" s="150"/>
      <c r="B741" s="150"/>
      <c r="C741" s="150"/>
      <c r="D741" s="150"/>
      <c r="E741" s="150"/>
      <c r="F741" s="150"/>
      <c r="G741" s="150"/>
      <c r="H741" s="150"/>
      <c r="I741" s="150"/>
    </row>
    <row r="742" ht="20.25" spans="1:9">
      <c r="A742" s="150"/>
      <c r="B742" s="150"/>
      <c r="C742" s="150"/>
      <c r="D742" s="150"/>
      <c r="E742" s="150"/>
      <c r="F742" s="150"/>
      <c r="G742" s="150"/>
      <c r="H742" s="150"/>
      <c r="I742" s="150"/>
    </row>
    <row r="743" ht="20.25" spans="1:9">
      <c r="A743" s="150"/>
      <c r="B743" s="150"/>
      <c r="C743" s="150"/>
      <c r="D743" s="150"/>
      <c r="E743" s="150"/>
      <c r="F743" s="150"/>
      <c r="G743" s="150"/>
      <c r="H743" s="150"/>
      <c r="I743" s="150"/>
    </row>
    <row r="744" ht="20.25" spans="1:9">
      <c r="A744" s="150"/>
      <c r="B744" s="150"/>
      <c r="C744" s="150"/>
      <c r="D744" s="150"/>
      <c r="E744" s="150"/>
      <c r="F744" s="150"/>
      <c r="G744" s="150"/>
      <c r="H744" s="150"/>
      <c r="I744" s="150"/>
    </row>
    <row r="745" ht="20.25" spans="1:9">
      <c r="A745" s="150"/>
      <c r="B745" s="150"/>
      <c r="C745" s="150"/>
      <c r="D745" s="150"/>
      <c r="E745" s="150"/>
      <c r="F745" s="150"/>
      <c r="G745" s="150"/>
      <c r="H745" s="150"/>
      <c r="I745" s="150"/>
    </row>
    <row r="746" ht="20.25" spans="1:9">
      <c r="A746" s="150"/>
      <c r="B746" s="150"/>
      <c r="C746" s="150"/>
      <c r="D746" s="150"/>
      <c r="E746" s="150"/>
      <c r="F746" s="150"/>
      <c r="G746" s="150"/>
      <c r="H746" s="150"/>
      <c r="I746" s="150"/>
    </row>
    <row r="747" ht="20.25" spans="1:9">
      <c r="A747" s="150"/>
      <c r="B747" s="150"/>
      <c r="C747" s="150"/>
      <c r="D747" s="150"/>
      <c r="E747" s="150"/>
      <c r="F747" s="150"/>
      <c r="G747" s="150"/>
      <c r="H747" s="150"/>
      <c r="I747" s="150"/>
    </row>
    <row r="748" ht="20.25" spans="1:9">
      <c r="A748" s="150"/>
      <c r="B748" s="150"/>
      <c r="C748" s="150"/>
      <c r="D748" s="150"/>
      <c r="E748" s="150"/>
      <c r="F748" s="150"/>
      <c r="G748" s="150"/>
      <c r="H748" s="150"/>
      <c r="I748" s="150"/>
    </row>
    <row r="749" ht="20.25" spans="1:9">
      <c r="A749" s="150"/>
      <c r="B749" s="150"/>
      <c r="C749" s="150"/>
      <c r="D749" s="150"/>
      <c r="E749" s="150"/>
      <c r="F749" s="150"/>
      <c r="G749" s="150"/>
      <c r="H749" s="150"/>
      <c r="I749" s="150"/>
    </row>
    <row r="750" ht="20.25" spans="1:9">
      <c r="A750" s="150"/>
      <c r="B750" s="150"/>
      <c r="C750" s="150"/>
      <c r="D750" s="150"/>
      <c r="E750" s="150"/>
      <c r="F750" s="150"/>
      <c r="G750" s="150"/>
      <c r="H750" s="150"/>
      <c r="I750" s="150"/>
    </row>
    <row r="751" ht="20.25" spans="1:9">
      <c r="A751" s="150"/>
      <c r="B751" s="150"/>
      <c r="C751" s="150"/>
      <c r="D751" s="150"/>
      <c r="E751" s="150"/>
      <c r="F751" s="150"/>
      <c r="G751" s="150"/>
      <c r="H751" s="150"/>
      <c r="I751" s="150"/>
    </row>
    <row r="752" ht="20.25" spans="1:9">
      <c r="A752" s="150"/>
      <c r="B752" s="150"/>
      <c r="C752" s="150"/>
      <c r="D752" s="150"/>
      <c r="E752" s="150"/>
      <c r="F752" s="150"/>
      <c r="G752" s="150"/>
      <c r="H752" s="150"/>
      <c r="I752" s="150"/>
    </row>
    <row r="753" ht="20.25" spans="1:9">
      <c r="A753" s="150"/>
      <c r="B753" s="150"/>
      <c r="C753" s="150"/>
      <c r="D753" s="150"/>
      <c r="E753" s="150"/>
      <c r="F753" s="150"/>
      <c r="G753" s="150"/>
      <c r="H753" s="150"/>
      <c r="I753" s="150"/>
    </row>
    <row r="754" ht="20.25" spans="1:9">
      <c r="A754" s="150"/>
      <c r="B754" s="150"/>
      <c r="C754" s="150"/>
      <c r="D754" s="150"/>
      <c r="E754" s="150"/>
      <c r="F754" s="150"/>
      <c r="G754" s="150"/>
      <c r="H754" s="150"/>
      <c r="I754" s="150"/>
    </row>
    <row r="755" ht="20.25" spans="1:9">
      <c r="A755" s="150"/>
      <c r="B755" s="150"/>
      <c r="C755" s="150"/>
      <c r="D755" s="150"/>
      <c r="E755" s="150"/>
      <c r="F755" s="150"/>
      <c r="G755" s="150"/>
      <c r="H755" s="150"/>
      <c r="I755" s="150"/>
    </row>
    <row r="756" ht="20.25" spans="1:9">
      <c r="A756" s="150"/>
      <c r="B756" s="150"/>
      <c r="C756" s="150"/>
      <c r="D756" s="150"/>
      <c r="E756" s="150"/>
      <c r="F756" s="150"/>
      <c r="G756" s="150"/>
      <c r="H756" s="150"/>
      <c r="I756" s="150"/>
    </row>
    <row r="757" ht="20.25" spans="1:9">
      <c r="A757" s="150"/>
      <c r="B757" s="150"/>
      <c r="C757" s="150"/>
      <c r="D757" s="150"/>
      <c r="E757" s="150"/>
      <c r="F757" s="150"/>
      <c r="G757" s="150"/>
      <c r="H757" s="150"/>
      <c r="I757" s="150"/>
    </row>
    <row r="758" ht="20.25" spans="1:9">
      <c r="A758" s="150"/>
      <c r="B758" s="150"/>
      <c r="C758" s="150"/>
      <c r="D758" s="150"/>
      <c r="E758" s="150"/>
      <c r="F758" s="150"/>
      <c r="G758" s="150"/>
      <c r="H758" s="150"/>
      <c r="I758" s="150"/>
    </row>
    <row r="759" ht="20.25" spans="1:9">
      <c r="A759" s="150"/>
      <c r="B759" s="150"/>
      <c r="C759" s="150"/>
      <c r="D759" s="150"/>
      <c r="E759" s="150"/>
      <c r="F759" s="150"/>
      <c r="G759" s="150"/>
      <c r="H759" s="150"/>
      <c r="I759" s="150"/>
    </row>
    <row r="760" ht="20.25" spans="1:9">
      <c r="A760" s="150"/>
      <c r="B760" s="150"/>
      <c r="C760" s="150"/>
      <c r="D760" s="150"/>
      <c r="E760" s="150"/>
      <c r="F760" s="150"/>
      <c r="G760" s="150"/>
      <c r="H760" s="150"/>
      <c r="I760" s="150"/>
    </row>
    <row r="761" ht="20.25" spans="1:9">
      <c r="A761" s="150"/>
      <c r="B761" s="150"/>
      <c r="C761" s="150"/>
      <c r="D761" s="150"/>
      <c r="E761" s="150"/>
      <c r="F761" s="150"/>
      <c r="G761" s="150"/>
      <c r="H761" s="150"/>
      <c r="I761" s="150"/>
    </row>
    <row r="762" ht="20.25" spans="1:9">
      <c r="A762" s="150"/>
      <c r="B762" s="150"/>
      <c r="C762" s="150"/>
      <c r="D762" s="150"/>
      <c r="E762" s="150"/>
      <c r="F762" s="150"/>
      <c r="G762" s="150"/>
      <c r="H762" s="150"/>
      <c r="I762" s="150"/>
    </row>
    <row r="763" ht="20.25" spans="1:9">
      <c r="A763" s="150"/>
      <c r="B763" s="150"/>
      <c r="C763" s="150"/>
      <c r="D763" s="150"/>
      <c r="E763" s="150"/>
      <c r="F763" s="150"/>
      <c r="G763" s="150"/>
      <c r="H763" s="150"/>
      <c r="I763" s="150"/>
    </row>
    <row r="764" ht="20.25" spans="1:9">
      <c r="A764" s="150"/>
      <c r="B764" s="150"/>
      <c r="C764" s="150"/>
      <c r="D764" s="150"/>
      <c r="E764" s="150"/>
      <c r="F764" s="150"/>
      <c r="G764" s="150"/>
      <c r="H764" s="150"/>
      <c r="I764" s="150"/>
    </row>
    <row r="765" ht="20.25" spans="1:9">
      <c r="A765" s="150"/>
      <c r="B765" s="150"/>
      <c r="C765" s="150"/>
      <c r="D765" s="150"/>
      <c r="E765" s="150"/>
      <c r="F765" s="150"/>
      <c r="G765" s="150"/>
      <c r="H765" s="150"/>
      <c r="I765" s="150"/>
    </row>
    <row r="766" ht="20.25" spans="1:9">
      <c r="A766" s="150"/>
      <c r="B766" s="150"/>
      <c r="C766" s="150"/>
      <c r="D766" s="150"/>
      <c r="E766" s="150"/>
      <c r="F766" s="150"/>
      <c r="G766" s="150"/>
      <c r="H766" s="150"/>
      <c r="I766" s="150"/>
    </row>
    <row r="767" ht="20.25" spans="1:9">
      <c r="A767" s="150"/>
      <c r="B767" s="150"/>
      <c r="C767" s="150"/>
      <c r="D767" s="150"/>
      <c r="E767" s="150"/>
      <c r="F767" s="150"/>
      <c r="G767" s="150"/>
      <c r="H767" s="150"/>
      <c r="I767" s="150"/>
    </row>
    <row r="768" ht="20.25" spans="1:9">
      <c r="A768" s="150"/>
      <c r="B768" s="150"/>
      <c r="C768" s="150"/>
      <c r="D768" s="150"/>
      <c r="E768" s="150"/>
      <c r="F768" s="150"/>
      <c r="G768" s="150"/>
      <c r="H768" s="150"/>
      <c r="I768" s="150"/>
    </row>
    <row r="769" ht="20.25" spans="1:9">
      <c r="A769" s="150"/>
      <c r="B769" s="150"/>
      <c r="C769" s="150"/>
      <c r="D769" s="150"/>
      <c r="E769" s="150"/>
      <c r="F769" s="150"/>
      <c r="G769" s="150"/>
      <c r="H769" s="150"/>
      <c r="I769" s="150"/>
    </row>
    <row r="770" ht="20.25" spans="1:9">
      <c r="A770" s="150"/>
      <c r="B770" s="150"/>
      <c r="C770" s="150"/>
      <c r="D770" s="150"/>
      <c r="E770" s="150"/>
      <c r="F770" s="150"/>
      <c r="G770" s="150"/>
      <c r="H770" s="150"/>
      <c r="I770" s="150"/>
    </row>
    <row r="771" ht="20.25" spans="1:9">
      <c r="A771" s="150"/>
      <c r="B771" s="150"/>
      <c r="C771" s="150"/>
      <c r="D771" s="150"/>
      <c r="E771" s="150"/>
      <c r="F771" s="150"/>
      <c r="G771" s="150"/>
      <c r="H771" s="150"/>
      <c r="I771" s="150"/>
    </row>
    <row r="772" ht="20.25" spans="1:9">
      <c r="A772" s="150"/>
      <c r="B772" s="150"/>
      <c r="C772" s="150"/>
      <c r="D772" s="150"/>
      <c r="E772" s="150"/>
      <c r="F772" s="150"/>
      <c r="G772" s="150"/>
      <c r="H772" s="150"/>
      <c r="I772" s="150"/>
    </row>
    <row r="773" ht="20.25" spans="1:9">
      <c r="A773" s="150"/>
      <c r="B773" s="150"/>
      <c r="C773" s="150"/>
      <c r="D773" s="150"/>
      <c r="E773" s="150"/>
      <c r="F773" s="150"/>
      <c r="G773" s="150"/>
      <c r="H773" s="150"/>
      <c r="I773" s="150"/>
    </row>
    <row r="774" ht="20.25" spans="1:9">
      <c r="A774" s="150"/>
      <c r="B774" s="150"/>
      <c r="C774" s="150"/>
      <c r="D774" s="150"/>
      <c r="E774" s="150"/>
      <c r="F774" s="150"/>
      <c r="G774" s="150"/>
      <c r="H774" s="150"/>
      <c r="I774" s="150"/>
    </row>
    <row r="775" ht="20.25" spans="1:9">
      <c r="A775" s="150"/>
      <c r="B775" s="150"/>
      <c r="C775" s="150"/>
      <c r="D775" s="150"/>
      <c r="E775" s="150"/>
      <c r="F775" s="150"/>
      <c r="G775" s="150"/>
      <c r="H775" s="150"/>
      <c r="I775" s="150"/>
    </row>
    <row r="776" ht="20.25" spans="1:9">
      <c r="A776" s="150"/>
      <c r="B776" s="150"/>
      <c r="C776" s="150"/>
      <c r="D776" s="150"/>
      <c r="E776" s="150"/>
      <c r="F776" s="150"/>
      <c r="G776" s="150"/>
      <c r="H776" s="150"/>
      <c r="I776" s="150"/>
    </row>
    <row r="777" ht="20.25" spans="1:9">
      <c r="A777" s="150"/>
      <c r="B777" s="150"/>
      <c r="C777" s="150"/>
      <c r="D777" s="150"/>
      <c r="E777" s="150"/>
      <c r="F777" s="150"/>
      <c r="G777" s="150"/>
      <c r="H777" s="150"/>
      <c r="I777" s="150"/>
    </row>
    <row r="778" ht="20.25" spans="1:9">
      <c r="A778" s="150"/>
      <c r="B778" s="150"/>
      <c r="C778" s="150"/>
      <c r="D778" s="150"/>
      <c r="E778" s="150"/>
      <c r="F778" s="150"/>
      <c r="G778" s="150"/>
      <c r="H778" s="150"/>
      <c r="I778" s="150"/>
    </row>
    <row r="779" ht="20.25" spans="1:9">
      <c r="A779" s="150"/>
      <c r="B779" s="150"/>
      <c r="C779" s="150"/>
      <c r="D779" s="150"/>
      <c r="E779" s="150"/>
      <c r="F779" s="150"/>
      <c r="G779" s="150"/>
      <c r="H779" s="150"/>
      <c r="I779" s="150"/>
    </row>
    <row r="780" ht="20.25" spans="1:9">
      <c r="A780" s="150"/>
      <c r="B780" s="150"/>
      <c r="C780" s="150"/>
      <c r="D780" s="150"/>
      <c r="E780" s="150"/>
      <c r="F780" s="150"/>
      <c r="G780" s="150"/>
      <c r="H780" s="150"/>
      <c r="I780" s="150"/>
    </row>
    <row r="781" ht="20.25" spans="1:9">
      <c r="A781" s="150"/>
      <c r="B781" s="150"/>
      <c r="C781" s="150"/>
      <c r="D781" s="150"/>
      <c r="E781" s="150"/>
      <c r="F781" s="150"/>
      <c r="G781" s="150"/>
      <c r="H781" s="150"/>
      <c r="I781" s="150"/>
    </row>
    <row r="782" ht="20.25" spans="1:9">
      <c r="A782" s="150"/>
      <c r="B782" s="150"/>
      <c r="C782" s="150"/>
      <c r="D782" s="150"/>
      <c r="E782" s="150"/>
      <c r="F782" s="150"/>
      <c r="G782" s="150"/>
      <c r="H782" s="150"/>
      <c r="I782" s="150"/>
    </row>
    <row r="783" ht="20.25" spans="1:9">
      <c r="A783" s="150"/>
      <c r="B783" s="150"/>
      <c r="C783" s="150"/>
      <c r="D783" s="150"/>
      <c r="E783" s="150"/>
      <c r="F783" s="150"/>
      <c r="G783" s="150"/>
      <c r="H783" s="150"/>
      <c r="I783" s="150"/>
    </row>
    <row r="784" ht="20.25" spans="1:9">
      <c r="A784" s="150"/>
      <c r="B784" s="150"/>
      <c r="C784" s="150"/>
      <c r="D784" s="150"/>
      <c r="E784" s="150"/>
      <c r="F784" s="150"/>
      <c r="G784" s="150"/>
      <c r="H784" s="150"/>
      <c r="I784" s="150"/>
    </row>
    <row r="785" ht="20.25" spans="1:9">
      <c r="A785" s="150"/>
      <c r="B785" s="150"/>
      <c r="C785" s="150"/>
      <c r="D785" s="150"/>
      <c r="E785" s="150"/>
      <c r="F785" s="150"/>
      <c r="G785" s="150"/>
      <c r="H785" s="150"/>
      <c r="I785" s="150"/>
    </row>
    <row r="786" ht="20.25" spans="1:9">
      <c r="A786" s="150"/>
      <c r="B786" s="150"/>
      <c r="C786" s="150"/>
      <c r="D786" s="150"/>
      <c r="E786" s="150"/>
      <c r="F786" s="150"/>
      <c r="G786" s="150"/>
      <c r="H786" s="150"/>
      <c r="I786" s="150"/>
    </row>
    <row r="787" ht="20.25" spans="1:9">
      <c r="A787" s="150"/>
      <c r="B787" s="150"/>
      <c r="C787" s="150"/>
      <c r="D787" s="150"/>
      <c r="E787" s="150"/>
      <c r="F787" s="150"/>
      <c r="G787" s="150"/>
      <c r="H787" s="150"/>
      <c r="I787" s="150"/>
    </row>
    <row r="788" ht="20.25" spans="1:9">
      <c r="A788" s="150"/>
      <c r="B788" s="150"/>
      <c r="C788" s="150"/>
      <c r="D788" s="150"/>
      <c r="E788" s="150"/>
      <c r="F788" s="150"/>
      <c r="G788" s="150"/>
      <c r="H788" s="150"/>
      <c r="I788" s="150"/>
    </row>
    <row r="789" ht="20.25" spans="1:9">
      <c r="A789" s="150"/>
      <c r="B789" s="150"/>
      <c r="C789" s="150"/>
      <c r="D789" s="150"/>
      <c r="E789" s="150"/>
      <c r="F789" s="150"/>
      <c r="G789" s="150"/>
      <c r="H789" s="150"/>
      <c r="I789" s="150"/>
    </row>
    <row r="790" ht="20.25" spans="1:9">
      <c r="A790" s="150"/>
      <c r="B790" s="150"/>
      <c r="C790" s="150"/>
      <c r="D790" s="150"/>
      <c r="E790" s="150"/>
      <c r="F790" s="150"/>
      <c r="G790" s="150"/>
      <c r="H790" s="150"/>
      <c r="I790" s="150"/>
    </row>
    <row r="791" ht="20.25" spans="1:9">
      <c r="A791" s="150"/>
      <c r="B791" s="150"/>
      <c r="C791" s="150"/>
      <c r="D791" s="150"/>
      <c r="E791" s="150"/>
      <c r="F791" s="150"/>
      <c r="G791" s="150"/>
      <c r="H791" s="150"/>
      <c r="I791" s="150"/>
    </row>
    <row r="792" ht="20.25" spans="1:9">
      <c r="A792" s="150"/>
      <c r="B792" s="150"/>
      <c r="C792" s="150"/>
      <c r="D792" s="150"/>
      <c r="E792" s="150"/>
      <c r="F792" s="150"/>
      <c r="G792" s="150"/>
      <c r="H792" s="150"/>
      <c r="I792" s="150"/>
    </row>
    <row r="793" ht="20.25" spans="1:9">
      <c r="A793" s="150"/>
      <c r="B793" s="150"/>
      <c r="C793" s="150"/>
      <c r="D793" s="150"/>
      <c r="E793" s="150"/>
      <c r="F793" s="150"/>
      <c r="G793" s="150"/>
      <c r="H793" s="150"/>
      <c r="I793" s="150"/>
    </row>
    <row r="794" ht="20.25" spans="1:9">
      <c r="A794" s="150"/>
      <c r="B794" s="150"/>
      <c r="C794" s="150"/>
      <c r="D794" s="150"/>
      <c r="E794" s="150"/>
      <c r="F794" s="150"/>
      <c r="G794" s="150"/>
      <c r="H794" s="150"/>
      <c r="I794" s="150"/>
    </row>
    <row r="795" ht="20.25" spans="1:9">
      <c r="A795" s="150"/>
      <c r="B795" s="150"/>
      <c r="C795" s="150"/>
      <c r="D795" s="150"/>
      <c r="E795" s="150"/>
      <c r="F795" s="150"/>
      <c r="G795" s="150"/>
      <c r="H795" s="150"/>
      <c r="I795" s="150"/>
    </row>
    <row r="796" ht="20.25" spans="1:9">
      <c r="A796" s="150"/>
      <c r="B796" s="150"/>
      <c r="C796" s="150"/>
      <c r="D796" s="150"/>
      <c r="E796" s="150"/>
      <c r="F796" s="150"/>
      <c r="G796" s="150"/>
      <c r="H796" s="150"/>
      <c r="I796" s="150"/>
    </row>
    <row r="797" ht="20.25" spans="1:9">
      <c r="A797" s="150"/>
      <c r="B797" s="150"/>
      <c r="C797" s="150"/>
      <c r="D797" s="150"/>
      <c r="E797" s="150"/>
      <c r="F797" s="150"/>
      <c r="G797" s="150"/>
      <c r="H797" s="150"/>
      <c r="I797" s="150"/>
    </row>
    <row r="798" ht="20.25" spans="1:9">
      <c r="A798" s="150"/>
      <c r="B798" s="150"/>
      <c r="C798" s="150"/>
      <c r="D798" s="150"/>
      <c r="E798" s="150"/>
      <c r="F798" s="150"/>
      <c r="G798" s="150"/>
      <c r="H798" s="150"/>
      <c r="I798" s="150"/>
    </row>
    <row r="799" ht="20.25" spans="1:9">
      <c r="A799" s="150"/>
      <c r="B799" s="150"/>
      <c r="C799" s="150"/>
      <c r="D799" s="150"/>
      <c r="E799" s="150"/>
      <c r="F799" s="150"/>
      <c r="G799" s="150"/>
      <c r="H799" s="150"/>
      <c r="I799" s="150"/>
    </row>
    <row r="800" ht="20.25" spans="1:9">
      <c r="A800" s="150"/>
      <c r="B800" s="150"/>
      <c r="C800" s="150"/>
      <c r="D800" s="150"/>
      <c r="E800" s="150"/>
      <c r="F800" s="150"/>
      <c r="G800" s="150"/>
      <c r="H800" s="150"/>
      <c r="I800" s="150"/>
    </row>
    <row r="801" ht="20.25" spans="1:9">
      <c r="A801" s="150"/>
      <c r="B801" s="150"/>
      <c r="C801" s="150"/>
      <c r="D801" s="150"/>
      <c r="E801" s="150"/>
      <c r="F801" s="150"/>
      <c r="G801" s="150"/>
      <c r="H801" s="150"/>
      <c r="I801" s="150"/>
    </row>
    <row r="802" ht="20.25" spans="1:9">
      <c r="A802" s="150"/>
      <c r="B802" s="150"/>
      <c r="C802" s="150"/>
      <c r="D802" s="150"/>
      <c r="E802" s="150"/>
      <c r="F802" s="150"/>
      <c r="G802" s="150"/>
      <c r="H802" s="150"/>
      <c r="I802" s="150"/>
    </row>
    <row r="803" ht="20.25" spans="1:9">
      <c r="A803" s="150"/>
      <c r="B803" s="150"/>
      <c r="C803" s="150"/>
      <c r="D803" s="150"/>
      <c r="E803" s="150"/>
      <c r="F803" s="150"/>
      <c r="G803" s="150"/>
      <c r="H803" s="150"/>
      <c r="I803" s="150"/>
    </row>
    <row r="804" ht="20.25" spans="1:9">
      <c r="A804" s="150"/>
      <c r="B804" s="150"/>
      <c r="C804" s="150"/>
      <c r="D804" s="150"/>
      <c r="E804" s="150"/>
      <c r="F804" s="150"/>
      <c r="G804" s="150"/>
      <c r="H804" s="150"/>
      <c r="I804" s="150"/>
    </row>
    <row r="805" ht="20.25" spans="1:9">
      <c r="A805" s="150"/>
      <c r="B805" s="150"/>
      <c r="C805" s="150"/>
      <c r="D805" s="150"/>
      <c r="E805" s="150"/>
      <c r="F805" s="150"/>
      <c r="G805" s="150"/>
      <c r="H805" s="150"/>
      <c r="I805" s="150"/>
    </row>
    <row r="806" ht="20.25" spans="1:9">
      <c r="A806" s="150"/>
      <c r="B806" s="150"/>
      <c r="C806" s="150"/>
      <c r="D806" s="150"/>
      <c r="E806" s="150"/>
      <c r="F806" s="150"/>
      <c r="G806" s="150"/>
      <c r="H806" s="150"/>
      <c r="I806" s="150"/>
    </row>
    <row r="807" ht="20.25" spans="1:9">
      <c r="A807" s="150"/>
      <c r="B807" s="150"/>
      <c r="C807" s="150"/>
      <c r="D807" s="150"/>
      <c r="E807" s="150"/>
      <c r="F807" s="150"/>
      <c r="G807" s="150"/>
      <c r="H807" s="150"/>
      <c r="I807" s="150"/>
    </row>
    <row r="808" ht="20.25" spans="1:9">
      <c r="A808" s="150"/>
      <c r="B808" s="150"/>
      <c r="C808" s="150"/>
      <c r="D808" s="150"/>
      <c r="E808" s="150"/>
      <c r="F808" s="150"/>
      <c r="G808" s="150"/>
      <c r="H808" s="150"/>
      <c r="I808" s="150"/>
    </row>
    <row r="809" ht="20.25" spans="1:9">
      <c r="A809" s="150"/>
      <c r="B809" s="150"/>
      <c r="C809" s="150"/>
      <c r="D809" s="150"/>
      <c r="E809" s="150"/>
      <c r="F809" s="150"/>
      <c r="G809" s="150"/>
      <c r="H809" s="150"/>
      <c r="I809" s="150"/>
    </row>
    <row r="810" ht="20.25" spans="1:9">
      <c r="A810" s="150"/>
      <c r="B810" s="150"/>
      <c r="C810" s="150"/>
      <c r="D810" s="150"/>
      <c r="E810" s="150"/>
      <c r="F810" s="150"/>
      <c r="G810" s="150"/>
      <c r="H810" s="150"/>
      <c r="I810" s="150"/>
    </row>
    <row r="811" ht="20.25" spans="1:9">
      <c r="A811" s="150"/>
      <c r="B811" s="150"/>
      <c r="C811" s="150"/>
      <c r="D811" s="150"/>
      <c r="E811" s="150"/>
      <c r="F811" s="150"/>
      <c r="G811" s="150"/>
      <c r="H811" s="150"/>
      <c r="I811" s="150"/>
    </row>
    <row r="812" ht="20.25" spans="1:9">
      <c r="A812" s="150"/>
      <c r="B812" s="150"/>
      <c r="C812" s="150"/>
      <c r="D812" s="150"/>
      <c r="E812" s="150"/>
      <c r="F812" s="150"/>
      <c r="G812" s="150"/>
      <c r="H812" s="150"/>
      <c r="I812" s="150"/>
    </row>
    <row r="813" ht="20.25" spans="1:9">
      <c r="A813" s="150"/>
      <c r="B813" s="150"/>
      <c r="C813" s="150"/>
      <c r="D813" s="150"/>
      <c r="E813" s="150"/>
      <c r="F813" s="150"/>
      <c r="G813" s="150"/>
      <c r="H813" s="150"/>
      <c r="I813" s="150"/>
    </row>
    <row r="814" ht="20.25" spans="1:9">
      <c r="A814" s="150"/>
      <c r="B814" s="150"/>
      <c r="C814" s="150"/>
      <c r="D814" s="150"/>
      <c r="E814" s="150"/>
      <c r="F814" s="150"/>
      <c r="G814" s="150"/>
      <c r="H814" s="150"/>
      <c r="I814" s="150"/>
    </row>
    <row r="815" ht="20.25" spans="1:9">
      <c r="A815" s="150"/>
      <c r="B815" s="150"/>
      <c r="C815" s="150"/>
      <c r="D815" s="150"/>
      <c r="E815" s="150"/>
      <c r="F815" s="150"/>
      <c r="G815" s="150"/>
      <c r="H815" s="150"/>
      <c r="I815" s="150"/>
    </row>
    <row r="816" ht="20.25" spans="1:9">
      <c r="A816" s="150"/>
      <c r="B816" s="150"/>
      <c r="C816" s="150"/>
      <c r="D816" s="150"/>
      <c r="E816" s="150"/>
      <c r="F816" s="150"/>
      <c r="G816" s="150"/>
      <c r="H816" s="150"/>
      <c r="I816" s="150"/>
    </row>
    <row r="817" ht="20.25" spans="1:9">
      <c r="A817" s="150"/>
      <c r="B817" s="150"/>
      <c r="C817" s="150"/>
      <c r="D817" s="150"/>
      <c r="E817" s="150"/>
      <c r="F817" s="150"/>
      <c r="G817" s="150"/>
      <c r="H817" s="150"/>
      <c r="I817" s="150"/>
    </row>
    <row r="818" ht="20.25" spans="1:9">
      <c r="A818" s="150"/>
      <c r="B818" s="150"/>
      <c r="C818" s="150"/>
      <c r="D818" s="150"/>
      <c r="E818" s="150"/>
      <c r="F818" s="150"/>
      <c r="G818" s="150"/>
      <c r="H818" s="150"/>
      <c r="I818" s="150"/>
    </row>
    <row r="819" ht="20.25" spans="1:9">
      <c r="A819" s="150"/>
      <c r="B819" s="150"/>
      <c r="C819" s="150"/>
      <c r="D819" s="150"/>
      <c r="E819" s="150"/>
      <c r="F819" s="150"/>
      <c r="G819" s="150"/>
      <c r="H819" s="150"/>
      <c r="I819" s="150"/>
    </row>
    <row r="820" ht="20.25" spans="1:9">
      <c r="A820" s="150"/>
      <c r="B820" s="150"/>
      <c r="C820" s="150"/>
      <c r="D820" s="150"/>
      <c r="E820" s="150"/>
      <c r="F820" s="150"/>
      <c r="G820" s="150"/>
      <c r="H820" s="150"/>
      <c r="I820" s="150"/>
    </row>
    <row r="821" ht="20.25" spans="1:9">
      <c r="A821" s="150"/>
      <c r="B821" s="150"/>
      <c r="C821" s="150"/>
      <c r="D821" s="150"/>
      <c r="E821" s="150"/>
      <c r="F821" s="150"/>
      <c r="G821" s="150"/>
      <c r="H821" s="150"/>
      <c r="I821" s="150"/>
    </row>
    <row r="822" ht="20.25" spans="1:9">
      <c r="A822" s="150"/>
      <c r="B822" s="150"/>
      <c r="C822" s="150"/>
      <c r="D822" s="150"/>
      <c r="E822" s="150"/>
      <c r="F822" s="150"/>
      <c r="G822" s="150"/>
      <c r="H822" s="150"/>
      <c r="I822" s="150"/>
    </row>
    <row r="823" ht="20.25" spans="1:9">
      <c r="A823" s="150"/>
      <c r="B823" s="150"/>
      <c r="C823" s="150"/>
      <c r="D823" s="150"/>
      <c r="E823" s="150"/>
      <c r="F823" s="150"/>
      <c r="G823" s="150"/>
      <c r="H823" s="150"/>
      <c r="I823" s="150"/>
    </row>
    <row r="824" ht="20.25" spans="1:9">
      <c r="A824" s="150"/>
      <c r="B824" s="150"/>
      <c r="C824" s="150"/>
      <c r="D824" s="150"/>
      <c r="E824" s="150"/>
      <c r="F824" s="150"/>
      <c r="G824" s="150"/>
      <c r="H824" s="150"/>
      <c r="I824" s="150"/>
    </row>
    <row r="825" ht="20.25" spans="1:9">
      <c r="A825" s="150"/>
      <c r="B825" s="150"/>
      <c r="C825" s="150"/>
      <c r="D825" s="150"/>
      <c r="E825" s="150"/>
      <c r="F825" s="150"/>
      <c r="G825" s="150"/>
      <c r="H825" s="150"/>
      <c r="I825" s="150"/>
    </row>
    <row r="826" ht="20.25" spans="1:9">
      <c r="A826" s="150"/>
      <c r="B826" s="150"/>
      <c r="C826" s="150"/>
      <c r="D826" s="150"/>
      <c r="E826" s="150"/>
      <c r="F826" s="150"/>
      <c r="G826" s="150"/>
      <c r="H826" s="150"/>
      <c r="I826" s="150"/>
    </row>
    <row r="827" ht="20.25" spans="1:9">
      <c r="A827" s="150"/>
      <c r="B827" s="150"/>
      <c r="C827" s="150"/>
      <c r="D827" s="150"/>
      <c r="E827" s="150"/>
      <c r="F827" s="150"/>
      <c r="G827" s="150"/>
      <c r="H827" s="150"/>
      <c r="I827" s="150"/>
    </row>
    <row r="828" ht="20.25" spans="1:9">
      <c r="A828" s="150"/>
      <c r="B828" s="150"/>
      <c r="C828" s="150"/>
      <c r="D828" s="150"/>
      <c r="E828" s="150"/>
      <c r="F828" s="150"/>
      <c r="G828" s="150"/>
      <c r="H828" s="150"/>
      <c r="I828" s="150"/>
    </row>
    <row r="829" ht="20.25" spans="1:9">
      <c r="A829" s="150"/>
      <c r="B829" s="150"/>
      <c r="C829" s="150"/>
      <c r="D829" s="150"/>
      <c r="E829" s="150"/>
      <c r="F829" s="150"/>
      <c r="G829" s="150"/>
      <c r="H829" s="150"/>
      <c r="I829" s="150"/>
    </row>
    <row r="830" ht="20.25" spans="1:9">
      <c r="A830" s="150"/>
      <c r="B830" s="150"/>
      <c r="C830" s="150"/>
      <c r="D830" s="150"/>
      <c r="E830" s="150"/>
      <c r="F830" s="150"/>
      <c r="G830" s="150"/>
      <c r="H830" s="150"/>
      <c r="I830" s="150"/>
    </row>
    <row r="831" ht="20.25" spans="1:9">
      <c r="A831" s="150"/>
      <c r="B831" s="150"/>
      <c r="C831" s="150"/>
      <c r="D831" s="150"/>
      <c r="E831" s="150"/>
      <c r="F831" s="150"/>
      <c r="G831" s="150"/>
      <c r="H831" s="150"/>
      <c r="I831" s="150"/>
    </row>
    <row r="832" ht="20.25" spans="1:9">
      <c r="A832" s="150"/>
      <c r="B832" s="150"/>
      <c r="C832" s="150"/>
      <c r="D832" s="150"/>
      <c r="E832" s="150"/>
      <c r="F832" s="150"/>
      <c r="G832" s="150"/>
      <c r="H832" s="150"/>
      <c r="I832" s="150"/>
    </row>
    <row r="833" ht="20.25" spans="1:9">
      <c r="A833" s="150"/>
      <c r="B833" s="150"/>
      <c r="C833" s="150"/>
      <c r="D833" s="150"/>
      <c r="E833" s="150"/>
      <c r="F833" s="150"/>
      <c r="G833" s="150"/>
      <c r="H833" s="150"/>
      <c r="I833" s="150"/>
    </row>
    <row r="834" ht="20.25" spans="1:9">
      <c r="A834" s="150"/>
      <c r="B834" s="150"/>
      <c r="C834" s="150"/>
      <c r="D834" s="150"/>
      <c r="E834" s="150"/>
      <c r="F834" s="150"/>
      <c r="G834" s="150"/>
      <c r="H834" s="150"/>
      <c r="I834" s="150"/>
    </row>
    <row r="835" ht="20.25" spans="1:9">
      <c r="A835" s="150"/>
      <c r="B835" s="150"/>
      <c r="C835" s="150"/>
      <c r="D835" s="150"/>
      <c r="E835" s="150"/>
      <c r="F835" s="150"/>
      <c r="G835" s="150"/>
      <c r="H835" s="150"/>
      <c r="I835" s="150"/>
    </row>
    <row r="836" ht="20.25" spans="1:9">
      <c r="A836" s="150"/>
      <c r="B836" s="150"/>
      <c r="C836" s="150"/>
      <c r="D836" s="150"/>
      <c r="E836" s="150"/>
      <c r="F836" s="150"/>
      <c r="G836" s="150"/>
      <c r="H836" s="150"/>
      <c r="I836" s="150"/>
    </row>
    <row r="837" ht="20.25" spans="1:9">
      <c r="A837" s="150"/>
      <c r="B837" s="150"/>
      <c r="C837" s="150"/>
      <c r="D837" s="150"/>
      <c r="E837" s="150"/>
      <c r="F837" s="150"/>
      <c r="G837" s="150"/>
      <c r="H837" s="150"/>
      <c r="I837" s="150"/>
    </row>
    <row r="838" ht="20.25" spans="1:9">
      <c r="A838" s="150"/>
      <c r="B838" s="150"/>
      <c r="C838" s="150"/>
      <c r="D838" s="150"/>
      <c r="E838" s="150"/>
      <c r="F838" s="150"/>
      <c r="G838" s="150"/>
      <c r="H838" s="150"/>
      <c r="I838" s="150"/>
    </row>
    <row r="839" ht="20.25" spans="1:9">
      <c r="A839" s="150"/>
      <c r="B839" s="150"/>
      <c r="C839" s="150"/>
      <c r="D839" s="150"/>
      <c r="E839" s="150"/>
      <c r="F839" s="150"/>
      <c r="G839" s="150"/>
      <c r="H839" s="150"/>
      <c r="I839" s="150"/>
    </row>
    <row r="840" ht="20.25" spans="1:9">
      <c r="A840" s="150"/>
      <c r="B840" s="150"/>
      <c r="C840" s="150"/>
      <c r="D840" s="150"/>
      <c r="E840" s="150"/>
      <c r="F840" s="150"/>
      <c r="G840" s="150"/>
      <c r="H840" s="150"/>
      <c r="I840" s="150"/>
    </row>
    <row r="841" ht="20.25" spans="1:9">
      <c r="A841" s="150"/>
      <c r="B841" s="150"/>
      <c r="C841" s="150"/>
      <c r="D841" s="150"/>
      <c r="E841" s="150"/>
      <c r="F841" s="150"/>
      <c r="G841" s="150"/>
      <c r="H841" s="150"/>
      <c r="I841" s="150"/>
    </row>
    <row r="842" ht="20.25" spans="1:9">
      <c r="A842" s="150"/>
      <c r="B842" s="150"/>
      <c r="C842" s="150"/>
      <c r="D842" s="150"/>
      <c r="E842" s="150"/>
      <c r="F842" s="150"/>
      <c r="G842" s="150"/>
      <c r="H842" s="150"/>
      <c r="I842" s="150"/>
    </row>
    <row r="843" ht="20.25" spans="1:9">
      <c r="A843" s="150"/>
      <c r="B843" s="150"/>
      <c r="C843" s="150"/>
      <c r="D843" s="150"/>
      <c r="E843" s="150"/>
      <c r="F843" s="150"/>
      <c r="G843" s="150"/>
      <c r="H843" s="150"/>
      <c r="I843" s="150"/>
    </row>
    <row r="844" ht="20.25" spans="1:9">
      <c r="A844" s="150"/>
      <c r="B844" s="150"/>
      <c r="C844" s="150"/>
      <c r="D844" s="150"/>
      <c r="E844" s="150"/>
      <c r="F844" s="150"/>
      <c r="G844" s="150"/>
      <c r="H844" s="150"/>
      <c r="I844" s="150"/>
    </row>
    <row r="845" ht="20.25" spans="1:9">
      <c r="A845" s="150"/>
      <c r="B845" s="150"/>
      <c r="C845" s="150"/>
      <c r="D845" s="150"/>
      <c r="E845" s="150"/>
      <c r="F845" s="150"/>
      <c r="G845" s="150"/>
      <c r="H845" s="150"/>
      <c r="I845" s="150"/>
    </row>
    <row r="846" ht="20.25" spans="1:9">
      <c r="A846" s="150"/>
      <c r="B846" s="150"/>
      <c r="C846" s="150"/>
      <c r="D846" s="150"/>
      <c r="E846" s="150"/>
      <c r="F846" s="150"/>
      <c r="G846" s="150"/>
      <c r="H846" s="150"/>
      <c r="I846" s="150"/>
    </row>
    <row r="847" ht="20.25" spans="1:9">
      <c r="A847" s="150"/>
      <c r="B847" s="150"/>
      <c r="C847" s="150"/>
      <c r="D847" s="150"/>
      <c r="E847" s="150"/>
      <c r="F847" s="150"/>
      <c r="G847" s="150"/>
      <c r="H847" s="150"/>
      <c r="I847" s="150"/>
    </row>
    <row r="848" ht="20.25" spans="1:9">
      <c r="A848" s="150"/>
      <c r="B848" s="150"/>
      <c r="C848" s="150"/>
      <c r="D848" s="150"/>
      <c r="E848" s="150"/>
      <c r="F848" s="150"/>
      <c r="G848" s="150"/>
      <c r="H848" s="150"/>
      <c r="I848" s="150"/>
    </row>
    <row r="849" ht="20.25" spans="1:9">
      <c r="A849" s="150"/>
      <c r="B849" s="150"/>
      <c r="C849" s="150"/>
      <c r="D849" s="150"/>
      <c r="E849" s="150"/>
      <c r="F849" s="150"/>
      <c r="G849" s="150"/>
      <c r="H849" s="150"/>
      <c r="I849" s="150"/>
    </row>
    <row r="850" ht="20.25" spans="1:9">
      <c r="A850" s="150"/>
      <c r="B850" s="150"/>
      <c r="C850" s="150"/>
      <c r="D850" s="150"/>
      <c r="E850" s="150"/>
      <c r="F850" s="150"/>
      <c r="G850" s="150"/>
      <c r="H850" s="150"/>
      <c r="I850" s="150"/>
    </row>
    <row r="851" ht="20.25" spans="1:9">
      <c r="A851" s="150"/>
      <c r="B851" s="150"/>
      <c r="C851" s="150"/>
      <c r="D851" s="150"/>
      <c r="E851" s="150"/>
      <c r="F851" s="150"/>
      <c r="G851" s="150"/>
      <c r="H851" s="150"/>
      <c r="I851" s="150"/>
    </row>
    <row r="852" ht="20.25" spans="1:9">
      <c r="A852" s="150"/>
      <c r="B852" s="150"/>
      <c r="C852" s="150"/>
      <c r="D852" s="150"/>
      <c r="E852" s="150"/>
      <c r="F852" s="150"/>
      <c r="G852" s="150"/>
      <c r="H852" s="150"/>
      <c r="I852" s="150"/>
    </row>
    <row r="853" ht="20.25" spans="1:9">
      <c r="A853" s="150"/>
      <c r="B853" s="150"/>
      <c r="C853" s="150"/>
      <c r="D853" s="150"/>
      <c r="E853" s="150"/>
      <c r="F853" s="150"/>
      <c r="G853" s="150"/>
      <c r="H853" s="150"/>
      <c r="I853" s="150"/>
    </row>
    <row r="854" ht="20.25" spans="1:9">
      <c r="A854" s="150"/>
      <c r="B854" s="150"/>
      <c r="C854" s="150"/>
      <c r="D854" s="150"/>
      <c r="E854" s="150"/>
      <c r="F854" s="150"/>
      <c r="G854" s="150"/>
      <c r="H854" s="150"/>
      <c r="I854" s="150"/>
    </row>
    <row r="855" ht="20.25" spans="1:9">
      <c r="A855" s="150"/>
      <c r="B855" s="150"/>
      <c r="C855" s="150"/>
      <c r="D855" s="150"/>
      <c r="E855" s="150"/>
      <c r="F855" s="150"/>
      <c r="G855" s="150"/>
      <c r="H855" s="150"/>
      <c r="I855" s="150"/>
    </row>
    <row r="856" ht="20.25" spans="1:9">
      <c r="A856" s="150"/>
      <c r="B856" s="150"/>
      <c r="C856" s="150"/>
      <c r="D856" s="150"/>
      <c r="E856" s="150"/>
      <c r="F856" s="150"/>
      <c r="G856" s="150"/>
      <c r="H856" s="150"/>
      <c r="I856" s="150"/>
    </row>
    <row r="857" ht="20.25" spans="1:9">
      <c r="A857" s="150"/>
      <c r="B857" s="150"/>
      <c r="C857" s="150"/>
      <c r="D857" s="150"/>
      <c r="E857" s="150"/>
      <c r="F857" s="150"/>
      <c r="G857" s="150"/>
      <c r="H857" s="150"/>
      <c r="I857" s="150"/>
    </row>
    <row r="858" ht="20.25" spans="1:9">
      <c r="A858" s="150"/>
      <c r="B858" s="150"/>
      <c r="C858" s="150"/>
      <c r="D858" s="150"/>
      <c r="E858" s="150"/>
      <c r="F858" s="150"/>
      <c r="G858" s="150"/>
      <c r="H858" s="150"/>
      <c r="I858" s="150"/>
    </row>
    <row r="859" ht="20.25" spans="1:9">
      <c r="A859" s="150"/>
      <c r="B859" s="150"/>
      <c r="C859" s="150"/>
      <c r="D859" s="150"/>
      <c r="E859" s="150"/>
      <c r="F859" s="150"/>
      <c r="G859" s="150"/>
      <c r="H859" s="150"/>
      <c r="I859" s="150"/>
    </row>
    <row r="860" ht="20.25" spans="1:9">
      <c r="A860" s="150"/>
      <c r="B860" s="150"/>
      <c r="C860" s="150"/>
      <c r="D860" s="150"/>
      <c r="E860" s="150"/>
      <c r="F860" s="150"/>
      <c r="G860" s="150"/>
      <c r="H860" s="150"/>
      <c r="I860" s="150"/>
    </row>
    <row r="861" ht="20.25" spans="1:9">
      <c r="A861" s="150"/>
      <c r="B861" s="150"/>
      <c r="C861" s="150"/>
      <c r="D861" s="150"/>
      <c r="E861" s="150"/>
      <c r="F861" s="150"/>
      <c r="G861" s="150"/>
      <c r="H861" s="150"/>
      <c r="I861" s="150"/>
    </row>
    <row r="862" ht="20.25" spans="1:9">
      <c r="A862" s="150"/>
      <c r="B862" s="150"/>
      <c r="C862" s="150"/>
      <c r="D862" s="150"/>
      <c r="E862" s="150"/>
      <c r="F862" s="150"/>
      <c r="G862" s="150"/>
      <c r="H862" s="150"/>
      <c r="I862" s="150"/>
    </row>
    <row r="863" ht="20.25" spans="1:9">
      <c r="A863" s="150"/>
      <c r="B863" s="150"/>
      <c r="C863" s="150"/>
      <c r="D863" s="150"/>
      <c r="E863" s="150"/>
      <c r="F863" s="150"/>
      <c r="G863" s="150"/>
      <c r="H863" s="150"/>
      <c r="I863" s="150"/>
    </row>
    <row r="864" ht="20.25" spans="1:9">
      <c r="A864" s="150"/>
      <c r="B864" s="150"/>
      <c r="C864" s="150"/>
      <c r="D864" s="150"/>
      <c r="E864" s="150"/>
      <c r="F864" s="150"/>
      <c r="G864" s="150"/>
      <c r="H864" s="150"/>
      <c r="I864" s="150"/>
    </row>
    <row r="865" ht="20.25" spans="1:9">
      <c r="A865" s="150"/>
      <c r="B865" s="150"/>
      <c r="C865" s="150"/>
      <c r="D865" s="150"/>
      <c r="E865" s="150"/>
      <c r="F865" s="150"/>
      <c r="G865" s="150"/>
      <c r="H865" s="150"/>
      <c r="I865" s="150"/>
    </row>
    <row r="866" ht="20.25" spans="1:9">
      <c r="A866" s="150"/>
      <c r="B866" s="150"/>
      <c r="C866" s="150"/>
      <c r="D866" s="150"/>
      <c r="E866" s="150"/>
      <c r="F866" s="150"/>
      <c r="G866" s="150"/>
      <c r="H866" s="150"/>
      <c r="I866" s="150"/>
    </row>
    <row r="867" ht="20.25" spans="1:9">
      <c r="A867" s="150"/>
      <c r="B867" s="150"/>
      <c r="C867" s="150"/>
      <c r="D867" s="150"/>
      <c r="E867" s="150"/>
      <c r="F867" s="150"/>
      <c r="G867" s="150"/>
      <c r="H867" s="150"/>
      <c r="I867" s="150"/>
    </row>
    <row r="868" ht="20.25" spans="1:9">
      <c r="A868" s="150"/>
      <c r="B868" s="150"/>
      <c r="C868" s="150"/>
      <c r="D868" s="150"/>
      <c r="E868" s="150"/>
      <c r="F868" s="150"/>
      <c r="G868" s="150"/>
      <c r="H868" s="150"/>
      <c r="I868" s="150"/>
    </row>
    <row r="869" ht="20.25" spans="1:9">
      <c r="A869" s="150"/>
      <c r="B869" s="150"/>
      <c r="C869" s="150"/>
      <c r="D869" s="150"/>
      <c r="E869" s="150"/>
      <c r="F869" s="150"/>
      <c r="G869" s="150"/>
      <c r="H869" s="150"/>
      <c r="I869" s="150"/>
    </row>
    <row r="870" ht="20.25" spans="1:9">
      <c r="A870" s="150"/>
      <c r="B870" s="150"/>
      <c r="C870" s="150"/>
      <c r="D870" s="150"/>
      <c r="E870" s="150"/>
      <c r="F870" s="150"/>
      <c r="G870" s="150"/>
      <c r="H870" s="150"/>
      <c r="I870" s="150"/>
    </row>
    <row r="871" ht="20.25" spans="1:9">
      <c r="A871" s="150"/>
      <c r="B871" s="150"/>
      <c r="C871" s="150"/>
      <c r="D871" s="150"/>
      <c r="E871" s="150"/>
      <c r="F871" s="150"/>
      <c r="G871" s="150"/>
      <c r="H871" s="150"/>
      <c r="I871" s="150"/>
    </row>
    <row r="872" ht="20.25" spans="1:9">
      <c r="A872" s="150"/>
      <c r="B872" s="150"/>
      <c r="C872" s="150"/>
      <c r="D872" s="150"/>
      <c r="E872" s="150"/>
      <c r="F872" s="150"/>
      <c r="G872" s="150"/>
      <c r="H872" s="150"/>
      <c r="I872" s="150"/>
    </row>
    <row r="873" ht="20.25" spans="1:9">
      <c r="A873" s="150"/>
      <c r="B873" s="150"/>
      <c r="C873" s="150"/>
      <c r="D873" s="150"/>
      <c r="E873" s="150"/>
      <c r="F873" s="150"/>
      <c r="G873" s="150"/>
      <c r="H873" s="150"/>
      <c r="I873" s="150"/>
    </row>
    <row r="874" ht="20.25" spans="1:9">
      <c r="A874" s="150"/>
      <c r="B874" s="150"/>
      <c r="C874" s="150"/>
      <c r="D874" s="150"/>
      <c r="E874" s="150"/>
      <c r="F874" s="150"/>
      <c r="G874" s="150"/>
      <c r="H874" s="150"/>
      <c r="I874" s="150"/>
    </row>
    <row r="875" ht="20.25" spans="1:9">
      <c r="A875" s="150"/>
      <c r="B875" s="150"/>
      <c r="C875" s="150"/>
      <c r="D875" s="150"/>
      <c r="E875" s="150"/>
      <c r="F875" s="150"/>
      <c r="G875" s="150"/>
      <c r="H875" s="150"/>
      <c r="I875" s="150"/>
    </row>
    <row r="876" ht="20.25" spans="1:9">
      <c r="A876" s="150"/>
      <c r="B876" s="150"/>
      <c r="C876" s="150"/>
      <c r="D876" s="150"/>
      <c r="E876" s="150"/>
      <c r="F876" s="150"/>
      <c r="G876" s="150"/>
      <c r="H876" s="150"/>
      <c r="I876" s="150"/>
    </row>
    <row r="877" ht="20.25" spans="1:9">
      <c r="A877" s="150"/>
      <c r="B877" s="150"/>
      <c r="C877" s="150"/>
      <c r="D877" s="150"/>
      <c r="E877" s="150"/>
      <c r="F877" s="150"/>
      <c r="G877" s="150"/>
      <c r="H877" s="150"/>
      <c r="I877" s="150"/>
    </row>
    <row r="878" ht="20.25" spans="1:9">
      <c r="A878" s="150"/>
      <c r="B878" s="150"/>
      <c r="C878" s="150"/>
      <c r="D878" s="150"/>
      <c r="E878" s="150"/>
      <c r="F878" s="150"/>
      <c r="G878" s="150"/>
      <c r="H878" s="150"/>
      <c r="I878" s="150"/>
    </row>
    <row r="879" ht="20.25" spans="1:9">
      <c r="A879" s="150"/>
      <c r="B879" s="150"/>
      <c r="C879" s="150"/>
      <c r="D879" s="150"/>
      <c r="E879" s="150"/>
      <c r="F879" s="150"/>
      <c r="G879" s="150"/>
      <c r="H879" s="150"/>
      <c r="I879" s="150"/>
    </row>
    <row r="880" ht="20.25" spans="1:9">
      <c r="A880" s="150"/>
      <c r="B880" s="150"/>
      <c r="C880" s="150"/>
      <c r="D880" s="150"/>
      <c r="E880" s="150"/>
      <c r="F880" s="150"/>
      <c r="G880" s="150"/>
      <c r="H880" s="150"/>
      <c r="I880" s="150"/>
    </row>
    <row r="881" ht="20.25" spans="1:9">
      <c r="A881" s="150"/>
      <c r="B881" s="150"/>
      <c r="C881" s="150"/>
      <c r="D881" s="150"/>
      <c r="E881" s="150"/>
      <c r="F881" s="150"/>
      <c r="G881" s="150"/>
      <c r="H881" s="150"/>
      <c r="I881" s="150"/>
    </row>
    <row r="882" ht="20.25" spans="1:9">
      <c r="A882" s="150"/>
      <c r="B882" s="150"/>
      <c r="C882" s="150"/>
      <c r="D882" s="150"/>
      <c r="E882" s="150"/>
      <c r="F882" s="150"/>
      <c r="G882" s="150"/>
      <c r="H882" s="150"/>
      <c r="I882" s="150"/>
    </row>
    <row r="883" ht="20.25" spans="1:9">
      <c r="A883" s="150"/>
      <c r="B883" s="150"/>
      <c r="C883" s="150"/>
      <c r="D883" s="150"/>
      <c r="E883" s="150"/>
      <c r="F883" s="150"/>
      <c r="G883" s="150"/>
      <c r="H883" s="150"/>
      <c r="I883" s="150"/>
    </row>
    <row r="884" ht="20.25" spans="1:9">
      <c r="A884" s="150"/>
      <c r="B884" s="150"/>
      <c r="C884" s="150"/>
      <c r="D884" s="150"/>
      <c r="E884" s="150"/>
      <c r="F884" s="150"/>
      <c r="G884" s="150"/>
      <c r="H884" s="150"/>
      <c r="I884" s="150"/>
    </row>
    <row r="885" ht="20.25" spans="1:9">
      <c r="A885" s="150"/>
      <c r="B885" s="150"/>
      <c r="C885" s="150"/>
      <c r="D885" s="150"/>
      <c r="E885" s="150"/>
      <c r="F885" s="150"/>
      <c r="G885" s="150"/>
      <c r="H885" s="150"/>
      <c r="I885" s="150"/>
    </row>
    <row r="886" ht="20.25" spans="1:9">
      <c r="A886" s="150"/>
      <c r="B886" s="150"/>
      <c r="C886" s="150"/>
      <c r="D886" s="150"/>
      <c r="E886" s="150"/>
      <c r="F886" s="150"/>
      <c r="G886" s="150"/>
      <c r="H886" s="150"/>
      <c r="I886" s="150"/>
    </row>
    <row r="887" ht="20.25" spans="1:9">
      <c r="A887" s="150"/>
      <c r="B887" s="150"/>
      <c r="C887" s="150"/>
      <c r="D887" s="150"/>
      <c r="E887" s="150"/>
      <c r="F887" s="150"/>
      <c r="G887" s="150"/>
      <c r="H887" s="150"/>
      <c r="I887" s="150"/>
    </row>
    <row r="888" ht="20.25" spans="1:9">
      <c r="A888" s="150"/>
      <c r="B888" s="150"/>
      <c r="C888" s="150"/>
      <c r="D888" s="150"/>
      <c r="E888" s="150"/>
      <c r="F888" s="150"/>
      <c r="G888" s="150"/>
      <c r="H888" s="150"/>
      <c r="I888" s="150"/>
    </row>
    <row r="889" ht="20.25" spans="1:9">
      <c r="A889" s="150"/>
      <c r="B889" s="150"/>
      <c r="C889" s="150"/>
      <c r="D889" s="150"/>
      <c r="E889" s="150"/>
      <c r="F889" s="150"/>
      <c r="G889" s="150"/>
      <c r="H889" s="150"/>
      <c r="I889" s="150"/>
    </row>
    <row r="890" ht="20.25" spans="1:9">
      <c r="A890" s="150"/>
      <c r="B890" s="150"/>
      <c r="C890" s="150"/>
      <c r="D890" s="150"/>
      <c r="E890" s="150"/>
      <c r="F890" s="150"/>
      <c r="G890" s="150"/>
      <c r="H890" s="150"/>
      <c r="I890" s="150"/>
    </row>
    <row r="891" ht="20.25" spans="1:9">
      <c r="A891" s="150"/>
      <c r="B891" s="150"/>
      <c r="C891" s="150"/>
      <c r="D891" s="150"/>
      <c r="E891" s="150"/>
      <c r="F891" s="150"/>
      <c r="G891" s="150"/>
      <c r="H891" s="150"/>
      <c r="I891" s="150"/>
    </row>
    <row r="892" ht="20.25" spans="1:9">
      <c r="A892" s="150"/>
      <c r="B892" s="150"/>
      <c r="C892" s="150"/>
      <c r="D892" s="150"/>
      <c r="E892" s="150"/>
      <c r="F892" s="150"/>
      <c r="G892" s="150"/>
      <c r="H892" s="150"/>
      <c r="I892" s="150"/>
    </row>
    <row r="893" ht="20.25" spans="1:9">
      <c r="A893" s="150"/>
      <c r="B893" s="150"/>
      <c r="C893" s="150"/>
      <c r="D893" s="150"/>
      <c r="E893" s="150"/>
      <c r="F893" s="150"/>
      <c r="G893" s="150"/>
      <c r="H893" s="150"/>
      <c r="I893" s="150"/>
    </row>
    <row r="894" ht="20.25" spans="1:9">
      <c r="A894" s="150"/>
      <c r="B894" s="150"/>
      <c r="C894" s="150"/>
      <c r="D894" s="150"/>
      <c r="E894" s="150"/>
      <c r="F894" s="150"/>
      <c r="G894" s="150"/>
      <c r="H894" s="150"/>
      <c r="I894" s="150"/>
    </row>
    <row r="895" ht="20.25" spans="1:9">
      <c r="A895" s="150"/>
      <c r="B895" s="150"/>
      <c r="C895" s="150"/>
      <c r="D895" s="150"/>
      <c r="E895" s="150"/>
      <c r="F895" s="150"/>
      <c r="G895" s="150"/>
      <c r="H895" s="150"/>
      <c r="I895" s="150"/>
    </row>
    <row r="896" ht="20.25" spans="1:9">
      <c r="A896" s="150"/>
      <c r="B896" s="150"/>
      <c r="C896" s="150"/>
      <c r="D896" s="150"/>
      <c r="E896" s="150"/>
      <c r="F896" s="150"/>
      <c r="G896" s="150"/>
      <c r="H896" s="150"/>
      <c r="I896" s="150"/>
    </row>
    <row r="897" ht="20.25" spans="1:9">
      <c r="A897" s="150"/>
      <c r="B897" s="150"/>
      <c r="C897" s="150"/>
      <c r="D897" s="150"/>
      <c r="E897" s="150"/>
      <c r="F897" s="150"/>
      <c r="G897" s="150"/>
      <c r="H897" s="150"/>
      <c r="I897" s="150"/>
    </row>
    <row r="898" ht="20.25" spans="1:9">
      <c r="A898" s="150"/>
      <c r="B898" s="150"/>
      <c r="C898" s="150"/>
      <c r="D898" s="150"/>
      <c r="E898" s="150"/>
      <c r="F898" s="150"/>
      <c r="G898" s="150"/>
      <c r="H898" s="150"/>
      <c r="I898" s="150"/>
    </row>
    <row r="899" ht="20.25" spans="1:9">
      <c r="A899" s="150"/>
      <c r="B899" s="150"/>
      <c r="C899" s="150"/>
      <c r="D899" s="150"/>
      <c r="E899" s="150"/>
      <c r="F899" s="150"/>
      <c r="G899" s="150"/>
      <c r="H899" s="150"/>
      <c r="I899" s="150"/>
    </row>
    <row r="900" ht="20.25" spans="1:9">
      <c r="A900" s="150"/>
      <c r="B900" s="150"/>
      <c r="C900" s="150"/>
      <c r="D900" s="150"/>
      <c r="E900" s="150"/>
      <c r="F900" s="150"/>
      <c r="G900" s="150"/>
      <c r="H900" s="150"/>
      <c r="I900" s="150"/>
    </row>
    <row r="901" ht="20.25" spans="1:9">
      <c r="A901" s="150"/>
      <c r="B901" s="150"/>
      <c r="C901" s="150"/>
      <c r="D901" s="150"/>
      <c r="E901" s="150"/>
      <c r="F901" s="150"/>
      <c r="G901" s="150"/>
      <c r="H901" s="150"/>
      <c r="I901" s="150"/>
    </row>
    <row r="902" ht="20.25" spans="1:9">
      <c r="A902" s="150"/>
      <c r="B902" s="150"/>
      <c r="C902" s="150"/>
      <c r="D902" s="150"/>
      <c r="E902" s="150"/>
      <c r="F902" s="150"/>
      <c r="G902" s="150"/>
      <c r="H902" s="150"/>
      <c r="I902" s="150"/>
    </row>
    <row r="903" ht="20.25" spans="1:9">
      <c r="A903" s="150"/>
      <c r="B903" s="150"/>
      <c r="C903" s="150"/>
      <c r="D903" s="150"/>
      <c r="E903" s="150"/>
      <c r="F903" s="150"/>
      <c r="G903" s="150"/>
      <c r="H903" s="150"/>
      <c r="I903" s="150"/>
    </row>
    <row r="904" ht="20.25" spans="1:9">
      <c r="A904" s="150"/>
      <c r="B904" s="150"/>
      <c r="C904" s="150"/>
      <c r="D904" s="150"/>
      <c r="E904" s="150"/>
      <c r="F904" s="150"/>
      <c r="G904" s="150"/>
      <c r="H904" s="150"/>
      <c r="I904" s="150"/>
    </row>
    <row r="905" ht="20.25" spans="1:9">
      <c r="A905" s="150"/>
      <c r="B905" s="150"/>
      <c r="C905" s="150"/>
      <c r="D905" s="150"/>
      <c r="E905" s="150"/>
      <c r="F905" s="150"/>
      <c r="G905" s="150"/>
      <c r="H905" s="150"/>
      <c r="I905" s="150"/>
    </row>
    <row r="906" ht="20.25" spans="1:9">
      <c r="A906" s="150"/>
      <c r="B906" s="150"/>
      <c r="C906" s="150"/>
      <c r="D906" s="150"/>
      <c r="E906" s="150"/>
      <c r="F906" s="150"/>
      <c r="G906" s="150"/>
      <c r="H906" s="150"/>
      <c r="I906" s="150"/>
    </row>
    <row r="907" ht="20.25" spans="1:9">
      <c r="A907" s="150"/>
      <c r="B907" s="150"/>
      <c r="C907" s="150"/>
      <c r="D907" s="150"/>
      <c r="E907" s="150"/>
      <c r="F907" s="150"/>
      <c r="G907" s="150"/>
      <c r="H907" s="150"/>
      <c r="I907" s="150"/>
    </row>
    <row r="908" ht="20.25" spans="1:9">
      <c r="A908" s="150"/>
      <c r="B908" s="150"/>
      <c r="C908" s="150"/>
      <c r="D908" s="150"/>
      <c r="E908" s="150"/>
      <c r="F908" s="150"/>
      <c r="G908" s="150"/>
      <c r="H908" s="150"/>
      <c r="I908" s="150"/>
    </row>
    <row r="909" ht="20.25" spans="1:9">
      <c r="A909" s="150"/>
      <c r="B909" s="150"/>
      <c r="C909" s="150"/>
      <c r="D909" s="150"/>
      <c r="E909" s="150"/>
      <c r="F909" s="150"/>
      <c r="G909" s="150"/>
      <c r="H909" s="150"/>
      <c r="I909" s="150"/>
    </row>
    <row r="910" ht="20.25" spans="1:9">
      <c r="A910" s="150"/>
      <c r="B910" s="150"/>
      <c r="C910" s="150"/>
      <c r="D910" s="150"/>
      <c r="E910" s="150"/>
      <c r="F910" s="150"/>
      <c r="G910" s="150"/>
      <c r="H910" s="150"/>
      <c r="I910" s="150"/>
    </row>
    <row r="911" ht="20.25" spans="1:9">
      <c r="A911" s="150"/>
      <c r="B911" s="150"/>
      <c r="C911" s="150"/>
      <c r="D911" s="150"/>
      <c r="E911" s="150"/>
      <c r="F911" s="150"/>
      <c r="G911" s="150"/>
      <c r="H911" s="150"/>
      <c r="I911" s="150"/>
    </row>
    <row r="912" ht="20.25" spans="1:9">
      <c r="A912" s="150"/>
      <c r="B912" s="150"/>
      <c r="C912" s="150"/>
      <c r="D912" s="150"/>
      <c r="E912" s="150"/>
      <c r="F912" s="150"/>
      <c r="G912" s="150"/>
      <c r="H912" s="150"/>
      <c r="I912" s="150"/>
    </row>
    <row r="913" ht="20.25" spans="1:9">
      <c r="A913" s="150"/>
      <c r="B913" s="150"/>
      <c r="C913" s="150"/>
      <c r="D913" s="150"/>
      <c r="E913" s="150"/>
      <c r="F913" s="150"/>
      <c r="G913" s="150"/>
      <c r="H913" s="150"/>
      <c r="I913" s="150"/>
    </row>
    <row r="914" ht="20.25" spans="1:9">
      <c r="A914" s="150"/>
      <c r="B914" s="150"/>
      <c r="C914" s="150"/>
      <c r="D914" s="150"/>
      <c r="E914" s="150"/>
      <c r="F914" s="150"/>
      <c r="G914" s="150"/>
      <c r="H914" s="150"/>
      <c r="I914" s="150"/>
    </row>
    <row r="915" ht="20.25" spans="1:9">
      <c r="A915" s="150"/>
      <c r="B915" s="150"/>
      <c r="C915" s="150"/>
      <c r="D915" s="150"/>
      <c r="E915" s="150"/>
      <c r="F915" s="150"/>
      <c r="G915" s="150"/>
      <c r="H915" s="150"/>
      <c r="I915" s="150"/>
    </row>
    <row r="916" ht="20.25" spans="1:9">
      <c r="A916" s="150"/>
      <c r="B916" s="150"/>
      <c r="C916" s="150"/>
      <c r="D916" s="150"/>
      <c r="E916" s="150"/>
      <c r="F916" s="150"/>
      <c r="G916" s="150"/>
      <c r="H916" s="150"/>
      <c r="I916" s="150"/>
    </row>
    <row r="917" ht="20.25" spans="1:9">
      <c r="A917" s="150"/>
      <c r="B917" s="150"/>
      <c r="C917" s="150"/>
      <c r="D917" s="150"/>
      <c r="E917" s="150"/>
      <c r="F917" s="150"/>
      <c r="G917" s="150"/>
      <c r="H917" s="150"/>
      <c r="I917" s="150"/>
    </row>
    <row r="918" ht="20.25" spans="1:9">
      <c r="A918" s="150"/>
      <c r="B918" s="150"/>
      <c r="C918" s="150"/>
      <c r="D918" s="150"/>
      <c r="E918" s="150"/>
      <c r="F918" s="150"/>
      <c r="G918" s="150"/>
      <c r="H918" s="150"/>
      <c r="I918" s="150"/>
    </row>
    <row r="919" ht="20.25" spans="1:9">
      <c r="A919" s="150"/>
      <c r="B919" s="150"/>
      <c r="C919" s="150"/>
      <c r="D919" s="150"/>
      <c r="E919" s="150"/>
      <c r="F919" s="150"/>
      <c r="G919" s="150"/>
      <c r="H919" s="150"/>
      <c r="I919" s="150"/>
    </row>
    <row r="920" ht="20.25" spans="1:9">
      <c r="A920" s="150"/>
      <c r="B920" s="150"/>
      <c r="C920" s="150"/>
      <c r="D920" s="150"/>
      <c r="E920" s="150"/>
      <c r="F920" s="150"/>
      <c r="G920" s="150"/>
      <c r="H920" s="150"/>
      <c r="I920" s="150"/>
    </row>
    <row r="921" ht="20.25" spans="1:9">
      <c r="A921" s="150"/>
      <c r="B921" s="150"/>
      <c r="C921" s="150"/>
      <c r="D921" s="150"/>
      <c r="E921" s="150"/>
      <c r="F921" s="150"/>
      <c r="G921" s="150"/>
      <c r="H921" s="150"/>
      <c r="I921" s="150"/>
    </row>
    <row r="922" ht="20.25" spans="1:9">
      <c r="A922" s="150"/>
      <c r="B922" s="150"/>
      <c r="C922" s="150"/>
      <c r="D922" s="150"/>
      <c r="E922" s="150"/>
      <c r="F922" s="150"/>
      <c r="G922" s="150"/>
      <c r="H922" s="150"/>
      <c r="I922" s="150"/>
    </row>
    <row r="923" ht="20.25" spans="1:9">
      <c r="A923" s="150"/>
      <c r="B923" s="150"/>
      <c r="C923" s="150"/>
      <c r="D923" s="150"/>
      <c r="E923" s="150"/>
      <c r="F923" s="150"/>
      <c r="G923" s="150"/>
      <c r="H923" s="150"/>
      <c r="I923" s="150"/>
    </row>
    <row r="924" ht="20.25" spans="1:9">
      <c r="A924" s="150"/>
      <c r="B924" s="150"/>
      <c r="C924" s="150"/>
      <c r="D924" s="150"/>
      <c r="E924" s="150"/>
      <c r="F924" s="150"/>
      <c r="G924" s="150"/>
      <c r="H924" s="150"/>
      <c r="I924" s="150"/>
    </row>
    <row r="925" ht="20.25" spans="1:9">
      <c r="A925" s="150"/>
      <c r="B925" s="150"/>
      <c r="C925" s="150"/>
      <c r="D925" s="150"/>
      <c r="E925" s="150"/>
      <c r="F925" s="150"/>
      <c r="G925" s="150"/>
      <c r="H925" s="150"/>
      <c r="I925" s="150"/>
    </row>
    <row r="926" ht="20.25" spans="1:9">
      <c r="A926" s="150"/>
      <c r="B926" s="150"/>
      <c r="C926" s="150"/>
      <c r="D926" s="150"/>
      <c r="E926" s="150"/>
      <c r="F926" s="150"/>
      <c r="G926" s="150"/>
      <c r="H926" s="150"/>
      <c r="I926" s="150"/>
    </row>
    <row r="927" ht="20.25" spans="1:9">
      <c r="A927" s="150"/>
      <c r="B927" s="150"/>
      <c r="C927" s="150"/>
      <c r="D927" s="150"/>
      <c r="E927" s="150"/>
      <c r="F927" s="150"/>
      <c r="G927" s="150"/>
      <c r="H927" s="150"/>
      <c r="I927" s="150"/>
    </row>
    <row r="928" ht="20.25" spans="1:9">
      <c r="A928" s="150"/>
      <c r="B928" s="150"/>
      <c r="C928" s="150"/>
      <c r="D928" s="150"/>
      <c r="E928" s="150"/>
      <c r="F928" s="150"/>
      <c r="G928" s="150"/>
      <c r="H928" s="150"/>
      <c r="I928" s="150"/>
    </row>
    <row r="929" ht="20.25" spans="1:9">
      <c r="A929" s="150"/>
      <c r="B929" s="150"/>
      <c r="C929" s="150"/>
      <c r="D929" s="150"/>
      <c r="E929" s="150"/>
      <c r="F929" s="150"/>
      <c r="G929" s="150"/>
      <c r="H929" s="150"/>
      <c r="I929" s="150"/>
    </row>
    <row r="930" ht="20.25" spans="1:9">
      <c r="A930" s="150"/>
      <c r="B930" s="150"/>
      <c r="C930" s="150"/>
      <c r="D930" s="150"/>
      <c r="E930" s="150"/>
      <c r="F930" s="150"/>
      <c r="G930" s="150"/>
      <c r="H930" s="150"/>
      <c r="I930" s="150"/>
    </row>
    <row r="931" ht="20.25" spans="1:9">
      <c r="A931" s="150"/>
      <c r="B931" s="150"/>
      <c r="C931" s="150"/>
      <c r="D931" s="150"/>
      <c r="E931" s="150"/>
      <c r="F931" s="150"/>
      <c r="G931" s="150"/>
      <c r="H931" s="150"/>
      <c r="I931" s="150"/>
    </row>
    <row r="932" ht="20.25" spans="1:9">
      <c r="A932" s="150"/>
      <c r="B932" s="150"/>
      <c r="C932" s="150"/>
      <c r="D932" s="150"/>
      <c r="E932" s="150"/>
      <c r="F932" s="150"/>
      <c r="G932" s="150"/>
      <c r="H932" s="150"/>
      <c r="I932" s="150"/>
    </row>
    <row r="933" ht="20.25" spans="1:9">
      <c r="A933" s="150"/>
      <c r="B933" s="150"/>
      <c r="C933" s="150"/>
      <c r="D933" s="150"/>
      <c r="E933" s="150"/>
      <c r="F933" s="150"/>
      <c r="G933" s="150"/>
      <c r="H933" s="150"/>
      <c r="I933" s="150"/>
    </row>
    <row r="934" ht="20.25" spans="1:9">
      <c r="A934" s="150"/>
      <c r="B934" s="150"/>
      <c r="C934" s="150"/>
      <c r="D934" s="150"/>
      <c r="E934" s="150"/>
      <c r="F934" s="150"/>
      <c r="G934" s="150"/>
      <c r="H934" s="150"/>
      <c r="I934" s="150"/>
    </row>
    <row r="935" ht="20.25" spans="1:9">
      <c r="A935" s="150"/>
      <c r="B935" s="150"/>
      <c r="C935" s="150"/>
      <c r="D935" s="150"/>
      <c r="E935" s="150"/>
      <c r="F935" s="150"/>
      <c r="G935" s="150"/>
      <c r="H935" s="150"/>
      <c r="I935" s="150"/>
    </row>
    <row r="936" ht="20.25" spans="1:9">
      <c r="A936" s="150"/>
      <c r="B936" s="150"/>
      <c r="C936" s="150"/>
      <c r="D936" s="150"/>
      <c r="E936" s="150"/>
      <c r="F936" s="150"/>
      <c r="G936" s="150"/>
      <c r="H936" s="150"/>
      <c r="I936" s="150"/>
    </row>
    <row r="937" ht="20.25" spans="1:9">
      <c r="A937" s="150"/>
      <c r="B937" s="150"/>
      <c r="C937" s="150"/>
      <c r="D937" s="150"/>
      <c r="E937" s="150"/>
      <c r="F937" s="150"/>
      <c r="G937" s="150"/>
      <c r="H937" s="150"/>
      <c r="I937" s="150"/>
    </row>
    <row r="938" ht="20.25" spans="1:9">
      <c r="A938" s="150"/>
      <c r="B938" s="150"/>
      <c r="C938" s="150"/>
      <c r="D938" s="150"/>
      <c r="E938" s="150"/>
      <c r="F938" s="150"/>
      <c r="G938" s="150"/>
      <c r="H938" s="150"/>
      <c r="I938" s="150"/>
    </row>
    <row r="939" ht="20.25" spans="1:9">
      <c r="A939" s="150"/>
      <c r="B939" s="150"/>
      <c r="C939" s="150"/>
      <c r="D939" s="150"/>
      <c r="E939" s="150"/>
      <c r="F939" s="150"/>
      <c r="G939" s="150"/>
      <c r="H939" s="150"/>
      <c r="I939" s="150"/>
    </row>
    <row r="940" ht="20.25" spans="1:9">
      <c r="A940" s="150"/>
      <c r="B940" s="150"/>
      <c r="C940" s="150"/>
      <c r="D940" s="150"/>
      <c r="E940" s="150"/>
      <c r="F940" s="150"/>
      <c r="G940" s="150"/>
      <c r="H940" s="150"/>
      <c r="I940" s="150"/>
    </row>
    <row r="941" ht="20.25" spans="1:9">
      <c r="A941" s="150"/>
      <c r="B941" s="150"/>
      <c r="C941" s="150"/>
      <c r="D941" s="150"/>
      <c r="E941" s="150"/>
      <c r="F941" s="150"/>
      <c r="G941" s="150"/>
      <c r="H941" s="150"/>
      <c r="I941" s="150"/>
    </row>
    <row r="942" ht="20.25" spans="1:9">
      <c r="A942" s="150"/>
      <c r="B942" s="150"/>
      <c r="C942" s="150"/>
      <c r="D942" s="150"/>
      <c r="E942" s="150"/>
      <c r="F942" s="150"/>
      <c r="G942" s="150"/>
      <c r="H942" s="150"/>
      <c r="I942" s="150"/>
    </row>
    <row r="943" ht="20.25" spans="1:9">
      <c r="A943" s="150"/>
      <c r="B943" s="150"/>
      <c r="C943" s="150"/>
      <c r="D943" s="150"/>
      <c r="E943" s="150"/>
      <c r="F943" s="150"/>
      <c r="G943" s="150"/>
      <c r="H943" s="150"/>
      <c r="I943" s="150"/>
    </row>
    <row r="944" ht="20.25" spans="1:9">
      <c r="A944" s="150"/>
      <c r="B944" s="150"/>
      <c r="C944" s="150"/>
      <c r="D944" s="150"/>
      <c r="E944" s="150"/>
      <c r="F944" s="150"/>
      <c r="G944" s="150"/>
      <c r="H944" s="150"/>
      <c r="I944" s="150"/>
    </row>
    <row r="945" ht="20.25" spans="1:9">
      <c r="A945" s="150"/>
      <c r="B945" s="150"/>
      <c r="C945" s="150"/>
      <c r="D945" s="150"/>
      <c r="E945" s="150"/>
      <c r="F945" s="150"/>
      <c r="G945" s="150"/>
      <c r="H945" s="150"/>
      <c r="I945" s="150"/>
    </row>
    <row r="946" ht="20.25" spans="1:9">
      <c r="A946" s="150"/>
      <c r="B946" s="150"/>
      <c r="C946" s="150"/>
      <c r="D946" s="150"/>
      <c r="E946" s="150"/>
      <c r="F946" s="150"/>
      <c r="G946" s="150"/>
      <c r="H946" s="150"/>
      <c r="I946" s="150"/>
    </row>
    <row r="947" ht="20.25" spans="1:9">
      <c r="A947" s="150"/>
      <c r="B947" s="150"/>
      <c r="C947" s="150"/>
      <c r="D947" s="150"/>
      <c r="E947" s="150"/>
      <c r="F947" s="150"/>
      <c r="G947" s="150"/>
      <c r="H947" s="150"/>
      <c r="I947" s="150"/>
    </row>
    <row r="948" ht="20.25" spans="1:9">
      <c r="A948" s="150"/>
      <c r="B948" s="150"/>
      <c r="C948" s="150"/>
      <c r="D948" s="150"/>
      <c r="E948" s="150"/>
      <c r="F948" s="150"/>
      <c r="G948" s="150"/>
      <c r="H948" s="150"/>
      <c r="I948" s="150"/>
    </row>
    <row r="949" ht="20.25" spans="1:9">
      <c r="A949" s="150"/>
      <c r="B949" s="150"/>
      <c r="C949" s="150"/>
      <c r="D949" s="150"/>
      <c r="E949" s="150"/>
      <c r="F949" s="150"/>
      <c r="G949" s="150"/>
      <c r="H949" s="150"/>
      <c r="I949" s="150"/>
    </row>
    <row r="950" ht="20.25" spans="1:9">
      <c r="A950" s="150"/>
      <c r="B950" s="150"/>
      <c r="C950" s="150"/>
      <c r="D950" s="150"/>
      <c r="E950" s="150"/>
      <c r="F950" s="150"/>
      <c r="G950" s="150"/>
      <c r="H950" s="150"/>
      <c r="I950" s="150"/>
    </row>
    <row r="951" ht="20.25" spans="1:9">
      <c r="A951" s="150"/>
      <c r="B951" s="150"/>
      <c r="C951" s="150"/>
      <c r="D951" s="150"/>
      <c r="E951" s="150"/>
      <c r="F951" s="150"/>
      <c r="G951" s="150"/>
      <c r="H951" s="150"/>
      <c r="I951" s="150"/>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49" customWidth="1"/>
    <col min="2" max="2" width="8.625" style="49" customWidth="1"/>
    <col min="3" max="3" width="3.5" style="49" customWidth="1"/>
    <col min="4" max="4" width="8.25" style="49" customWidth="1"/>
    <col min="5" max="5" width="11.625" style="49" customWidth="1"/>
    <col min="6" max="6" width="6" style="49" customWidth="1"/>
    <col min="7" max="7" width="5.625" style="49" customWidth="1"/>
    <col min="8" max="8" width="10.125" style="49" customWidth="1"/>
    <col min="9" max="9" width="13.375" style="49" customWidth="1"/>
    <col min="10" max="16384" width="9" style="49"/>
  </cols>
  <sheetData>
    <row r="1" spans="1:6">
      <c r="A1" s="50"/>
      <c r="B1" s="50"/>
      <c r="C1" s="50"/>
      <c r="D1" s="50"/>
      <c r="E1" s="50"/>
      <c r="F1" s="50"/>
    </row>
    <row r="2" spans="1:9">
      <c r="A2" s="51"/>
      <c r="B2" s="51"/>
      <c r="C2" s="51"/>
      <c r="D2" s="51"/>
      <c r="E2" s="50"/>
      <c r="F2" s="50"/>
      <c r="G2" s="52" t="s">
        <v>857</v>
      </c>
      <c r="H2" s="52"/>
      <c r="I2" s="52"/>
    </row>
    <row r="3" ht="20.25" spans="1:11">
      <c r="A3" s="53" t="s">
        <v>858</v>
      </c>
      <c r="B3" s="54"/>
      <c r="C3" s="54"/>
      <c r="D3" s="54"/>
      <c r="E3" s="54"/>
      <c r="F3" s="54"/>
      <c r="G3" s="54"/>
      <c r="H3" s="54"/>
      <c r="I3" s="54"/>
      <c r="K3" s="55" t="s">
        <v>742</v>
      </c>
    </row>
    <row r="4" ht="18" customHeight="1" spans="1:9">
      <c r="A4" s="55" t="s">
        <v>832</v>
      </c>
      <c r="B4" s="56" t="s">
        <v>859</v>
      </c>
      <c r="C4" s="56"/>
      <c r="D4" s="56"/>
      <c r="E4" s="57" t="s">
        <v>834</v>
      </c>
      <c r="F4" s="56" t="e">
        <f>#REF!</f>
        <v>#REF!</v>
      </c>
      <c r="G4" s="56"/>
      <c r="H4" s="49" t="s">
        <v>835</v>
      </c>
      <c r="I4" s="56" t="str">
        <f>SUM(F11:F36)&amp;"块"</f>
        <v>6块</v>
      </c>
    </row>
    <row r="5" ht="18" customHeight="1" spans="1:9">
      <c r="A5" s="49" t="s">
        <v>740</v>
      </c>
      <c r="B5" s="58" t="e">
        <f>#REF!</f>
        <v>#REF!</v>
      </c>
      <c r="C5" s="58"/>
      <c r="D5" s="58"/>
      <c r="E5" s="57" t="s">
        <v>836</v>
      </c>
      <c r="F5" s="59"/>
      <c r="G5" s="59"/>
      <c r="H5" s="49" t="s">
        <v>837</v>
      </c>
      <c r="I5" s="100"/>
    </row>
    <row r="6" ht="18" customHeight="1" spans="1:9">
      <c r="A6" s="60" t="s">
        <v>838</v>
      </c>
      <c r="B6" s="61" t="s">
        <v>860</v>
      </c>
      <c r="C6" s="61"/>
      <c r="D6" s="61"/>
      <c r="E6" s="62" t="s">
        <v>839</v>
      </c>
      <c r="F6" s="61">
        <v>61732701</v>
      </c>
      <c r="G6" s="61"/>
      <c r="H6" s="49" t="s">
        <v>840</v>
      </c>
      <c r="I6" s="56">
        <v>61732702</v>
      </c>
    </row>
    <row r="7" ht="18" customHeight="1" spans="1:9">
      <c r="A7" s="63" t="s">
        <v>841</v>
      </c>
      <c r="B7" s="64"/>
      <c r="C7" s="64"/>
      <c r="D7" s="64"/>
      <c r="E7" s="62" t="s">
        <v>842</v>
      </c>
      <c r="F7" s="61">
        <v>80529723</v>
      </c>
      <c r="G7" s="61"/>
      <c r="H7" s="49" t="s">
        <v>843</v>
      </c>
      <c r="I7" s="61">
        <v>80529723</v>
      </c>
    </row>
    <row r="8" ht="18" customHeight="1" spans="1:9">
      <c r="A8" s="60" t="s">
        <v>844</v>
      </c>
      <c r="B8" s="61" t="s">
        <v>861</v>
      </c>
      <c r="C8" s="61"/>
      <c r="D8" s="61"/>
      <c r="E8" s="61"/>
      <c r="F8" s="61"/>
      <c r="G8" s="61"/>
      <c r="H8" s="63" t="s">
        <v>846</v>
      </c>
      <c r="I8" s="56" t="s">
        <v>847</v>
      </c>
    </row>
    <row r="9" ht="15" customHeight="1" spans="1:9">
      <c r="A9" s="60"/>
      <c r="B9" s="61"/>
      <c r="C9" s="61"/>
      <c r="D9" s="61"/>
      <c r="E9" s="61"/>
      <c r="F9" s="61"/>
      <c r="G9" s="61"/>
      <c r="H9" s="65"/>
      <c r="I9" s="65"/>
    </row>
    <row r="10" ht="18" customHeight="1" spans="1:9">
      <c r="A10" s="66" t="s">
        <v>369</v>
      </c>
      <c r="B10" s="66" t="s">
        <v>370</v>
      </c>
      <c r="C10" s="66" t="s">
        <v>848</v>
      </c>
      <c r="D10" s="66" t="s">
        <v>371</v>
      </c>
      <c r="E10" s="66" t="s">
        <v>862</v>
      </c>
      <c r="F10" s="66" t="s">
        <v>83</v>
      </c>
      <c r="G10" s="66" t="s">
        <v>849</v>
      </c>
      <c r="H10" s="66"/>
      <c r="I10" s="66" t="s">
        <v>30</v>
      </c>
    </row>
    <row r="11" ht="18" customHeight="1" spans="1:10">
      <c r="A11" s="67"/>
      <c r="B11" s="68"/>
      <c r="C11" s="66" t="s">
        <v>848</v>
      </c>
      <c r="D11" s="68"/>
      <c r="E11" s="66"/>
      <c r="F11" s="66"/>
      <c r="G11" s="69"/>
      <c r="H11" s="70"/>
      <c r="I11" s="66"/>
      <c r="J11" s="49">
        <f t="shared" ref="J11:J36" si="0">B11*D11*F11/1000000</f>
        <v>0</v>
      </c>
    </row>
    <row r="12" ht="18" customHeight="1" spans="1:10">
      <c r="A12" s="67"/>
      <c r="B12" s="68"/>
      <c r="C12" s="66" t="s">
        <v>848</v>
      </c>
      <c r="D12" s="68"/>
      <c r="E12" s="66"/>
      <c r="F12" s="66"/>
      <c r="G12" s="69"/>
      <c r="H12" s="70"/>
      <c r="I12" s="66"/>
      <c r="J12" s="49">
        <f t="shared" si="0"/>
        <v>0</v>
      </c>
    </row>
    <row r="13" ht="18" customHeight="1" spans="1:10">
      <c r="A13" s="67"/>
      <c r="B13" s="68"/>
      <c r="C13" s="66" t="s">
        <v>848</v>
      </c>
      <c r="D13" s="68"/>
      <c r="E13" s="66"/>
      <c r="F13" s="71"/>
      <c r="G13" s="69"/>
      <c r="H13" s="70"/>
      <c r="I13" s="66"/>
      <c r="J13" s="49">
        <f t="shared" si="0"/>
        <v>0</v>
      </c>
    </row>
    <row r="14" ht="18" customHeight="1" spans="1:10">
      <c r="A14" s="67"/>
      <c r="B14" s="68"/>
      <c r="C14" s="66" t="s">
        <v>848</v>
      </c>
      <c r="D14" s="68"/>
      <c r="E14" s="66"/>
      <c r="F14" s="66"/>
      <c r="G14" s="69"/>
      <c r="H14" s="70"/>
      <c r="I14" s="66"/>
      <c r="J14" s="49">
        <f t="shared" si="0"/>
        <v>0</v>
      </c>
    </row>
    <row r="15" ht="18" customHeight="1" spans="1:10">
      <c r="A15" s="67"/>
      <c r="B15" s="68"/>
      <c r="C15" s="66" t="s">
        <v>848</v>
      </c>
      <c r="D15" s="68"/>
      <c r="E15" s="66"/>
      <c r="F15" s="66"/>
      <c r="G15" s="69"/>
      <c r="H15" s="70"/>
      <c r="I15" s="66"/>
      <c r="J15" s="49">
        <f t="shared" si="0"/>
        <v>0</v>
      </c>
    </row>
    <row r="16" ht="18" customHeight="1" spans="1:10">
      <c r="A16" s="67"/>
      <c r="B16" s="68"/>
      <c r="C16" s="66" t="s">
        <v>848</v>
      </c>
      <c r="D16" s="68"/>
      <c r="E16" s="66"/>
      <c r="F16" s="66"/>
      <c r="G16" s="69"/>
      <c r="H16" s="70"/>
      <c r="I16" s="73"/>
      <c r="J16" s="49">
        <f t="shared" si="0"/>
        <v>0</v>
      </c>
    </row>
    <row r="17" ht="18" customHeight="1" spans="1:10">
      <c r="A17" s="67"/>
      <c r="B17" s="68"/>
      <c r="C17" s="66" t="s">
        <v>848</v>
      </c>
      <c r="D17" s="68"/>
      <c r="E17" s="66"/>
      <c r="F17" s="66"/>
      <c r="G17" s="69"/>
      <c r="H17" s="70"/>
      <c r="I17" s="73"/>
      <c r="J17" s="49">
        <f t="shared" si="0"/>
        <v>0</v>
      </c>
    </row>
    <row r="18" ht="18" customHeight="1" spans="1:10">
      <c r="A18" s="67"/>
      <c r="B18" s="68"/>
      <c r="C18" s="66" t="s">
        <v>848</v>
      </c>
      <c r="D18" s="68"/>
      <c r="E18" s="66"/>
      <c r="F18" s="66"/>
      <c r="G18" s="69"/>
      <c r="H18" s="70"/>
      <c r="I18" s="73"/>
      <c r="J18" s="49">
        <f t="shared" si="0"/>
        <v>0</v>
      </c>
    </row>
    <row r="19" ht="18" customHeight="1" spans="1:10">
      <c r="A19" s="72"/>
      <c r="B19" s="68"/>
      <c r="C19" s="66" t="s">
        <v>848</v>
      </c>
      <c r="D19" s="68"/>
      <c r="E19" s="66"/>
      <c r="F19" s="66"/>
      <c r="G19" s="69"/>
      <c r="H19" s="70"/>
      <c r="I19" s="73"/>
      <c r="J19" s="49">
        <f t="shared" si="0"/>
        <v>0</v>
      </c>
    </row>
    <row r="20" ht="18" customHeight="1" spans="1:10">
      <c r="A20" s="67"/>
      <c r="B20" s="68"/>
      <c r="C20" s="66" t="s">
        <v>848</v>
      </c>
      <c r="D20" s="68"/>
      <c r="E20" s="66"/>
      <c r="F20" s="66"/>
      <c r="G20" s="69"/>
      <c r="H20" s="70"/>
      <c r="I20" s="73"/>
      <c r="J20" s="49">
        <f t="shared" si="0"/>
        <v>0</v>
      </c>
    </row>
    <row r="21" ht="18" customHeight="1" spans="1:10">
      <c r="A21" s="67"/>
      <c r="B21" s="68"/>
      <c r="C21" s="66" t="s">
        <v>848</v>
      </c>
      <c r="D21" s="68"/>
      <c r="E21" s="66"/>
      <c r="F21" s="66"/>
      <c r="G21" s="69"/>
      <c r="H21" s="70"/>
      <c r="I21" s="73"/>
      <c r="J21" s="49">
        <f t="shared" si="0"/>
        <v>0</v>
      </c>
    </row>
    <row r="22" ht="18" customHeight="1" spans="1:10">
      <c r="A22" s="67"/>
      <c r="B22" s="68"/>
      <c r="C22" s="66" t="s">
        <v>848</v>
      </c>
      <c r="D22" s="68"/>
      <c r="E22" s="66"/>
      <c r="F22" s="66"/>
      <c r="G22" s="69"/>
      <c r="H22" s="70"/>
      <c r="I22" s="73"/>
      <c r="J22" s="49">
        <f t="shared" si="0"/>
        <v>0</v>
      </c>
    </row>
    <row r="23" ht="18" customHeight="1" spans="1:10">
      <c r="A23" s="67"/>
      <c r="B23" s="68"/>
      <c r="C23" s="66" t="s">
        <v>848</v>
      </c>
      <c r="D23" s="68"/>
      <c r="E23" s="66"/>
      <c r="F23" s="66"/>
      <c r="G23" s="69"/>
      <c r="H23" s="70"/>
      <c r="I23" s="73"/>
      <c r="J23" s="49">
        <f t="shared" si="0"/>
        <v>0</v>
      </c>
    </row>
    <row r="24" ht="18" customHeight="1" spans="1:10">
      <c r="A24" s="67"/>
      <c r="B24" s="66"/>
      <c r="C24" s="66" t="s">
        <v>848</v>
      </c>
      <c r="D24" s="68"/>
      <c r="E24" s="66"/>
      <c r="F24" s="66"/>
      <c r="G24" s="69"/>
      <c r="H24" s="70"/>
      <c r="I24" s="73"/>
      <c r="J24" s="49">
        <f t="shared" si="0"/>
        <v>0</v>
      </c>
    </row>
    <row r="25" ht="18" customHeight="1" spans="1:10">
      <c r="A25" s="67"/>
      <c r="B25" s="66"/>
      <c r="C25" s="66" t="s">
        <v>848</v>
      </c>
      <c r="D25" s="68"/>
      <c r="E25" s="73"/>
      <c r="F25" s="66"/>
      <c r="G25" s="69"/>
      <c r="H25" s="70"/>
      <c r="I25" s="73"/>
      <c r="J25" s="49">
        <f t="shared" si="0"/>
        <v>0</v>
      </c>
    </row>
    <row r="26" ht="18" customHeight="1" spans="1:10">
      <c r="A26" s="74"/>
      <c r="B26" s="66"/>
      <c r="C26" s="66" t="s">
        <v>848</v>
      </c>
      <c r="D26" s="66"/>
      <c r="E26" s="75"/>
      <c r="F26" s="66"/>
      <c r="G26" s="69"/>
      <c r="H26" s="70"/>
      <c r="I26" s="73"/>
      <c r="J26" s="49">
        <f t="shared" si="0"/>
        <v>0</v>
      </c>
    </row>
    <row r="27" ht="18" customHeight="1" spans="1:10">
      <c r="A27" s="74"/>
      <c r="B27" s="66"/>
      <c r="C27" s="66" t="s">
        <v>848</v>
      </c>
      <c r="D27" s="66"/>
      <c r="E27" s="75"/>
      <c r="F27" s="66"/>
      <c r="G27" s="69"/>
      <c r="H27" s="70"/>
      <c r="I27" s="73"/>
      <c r="J27" s="49">
        <f t="shared" si="0"/>
        <v>0</v>
      </c>
    </row>
    <row r="28" ht="18" customHeight="1" spans="1:10">
      <c r="A28" s="74"/>
      <c r="B28" s="66"/>
      <c r="C28" s="66" t="s">
        <v>848</v>
      </c>
      <c r="D28" s="66"/>
      <c r="E28" s="75"/>
      <c r="F28" s="66"/>
      <c r="G28" s="69"/>
      <c r="H28" s="70"/>
      <c r="I28" s="73"/>
      <c r="J28" s="49">
        <f t="shared" si="0"/>
        <v>0</v>
      </c>
    </row>
    <row r="29" ht="18" customHeight="1" spans="1:10">
      <c r="A29" s="74"/>
      <c r="B29" s="66"/>
      <c r="C29" s="66" t="s">
        <v>848</v>
      </c>
      <c r="D29" s="66"/>
      <c r="E29" s="75"/>
      <c r="F29" s="66"/>
      <c r="G29" s="69"/>
      <c r="H29" s="70"/>
      <c r="I29" s="73"/>
      <c r="J29" s="49">
        <f t="shared" si="0"/>
        <v>0</v>
      </c>
    </row>
    <row r="30" ht="18" customHeight="1" spans="1:10">
      <c r="A30" s="76" t="s">
        <v>850</v>
      </c>
      <c r="B30" s="77">
        <v>50</v>
      </c>
      <c r="C30" s="77" t="s">
        <v>848</v>
      </c>
      <c r="D30" s="77">
        <v>720</v>
      </c>
      <c r="E30" s="78"/>
      <c r="F30" s="77"/>
      <c r="G30" s="79"/>
      <c r="H30" s="80"/>
      <c r="I30" s="73"/>
      <c r="J30" s="49">
        <f t="shared" si="0"/>
        <v>0</v>
      </c>
    </row>
    <row r="31" ht="18" customHeight="1" spans="1:10">
      <c r="A31" s="76" t="s">
        <v>863</v>
      </c>
      <c r="B31" s="77">
        <v>50</v>
      </c>
      <c r="C31" s="77" t="s">
        <v>848</v>
      </c>
      <c r="D31" s="77">
        <v>100</v>
      </c>
      <c r="E31" s="77"/>
      <c r="F31" s="77"/>
      <c r="G31" s="79"/>
      <c r="H31" s="80"/>
      <c r="I31" s="73"/>
      <c r="J31" s="49">
        <f t="shared" si="0"/>
        <v>0</v>
      </c>
    </row>
    <row r="32" ht="18" customHeight="1" spans="1:10">
      <c r="A32" s="76" t="s">
        <v>756</v>
      </c>
      <c r="B32" s="77">
        <v>2400</v>
      </c>
      <c r="C32" s="77" t="s">
        <v>848</v>
      </c>
      <c r="D32" s="77"/>
      <c r="E32" s="77"/>
      <c r="F32" s="77"/>
      <c r="G32" s="79" t="s">
        <v>852</v>
      </c>
      <c r="H32" s="80"/>
      <c r="I32" s="73"/>
      <c r="J32" s="49">
        <f t="shared" si="0"/>
        <v>0</v>
      </c>
    </row>
    <row r="33" ht="18" customHeight="1" spans="1:10">
      <c r="A33" s="74" t="s">
        <v>19</v>
      </c>
      <c r="B33" s="66">
        <v>2400</v>
      </c>
      <c r="C33" s="66" t="s">
        <v>848</v>
      </c>
      <c r="D33" s="66">
        <v>88</v>
      </c>
      <c r="E33" s="75"/>
      <c r="F33" s="66"/>
      <c r="G33" s="66"/>
      <c r="H33" s="68"/>
      <c r="I33" s="73"/>
      <c r="J33" s="49">
        <f t="shared" si="0"/>
        <v>0</v>
      </c>
    </row>
    <row r="34" ht="18" customHeight="1" spans="1:10">
      <c r="A34" s="81" t="s">
        <v>864</v>
      </c>
      <c r="B34" s="82">
        <v>2400</v>
      </c>
      <c r="C34" s="82" t="s">
        <v>848</v>
      </c>
      <c r="D34" s="82">
        <v>71</v>
      </c>
      <c r="E34" s="82"/>
      <c r="F34" s="82">
        <v>2</v>
      </c>
      <c r="G34" s="83" t="s">
        <v>865</v>
      </c>
      <c r="H34" s="64"/>
      <c r="I34" s="101"/>
      <c r="J34" s="49">
        <f t="shared" si="0"/>
        <v>0.3408</v>
      </c>
    </row>
    <row r="35" ht="22.5" customHeight="1" spans="1:10">
      <c r="A35" s="84" t="s">
        <v>866</v>
      </c>
      <c r="B35" s="82">
        <v>2400</v>
      </c>
      <c r="C35" s="82" t="s">
        <v>848</v>
      </c>
      <c r="D35" s="82">
        <v>100</v>
      </c>
      <c r="E35" s="82"/>
      <c r="F35" s="82">
        <v>2</v>
      </c>
      <c r="G35" s="83" t="s">
        <v>867</v>
      </c>
      <c r="H35" s="64"/>
      <c r="I35" s="101"/>
      <c r="J35" s="49">
        <f t="shared" si="0"/>
        <v>0.48</v>
      </c>
    </row>
    <row r="36" ht="18" customHeight="1" spans="1:10">
      <c r="A36" s="81" t="s">
        <v>868</v>
      </c>
      <c r="B36" s="82">
        <v>2400</v>
      </c>
      <c r="C36" s="82" t="s">
        <v>848</v>
      </c>
      <c r="D36" s="82">
        <v>83</v>
      </c>
      <c r="E36" s="85"/>
      <c r="F36" s="82">
        <v>2</v>
      </c>
      <c r="G36" s="83" t="s">
        <v>869</v>
      </c>
      <c r="H36" s="64"/>
      <c r="I36" s="101"/>
      <c r="J36" s="49">
        <f t="shared" si="0"/>
        <v>0.3984</v>
      </c>
    </row>
    <row r="37" ht="20.1" customHeight="1" spans="1:9">
      <c r="A37" s="86" t="s">
        <v>870</v>
      </c>
      <c r="B37" s="86"/>
      <c r="C37" s="86"/>
      <c r="D37" s="86"/>
      <c r="E37" s="86"/>
      <c r="F37" s="86"/>
      <c r="G37" s="86"/>
      <c r="H37" s="86"/>
      <c r="I37" s="86"/>
    </row>
    <row r="38" ht="20.1" hidden="1" customHeight="1" spans="1:9">
      <c r="A38" s="87"/>
      <c r="B38" s="88"/>
      <c r="C38" s="48"/>
      <c r="D38" s="48"/>
      <c r="E38" s="48"/>
      <c r="F38" s="89"/>
      <c r="G38" s="90"/>
      <c r="H38" s="89"/>
      <c r="I38" s="95"/>
    </row>
    <row r="39" s="48" customFormat="1" ht="20.1" customHeight="1" spans="1:9">
      <c r="A39" s="91" t="s">
        <v>473</v>
      </c>
      <c r="B39" s="89" t="s">
        <v>624</v>
      </c>
      <c r="C39" s="89"/>
      <c r="D39" s="57"/>
      <c r="E39" s="50" t="s">
        <v>298</v>
      </c>
      <c r="F39" s="57"/>
      <c r="G39" s="57"/>
      <c r="H39" s="57" t="s">
        <v>871</v>
      </c>
      <c r="I39" s="95"/>
    </row>
    <row r="40" ht="20.1" customHeight="1" spans="1:9">
      <c r="A40" s="92"/>
      <c r="B40" s="93"/>
      <c r="C40" s="93"/>
      <c r="D40" s="94"/>
      <c r="E40" s="95"/>
      <c r="F40" s="94"/>
      <c r="G40" s="96"/>
      <c r="H40" s="94"/>
      <c r="I40" s="97"/>
    </row>
    <row r="41" ht="20.1" customHeight="1" spans="1:9">
      <c r="A41" s="92"/>
      <c r="B41" s="94"/>
      <c r="C41" s="89"/>
      <c r="D41" s="94"/>
      <c r="E41" s="95"/>
      <c r="F41" s="94"/>
      <c r="G41" s="96"/>
      <c r="H41" s="94"/>
      <c r="I41" s="97"/>
    </row>
    <row r="42" ht="21.75" customHeight="1" spans="1:9">
      <c r="A42" s="92"/>
      <c r="B42" s="94"/>
      <c r="C42" s="89"/>
      <c r="D42" s="94"/>
      <c r="E42" s="95"/>
      <c r="F42" s="94"/>
      <c r="G42" s="96"/>
      <c r="H42" s="94"/>
      <c r="I42" s="97"/>
    </row>
    <row r="43" ht="21.75" customHeight="1" spans="1:9">
      <c r="A43" s="92"/>
      <c r="B43" s="94"/>
      <c r="C43" s="89"/>
      <c r="D43" s="94"/>
      <c r="E43" s="95"/>
      <c r="F43" s="94"/>
      <c r="G43" s="96"/>
      <c r="H43" s="94"/>
      <c r="I43" s="97"/>
    </row>
    <row r="44" ht="21.75" customHeight="1" spans="1:9">
      <c r="A44" s="92"/>
      <c r="B44" s="94"/>
      <c r="C44" s="89"/>
      <c r="D44" s="94"/>
      <c r="E44" s="95"/>
      <c r="F44" s="94"/>
      <c r="G44" s="96"/>
      <c r="H44" s="94"/>
      <c r="I44" s="97"/>
    </row>
    <row r="45" ht="21.75" customHeight="1" spans="1:9">
      <c r="A45" s="92"/>
      <c r="B45" s="94"/>
      <c r="C45" s="89"/>
      <c r="D45" s="94"/>
      <c r="E45" s="95"/>
      <c r="F45" s="94"/>
      <c r="G45" s="96"/>
      <c r="H45" s="94"/>
      <c r="I45" s="97"/>
    </row>
    <row r="46" ht="21.75" customHeight="1" spans="1:9">
      <c r="A46" s="92"/>
      <c r="B46" s="94"/>
      <c r="C46" s="94"/>
      <c r="D46" s="94"/>
      <c r="E46" s="97"/>
      <c r="F46" s="94"/>
      <c r="G46" s="96"/>
      <c r="H46" s="94"/>
      <c r="I46" s="97"/>
    </row>
    <row r="47" ht="20.25" spans="1:9">
      <c r="A47" s="98"/>
      <c r="B47" s="99"/>
      <c r="C47" s="98"/>
      <c r="E47" s="98"/>
      <c r="F47" s="98"/>
      <c r="G47" s="98"/>
      <c r="H47" s="98"/>
      <c r="I47" s="98"/>
    </row>
    <row r="48" ht="20.25" spans="1:9">
      <c r="A48" s="98"/>
      <c r="B48" s="98"/>
      <c r="C48" s="98"/>
      <c r="D48" s="98"/>
      <c r="E48" s="98"/>
      <c r="F48" s="98"/>
      <c r="G48" s="98"/>
      <c r="H48" s="98"/>
      <c r="I48" s="98"/>
    </row>
    <row r="49" ht="20.25" spans="1:9">
      <c r="A49" s="98"/>
      <c r="B49" s="98"/>
      <c r="C49" s="98"/>
      <c r="D49" s="98"/>
      <c r="E49" s="98"/>
      <c r="F49" s="98"/>
      <c r="G49" s="98"/>
      <c r="H49" s="98"/>
      <c r="I49" s="98"/>
    </row>
    <row r="50" ht="20.25" spans="1:9">
      <c r="A50" s="98"/>
      <c r="B50" s="98"/>
      <c r="C50" s="98"/>
      <c r="D50" s="98"/>
      <c r="E50" s="98"/>
      <c r="F50" s="98"/>
      <c r="G50" s="98"/>
      <c r="H50" s="98"/>
      <c r="I50" s="98"/>
    </row>
    <row r="51" ht="20.25" spans="1:9">
      <c r="A51" s="98"/>
      <c r="B51" s="98"/>
      <c r="C51" s="98"/>
      <c r="D51" s="98"/>
      <c r="E51" s="98"/>
      <c r="F51" s="98"/>
      <c r="G51" s="98"/>
      <c r="H51" s="98"/>
      <c r="I51" s="98"/>
    </row>
    <row r="52" ht="20.25" spans="1:9">
      <c r="A52" s="98"/>
      <c r="B52" s="98"/>
      <c r="C52" s="98"/>
      <c r="D52" s="98"/>
      <c r="E52" s="98"/>
      <c r="F52" s="98"/>
      <c r="G52" s="98"/>
      <c r="H52" s="98"/>
      <c r="I52" s="98"/>
    </row>
    <row r="53" ht="20.25" spans="1:9">
      <c r="A53" s="98"/>
      <c r="B53" s="98"/>
      <c r="C53" s="98"/>
      <c r="D53" s="98"/>
      <c r="E53" s="98"/>
      <c r="F53" s="98"/>
      <c r="G53" s="98"/>
      <c r="H53" s="98"/>
      <c r="I53" s="98"/>
    </row>
    <row r="54" ht="20.25" spans="1:9">
      <c r="A54" s="98"/>
      <c r="B54" s="98"/>
      <c r="C54" s="98"/>
      <c r="D54" s="98"/>
      <c r="E54" s="98"/>
      <c r="F54" s="98"/>
      <c r="G54" s="98"/>
      <c r="H54" s="98"/>
      <c r="I54" s="98"/>
    </row>
    <row r="55" ht="20.25" spans="1:9">
      <c r="A55" s="98"/>
      <c r="B55" s="98"/>
      <c r="C55" s="98"/>
      <c r="D55" s="98"/>
      <c r="E55" s="98"/>
      <c r="F55" s="98"/>
      <c r="G55" s="98"/>
      <c r="H55" s="98"/>
      <c r="I55" s="98"/>
    </row>
    <row r="56" ht="20.25" spans="1:9">
      <c r="A56" s="98"/>
      <c r="B56" s="98"/>
      <c r="C56" s="98"/>
      <c r="D56" s="98"/>
      <c r="E56" s="98"/>
      <c r="F56" s="98"/>
      <c r="G56" s="98"/>
      <c r="H56" s="98"/>
      <c r="I56" s="98"/>
    </row>
    <row r="57" ht="20.25" spans="1:9">
      <c r="A57" s="98"/>
      <c r="B57" s="98"/>
      <c r="C57" s="98"/>
      <c r="D57" s="98"/>
      <c r="E57" s="98"/>
      <c r="F57" s="98"/>
      <c r="G57" s="98"/>
      <c r="H57" s="98"/>
      <c r="I57" s="98"/>
    </row>
    <row r="58" ht="20.25" spans="1:9">
      <c r="A58" s="98"/>
      <c r="B58" s="98"/>
      <c r="C58" s="98"/>
      <c r="D58" s="98"/>
      <c r="E58" s="98"/>
      <c r="F58" s="98"/>
      <c r="G58" s="98"/>
      <c r="H58" s="98"/>
      <c r="I58" s="98"/>
    </row>
    <row r="59" ht="20.25" spans="1:9">
      <c r="A59" s="98"/>
      <c r="B59" s="98"/>
      <c r="C59" s="98"/>
      <c r="D59" s="98"/>
      <c r="E59" s="98"/>
      <c r="F59" s="98"/>
      <c r="G59" s="98"/>
      <c r="H59" s="98"/>
      <c r="I59" s="98"/>
    </row>
    <row r="60" ht="20.25" spans="1:9">
      <c r="A60" s="98"/>
      <c r="B60" s="98"/>
      <c r="C60" s="98"/>
      <c r="D60" s="98"/>
      <c r="E60" s="98"/>
      <c r="F60" s="98"/>
      <c r="G60" s="98"/>
      <c r="H60" s="98"/>
      <c r="I60" s="98"/>
    </row>
    <row r="61" ht="20.25" spans="1:9">
      <c r="A61" s="98"/>
      <c r="B61" s="98"/>
      <c r="C61" s="98"/>
      <c r="D61" s="98"/>
      <c r="E61" s="98"/>
      <c r="F61" s="98"/>
      <c r="G61" s="98"/>
      <c r="H61" s="98"/>
      <c r="I61" s="98"/>
    </row>
    <row r="62" ht="20.25" spans="1:9">
      <c r="A62" s="98"/>
      <c r="B62" s="98"/>
      <c r="C62" s="98"/>
      <c r="D62" s="98"/>
      <c r="E62" s="98"/>
      <c r="F62" s="98"/>
      <c r="G62" s="98"/>
      <c r="H62" s="98"/>
      <c r="I62" s="98"/>
    </row>
    <row r="63" ht="20.25" spans="1:9">
      <c r="A63" s="98"/>
      <c r="B63" s="98"/>
      <c r="C63" s="98"/>
      <c r="D63" s="98"/>
      <c r="E63" s="98"/>
      <c r="F63" s="98"/>
      <c r="G63" s="98"/>
      <c r="H63" s="98"/>
      <c r="I63" s="98"/>
    </row>
    <row r="64" ht="20.25" spans="1:9">
      <c r="A64" s="98"/>
      <c r="B64" s="98"/>
      <c r="C64" s="98"/>
      <c r="D64" s="98"/>
      <c r="E64" s="98"/>
      <c r="F64" s="98"/>
      <c r="G64" s="98"/>
      <c r="H64" s="98"/>
      <c r="I64" s="98"/>
    </row>
    <row r="65" ht="20.25" spans="1:9">
      <c r="A65" s="98"/>
      <c r="B65" s="98"/>
      <c r="C65" s="98"/>
      <c r="D65" s="98"/>
      <c r="E65" s="98"/>
      <c r="F65" s="98"/>
      <c r="G65" s="98"/>
      <c r="H65" s="98"/>
      <c r="I65" s="98"/>
    </row>
    <row r="66" ht="20.25" spans="1:9">
      <c r="A66" s="98"/>
      <c r="B66" s="98"/>
      <c r="C66" s="98"/>
      <c r="D66" s="98"/>
      <c r="E66" s="98"/>
      <c r="F66" s="98"/>
      <c r="G66" s="98"/>
      <c r="H66" s="98"/>
      <c r="I66" s="98"/>
    </row>
    <row r="67" ht="20.25" spans="1:9">
      <c r="A67" s="98"/>
      <c r="B67" s="98"/>
      <c r="C67" s="98"/>
      <c r="D67" s="98"/>
      <c r="E67" s="98"/>
      <c r="F67" s="98"/>
      <c r="G67" s="98"/>
      <c r="H67" s="98"/>
      <c r="I67" s="98"/>
    </row>
    <row r="68" ht="20.25" spans="1:9">
      <c r="A68" s="98"/>
      <c r="B68" s="98"/>
      <c r="C68" s="98"/>
      <c r="D68" s="98"/>
      <c r="E68" s="98"/>
      <c r="F68" s="98"/>
      <c r="G68" s="98"/>
      <c r="H68" s="98"/>
      <c r="I68" s="98"/>
    </row>
    <row r="69" ht="20.25" spans="1:9">
      <c r="A69" s="98"/>
      <c r="B69" s="98"/>
      <c r="C69" s="98"/>
      <c r="D69" s="98"/>
      <c r="E69" s="98"/>
      <c r="F69" s="98"/>
      <c r="G69" s="98"/>
      <c r="H69" s="98"/>
      <c r="I69" s="98"/>
    </row>
    <row r="70" ht="20.25" spans="1:9">
      <c r="A70" s="98"/>
      <c r="B70" s="98"/>
      <c r="C70" s="98"/>
      <c r="D70" s="98"/>
      <c r="E70" s="98"/>
      <c r="F70" s="98"/>
      <c r="G70" s="98"/>
      <c r="H70" s="98"/>
      <c r="I70" s="98"/>
    </row>
    <row r="71" ht="20.25" spans="1:9">
      <c r="A71" s="98"/>
      <c r="B71" s="98"/>
      <c r="C71" s="98"/>
      <c r="D71" s="98"/>
      <c r="E71" s="98"/>
      <c r="F71" s="98"/>
      <c r="G71" s="98"/>
      <c r="H71" s="98"/>
      <c r="I71" s="98"/>
    </row>
    <row r="72" ht="20.25" spans="1:9">
      <c r="A72" s="98"/>
      <c r="B72" s="98"/>
      <c r="C72" s="98"/>
      <c r="D72" s="98"/>
      <c r="E72" s="98"/>
      <c r="F72" s="98"/>
      <c r="G72" s="98"/>
      <c r="H72" s="98"/>
      <c r="I72" s="98"/>
    </row>
    <row r="73" ht="20.25" spans="1:9">
      <c r="A73" s="98"/>
      <c r="B73" s="98"/>
      <c r="C73" s="98"/>
      <c r="D73" s="98"/>
      <c r="E73" s="98"/>
      <c r="F73" s="98"/>
      <c r="G73" s="98"/>
      <c r="H73" s="98"/>
      <c r="I73" s="98"/>
    </row>
    <row r="74" ht="20.25" spans="1:9">
      <c r="A74" s="98"/>
      <c r="B74" s="98"/>
      <c r="C74" s="98"/>
      <c r="D74" s="98"/>
      <c r="E74" s="98"/>
      <c r="F74" s="98"/>
      <c r="G74" s="98"/>
      <c r="H74" s="98"/>
      <c r="I74" s="98"/>
    </row>
    <row r="75" ht="20.25" spans="1:9">
      <c r="A75" s="98"/>
      <c r="B75" s="98"/>
      <c r="C75" s="98"/>
      <c r="D75" s="98"/>
      <c r="E75" s="98"/>
      <c r="F75" s="98"/>
      <c r="G75" s="98"/>
      <c r="H75" s="98"/>
      <c r="I75" s="98"/>
    </row>
    <row r="76" ht="20.25" spans="1:9">
      <c r="A76" s="98"/>
      <c r="B76" s="98"/>
      <c r="C76" s="98"/>
      <c r="D76" s="98"/>
      <c r="E76" s="98"/>
      <c r="F76" s="98"/>
      <c r="G76" s="98"/>
      <c r="H76" s="98"/>
      <c r="I76" s="98"/>
    </row>
    <row r="77" ht="20.25" spans="1:9">
      <c r="A77" s="98"/>
      <c r="B77" s="98"/>
      <c r="C77" s="98"/>
      <c r="D77" s="98"/>
      <c r="E77" s="98"/>
      <c r="F77" s="98"/>
      <c r="G77" s="98"/>
      <c r="H77" s="98"/>
      <c r="I77" s="98"/>
    </row>
    <row r="78" ht="20.25" spans="1:9">
      <c r="A78" s="98"/>
      <c r="B78" s="98"/>
      <c r="C78" s="98"/>
      <c r="D78" s="98"/>
      <c r="E78" s="98"/>
      <c r="F78" s="98"/>
      <c r="G78" s="98"/>
      <c r="H78" s="98"/>
      <c r="I78" s="98"/>
    </row>
    <row r="79" ht="20.25" spans="1:9">
      <c r="A79" s="98"/>
      <c r="B79" s="98"/>
      <c r="C79" s="98"/>
      <c r="D79" s="98"/>
      <c r="E79" s="98"/>
      <c r="F79" s="98"/>
      <c r="G79" s="98"/>
      <c r="H79" s="98"/>
      <c r="I79" s="98"/>
    </row>
    <row r="80" ht="20.25" spans="1:9">
      <c r="A80" s="98"/>
      <c r="B80" s="98"/>
      <c r="C80" s="98"/>
      <c r="D80" s="98"/>
      <c r="E80" s="98"/>
      <c r="F80" s="98"/>
      <c r="G80" s="98"/>
      <c r="H80" s="98"/>
      <c r="I80" s="98"/>
    </row>
    <row r="81" ht="20.25" spans="1:9">
      <c r="A81" s="98"/>
      <c r="B81" s="98"/>
      <c r="C81" s="98"/>
      <c r="D81" s="98"/>
      <c r="E81" s="98"/>
      <c r="F81" s="98"/>
      <c r="G81" s="98"/>
      <c r="H81" s="98"/>
      <c r="I81" s="98"/>
    </row>
    <row r="82" ht="20.25" spans="1:9">
      <c r="A82" s="98"/>
      <c r="B82" s="98"/>
      <c r="C82" s="98"/>
      <c r="D82" s="98"/>
      <c r="E82" s="98"/>
      <c r="F82" s="98"/>
      <c r="G82" s="98"/>
      <c r="H82" s="98"/>
      <c r="I82" s="98"/>
    </row>
    <row r="83" ht="20.25" spans="1:9">
      <c r="A83" s="98"/>
      <c r="B83" s="98"/>
      <c r="C83" s="98"/>
      <c r="D83" s="98"/>
      <c r="E83" s="98"/>
      <c r="F83" s="98"/>
      <c r="G83" s="98"/>
      <c r="H83" s="98"/>
      <c r="I83" s="98"/>
    </row>
    <row r="84" ht="20.25" spans="1:9">
      <c r="A84" s="98"/>
      <c r="B84" s="98"/>
      <c r="C84" s="98"/>
      <c r="D84" s="98"/>
      <c r="E84" s="98"/>
      <c r="F84" s="98"/>
      <c r="G84" s="98"/>
      <c r="H84" s="98"/>
      <c r="I84" s="98"/>
    </row>
    <row r="85" ht="20.25" spans="1:9">
      <c r="A85" s="98"/>
      <c r="B85" s="98"/>
      <c r="C85" s="98"/>
      <c r="D85" s="98"/>
      <c r="E85" s="98"/>
      <c r="F85" s="98"/>
      <c r="G85" s="98"/>
      <c r="H85" s="98"/>
      <c r="I85" s="98"/>
    </row>
    <row r="86" ht="20.25" spans="1:9">
      <c r="A86" s="98"/>
      <c r="B86" s="98"/>
      <c r="C86" s="98"/>
      <c r="D86" s="98"/>
      <c r="E86" s="98"/>
      <c r="F86" s="98"/>
      <c r="G86" s="98"/>
      <c r="H86" s="98"/>
      <c r="I86" s="98"/>
    </row>
    <row r="87" ht="20.25" spans="1:9">
      <c r="A87" s="98"/>
      <c r="B87" s="98"/>
      <c r="C87" s="98"/>
      <c r="D87" s="98"/>
      <c r="E87" s="98"/>
      <c r="F87" s="98"/>
      <c r="G87" s="98"/>
      <c r="H87" s="98"/>
      <c r="I87" s="98"/>
    </row>
    <row r="88" ht="20.25" spans="1:9">
      <c r="A88" s="98"/>
      <c r="B88" s="98"/>
      <c r="C88" s="98"/>
      <c r="D88" s="98"/>
      <c r="E88" s="98"/>
      <c r="F88" s="98"/>
      <c r="G88" s="98"/>
      <c r="H88" s="98"/>
      <c r="I88" s="98"/>
    </row>
    <row r="89" ht="20.25" spans="1:9">
      <c r="A89" s="98"/>
      <c r="B89" s="98"/>
      <c r="C89" s="98"/>
      <c r="D89" s="98"/>
      <c r="E89" s="98"/>
      <c r="F89" s="98"/>
      <c r="G89" s="98"/>
      <c r="H89" s="98"/>
      <c r="I89" s="98"/>
    </row>
    <row r="90" ht="20.25" spans="1:9">
      <c r="A90" s="98"/>
      <c r="B90" s="98"/>
      <c r="C90" s="98"/>
      <c r="D90" s="98"/>
      <c r="E90" s="98"/>
      <c r="F90" s="98"/>
      <c r="G90" s="98"/>
      <c r="H90" s="98"/>
      <c r="I90" s="98"/>
    </row>
    <row r="91" ht="20.25" spans="1:9">
      <c r="A91" s="98"/>
      <c r="B91" s="98"/>
      <c r="C91" s="98"/>
      <c r="D91" s="98"/>
      <c r="E91" s="98"/>
      <c r="F91" s="98"/>
      <c r="G91" s="98"/>
      <c r="H91" s="98"/>
      <c r="I91" s="98"/>
    </row>
    <row r="92" ht="20.25" spans="1:9">
      <c r="A92" s="98"/>
      <c r="B92" s="98"/>
      <c r="C92" s="98"/>
      <c r="D92" s="98"/>
      <c r="E92" s="98"/>
      <c r="F92" s="98"/>
      <c r="G92" s="98"/>
      <c r="H92" s="98"/>
      <c r="I92" s="98"/>
    </row>
    <row r="93" ht="20.25" spans="1:9">
      <c r="A93" s="98"/>
      <c r="B93" s="98"/>
      <c r="C93" s="98"/>
      <c r="D93" s="98"/>
      <c r="E93" s="98"/>
      <c r="F93" s="98"/>
      <c r="G93" s="98"/>
      <c r="H93" s="98"/>
      <c r="I93" s="98"/>
    </row>
    <row r="94" ht="20.25" spans="1:9">
      <c r="A94" s="98"/>
      <c r="B94" s="98"/>
      <c r="C94" s="98"/>
      <c r="D94" s="98"/>
      <c r="E94" s="98"/>
      <c r="F94" s="98"/>
      <c r="G94" s="98"/>
      <c r="H94" s="98"/>
      <c r="I94" s="98"/>
    </row>
    <row r="95" ht="20.25" spans="1:9">
      <c r="A95" s="98"/>
      <c r="B95" s="98"/>
      <c r="C95" s="98"/>
      <c r="D95" s="98"/>
      <c r="E95" s="98"/>
      <c r="F95" s="98"/>
      <c r="G95" s="98"/>
      <c r="H95" s="98"/>
      <c r="I95" s="98"/>
    </row>
    <row r="96" ht="20.25" spans="1:9">
      <c r="A96" s="98"/>
      <c r="B96" s="98"/>
      <c r="C96" s="98"/>
      <c r="D96" s="98"/>
      <c r="E96" s="98"/>
      <c r="F96" s="98"/>
      <c r="G96" s="98"/>
      <c r="H96" s="98"/>
      <c r="I96" s="98"/>
    </row>
    <row r="97" ht="20.25" spans="1:9">
      <c r="A97" s="98"/>
      <c r="B97" s="98"/>
      <c r="C97" s="98"/>
      <c r="D97" s="98"/>
      <c r="E97" s="98"/>
      <c r="F97" s="98"/>
      <c r="G97" s="98"/>
      <c r="H97" s="98"/>
      <c r="I97" s="98"/>
    </row>
    <row r="98" ht="20.25" spans="1:9">
      <c r="A98" s="98"/>
      <c r="B98" s="98"/>
      <c r="C98" s="98"/>
      <c r="D98" s="98"/>
      <c r="E98" s="98"/>
      <c r="F98" s="98"/>
      <c r="G98" s="98"/>
      <c r="H98" s="98"/>
      <c r="I98" s="98"/>
    </row>
    <row r="99" ht="20.25" spans="1:9">
      <c r="A99" s="98"/>
      <c r="B99" s="98"/>
      <c r="C99" s="98"/>
      <c r="D99" s="98"/>
      <c r="E99" s="98"/>
      <c r="F99" s="98"/>
      <c r="G99" s="98"/>
      <c r="H99" s="98"/>
      <c r="I99" s="98"/>
    </row>
    <row r="100" ht="20.25" spans="1:9">
      <c r="A100" s="98"/>
      <c r="B100" s="98"/>
      <c r="C100" s="98"/>
      <c r="D100" s="98"/>
      <c r="E100" s="98"/>
      <c r="F100" s="98"/>
      <c r="G100" s="98"/>
      <c r="H100" s="98"/>
      <c r="I100" s="98"/>
    </row>
    <row r="101" ht="20.25" spans="1:9">
      <c r="A101" s="98"/>
      <c r="B101" s="98"/>
      <c r="C101" s="98"/>
      <c r="D101" s="98"/>
      <c r="E101" s="98"/>
      <c r="F101" s="98"/>
      <c r="G101" s="98"/>
      <c r="H101" s="98"/>
      <c r="I101" s="98"/>
    </row>
    <row r="102" ht="20.25" spans="1:9">
      <c r="A102" s="98"/>
      <c r="B102" s="98"/>
      <c r="C102" s="98"/>
      <c r="D102" s="98"/>
      <c r="E102" s="98"/>
      <c r="F102" s="98"/>
      <c r="G102" s="98"/>
      <c r="H102" s="98"/>
      <c r="I102" s="98"/>
    </row>
    <row r="103" ht="20.25" spans="1:9">
      <c r="A103" s="98"/>
      <c r="B103" s="98"/>
      <c r="C103" s="98"/>
      <c r="D103" s="98"/>
      <c r="E103" s="98"/>
      <c r="F103" s="98"/>
      <c r="G103" s="98"/>
      <c r="H103" s="98"/>
      <c r="I103" s="98"/>
    </row>
    <row r="104" ht="20.25" spans="1:9">
      <c r="A104" s="98"/>
      <c r="B104" s="98"/>
      <c r="C104" s="98"/>
      <c r="D104" s="98"/>
      <c r="E104" s="98"/>
      <c r="F104" s="98"/>
      <c r="G104" s="98"/>
      <c r="H104" s="98"/>
      <c r="I104" s="98"/>
    </row>
    <row r="105" ht="20.25" spans="1:9">
      <c r="A105" s="98"/>
      <c r="B105" s="98"/>
      <c r="C105" s="98"/>
      <c r="D105" s="98"/>
      <c r="E105" s="98"/>
      <c r="F105" s="98"/>
      <c r="G105" s="98"/>
      <c r="H105" s="98"/>
      <c r="I105" s="98"/>
    </row>
    <row r="106" ht="20.25" spans="1:9">
      <c r="A106" s="98"/>
      <c r="B106" s="98"/>
      <c r="C106" s="98"/>
      <c r="D106" s="98"/>
      <c r="E106" s="98"/>
      <c r="F106" s="98"/>
      <c r="G106" s="98"/>
      <c r="H106" s="98"/>
      <c r="I106" s="98"/>
    </row>
    <row r="107" ht="20.25" spans="1:9">
      <c r="A107" s="98"/>
      <c r="B107" s="98"/>
      <c r="C107" s="98"/>
      <c r="D107" s="98"/>
      <c r="E107" s="98"/>
      <c r="F107" s="98"/>
      <c r="G107" s="98"/>
      <c r="H107" s="98"/>
      <c r="I107" s="98"/>
    </row>
    <row r="108" ht="20.25" spans="1:9">
      <c r="A108" s="98"/>
      <c r="B108" s="98"/>
      <c r="C108" s="98"/>
      <c r="D108" s="98"/>
      <c r="E108" s="98"/>
      <c r="F108" s="98"/>
      <c r="G108" s="98"/>
      <c r="H108" s="98"/>
      <c r="I108" s="98"/>
    </row>
    <row r="109" ht="20.25" spans="1:9">
      <c r="A109" s="98"/>
      <c r="B109" s="98"/>
      <c r="C109" s="98"/>
      <c r="D109" s="98"/>
      <c r="E109" s="98"/>
      <c r="F109" s="98"/>
      <c r="G109" s="98"/>
      <c r="H109" s="98"/>
      <c r="I109" s="98"/>
    </row>
    <row r="110" ht="20.25" spans="1:9">
      <c r="A110" s="98"/>
      <c r="B110" s="98"/>
      <c r="C110" s="98"/>
      <c r="D110" s="98"/>
      <c r="E110" s="98"/>
      <c r="F110" s="98"/>
      <c r="G110" s="98"/>
      <c r="H110" s="98"/>
      <c r="I110" s="98"/>
    </row>
    <row r="111" ht="20.25" spans="1:9">
      <c r="A111" s="98"/>
      <c r="B111" s="98"/>
      <c r="C111" s="98"/>
      <c r="D111" s="98"/>
      <c r="E111" s="98"/>
      <c r="F111" s="98"/>
      <c r="G111" s="98"/>
      <c r="H111" s="98"/>
      <c r="I111" s="98"/>
    </row>
    <row r="112" ht="20.25" spans="1:9">
      <c r="A112" s="98"/>
      <c r="B112" s="98"/>
      <c r="C112" s="98"/>
      <c r="D112" s="98"/>
      <c r="E112" s="98"/>
      <c r="F112" s="98"/>
      <c r="G112" s="98"/>
      <c r="H112" s="98"/>
      <c r="I112" s="98"/>
    </row>
    <row r="113" ht="20.25" spans="1:9">
      <c r="A113" s="98"/>
      <c r="B113" s="98"/>
      <c r="C113" s="98"/>
      <c r="D113" s="98"/>
      <c r="E113" s="98"/>
      <c r="F113" s="98"/>
      <c r="G113" s="98"/>
      <c r="H113" s="98"/>
      <c r="I113" s="98"/>
    </row>
    <row r="114" ht="20.25" spans="1:9">
      <c r="A114" s="98"/>
      <c r="B114" s="98"/>
      <c r="C114" s="98"/>
      <c r="D114" s="98"/>
      <c r="E114" s="98"/>
      <c r="F114" s="98"/>
      <c r="G114" s="98"/>
      <c r="H114" s="98"/>
      <c r="I114" s="98"/>
    </row>
    <row r="115" ht="20.25" spans="1:9">
      <c r="A115" s="98"/>
      <c r="B115" s="98"/>
      <c r="C115" s="98"/>
      <c r="D115" s="98"/>
      <c r="E115" s="98"/>
      <c r="F115" s="98"/>
      <c r="G115" s="98"/>
      <c r="H115" s="98"/>
      <c r="I115" s="98"/>
    </row>
    <row r="116" ht="20.25" spans="1:9">
      <c r="A116" s="98"/>
      <c r="B116" s="98"/>
      <c r="C116" s="98"/>
      <c r="D116" s="98"/>
      <c r="E116" s="98"/>
      <c r="F116" s="98"/>
      <c r="G116" s="98"/>
      <c r="H116" s="98"/>
      <c r="I116" s="98"/>
    </row>
    <row r="117" ht="20.25" spans="1:9">
      <c r="A117" s="98"/>
      <c r="B117" s="98"/>
      <c r="C117" s="98"/>
      <c r="D117" s="98"/>
      <c r="E117" s="98"/>
      <c r="F117" s="98"/>
      <c r="G117" s="98"/>
      <c r="H117" s="98"/>
      <c r="I117" s="98"/>
    </row>
    <row r="118" ht="20.25" spans="1:9">
      <c r="A118" s="98"/>
      <c r="B118" s="98"/>
      <c r="C118" s="98"/>
      <c r="D118" s="98"/>
      <c r="E118" s="98"/>
      <c r="F118" s="98"/>
      <c r="G118" s="98"/>
      <c r="H118" s="98"/>
      <c r="I118" s="98"/>
    </row>
    <row r="119" ht="20.25" spans="1:9">
      <c r="A119" s="98"/>
      <c r="B119" s="98"/>
      <c r="C119" s="98"/>
      <c r="D119" s="98"/>
      <c r="E119" s="98"/>
      <c r="F119" s="98"/>
      <c r="G119" s="98"/>
      <c r="H119" s="98"/>
      <c r="I119" s="98"/>
    </row>
    <row r="120" ht="20.25" spans="1:9">
      <c r="A120" s="98"/>
      <c r="B120" s="98"/>
      <c r="C120" s="98"/>
      <c r="D120" s="98"/>
      <c r="E120" s="98"/>
      <c r="F120" s="98"/>
      <c r="G120" s="98"/>
      <c r="H120" s="98"/>
      <c r="I120" s="98"/>
    </row>
    <row r="121" ht="20.25" spans="1:9">
      <c r="A121" s="98"/>
      <c r="B121" s="98"/>
      <c r="C121" s="98"/>
      <c r="D121" s="98"/>
      <c r="E121" s="98"/>
      <c r="F121" s="98"/>
      <c r="G121" s="98"/>
      <c r="H121" s="98"/>
      <c r="I121" s="98"/>
    </row>
    <row r="122" ht="20.25" spans="1:9">
      <c r="A122" s="98"/>
      <c r="B122" s="98"/>
      <c r="C122" s="98"/>
      <c r="D122" s="98"/>
      <c r="E122" s="98"/>
      <c r="F122" s="98"/>
      <c r="G122" s="98"/>
      <c r="H122" s="98"/>
      <c r="I122" s="98"/>
    </row>
    <row r="123" ht="20.25" spans="1:9">
      <c r="A123" s="98"/>
      <c r="B123" s="98"/>
      <c r="C123" s="98"/>
      <c r="D123" s="98"/>
      <c r="E123" s="98"/>
      <c r="F123" s="98"/>
      <c r="G123" s="98"/>
      <c r="H123" s="98"/>
      <c r="I123" s="98"/>
    </row>
    <row r="124" ht="20.25" spans="1:9">
      <c r="A124" s="98"/>
      <c r="B124" s="98"/>
      <c r="C124" s="98"/>
      <c r="D124" s="98"/>
      <c r="E124" s="98"/>
      <c r="F124" s="98"/>
      <c r="G124" s="98"/>
      <c r="H124" s="98"/>
      <c r="I124" s="98"/>
    </row>
    <row r="125" ht="20.25" spans="1:9">
      <c r="A125" s="98"/>
      <c r="B125" s="98"/>
      <c r="C125" s="98"/>
      <c r="D125" s="98"/>
      <c r="E125" s="98"/>
      <c r="F125" s="98"/>
      <c r="G125" s="98"/>
      <c r="H125" s="98"/>
      <c r="I125" s="98"/>
    </row>
    <row r="126" ht="20.25" spans="1:9">
      <c r="A126" s="98"/>
      <c r="B126" s="98"/>
      <c r="C126" s="98"/>
      <c r="D126" s="98"/>
      <c r="E126" s="98"/>
      <c r="F126" s="98"/>
      <c r="G126" s="98"/>
      <c r="H126" s="98"/>
      <c r="I126" s="98"/>
    </row>
    <row r="127" ht="20.25" spans="1:9">
      <c r="A127" s="98"/>
      <c r="B127" s="98"/>
      <c r="C127" s="98"/>
      <c r="D127" s="98"/>
      <c r="E127" s="98"/>
      <c r="F127" s="98"/>
      <c r="G127" s="98"/>
      <c r="H127" s="98"/>
      <c r="I127" s="98"/>
    </row>
    <row r="128" ht="20.25" spans="1:9">
      <c r="A128" s="98"/>
      <c r="B128" s="98"/>
      <c r="C128" s="98"/>
      <c r="D128" s="98"/>
      <c r="E128" s="98"/>
      <c r="F128" s="98"/>
      <c r="G128" s="98"/>
      <c r="H128" s="98"/>
      <c r="I128" s="98"/>
    </row>
    <row r="129" ht="20.25" spans="1:9">
      <c r="A129" s="98"/>
      <c r="B129" s="98"/>
      <c r="C129" s="98"/>
      <c r="D129" s="98"/>
      <c r="E129" s="98"/>
      <c r="F129" s="98"/>
      <c r="G129" s="98"/>
      <c r="H129" s="98"/>
      <c r="I129" s="98"/>
    </row>
    <row r="130" ht="20.25" spans="1:9">
      <c r="A130" s="98"/>
      <c r="B130" s="98"/>
      <c r="C130" s="98"/>
      <c r="D130" s="98"/>
      <c r="E130" s="98"/>
      <c r="F130" s="98"/>
      <c r="G130" s="98"/>
      <c r="H130" s="98"/>
      <c r="I130" s="98"/>
    </row>
    <row r="131" ht="20.25" spans="1:9">
      <c r="A131" s="98"/>
      <c r="B131" s="98"/>
      <c r="C131" s="98"/>
      <c r="D131" s="98"/>
      <c r="E131" s="98"/>
      <c r="F131" s="98"/>
      <c r="G131" s="98"/>
      <c r="H131" s="98"/>
      <c r="I131" s="98"/>
    </row>
    <row r="132" ht="20.25" spans="1:9">
      <c r="A132" s="98"/>
      <c r="B132" s="98"/>
      <c r="C132" s="98"/>
      <c r="D132" s="98"/>
      <c r="E132" s="98"/>
      <c r="F132" s="98"/>
      <c r="G132" s="98"/>
      <c r="H132" s="98"/>
      <c r="I132" s="98"/>
    </row>
    <row r="133" ht="20.25" spans="1:9">
      <c r="A133" s="98"/>
      <c r="B133" s="98"/>
      <c r="C133" s="98"/>
      <c r="D133" s="98"/>
      <c r="E133" s="98"/>
      <c r="F133" s="98"/>
      <c r="G133" s="98"/>
      <c r="H133" s="98"/>
      <c r="I133" s="98"/>
    </row>
    <row r="134" ht="20.25" spans="1:9">
      <c r="A134" s="98"/>
      <c r="B134" s="98"/>
      <c r="C134" s="98"/>
      <c r="D134" s="98"/>
      <c r="E134" s="98"/>
      <c r="F134" s="98"/>
      <c r="G134" s="98"/>
      <c r="H134" s="98"/>
      <c r="I134" s="98"/>
    </row>
    <row r="135" ht="20.25" spans="1:9">
      <c r="A135" s="98"/>
      <c r="B135" s="98"/>
      <c r="C135" s="98"/>
      <c r="D135" s="98"/>
      <c r="E135" s="98"/>
      <c r="F135" s="98"/>
      <c r="G135" s="98"/>
      <c r="H135" s="98"/>
      <c r="I135" s="98"/>
    </row>
    <row r="136" ht="20.25" spans="1:9">
      <c r="A136" s="98"/>
      <c r="B136" s="98"/>
      <c r="C136" s="98"/>
      <c r="D136" s="98"/>
      <c r="E136" s="98"/>
      <c r="F136" s="98"/>
      <c r="G136" s="98"/>
      <c r="H136" s="98"/>
      <c r="I136" s="98"/>
    </row>
    <row r="137" ht="20.25" spans="1:9">
      <c r="A137" s="98"/>
      <c r="B137" s="98"/>
      <c r="C137" s="98"/>
      <c r="D137" s="98"/>
      <c r="E137" s="98"/>
      <c r="F137" s="98"/>
      <c r="G137" s="98"/>
      <c r="H137" s="98"/>
      <c r="I137" s="98"/>
    </row>
    <row r="138" ht="20.25" spans="1:9">
      <c r="A138" s="98"/>
      <c r="B138" s="98"/>
      <c r="C138" s="98"/>
      <c r="D138" s="98"/>
      <c r="E138" s="98"/>
      <c r="F138" s="98"/>
      <c r="G138" s="98"/>
      <c r="H138" s="98"/>
      <c r="I138" s="98"/>
    </row>
    <row r="139" ht="20.25" spans="1:9">
      <c r="A139" s="98"/>
      <c r="B139" s="98"/>
      <c r="C139" s="98"/>
      <c r="D139" s="98"/>
      <c r="E139" s="98"/>
      <c r="F139" s="98"/>
      <c r="G139" s="98"/>
      <c r="H139" s="98"/>
      <c r="I139" s="98"/>
    </row>
    <row r="140" ht="20.25" spans="1:9">
      <c r="A140" s="98"/>
      <c r="B140" s="98"/>
      <c r="C140" s="98"/>
      <c r="D140" s="98"/>
      <c r="E140" s="98"/>
      <c r="F140" s="98"/>
      <c r="G140" s="98"/>
      <c r="H140" s="98"/>
      <c r="I140" s="98"/>
    </row>
    <row r="141" ht="20.25" spans="1:9">
      <c r="A141" s="98"/>
      <c r="B141" s="98"/>
      <c r="C141" s="98"/>
      <c r="D141" s="98"/>
      <c r="E141" s="98"/>
      <c r="F141" s="98"/>
      <c r="G141" s="98"/>
      <c r="H141" s="98"/>
      <c r="I141" s="98"/>
    </row>
    <row r="142" ht="20.25" spans="1:9">
      <c r="A142" s="98"/>
      <c r="B142" s="98"/>
      <c r="C142" s="98"/>
      <c r="D142" s="98"/>
      <c r="E142" s="98"/>
      <c r="F142" s="98"/>
      <c r="G142" s="98"/>
      <c r="H142" s="98"/>
      <c r="I142" s="98"/>
    </row>
    <row r="143" ht="20.25" spans="1:9">
      <c r="A143" s="98"/>
      <c r="B143" s="98"/>
      <c r="C143" s="98"/>
      <c r="D143" s="98"/>
      <c r="E143" s="98"/>
      <c r="F143" s="98"/>
      <c r="G143" s="98"/>
      <c r="H143" s="98"/>
      <c r="I143" s="98"/>
    </row>
    <row r="144" ht="20.25" spans="1:9">
      <c r="A144" s="98"/>
      <c r="B144" s="98"/>
      <c r="C144" s="98"/>
      <c r="D144" s="98"/>
      <c r="E144" s="98"/>
      <c r="F144" s="98"/>
      <c r="G144" s="98"/>
      <c r="H144" s="98"/>
      <c r="I144" s="98"/>
    </row>
    <row r="145" ht="20.25" spans="1:9">
      <c r="A145" s="98"/>
      <c r="B145" s="98"/>
      <c r="C145" s="98"/>
      <c r="D145" s="98"/>
      <c r="E145" s="98"/>
      <c r="F145" s="98"/>
      <c r="G145" s="98"/>
      <c r="H145" s="98"/>
      <c r="I145" s="98"/>
    </row>
    <row r="146" ht="20.25" spans="1:9">
      <c r="A146" s="98"/>
      <c r="B146" s="98"/>
      <c r="C146" s="98"/>
      <c r="D146" s="98"/>
      <c r="E146" s="98"/>
      <c r="F146" s="98"/>
      <c r="G146" s="98"/>
      <c r="H146" s="98"/>
      <c r="I146" s="98"/>
    </row>
    <row r="147" ht="20.25" spans="1:9">
      <c r="A147" s="98"/>
      <c r="B147" s="98"/>
      <c r="C147" s="98"/>
      <c r="D147" s="98"/>
      <c r="E147" s="98"/>
      <c r="F147" s="98"/>
      <c r="G147" s="98"/>
      <c r="H147" s="98"/>
      <c r="I147" s="98"/>
    </row>
    <row r="148" ht="20.25" spans="1:9">
      <c r="A148" s="98"/>
      <c r="B148" s="98"/>
      <c r="C148" s="98"/>
      <c r="D148" s="98"/>
      <c r="E148" s="98"/>
      <c r="F148" s="98"/>
      <c r="G148" s="98"/>
      <c r="H148" s="98"/>
      <c r="I148" s="98"/>
    </row>
    <row r="149" ht="20.25" spans="1:9">
      <c r="A149" s="98"/>
      <c r="B149" s="98"/>
      <c r="C149" s="98"/>
      <c r="D149" s="98"/>
      <c r="E149" s="98"/>
      <c r="F149" s="98"/>
      <c r="G149" s="98"/>
      <c r="H149" s="98"/>
      <c r="I149" s="98"/>
    </row>
    <row r="150" ht="20.25" spans="1:9">
      <c r="A150" s="98"/>
      <c r="B150" s="98"/>
      <c r="C150" s="98"/>
      <c r="D150" s="98"/>
      <c r="E150" s="98"/>
      <c r="F150" s="98"/>
      <c r="G150" s="98"/>
      <c r="H150" s="98"/>
      <c r="I150" s="98"/>
    </row>
    <row r="151" ht="20.25" spans="1:9">
      <c r="A151" s="98"/>
      <c r="B151" s="98"/>
      <c r="C151" s="98"/>
      <c r="D151" s="98"/>
      <c r="E151" s="98"/>
      <c r="F151" s="98"/>
      <c r="G151" s="98"/>
      <c r="H151" s="98"/>
      <c r="I151" s="98"/>
    </row>
    <row r="152" ht="20.25" spans="1:9">
      <c r="A152" s="98"/>
      <c r="B152" s="98"/>
      <c r="C152" s="98"/>
      <c r="D152" s="98"/>
      <c r="E152" s="98"/>
      <c r="F152" s="98"/>
      <c r="G152" s="98"/>
      <c r="H152" s="98"/>
      <c r="I152" s="98"/>
    </row>
    <row r="153" ht="20.25" spans="1:9">
      <c r="A153" s="98"/>
      <c r="B153" s="98"/>
      <c r="C153" s="98"/>
      <c r="D153" s="98"/>
      <c r="E153" s="98"/>
      <c r="F153" s="98"/>
      <c r="G153" s="98"/>
      <c r="H153" s="98"/>
      <c r="I153" s="98"/>
    </row>
    <row r="154" ht="20.25" spans="1:9">
      <c r="A154" s="98"/>
      <c r="B154" s="98"/>
      <c r="C154" s="98"/>
      <c r="D154" s="98"/>
      <c r="E154" s="98"/>
      <c r="F154" s="98"/>
      <c r="G154" s="98"/>
      <c r="H154" s="98"/>
      <c r="I154" s="98"/>
    </row>
    <row r="155" ht="20.25" spans="1:9">
      <c r="A155" s="98"/>
      <c r="B155" s="98"/>
      <c r="C155" s="98"/>
      <c r="D155" s="98"/>
      <c r="E155" s="98"/>
      <c r="F155" s="98"/>
      <c r="G155" s="98"/>
      <c r="H155" s="98"/>
      <c r="I155" s="98"/>
    </row>
    <row r="156" ht="20.25" spans="1:9">
      <c r="A156" s="98"/>
      <c r="B156" s="98"/>
      <c r="C156" s="98"/>
      <c r="D156" s="98"/>
      <c r="E156" s="98"/>
      <c r="F156" s="98"/>
      <c r="G156" s="98"/>
      <c r="H156" s="98"/>
      <c r="I156" s="98"/>
    </row>
    <row r="157" ht="20.25" spans="1:9">
      <c r="A157" s="98"/>
      <c r="B157" s="98"/>
      <c r="C157" s="98"/>
      <c r="D157" s="98"/>
      <c r="E157" s="98"/>
      <c r="F157" s="98"/>
      <c r="G157" s="98"/>
      <c r="H157" s="98"/>
      <c r="I157" s="98"/>
    </row>
    <row r="158" ht="20.25" spans="1:9">
      <c r="A158" s="98"/>
      <c r="B158" s="98"/>
      <c r="C158" s="98"/>
      <c r="D158" s="98"/>
      <c r="E158" s="98"/>
      <c r="F158" s="98"/>
      <c r="G158" s="98"/>
      <c r="H158" s="98"/>
      <c r="I158" s="98"/>
    </row>
    <row r="159" ht="20.25" spans="1:9">
      <c r="A159" s="98"/>
      <c r="B159" s="98"/>
      <c r="C159" s="98"/>
      <c r="D159" s="98"/>
      <c r="E159" s="98"/>
      <c r="F159" s="98"/>
      <c r="G159" s="98"/>
      <c r="H159" s="98"/>
      <c r="I159" s="98"/>
    </row>
    <row r="160" ht="20.25" spans="1:9">
      <c r="A160" s="98"/>
      <c r="B160" s="98"/>
      <c r="C160" s="98"/>
      <c r="D160" s="98"/>
      <c r="E160" s="98"/>
      <c r="F160" s="98"/>
      <c r="G160" s="98"/>
      <c r="H160" s="98"/>
      <c r="I160" s="98"/>
    </row>
    <row r="161" ht="20.25" spans="1:9">
      <c r="A161" s="98"/>
      <c r="B161" s="98"/>
      <c r="C161" s="98"/>
      <c r="D161" s="98"/>
      <c r="E161" s="98"/>
      <c r="F161" s="98"/>
      <c r="G161" s="98"/>
      <c r="H161" s="98"/>
      <c r="I161" s="98"/>
    </row>
    <row r="162" ht="20.25" spans="1:9">
      <c r="A162" s="98"/>
      <c r="B162" s="98"/>
      <c r="C162" s="98"/>
      <c r="D162" s="98"/>
      <c r="E162" s="98"/>
      <c r="F162" s="98"/>
      <c r="G162" s="98"/>
      <c r="H162" s="98"/>
      <c r="I162" s="98"/>
    </row>
    <row r="163" ht="20.25" spans="1:9">
      <c r="A163" s="98"/>
      <c r="B163" s="98"/>
      <c r="C163" s="98"/>
      <c r="D163" s="98"/>
      <c r="E163" s="98"/>
      <c r="F163" s="98"/>
      <c r="G163" s="98"/>
      <c r="H163" s="98"/>
      <c r="I163" s="98"/>
    </row>
    <row r="164" ht="20.25" spans="1:9">
      <c r="A164" s="98"/>
      <c r="B164" s="98"/>
      <c r="C164" s="98"/>
      <c r="D164" s="98"/>
      <c r="E164" s="98"/>
      <c r="F164" s="98"/>
      <c r="G164" s="98"/>
      <c r="H164" s="98"/>
      <c r="I164" s="98"/>
    </row>
    <row r="165" ht="20.25" spans="1:9">
      <c r="A165" s="98"/>
      <c r="B165" s="98"/>
      <c r="C165" s="98"/>
      <c r="D165" s="98"/>
      <c r="E165" s="98"/>
      <c r="F165" s="98"/>
      <c r="G165" s="98"/>
      <c r="H165" s="98"/>
      <c r="I165" s="98"/>
    </row>
    <row r="166" ht="20.25" spans="1:9">
      <c r="A166" s="98"/>
      <c r="B166" s="98"/>
      <c r="C166" s="98"/>
      <c r="D166" s="98"/>
      <c r="E166" s="98"/>
      <c r="F166" s="98"/>
      <c r="G166" s="98"/>
      <c r="H166" s="98"/>
      <c r="I166" s="98"/>
    </row>
    <row r="167" ht="20.25" spans="1:9">
      <c r="A167" s="98"/>
      <c r="B167" s="98"/>
      <c r="C167" s="98"/>
      <c r="D167" s="98"/>
      <c r="E167" s="98"/>
      <c r="F167" s="98"/>
      <c r="G167" s="98"/>
      <c r="H167" s="98"/>
      <c r="I167" s="98"/>
    </row>
    <row r="168" ht="20.25" spans="1:9">
      <c r="A168" s="98"/>
      <c r="B168" s="98"/>
      <c r="C168" s="98"/>
      <c r="D168" s="98"/>
      <c r="E168" s="98"/>
      <c r="F168" s="98"/>
      <c r="G168" s="98"/>
      <c r="H168" s="98"/>
      <c r="I168" s="98"/>
    </row>
    <row r="169" ht="20.25" spans="1:9">
      <c r="A169" s="98"/>
      <c r="B169" s="98"/>
      <c r="C169" s="98"/>
      <c r="D169" s="98"/>
      <c r="E169" s="98"/>
      <c r="F169" s="98"/>
      <c r="G169" s="98"/>
      <c r="H169" s="98"/>
      <c r="I169" s="98"/>
    </row>
    <row r="170" ht="20.25" spans="1:9">
      <c r="A170" s="98"/>
      <c r="B170" s="98"/>
      <c r="C170" s="98"/>
      <c r="D170" s="98"/>
      <c r="E170" s="98"/>
      <c r="F170" s="98"/>
      <c r="G170" s="98"/>
      <c r="H170" s="98"/>
      <c r="I170" s="98"/>
    </row>
    <row r="171" ht="20.25" spans="1:9">
      <c r="A171" s="98"/>
      <c r="B171" s="98"/>
      <c r="C171" s="98"/>
      <c r="D171" s="98"/>
      <c r="E171" s="98"/>
      <c r="F171" s="98"/>
      <c r="G171" s="98"/>
      <c r="H171" s="98"/>
      <c r="I171" s="98"/>
    </row>
    <row r="172" ht="20.25" spans="1:9">
      <c r="A172" s="98"/>
      <c r="B172" s="98"/>
      <c r="C172" s="98"/>
      <c r="D172" s="98"/>
      <c r="E172" s="98"/>
      <c r="F172" s="98"/>
      <c r="G172" s="98"/>
      <c r="H172" s="98"/>
      <c r="I172" s="98"/>
    </row>
    <row r="173" ht="20.25" spans="1:9">
      <c r="A173" s="98"/>
      <c r="B173" s="98"/>
      <c r="C173" s="98"/>
      <c r="D173" s="98"/>
      <c r="E173" s="98"/>
      <c r="F173" s="98"/>
      <c r="G173" s="98"/>
      <c r="H173" s="98"/>
      <c r="I173" s="98"/>
    </row>
    <row r="174" ht="20.25" spans="1:9">
      <c r="A174" s="98"/>
      <c r="B174" s="98"/>
      <c r="C174" s="98"/>
      <c r="D174" s="98"/>
      <c r="E174" s="98"/>
      <c r="F174" s="98"/>
      <c r="G174" s="98"/>
      <c r="H174" s="98"/>
      <c r="I174" s="98"/>
    </row>
    <row r="175" ht="20.25" spans="1:9">
      <c r="A175" s="98"/>
      <c r="B175" s="98"/>
      <c r="C175" s="98"/>
      <c r="D175" s="98"/>
      <c r="E175" s="98"/>
      <c r="F175" s="98"/>
      <c r="G175" s="98"/>
      <c r="H175" s="98"/>
      <c r="I175" s="98"/>
    </row>
    <row r="176" ht="20.25" spans="1:9">
      <c r="A176" s="98"/>
      <c r="B176" s="98"/>
      <c r="C176" s="98"/>
      <c r="D176" s="98"/>
      <c r="E176" s="98"/>
      <c r="F176" s="98"/>
      <c r="G176" s="98"/>
      <c r="H176" s="98"/>
      <c r="I176" s="98"/>
    </row>
    <row r="177" ht="20.25" spans="1:9">
      <c r="A177" s="98"/>
      <c r="B177" s="98"/>
      <c r="C177" s="98"/>
      <c r="D177" s="98"/>
      <c r="E177" s="98"/>
      <c r="F177" s="98"/>
      <c r="G177" s="98"/>
      <c r="H177" s="98"/>
      <c r="I177" s="98"/>
    </row>
    <row r="178" ht="20.25" spans="1:9">
      <c r="A178" s="98"/>
      <c r="B178" s="98"/>
      <c r="C178" s="98"/>
      <c r="D178" s="98"/>
      <c r="E178" s="98"/>
      <c r="F178" s="98"/>
      <c r="G178" s="98"/>
      <c r="H178" s="98"/>
      <c r="I178" s="98"/>
    </row>
    <row r="179" ht="20.25" spans="1:9">
      <c r="A179" s="98"/>
      <c r="B179" s="98"/>
      <c r="C179" s="98"/>
      <c r="D179" s="98"/>
      <c r="E179" s="98"/>
      <c r="F179" s="98"/>
      <c r="G179" s="98"/>
      <c r="H179" s="98"/>
      <c r="I179" s="98"/>
    </row>
    <row r="180" ht="20.25" spans="1:9">
      <c r="A180" s="98"/>
      <c r="B180" s="98"/>
      <c r="C180" s="98"/>
      <c r="D180" s="98"/>
      <c r="E180" s="98"/>
      <c r="F180" s="98"/>
      <c r="G180" s="98"/>
      <c r="H180" s="98"/>
      <c r="I180" s="98"/>
    </row>
    <row r="181" ht="20.25" spans="1:9">
      <c r="A181" s="98"/>
      <c r="B181" s="98"/>
      <c r="C181" s="98"/>
      <c r="D181" s="98"/>
      <c r="E181" s="98"/>
      <c r="F181" s="98"/>
      <c r="G181" s="98"/>
      <c r="H181" s="98"/>
      <c r="I181" s="98"/>
    </row>
    <row r="182" ht="20.25" spans="1:9">
      <c r="A182" s="98"/>
      <c r="B182" s="98"/>
      <c r="C182" s="98"/>
      <c r="D182" s="98"/>
      <c r="E182" s="98"/>
      <c r="F182" s="98"/>
      <c r="G182" s="98"/>
      <c r="H182" s="98"/>
      <c r="I182" s="98"/>
    </row>
    <row r="183" ht="20.25" spans="1:9">
      <c r="A183" s="98"/>
      <c r="B183" s="98"/>
      <c r="C183" s="98"/>
      <c r="D183" s="98"/>
      <c r="E183" s="98"/>
      <c r="F183" s="98"/>
      <c r="G183" s="98"/>
      <c r="H183" s="98"/>
      <c r="I183" s="98"/>
    </row>
    <row r="184" ht="20.25" spans="1:9">
      <c r="A184" s="98"/>
      <c r="B184" s="98"/>
      <c r="C184" s="98"/>
      <c r="D184" s="98"/>
      <c r="E184" s="98"/>
      <c r="F184" s="98"/>
      <c r="G184" s="98"/>
      <c r="H184" s="98"/>
      <c r="I184" s="98"/>
    </row>
    <row r="185" ht="20.25" spans="1:9">
      <c r="A185" s="98"/>
      <c r="B185" s="98"/>
      <c r="C185" s="98"/>
      <c r="D185" s="98"/>
      <c r="E185" s="98"/>
      <c r="F185" s="98"/>
      <c r="G185" s="98"/>
      <c r="H185" s="98"/>
      <c r="I185" s="98"/>
    </row>
    <row r="186" ht="20.25" spans="1:9">
      <c r="A186" s="98"/>
      <c r="B186" s="98"/>
      <c r="C186" s="98"/>
      <c r="D186" s="98"/>
      <c r="E186" s="98"/>
      <c r="F186" s="98"/>
      <c r="G186" s="98"/>
      <c r="H186" s="98"/>
      <c r="I186" s="98"/>
    </row>
    <row r="187" ht="20.25" spans="1:9">
      <c r="A187" s="98"/>
      <c r="B187" s="98"/>
      <c r="C187" s="98"/>
      <c r="D187" s="98"/>
      <c r="E187" s="98"/>
      <c r="F187" s="98"/>
      <c r="G187" s="98"/>
      <c r="H187" s="98"/>
      <c r="I187" s="98"/>
    </row>
    <row r="188" ht="20.25" spans="1:9">
      <c r="A188" s="98"/>
      <c r="B188" s="98"/>
      <c r="C188" s="98"/>
      <c r="D188" s="98"/>
      <c r="E188" s="98"/>
      <c r="F188" s="98"/>
      <c r="G188" s="98"/>
      <c r="H188" s="98"/>
      <c r="I188" s="98"/>
    </row>
    <row r="189" ht="20.25" spans="1:9">
      <c r="A189" s="98"/>
      <c r="B189" s="98"/>
      <c r="C189" s="98"/>
      <c r="D189" s="98"/>
      <c r="E189" s="98"/>
      <c r="F189" s="98"/>
      <c r="G189" s="98"/>
      <c r="H189" s="98"/>
      <c r="I189" s="98"/>
    </row>
    <row r="190" ht="20.25" spans="1:9">
      <c r="A190" s="98"/>
      <c r="B190" s="98"/>
      <c r="C190" s="98"/>
      <c r="D190" s="98"/>
      <c r="E190" s="98"/>
      <c r="F190" s="98"/>
      <c r="G190" s="98"/>
      <c r="H190" s="98"/>
      <c r="I190" s="98"/>
    </row>
    <row r="191" ht="20.25" spans="1:9">
      <c r="A191" s="98"/>
      <c r="B191" s="98"/>
      <c r="C191" s="98"/>
      <c r="D191" s="98"/>
      <c r="E191" s="98"/>
      <c r="F191" s="98"/>
      <c r="G191" s="98"/>
      <c r="H191" s="98"/>
      <c r="I191" s="98"/>
    </row>
    <row r="192" ht="20.25" spans="1:9">
      <c r="A192" s="98"/>
      <c r="B192" s="98"/>
      <c r="C192" s="98"/>
      <c r="D192" s="98"/>
      <c r="E192" s="98"/>
      <c r="F192" s="98"/>
      <c r="G192" s="98"/>
      <c r="H192" s="98"/>
      <c r="I192" s="98"/>
    </row>
    <row r="193" ht="20.25" spans="1:9">
      <c r="A193" s="98"/>
      <c r="B193" s="98"/>
      <c r="C193" s="98"/>
      <c r="D193" s="98"/>
      <c r="E193" s="98"/>
      <c r="F193" s="98"/>
      <c r="G193" s="98"/>
      <c r="H193" s="98"/>
      <c r="I193" s="98"/>
    </row>
    <row r="194" ht="20.25" spans="1:9">
      <c r="A194" s="98"/>
      <c r="B194" s="98"/>
      <c r="C194" s="98"/>
      <c r="D194" s="98"/>
      <c r="E194" s="98"/>
      <c r="F194" s="98"/>
      <c r="G194" s="98"/>
      <c r="H194" s="98"/>
      <c r="I194" s="98"/>
    </row>
    <row r="195" ht="20.25" spans="1:9">
      <c r="A195" s="98"/>
      <c r="B195" s="98"/>
      <c r="C195" s="98"/>
      <c r="D195" s="98"/>
      <c r="E195" s="98"/>
      <c r="F195" s="98"/>
      <c r="G195" s="98"/>
      <c r="H195" s="98"/>
      <c r="I195" s="98"/>
    </row>
    <row r="196" ht="20.25" spans="1:9">
      <c r="A196" s="98"/>
      <c r="B196" s="98"/>
      <c r="C196" s="98"/>
      <c r="D196" s="98"/>
      <c r="E196" s="98"/>
      <c r="F196" s="98"/>
      <c r="G196" s="98"/>
      <c r="H196" s="98"/>
      <c r="I196" s="98"/>
    </row>
    <row r="197" ht="20.25" spans="1:9">
      <c r="A197" s="98"/>
      <c r="B197" s="98"/>
      <c r="C197" s="98"/>
      <c r="D197" s="98"/>
      <c r="E197" s="98"/>
      <c r="F197" s="98"/>
      <c r="G197" s="98"/>
      <c r="H197" s="98"/>
      <c r="I197" s="98"/>
    </row>
    <row r="198" ht="20.25" spans="1:9">
      <c r="A198" s="98"/>
      <c r="B198" s="98"/>
      <c r="C198" s="98"/>
      <c r="D198" s="98"/>
      <c r="E198" s="98"/>
      <c r="F198" s="98"/>
      <c r="G198" s="98"/>
      <c r="H198" s="98"/>
      <c r="I198" s="98"/>
    </row>
    <row r="199" ht="20.25" spans="1:9">
      <c r="A199" s="98"/>
      <c r="B199" s="98"/>
      <c r="C199" s="98"/>
      <c r="D199" s="98"/>
      <c r="E199" s="98"/>
      <c r="F199" s="98"/>
      <c r="G199" s="98"/>
      <c r="H199" s="98"/>
      <c r="I199" s="98"/>
    </row>
    <row r="200" ht="20.25" spans="1:9">
      <c r="A200" s="98"/>
      <c r="B200" s="98"/>
      <c r="C200" s="98"/>
      <c r="D200" s="98"/>
      <c r="E200" s="98"/>
      <c r="F200" s="98"/>
      <c r="G200" s="98"/>
      <c r="H200" s="98"/>
      <c r="I200" s="98"/>
    </row>
    <row r="201" ht="20.25" spans="1:9">
      <c r="A201" s="98"/>
      <c r="B201" s="98"/>
      <c r="C201" s="98"/>
      <c r="D201" s="98"/>
      <c r="E201" s="98"/>
      <c r="F201" s="98"/>
      <c r="G201" s="98"/>
      <c r="H201" s="98"/>
      <c r="I201" s="98"/>
    </row>
    <row r="202" ht="20.25" spans="1:9">
      <c r="A202" s="98"/>
      <c r="B202" s="98"/>
      <c r="C202" s="98"/>
      <c r="D202" s="98"/>
      <c r="E202" s="98"/>
      <c r="F202" s="98"/>
      <c r="G202" s="98"/>
      <c r="H202" s="98"/>
      <c r="I202" s="98"/>
    </row>
    <row r="203" ht="20.25" spans="1:9">
      <c r="A203" s="98"/>
      <c r="B203" s="98"/>
      <c r="C203" s="98"/>
      <c r="D203" s="98"/>
      <c r="E203" s="98"/>
      <c r="F203" s="98"/>
      <c r="G203" s="98"/>
      <c r="H203" s="98"/>
      <c r="I203" s="98"/>
    </row>
    <row r="204" ht="20.25" spans="1:9">
      <c r="A204" s="98"/>
      <c r="B204" s="98"/>
      <c r="C204" s="98"/>
      <c r="D204" s="98"/>
      <c r="E204" s="98"/>
      <c r="F204" s="98"/>
      <c r="G204" s="98"/>
      <c r="H204" s="98"/>
      <c r="I204" s="98"/>
    </row>
    <row r="205" ht="20.25" spans="1:9">
      <c r="A205" s="98"/>
      <c r="B205" s="98"/>
      <c r="C205" s="98"/>
      <c r="D205" s="98"/>
      <c r="E205" s="98"/>
      <c r="F205" s="98"/>
      <c r="G205" s="98"/>
      <c r="H205" s="98"/>
      <c r="I205" s="98"/>
    </row>
    <row r="206" ht="20.25" spans="1:9">
      <c r="A206" s="98"/>
      <c r="B206" s="98"/>
      <c r="C206" s="98"/>
      <c r="D206" s="98"/>
      <c r="E206" s="98"/>
      <c r="F206" s="98"/>
      <c r="G206" s="98"/>
      <c r="H206" s="98"/>
      <c r="I206" s="98"/>
    </row>
    <row r="207" ht="20.25" spans="1:9">
      <c r="A207" s="98"/>
      <c r="B207" s="98"/>
      <c r="C207" s="98"/>
      <c r="D207" s="98"/>
      <c r="E207" s="98"/>
      <c r="F207" s="98"/>
      <c r="G207" s="98"/>
      <c r="H207" s="98"/>
      <c r="I207" s="98"/>
    </row>
    <row r="208" ht="20.25" spans="1:9">
      <c r="A208" s="98"/>
      <c r="B208" s="98"/>
      <c r="C208" s="98"/>
      <c r="D208" s="98"/>
      <c r="E208" s="98"/>
      <c r="F208" s="98"/>
      <c r="G208" s="98"/>
      <c r="H208" s="98"/>
      <c r="I208" s="98"/>
    </row>
    <row r="209" ht="20.25" spans="1:9">
      <c r="A209" s="98"/>
      <c r="B209" s="98"/>
      <c r="C209" s="98"/>
      <c r="D209" s="98"/>
      <c r="E209" s="98"/>
      <c r="F209" s="98"/>
      <c r="G209" s="98"/>
      <c r="H209" s="98"/>
      <c r="I209" s="98"/>
    </row>
    <row r="210" ht="20.25" spans="1:9">
      <c r="A210" s="98"/>
      <c r="B210" s="98"/>
      <c r="C210" s="98"/>
      <c r="D210" s="98"/>
      <c r="E210" s="98"/>
      <c r="F210" s="98"/>
      <c r="G210" s="98"/>
      <c r="H210" s="98"/>
      <c r="I210" s="98"/>
    </row>
    <row r="211" ht="20.25" spans="1:9">
      <c r="A211" s="98"/>
      <c r="B211" s="98"/>
      <c r="C211" s="98"/>
      <c r="D211" s="98"/>
      <c r="E211" s="98"/>
      <c r="F211" s="98"/>
      <c r="G211" s="98"/>
      <c r="H211" s="98"/>
      <c r="I211" s="98"/>
    </row>
    <row r="212" ht="20.25" spans="1:9">
      <c r="A212" s="98"/>
      <c r="B212" s="98"/>
      <c r="C212" s="98"/>
      <c r="D212" s="98"/>
      <c r="E212" s="98"/>
      <c r="F212" s="98"/>
      <c r="G212" s="98"/>
      <c r="H212" s="98"/>
      <c r="I212" s="98"/>
    </row>
    <row r="213" ht="20.25" spans="1:9">
      <c r="A213" s="98"/>
      <c r="B213" s="98"/>
      <c r="C213" s="98"/>
      <c r="D213" s="98"/>
      <c r="E213" s="98"/>
      <c r="F213" s="98"/>
      <c r="G213" s="98"/>
      <c r="H213" s="98"/>
      <c r="I213" s="98"/>
    </row>
    <row r="214" ht="20.25" spans="1:9">
      <c r="A214" s="98"/>
      <c r="B214" s="98"/>
      <c r="C214" s="98"/>
      <c r="D214" s="98"/>
      <c r="E214" s="98"/>
      <c r="F214" s="98"/>
      <c r="G214" s="98"/>
      <c r="H214" s="98"/>
      <c r="I214" s="98"/>
    </row>
    <row r="215" ht="20.25" spans="1:9">
      <c r="A215" s="98"/>
      <c r="B215" s="98"/>
      <c r="C215" s="98"/>
      <c r="D215" s="98"/>
      <c r="E215" s="98"/>
      <c r="F215" s="98"/>
      <c r="G215" s="98"/>
      <c r="H215" s="98"/>
      <c r="I215" s="98"/>
    </row>
    <row r="216" ht="20.25" spans="1:9">
      <c r="A216" s="98"/>
      <c r="B216" s="98"/>
      <c r="C216" s="98"/>
      <c r="D216" s="98"/>
      <c r="E216" s="98"/>
      <c r="F216" s="98"/>
      <c r="G216" s="98"/>
      <c r="H216" s="98"/>
      <c r="I216" s="98"/>
    </row>
    <row r="217" ht="20.25" spans="1:9">
      <c r="A217" s="98"/>
      <c r="B217" s="98"/>
      <c r="C217" s="98"/>
      <c r="D217" s="98"/>
      <c r="E217" s="98"/>
      <c r="F217" s="98"/>
      <c r="G217" s="98"/>
      <c r="H217" s="98"/>
      <c r="I217" s="98"/>
    </row>
    <row r="218" ht="20.25" spans="1:9">
      <c r="A218" s="98"/>
      <c r="B218" s="98"/>
      <c r="C218" s="98"/>
      <c r="D218" s="98"/>
      <c r="E218" s="98"/>
      <c r="F218" s="98"/>
      <c r="G218" s="98"/>
      <c r="H218" s="98"/>
      <c r="I218" s="98"/>
    </row>
    <row r="219" ht="20.25" spans="1:9">
      <c r="A219" s="98"/>
      <c r="B219" s="98"/>
      <c r="C219" s="98"/>
      <c r="D219" s="98"/>
      <c r="E219" s="98"/>
      <c r="F219" s="98"/>
      <c r="G219" s="98"/>
      <c r="H219" s="98"/>
      <c r="I219" s="98"/>
    </row>
    <row r="220" ht="20.25" spans="1:9">
      <c r="A220" s="98"/>
      <c r="B220" s="98"/>
      <c r="C220" s="98"/>
      <c r="D220" s="98"/>
      <c r="E220" s="98"/>
      <c r="F220" s="98"/>
      <c r="G220" s="98"/>
      <c r="H220" s="98"/>
      <c r="I220" s="98"/>
    </row>
    <row r="221" ht="20.25" spans="1:9">
      <c r="A221" s="98"/>
      <c r="B221" s="98"/>
      <c r="C221" s="98"/>
      <c r="D221" s="98"/>
      <c r="E221" s="98"/>
      <c r="F221" s="98"/>
      <c r="G221" s="98"/>
      <c r="H221" s="98"/>
      <c r="I221" s="98"/>
    </row>
    <row r="222" ht="20.25" spans="1:9">
      <c r="A222" s="98"/>
      <c r="B222" s="98"/>
      <c r="C222" s="98"/>
      <c r="D222" s="98"/>
      <c r="E222" s="98"/>
      <c r="F222" s="98"/>
      <c r="G222" s="98"/>
      <c r="H222" s="98"/>
      <c r="I222" s="98"/>
    </row>
    <row r="223" ht="20.25" spans="1:9">
      <c r="A223" s="98"/>
      <c r="B223" s="98"/>
      <c r="C223" s="98"/>
      <c r="D223" s="98"/>
      <c r="E223" s="98"/>
      <c r="F223" s="98"/>
      <c r="G223" s="98"/>
      <c r="H223" s="98"/>
      <c r="I223" s="98"/>
    </row>
    <row r="224" ht="20.25" spans="1:9">
      <c r="A224" s="98"/>
      <c r="B224" s="98"/>
      <c r="C224" s="98"/>
      <c r="D224" s="98"/>
      <c r="E224" s="98"/>
      <c r="F224" s="98"/>
      <c r="G224" s="98"/>
      <c r="H224" s="98"/>
      <c r="I224" s="98"/>
    </row>
    <row r="225" ht="20.25" spans="1:9">
      <c r="A225" s="98"/>
      <c r="B225" s="98"/>
      <c r="C225" s="98"/>
      <c r="D225" s="98"/>
      <c r="E225" s="98"/>
      <c r="F225" s="98"/>
      <c r="G225" s="98"/>
      <c r="H225" s="98"/>
      <c r="I225" s="98"/>
    </row>
    <row r="226" ht="20.25" spans="1:9">
      <c r="A226" s="98"/>
      <c r="B226" s="98"/>
      <c r="C226" s="98"/>
      <c r="D226" s="98"/>
      <c r="E226" s="98"/>
      <c r="F226" s="98"/>
      <c r="G226" s="98"/>
      <c r="H226" s="98"/>
      <c r="I226" s="98"/>
    </row>
    <row r="227" ht="20.25" spans="1:9">
      <c r="A227" s="98"/>
      <c r="B227" s="98"/>
      <c r="C227" s="98"/>
      <c r="D227" s="98"/>
      <c r="E227" s="98"/>
      <c r="F227" s="98"/>
      <c r="G227" s="98"/>
      <c r="H227" s="98"/>
      <c r="I227" s="98"/>
    </row>
    <row r="228" ht="20.25" spans="1:9">
      <c r="A228" s="98"/>
      <c r="B228" s="98"/>
      <c r="C228" s="98"/>
      <c r="D228" s="98"/>
      <c r="E228" s="98"/>
      <c r="F228" s="98"/>
      <c r="G228" s="98"/>
      <c r="H228" s="98"/>
      <c r="I228" s="98"/>
    </row>
    <row r="229" ht="20.25" spans="1:9">
      <c r="A229" s="98"/>
      <c r="B229" s="98"/>
      <c r="C229" s="98"/>
      <c r="D229" s="98"/>
      <c r="E229" s="98"/>
      <c r="F229" s="98"/>
      <c r="G229" s="98"/>
      <c r="H229" s="98"/>
      <c r="I229" s="98"/>
    </row>
    <row r="230" ht="20.25" spans="1:9">
      <c r="A230" s="98"/>
      <c r="B230" s="98"/>
      <c r="C230" s="98"/>
      <c r="D230" s="98"/>
      <c r="E230" s="98"/>
      <c r="F230" s="98"/>
      <c r="G230" s="98"/>
      <c r="H230" s="98"/>
      <c r="I230" s="98"/>
    </row>
    <row r="231" ht="20.25" spans="1:9">
      <c r="A231" s="98"/>
      <c r="B231" s="98"/>
      <c r="C231" s="98"/>
      <c r="D231" s="98"/>
      <c r="E231" s="98"/>
      <c r="F231" s="98"/>
      <c r="G231" s="98"/>
      <c r="H231" s="98"/>
      <c r="I231" s="98"/>
    </row>
    <row r="232" ht="20.25" spans="1:9">
      <c r="A232" s="98"/>
      <c r="B232" s="98"/>
      <c r="C232" s="98"/>
      <c r="D232" s="98"/>
      <c r="E232" s="98"/>
      <c r="F232" s="98"/>
      <c r="G232" s="98"/>
      <c r="H232" s="98"/>
      <c r="I232" s="98"/>
    </row>
    <row r="233" ht="20.25" spans="1:9">
      <c r="A233" s="98"/>
      <c r="B233" s="98"/>
      <c r="C233" s="98"/>
      <c r="D233" s="98"/>
      <c r="E233" s="98"/>
      <c r="F233" s="98"/>
      <c r="G233" s="98"/>
      <c r="H233" s="98"/>
      <c r="I233" s="98"/>
    </row>
    <row r="234" ht="20.25" spans="1:9">
      <c r="A234" s="98"/>
      <c r="B234" s="98"/>
      <c r="C234" s="98"/>
      <c r="D234" s="98"/>
      <c r="E234" s="98"/>
      <c r="F234" s="98"/>
      <c r="G234" s="98"/>
      <c r="H234" s="98"/>
      <c r="I234" s="98"/>
    </row>
    <row r="235" ht="20.25" spans="1:9">
      <c r="A235" s="98"/>
      <c r="B235" s="98"/>
      <c r="C235" s="98"/>
      <c r="D235" s="98"/>
      <c r="E235" s="98"/>
      <c r="F235" s="98"/>
      <c r="G235" s="98"/>
      <c r="H235" s="98"/>
      <c r="I235" s="98"/>
    </row>
    <row r="236" ht="20.25" spans="1:9">
      <c r="A236" s="98"/>
      <c r="B236" s="98"/>
      <c r="C236" s="98"/>
      <c r="D236" s="98"/>
      <c r="E236" s="98"/>
      <c r="F236" s="98"/>
      <c r="G236" s="98"/>
      <c r="H236" s="98"/>
      <c r="I236" s="98"/>
    </row>
    <row r="237" ht="20.25" spans="1:9">
      <c r="A237" s="98"/>
      <c r="B237" s="98"/>
      <c r="C237" s="98"/>
      <c r="D237" s="98"/>
      <c r="E237" s="98"/>
      <c r="F237" s="98"/>
      <c r="G237" s="98"/>
      <c r="H237" s="98"/>
      <c r="I237" s="98"/>
    </row>
    <row r="238" ht="20.25" spans="1:9">
      <c r="A238" s="98"/>
      <c r="B238" s="98"/>
      <c r="C238" s="98"/>
      <c r="D238" s="98"/>
      <c r="E238" s="98"/>
      <c r="F238" s="98"/>
      <c r="G238" s="98"/>
      <c r="H238" s="98"/>
      <c r="I238" s="98"/>
    </row>
    <row r="239" ht="20.25" spans="1:9">
      <c r="A239" s="98"/>
      <c r="B239" s="98"/>
      <c r="C239" s="98"/>
      <c r="D239" s="98"/>
      <c r="E239" s="98"/>
      <c r="F239" s="98"/>
      <c r="G239" s="98"/>
      <c r="H239" s="98"/>
      <c r="I239" s="98"/>
    </row>
    <row r="240" ht="20.25" spans="1:9">
      <c r="A240" s="98"/>
      <c r="B240" s="98"/>
      <c r="C240" s="98"/>
      <c r="D240" s="98"/>
      <c r="E240" s="98"/>
      <c r="F240" s="98"/>
      <c r="G240" s="98"/>
      <c r="H240" s="98"/>
      <c r="I240" s="98"/>
    </row>
    <row r="241" ht="20.25" spans="1:9">
      <c r="A241" s="98"/>
      <c r="B241" s="98"/>
      <c r="C241" s="98"/>
      <c r="D241" s="98"/>
      <c r="E241" s="98"/>
      <c r="F241" s="98"/>
      <c r="G241" s="98"/>
      <c r="H241" s="98"/>
      <c r="I241" s="98"/>
    </row>
    <row r="242" ht="20.25" spans="1:9">
      <c r="A242" s="98"/>
      <c r="B242" s="98"/>
      <c r="C242" s="98"/>
      <c r="D242" s="98"/>
      <c r="E242" s="98"/>
      <c r="F242" s="98"/>
      <c r="G242" s="98"/>
      <c r="H242" s="98"/>
      <c r="I242" s="98"/>
    </row>
    <row r="243" ht="20.25" spans="1:9">
      <c r="A243" s="98"/>
      <c r="B243" s="98"/>
      <c r="C243" s="98"/>
      <c r="D243" s="98"/>
      <c r="E243" s="98"/>
      <c r="F243" s="98"/>
      <c r="G243" s="98"/>
      <c r="H243" s="98"/>
      <c r="I243" s="98"/>
    </row>
    <row r="244" ht="20.25" spans="1:9">
      <c r="A244" s="98"/>
      <c r="B244" s="98"/>
      <c r="C244" s="98"/>
      <c r="D244" s="98"/>
      <c r="E244" s="98"/>
      <c r="F244" s="98"/>
      <c r="G244" s="98"/>
      <c r="H244" s="98"/>
      <c r="I244" s="98"/>
    </row>
    <row r="245" ht="20.25" spans="1:9">
      <c r="A245" s="98"/>
      <c r="B245" s="98"/>
      <c r="C245" s="98"/>
      <c r="D245" s="98"/>
      <c r="E245" s="98"/>
      <c r="F245" s="98"/>
      <c r="G245" s="98"/>
      <c r="H245" s="98"/>
      <c r="I245" s="98"/>
    </row>
    <row r="246" ht="20.25" spans="1:9">
      <c r="A246" s="98"/>
      <c r="B246" s="98"/>
      <c r="C246" s="98"/>
      <c r="D246" s="98"/>
      <c r="E246" s="98"/>
      <c r="F246" s="98"/>
      <c r="G246" s="98"/>
      <c r="H246" s="98"/>
      <c r="I246" s="98"/>
    </row>
    <row r="247" ht="20.25" spans="1:9">
      <c r="A247" s="98"/>
      <c r="B247" s="98"/>
      <c r="C247" s="98"/>
      <c r="D247" s="98"/>
      <c r="E247" s="98"/>
      <c r="F247" s="98"/>
      <c r="G247" s="98"/>
      <c r="H247" s="98"/>
      <c r="I247" s="98"/>
    </row>
    <row r="248" ht="20.25" spans="1:9">
      <c r="A248" s="98"/>
      <c r="B248" s="98"/>
      <c r="C248" s="98"/>
      <c r="D248" s="98"/>
      <c r="E248" s="98"/>
      <c r="F248" s="98"/>
      <c r="G248" s="98"/>
      <c r="H248" s="98"/>
      <c r="I248" s="98"/>
    </row>
    <row r="249" ht="20.25" spans="1:9">
      <c r="A249" s="98"/>
      <c r="B249" s="98"/>
      <c r="C249" s="98"/>
      <c r="D249" s="98"/>
      <c r="E249" s="98"/>
      <c r="F249" s="98"/>
      <c r="G249" s="98"/>
      <c r="H249" s="98"/>
      <c r="I249" s="98"/>
    </row>
    <row r="250" ht="20.25" spans="1:9">
      <c r="A250" s="98"/>
      <c r="B250" s="98"/>
      <c r="C250" s="98"/>
      <c r="D250" s="98"/>
      <c r="E250" s="98"/>
      <c r="F250" s="98"/>
      <c r="G250" s="98"/>
      <c r="H250" s="98"/>
      <c r="I250" s="98"/>
    </row>
    <row r="251" ht="20.25" spans="1:9">
      <c r="A251" s="98"/>
      <c r="B251" s="98"/>
      <c r="C251" s="98"/>
      <c r="D251" s="98"/>
      <c r="E251" s="98"/>
      <c r="F251" s="98"/>
      <c r="G251" s="98"/>
      <c r="H251" s="98"/>
      <c r="I251" s="98"/>
    </row>
    <row r="252" ht="20.25" spans="1:9">
      <c r="A252" s="98"/>
      <c r="B252" s="98"/>
      <c r="C252" s="98"/>
      <c r="D252" s="98"/>
      <c r="E252" s="98"/>
      <c r="F252" s="98"/>
      <c r="G252" s="98"/>
      <c r="H252" s="98"/>
      <c r="I252" s="98"/>
    </row>
    <row r="253" ht="20.25" spans="1:9">
      <c r="A253" s="98"/>
      <c r="B253" s="98"/>
      <c r="C253" s="98"/>
      <c r="D253" s="98"/>
      <c r="E253" s="98"/>
      <c r="F253" s="98"/>
      <c r="G253" s="98"/>
      <c r="H253" s="98"/>
      <c r="I253" s="98"/>
    </row>
    <row r="254" ht="20.25" spans="1:9">
      <c r="A254" s="98"/>
      <c r="B254" s="98"/>
      <c r="C254" s="98"/>
      <c r="D254" s="98"/>
      <c r="E254" s="98"/>
      <c r="F254" s="98"/>
      <c r="G254" s="98"/>
      <c r="H254" s="98"/>
      <c r="I254" s="98"/>
    </row>
    <row r="255" ht="20.25" spans="1:9">
      <c r="A255" s="98"/>
      <c r="B255" s="98"/>
      <c r="C255" s="98"/>
      <c r="D255" s="98"/>
      <c r="E255" s="98"/>
      <c r="F255" s="98"/>
      <c r="G255" s="98"/>
      <c r="H255" s="98"/>
      <c r="I255" s="98"/>
    </row>
    <row r="256" ht="20.25" spans="1:9">
      <c r="A256" s="98"/>
      <c r="B256" s="98"/>
      <c r="C256" s="98"/>
      <c r="D256" s="98"/>
      <c r="E256" s="98"/>
      <c r="F256" s="98"/>
      <c r="G256" s="98"/>
      <c r="H256" s="98"/>
      <c r="I256" s="98"/>
    </row>
    <row r="257" ht="20.25" spans="1:9">
      <c r="A257" s="98"/>
      <c r="B257" s="98"/>
      <c r="C257" s="98"/>
      <c r="D257" s="98"/>
      <c r="E257" s="98"/>
      <c r="F257" s="98"/>
      <c r="G257" s="98"/>
      <c r="H257" s="98"/>
      <c r="I257" s="98"/>
    </row>
    <row r="258" ht="20.25" spans="1:9">
      <c r="A258" s="98"/>
      <c r="B258" s="98"/>
      <c r="C258" s="98"/>
      <c r="D258" s="98"/>
      <c r="E258" s="98"/>
      <c r="F258" s="98"/>
      <c r="G258" s="98"/>
      <c r="H258" s="98"/>
      <c r="I258" s="98"/>
    </row>
    <row r="259" ht="20.25" spans="1:9">
      <c r="A259" s="98"/>
      <c r="B259" s="98"/>
      <c r="C259" s="98"/>
      <c r="D259" s="98"/>
      <c r="E259" s="98"/>
      <c r="F259" s="98"/>
      <c r="G259" s="98"/>
      <c r="H259" s="98"/>
      <c r="I259" s="98"/>
    </row>
    <row r="260" ht="20.25" spans="1:9">
      <c r="A260" s="98"/>
      <c r="B260" s="98"/>
      <c r="C260" s="98"/>
      <c r="D260" s="98"/>
      <c r="E260" s="98"/>
      <c r="F260" s="98"/>
      <c r="G260" s="98"/>
      <c r="H260" s="98"/>
      <c r="I260" s="98"/>
    </row>
    <row r="261" ht="20.25" spans="1:9">
      <c r="A261" s="98"/>
      <c r="B261" s="98"/>
      <c r="C261" s="98"/>
      <c r="D261" s="98"/>
      <c r="E261" s="98"/>
      <c r="F261" s="98"/>
      <c r="G261" s="98"/>
      <c r="H261" s="98"/>
      <c r="I261" s="98"/>
    </row>
    <row r="262" ht="20.25" spans="1:9">
      <c r="A262" s="98"/>
      <c r="B262" s="98"/>
      <c r="C262" s="98"/>
      <c r="D262" s="98"/>
      <c r="E262" s="98"/>
      <c r="F262" s="98"/>
      <c r="G262" s="98"/>
      <c r="H262" s="98"/>
      <c r="I262" s="98"/>
    </row>
    <row r="263" ht="20.25" spans="1:9">
      <c r="A263" s="98"/>
      <c r="B263" s="98"/>
      <c r="C263" s="98"/>
      <c r="D263" s="98"/>
      <c r="E263" s="98"/>
      <c r="F263" s="98"/>
      <c r="G263" s="98"/>
      <c r="H263" s="98"/>
      <c r="I263" s="98"/>
    </row>
    <row r="264" ht="20.25" spans="1:9">
      <c r="A264" s="98"/>
      <c r="B264" s="98"/>
      <c r="C264" s="98"/>
      <c r="D264" s="98"/>
      <c r="E264" s="98"/>
      <c r="F264" s="98"/>
      <c r="G264" s="98"/>
      <c r="H264" s="98"/>
      <c r="I264" s="98"/>
    </row>
    <row r="265" ht="20.25" spans="1:9">
      <c r="A265" s="98"/>
      <c r="B265" s="98"/>
      <c r="C265" s="98"/>
      <c r="D265" s="98"/>
      <c r="E265" s="98"/>
      <c r="F265" s="98"/>
      <c r="G265" s="98"/>
      <c r="H265" s="98"/>
      <c r="I265" s="98"/>
    </row>
    <row r="266" ht="20.25" spans="1:9">
      <c r="A266" s="98"/>
      <c r="B266" s="98"/>
      <c r="C266" s="98"/>
      <c r="D266" s="98"/>
      <c r="E266" s="98"/>
      <c r="F266" s="98"/>
      <c r="G266" s="98"/>
      <c r="H266" s="98"/>
      <c r="I266" s="98"/>
    </row>
    <row r="267" ht="20.25" spans="1:9">
      <c r="A267" s="98"/>
      <c r="B267" s="98"/>
      <c r="C267" s="98"/>
      <c r="D267" s="98"/>
      <c r="E267" s="98"/>
      <c r="F267" s="98"/>
      <c r="G267" s="98"/>
      <c r="H267" s="98"/>
      <c r="I267" s="98"/>
    </row>
    <row r="268" ht="20.25" spans="1:9">
      <c r="A268" s="98"/>
      <c r="B268" s="98"/>
      <c r="C268" s="98"/>
      <c r="D268" s="98"/>
      <c r="E268" s="98"/>
      <c r="F268" s="98"/>
      <c r="G268" s="98"/>
      <c r="H268" s="98"/>
      <c r="I268" s="98"/>
    </row>
    <row r="269" ht="20.25" spans="1:9">
      <c r="A269" s="98"/>
      <c r="B269" s="98"/>
      <c r="C269" s="98"/>
      <c r="D269" s="98"/>
      <c r="E269" s="98"/>
      <c r="F269" s="98"/>
      <c r="G269" s="98"/>
      <c r="H269" s="98"/>
      <c r="I269" s="98"/>
    </row>
    <row r="270" ht="20.25" spans="1:9">
      <c r="A270" s="98"/>
      <c r="B270" s="98"/>
      <c r="C270" s="98"/>
      <c r="D270" s="98"/>
      <c r="E270" s="98"/>
      <c r="F270" s="98"/>
      <c r="G270" s="98"/>
      <c r="H270" s="98"/>
      <c r="I270" s="98"/>
    </row>
    <row r="271" ht="20.25" spans="1:9">
      <c r="A271" s="98"/>
      <c r="B271" s="98"/>
      <c r="C271" s="98"/>
      <c r="D271" s="98"/>
      <c r="E271" s="98"/>
      <c r="F271" s="98"/>
      <c r="G271" s="98"/>
      <c r="H271" s="98"/>
      <c r="I271" s="98"/>
    </row>
    <row r="272" ht="20.25" spans="1:9">
      <c r="A272" s="98"/>
      <c r="B272" s="98"/>
      <c r="C272" s="98"/>
      <c r="D272" s="98"/>
      <c r="E272" s="98"/>
      <c r="F272" s="98"/>
      <c r="G272" s="98"/>
      <c r="H272" s="98"/>
      <c r="I272" s="98"/>
    </row>
    <row r="273" ht="20.25" spans="1:9">
      <c r="A273" s="98"/>
      <c r="B273" s="98"/>
      <c r="C273" s="98"/>
      <c r="D273" s="98"/>
      <c r="E273" s="98"/>
      <c r="F273" s="98"/>
      <c r="G273" s="98"/>
      <c r="H273" s="98"/>
      <c r="I273" s="98"/>
    </row>
    <row r="274" ht="20.25" spans="1:9">
      <c r="A274" s="98"/>
      <c r="B274" s="98"/>
      <c r="C274" s="98"/>
      <c r="D274" s="98"/>
      <c r="E274" s="98"/>
      <c r="F274" s="98"/>
      <c r="G274" s="98"/>
      <c r="H274" s="98"/>
      <c r="I274" s="98"/>
    </row>
    <row r="275" ht="20.25" spans="1:9">
      <c r="A275" s="98"/>
      <c r="B275" s="98"/>
      <c r="C275" s="98"/>
      <c r="D275" s="98"/>
      <c r="E275" s="98"/>
      <c r="F275" s="98"/>
      <c r="G275" s="98"/>
      <c r="H275" s="98"/>
      <c r="I275" s="98"/>
    </row>
    <row r="276" ht="20.25" spans="1:9">
      <c r="A276" s="98"/>
      <c r="B276" s="98"/>
      <c r="C276" s="98"/>
      <c r="D276" s="98"/>
      <c r="E276" s="98"/>
      <c r="F276" s="98"/>
      <c r="G276" s="98"/>
      <c r="H276" s="98"/>
      <c r="I276" s="98"/>
    </row>
    <row r="277" ht="20.25" spans="1:9">
      <c r="A277" s="98"/>
      <c r="B277" s="98"/>
      <c r="C277" s="98"/>
      <c r="D277" s="98"/>
      <c r="E277" s="98"/>
      <c r="F277" s="98"/>
      <c r="G277" s="98"/>
      <c r="H277" s="98"/>
      <c r="I277" s="98"/>
    </row>
    <row r="278" ht="20.25" spans="1:9">
      <c r="A278" s="98"/>
      <c r="B278" s="98"/>
      <c r="C278" s="98"/>
      <c r="D278" s="98"/>
      <c r="E278" s="98"/>
      <c r="F278" s="98"/>
      <c r="G278" s="98"/>
      <c r="H278" s="98"/>
      <c r="I278" s="98"/>
    </row>
    <row r="279" ht="20.25" spans="1:9">
      <c r="A279" s="98"/>
      <c r="B279" s="98"/>
      <c r="C279" s="98"/>
      <c r="D279" s="98"/>
      <c r="E279" s="98"/>
      <c r="F279" s="98"/>
      <c r="G279" s="98"/>
      <c r="H279" s="98"/>
      <c r="I279" s="98"/>
    </row>
    <row r="280" ht="20.25" spans="1:9">
      <c r="A280" s="98"/>
      <c r="B280" s="98"/>
      <c r="C280" s="98"/>
      <c r="D280" s="98"/>
      <c r="E280" s="98"/>
      <c r="F280" s="98"/>
      <c r="G280" s="98"/>
      <c r="H280" s="98"/>
      <c r="I280" s="98"/>
    </row>
    <row r="281" ht="20.25" spans="1:9">
      <c r="A281" s="98"/>
      <c r="B281" s="98"/>
      <c r="C281" s="98"/>
      <c r="D281" s="98"/>
      <c r="E281" s="98"/>
      <c r="F281" s="98"/>
      <c r="G281" s="98"/>
      <c r="H281" s="98"/>
      <c r="I281" s="98"/>
    </row>
    <row r="282" ht="20.25" spans="1:9">
      <c r="A282" s="98"/>
      <c r="B282" s="98"/>
      <c r="C282" s="98"/>
      <c r="D282" s="98"/>
      <c r="E282" s="98"/>
      <c r="F282" s="98"/>
      <c r="G282" s="98"/>
      <c r="H282" s="98"/>
      <c r="I282" s="98"/>
    </row>
    <row r="283" ht="20.25" spans="1:9">
      <c r="A283" s="98"/>
      <c r="B283" s="98"/>
      <c r="C283" s="98"/>
      <c r="D283" s="98"/>
      <c r="E283" s="98"/>
      <c r="F283" s="98"/>
      <c r="G283" s="98"/>
      <c r="H283" s="98"/>
      <c r="I283" s="98"/>
    </row>
    <row r="284" ht="20.25" spans="1:9">
      <c r="A284" s="98"/>
      <c r="B284" s="98"/>
      <c r="C284" s="98"/>
      <c r="D284" s="98"/>
      <c r="E284" s="98"/>
      <c r="F284" s="98"/>
      <c r="G284" s="98"/>
      <c r="H284" s="98"/>
      <c r="I284" s="98"/>
    </row>
    <row r="285" ht="20.25" spans="1:9">
      <c r="A285" s="98"/>
      <c r="B285" s="98"/>
      <c r="C285" s="98"/>
      <c r="D285" s="98"/>
      <c r="E285" s="98"/>
      <c r="F285" s="98"/>
      <c r="G285" s="98"/>
      <c r="H285" s="98"/>
      <c r="I285" s="98"/>
    </row>
    <row r="286" ht="20.25" spans="1:9">
      <c r="A286" s="98"/>
      <c r="B286" s="98"/>
      <c r="C286" s="98"/>
      <c r="D286" s="98"/>
      <c r="E286" s="98"/>
      <c r="F286" s="98"/>
      <c r="G286" s="98"/>
      <c r="H286" s="98"/>
      <c r="I286" s="98"/>
    </row>
    <row r="287" ht="20.25" spans="1:9">
      <c r="A287" s="98"/>
      <c r="B287" s="98"/>
      <c r="C287" s="98"/>
      <c r="D287" s="98"/>
      <c r="E287" s="98"/>
      <c r="F287" s="98"/>
      <c r="G287" s="98"/>
      <c r="H287" s="98"/>
      <c r="I287" s="98"/>
    </row>
    <row r="288" ht="20.25" spans="1:9">
      <c r="A288" s="98"/>
      <c r="B288" s="98"/>
      <c r="C288" s="98"/>
      <c r="D288" s="98"/>
      <c r="E288" s="98"/>
      <c r="F288" s="98"/>
      <c r="G288" s="98"/>
      <c r="H288" s="98"/>
      <c r="I288" s="98"/>
    </row>
    <row r="289" ht="20.25" spans="1:9">
      <c r="A289" s="98"/>
      <c r="B289" s="98"/>
      <c r="C289" s="98"/>
      <c r="D289" s="98"/>
      <c r="E289" s="98"/>
      <c r="F289" s="98"/>
      <c r="G289" s="98"/>
      <c r="H289" s="98"/>
      <c r="I289" s="98"/>
    </row>
    <row r="290" ht="20.25" spans="1:9">
      <c r="A290" s="98"/>
      <c r="B290" s="98"/>
      <c r="C290" s="98"/>
      <c r="D290" s="98"/>
      <c r="E290" s="98"/>
      <c r="F290" s="98"/>
      <c r="G290" s="98"/>
      <c r="H290" s="98"/>
      <c r="I290" s="98"/>
    </row>
    <row r="291" ht="20.25" spans="1:9">
      <c r="A291" s="98"/>
      <c r="B291" s="98"/>
      <c r="C291" s="98"/>
      <c r="D291" s="98"/>
      <c r="E291" s="98"/>
      <c r="F291" s="98"/>
      <c r="G291" s="98"/>
      <c r="H291" s="98"/>
      <c r="I291" s="98"/>
    </row>
    <row r="292" ht="20.25" spans="1:9">
      <c r="A292" s="98"/>
      <c r="B292" s="98"/>
      <c r="C292" s="98"/>
      <c r="D292" s="98"/>
      <c r="E292" s="98"/>
      <c r="F292" s="98"/>
      <c r="G292" s="98"/>
      <c r="H292" s="98"/>
      <c r="I292" s="98"/>
    </row>
    <row r="293" ht="20.25" spans="1:9">
      <c r="A293" s="98"/>
      <c r="B293" s="98"/>
      <c r="C293" s="98"/>
      <c r="D293" s="98"/>
      <c r="E293" s="98"/>
      <c r="F293" s="98"/>
      <c r="G293" s="98"/>
      <c r="H293" s="98"/>
      <c r="I293" s="98"/>
    </row>
    <row r="294" ht="20.25" spans="1:9">
      <c r="A294" s="98"/>
      <c r="B294" s="98"/>
      <c r="C294" s="98"/>
      <c r="D294" s="98"/>
      <c r="E294" s="98"/>
      <c r="F294" s="98"/>
      <c r="G294" s="98"/>
      <c r="H294" s="98"/>
      <c r="I294" s="98"/>
    </row>
    <row r="295" ht="20.25" spans="1:9">
      <c r="A295" s="98"/>
      <c r="B295" s="98"/>
      <c r="C295" s="98"/>
      <c r="D295" s="98"/>
      <c r="E295" s="98"/>
      <c r="F295" s="98"/>
      <c r="G295" s="98"/>
      <c r="H295" s="98"/>
      <c r="I295" s="98"/>
    </row>
    <row r="296" ht="20.25" spans="1:9">
      <c r="A296" s="98"/>
      <c r="B296" s="98"/>
      <c r="C296" s="98"/>
      <c r="D296" s="98"/>
      <c r="E296" s="98"/>
      <c r="F296" s="98"/>
      <c r="G296" s="98"/>
      <c r="H296" s="98"/>
      <c r="I296" s="98"/>
    </row>
    <row r="297" ht="20.25" spans="1:9">
      <c r="A297" s="98"/>
      <c r="B297" s="98"/>
      <c r="C297" s="98"/>
      <c r="D297" s="98"/>
      <c r="E297" s="98"/>
      <c r="F297" s="98"/>
      <c r="G297" s="98"/>
      <c r="H297" s="98"/>
      <c r="I297" s="98"/>
    </row>
    <row r="298" ht="20.25" spans="1:9">
      <c r="A298" s="98"/>
      <c r="B298" s="98"/>
      <c r="C298" s="98"/>
      <c r="D298" s="98"/>
      <c r="E298" s="98"/>
      <c r="F298" s="98"/>
      <c r="G298" s="98"/>
      <c r="H298" s="98"/>
      <c r="I298" s="98"/>
    </row>
    <row r="299" ht="20.25" spans="1:9">
      <c r="A299" s="98"/>
      <c r="B299" s="98"/>
      <c r="C299" s="98"/>
      <c r="D299" s="98"/>
      <c r="E299" s="98"/>
      <c r="F299" s="98"/>
      <c r="G299" s="98"/>
      <c r="H299" s="98"/>
      <c r="I299" s="98"/>
    </row>
    <row r="300" ht="20.25" spans="1:9">
      <c r="A300" s="98"/>
      <c r="B300" s="98"/>
      <c r="C300" s="98"/>
      <c r="D300" s="98"/>
      <c r="E300" s="98"/>
      <c r="F300" s="98"/>
      <c r="G300" s="98"/>
      <c r="H300" s="98"/>
      <c r="I300" s="98"/>
    </row>
    <row r="301" ht="20.25" spans="1:9">
      <c r="A301" s="98"/>
      <c r="B301" s="98"/>
      <c r="C301" s="98"/>
      <c r="D301" s="98"/>
      <c r="E301" s="98"/>
      <c r="F301" s="98"/>
      <c r="G301" s="98"/>
      <c r="H301" s="98"/>
      <c r="I301" s="98"/>
    </row>
    <row r="302" ht="20.25" spans="1:9">
      <c r="A302" s="98"/>
      <c r="B302" s="98"/>
      <c r="C302" s="98"/>
      <c r="D302" s="98"/>
      <c r="E302" s="98"/>
      <c r="F302" s="98"/>
      <c r="G302" s="98"/>
      <c r="H302" s="98"/>
      <c r="I302" s="98"/>
    </row>
    <row r="303" ht="20.25" spans="1:9">
      <c r="A303" s="98"/>
      <c r="B303" s="98"/>
      <c r="C303" s="98"/>
      <c r="D303" s="98"/>
      <c r="E303" s="98"/>
      <c r="F303" s="98"/>
      <c r="G303" s="98"/>
      <c r="H303" s="98"/>
      <c r="I303" s="98"/>
    </row>
    <row r="304" ht="20.25" spans="1:9">
      <c r="A304" s="98"/>
      <c r="B304" s="98"/>
      <c r="C304" s="98"/>
      <c r="D304" s="98"/>
      <c r="E304" s="98"/>
      <c r="F304" s="98"/>
      <c r="G304" s="98"/>
      <c r="H304" s="98"/>
      <c r="I304" s="98"/>
    </row>
    <row r="305" ht="20.25" spans="1:9">
      <c r="A305" s="98"/>
      <c r="B305" s="98"/>
      <c r="C305" s="98"/>
      <c r="D305" s="98"/>
      <c r="E305" s="98"/>
      <c r="F305" s="98"/>
      <c r="G305" s="98"/>
      <c r="H305" s="98"/>
      <c r="I305" s="98"/>
    </row>
    <row r="306" ht="20.25" spans="1:9">
      <c r="A306" s="98"/>
      <c r="B306" s="98"/>
      <c r="C306" s="98"/>
      <c r="D306" s="98"/>
      <c r="E306" s="98"/>
      <c r="F306" s="98"/>
      <c r="G306" s="98"/>
      <c r="H306" s="98"/>
      <c r="I306" s="98"/>
    </row>
    <row r="307" ht="20.25" spans="1:9">
      <c r="A307" s="98"/>
      <c r="B307" s="98"/>
      <c r="C307" s="98"/>
      <c r="D307" s="98"/>
      <c r="E307" s="98"/>
      <c r="F307" s="98"/>
      <c r="G307" s="98"/>
      <c r="H307" s="98"/>
      <c r="I307" s="98"/>
    </row>
    <row r="308" ht="20.25" spans="1:9">
      <c r="A308" s="98"/>
      <c r="B308" s="98"/>
      <c r="C308" s="98"/>
      <c r="D308" s="98"/>
      <c r="E308" s="98"/>
      <c r="F308" s="98"/>
      <c r="G308" s="98"/>
      <c r="H308" s="98"/>
      <c r="I308" s="98"/>
    </row>
    <row r="309" ht="20.25" spans="1:9">
      <c r="A309" s="98"/>
      <c r="B309" s="98"/>
      <c r="C309" s="98"/>
      <c r="D309" s="98"/>
      <c r="E309" s="98"/>
      <c r="F309" s="98"/>
      <c r="G309" s="98"/>
      <c r="H309" s="98"/>
      <c r="I309" s="98"/>
    </row>
    <row r="310" ht="20.25" spans="1:9">
      <c r="A310" s="98"/>
      <c r="B310" s="98"/>
      <c r="C310" s="98"/>
      <c r="D310" s="98"/>
      <c r="E310" s="98"/>
      <c r="F310" s="98"/>
      <c r="G310" s="98"/>
      <c r="H310" s="98"/>
      <c r="I310" s="98"/>
    </row>
    <row r="311" ht="20.25" spans="1:9">
      <c r="A311" s="98"/>
      <c r="B311" s="98"/>
      <c r="C311" s="98"/>
      <c r="D311" s="98"/>
      <c r="E311" s="98"/>
      <c r="F311" s="98"/>
      <c r="G311" s="98"/>
      <c r="H311" s="98"/>
      <c r="I311" s="98"/>
    </row>
    <row r="312" ht="20.25" spans="1:9">
      <c r="A312" s="98"/>
      <c r="B312" s="98"/>
      <c r="C312" s="98"/>
      <c r="D312" s="98"/>
      <c r="E312" s="98"/>
      <c r="F312" s="98"/>
      <c r="G312" s="98"/>
      <c r="H312" s="98"/>
      <c r="I312" s="98"/>
    </row>
    <row r="313" ht="20.25" spans="1:9">
      <c r="A313" s="98"/>
      <c r="B313" s="98"/>
      <c r="C313" s="98"/>
      <c r="D313" s="98"/>
      <c r="E313" s="98"/>
      <c r="F313" s="98"/>
      <c r="G313" s="98"/>
      <c r="H313" s="98"/>
      <c r="I313" s="98"/>
    </row>
    <row r="314" ht="20.25" spans="1:9">
      <c r="A314" s="98"/>
      <c r="B314" s="98"/>
      <c r="C314" s="98"/>
      <c r="D314" s="98"/>
      <c r="E314" s="98"/>
      <c r="F314" s="98"/>
      <c r="G314" s="98"/>
      <c r="H314" s="98"/>
      <c r="I314" s="98"/>
    </row>
    <row r="315" ht="20.25" spans="1:9">
      <c r="A315" s="98"/>
      <c r="B315" s="98"/>
      <c r="C315" s="98"/>
      <c r="D315" s="98"/>
      <c r="E315" s="98"/>
      <c r="F315" s="98"/>
      <c r="G315" s="98"/>
      <c r="H315" s="98"/>
      <c r="I315" s="98"/>
    </row>
    <row r="316" ht="20.25" spans="1:9">
      <c r="A316" s="98"/>
      <c r="B316" s="98"/>
      <c r="C316" s="98"/>
      <c r="D316" s="98"/>
      <c r="E316" s="98"/>
      <c r="F316" s="98"/>
      <c r="G316" s="98"/>
      <c r="H316" s="98"/>
      <c r="I316" s="98"/>
    </row>
    <row r="317" ht="20.25" spans="1:9">
      <c r="A317" s="98"/>
      <c r="B317" s="98"/>
      <c r="C317" s="98"/>
      <c r="D317" s="98"/>
      <c r="E317" s="98"/>
      <c r="F317" s="98"/>
      <c r="G317" s="98"/>
      <c r="H317" s="98"/>
      <c r="I317" s="98"/>
    </row>
    <row r="318" ht="20.25" spans="1:9">
      <c r="A318" s="98"/>
      <c r="B318" s="98"/>
      <c r="C318" s="98"/>
      <c r="D318" s="98"/>
      <c r="E318" s="98"/>
      <c r="F318" s="98"/>
      <c r="G318" s="98"/>
      <c r="H318" s="98"/>
      <c r="I318" s="98"/>
    </row>
    <row r="319" ht="20.25" spans="1:9">
      <c r="A319" s="98"/>
      <c r="B319" s="98"/>
      <c r="C319" s="98"/>
      <c r="D319" s="98"/>
      <c r="E319" s="98"/>
      <c r="F319" s="98"/>
      <c r="G319" s="98"/>
      <c r="H319" s="98"/>
      <c r="I319" s="98"/>
    </row>
    <row r="320" ht="20.25" spans="1:9">
      <c r="A320" s="98"/>
      <c r="B320" s="98"/>
      <c r="C320" s="98"/>
      <c r="D320" s="98"/>
      <c r="E320" s="98"/>
      <c r="F320" s="98"/>
      <c r="G320" s="98"/>
      <c r="H320" s="98"/>
      <c r="I320" s="98"/>
    </row>
    <row r="321" ht="20.25" spans="1:9">
      <c r="A321" s="98"/>
      <c r="B321" s="98"/>
      <c r="C321" s="98"/>
      <c r="D321" s="98"/>
      <c r="E321" s="98"/>
      <c r="F321" s="98"/>
      <c r="G321" s="98"/>
      <c r="H321" s="98"/>
      <c r="I321" s="98"/>
    </row>
    <row r="322" ht="20.25" spans="1:9">
      <c r="A322" s="98"/>
      <c r="B322" s="98"/>
      <c r="C322" s="98"/>
      <c r="D322" s="98"/>
      <c r="E322" s="98"/>
      <c r="F322" s="98"/>
      <c r="G322" s="98"/>
      <c r="H322" s="98"/>
      <c r="I322" s="98"/>
    </row>
    <row r="323" ht="20.25" spans="1:9">
      <c r="A323" s="98"/>
      <c r="B323" s="98"/>
      <c r="C323" s="98"/>
      <c r="D323" s="98"/>
      <c r="E323" s="98"/>
      <c r="F323" s="98"/>
      <c r="G323" s="98"/>
      <c r="H323" s="98"/>
      <c r="I323" s="98"/>
    </row>
    <row r="324" ht="20.25" spans="1:9">
      <c r="A324" s="98"/>
      <c r="B324" s="98"/>
      <c r="C324" s="98"/>
      <c r="D324" s="98"/>
      <c r="E324" s="98"/>
      <c r="F324" s="98"/>
      <c r="G324" s="98"/>
      <c r="H324" s="98"/>
      <c r="I324" s="98"/>
    </row>
    <row r="325" ht="20.25" spans="1:9">
      <c r="A325" s="98"/>
      <c r="B325" s="98"/>
      <c r="C325" s="98"/>
      <c r="D325" s="98"/>
      <c r="E325" s="98"/>
      <c r="F325" s="98"/>
      <c r="G325" s="98"/>
      <c r="H325" s="98"/>
      <c r="I325" s="98"/>
    </row>
    <row r="326" ht="20.25" spans="1:9">
      <c r="A326" s="98"/>
      <c r="B326" s="98"/>
      <c r="C326" s="98"/>
      <c r="D326" s="98"/>
      <c r="E326" s="98"/>
      <c r="F326" s="98"/>
      <c r="G326" s="98"/>
      <c r="H326" s="98"/>
      <c r="I326" s="98"/>
    </row>
    <row r="327" ht="20.25" spans="1:9">
      <c r="A327" s="98"/>
      <c r="B327" s="98"/>
      <c r="C327" s="98"/>
      <c r="D327" s="98"/>
      <c r="E327" s="98"/>
      <c r="F327" s="98"/>
      <c r="G327" s="98"/>
      <c r="H327" s="98"/>
      <c r="I327" s="98"/>
    </row>
    <row r="328" ht="20.25" spans="1:9">
      <c r="A328" s="98"/>
      <c r="B328" s="98"/>
      <c r="C328" s="98"/>
      <c r="D328" s="98"/>
      <c r="E328" s="98"/>
      <c r="F328" s="98"/>
      <c r="G328" s="98"/>
      <c r="H328" s="98"/>
      <c r="I328" s="98"/>
    </row>
    <row r="329" ht="20.25" spans="1:9">
      <c r="A329" s="98"/>
      <c r="B329" s="98"/>
      <c r="C329" s="98"/>
      <c r="D329" s="98"/>
      <c r="E329" s="98"/>
      <c r="F329" s="98"/>
      <c r="G329" s="98"/>
      <c r="H329" s="98"/>
      <c r="I329" s="98"/>
    </row>
    <row r="330" ht="20.25" spans="1:9">
      <c r="A330" s="98"/>
      <c r="B330" s="98"/>
      <c r="C330" s="98"/>
      <c r="D330" s="98"/>
      <c r="E330" s="98"/>
      <c r="F330" s="98"/>
      <c r="G330" s="98"/>
      <c r="H330" s="98"/>
      <c r="I330" s="98"/>
    </row>
    <row r="331" ht="20.25" spans="1:9">
      <c r="A331" s="98"/>
      <c r="B331" s="98"/>
      <c r="C331" s="98"/>
      <c r="D331" s="98"/>
      <c r="E331" s="98"/>
      <c r="F331" s="98"/>
      <c r="G331" s="98"/>
      <c r="H331" s="98"/>
      <c r="I331" s="98"/>
    </row>
    <row r="332" ht="20.25" spans="1:9">
      <c r="A332" s="98"/>
      <c r="B332" s="98"/>
      <c r="C332" s="98"/>
      <c r="D332" s="98"/>
      <c r="E332" s="98"/>
      <c r="F332" s="98"/>
      <c r="G332" s="98"/>
      <c r="H332" s="98"/>
      <c r="I332" s="98"/>
    </row>
    <row r="333" ht="20.25" spans="1:9">
      <c r="A333" s="98"/>
      <c r="B333" s="98"/>
      <c r="C333" s="98"/>
      <c r="D333" s="98"/>
      <c r="E333" s="98"/>
      <c r="F333" s="98"/>
      <c r="G333" s="98"/>
      <c r="H333" s="98"/>
      <c r="I333" s="98"/>
    </row>
    <row r="334" ht="20.25" spans="1:9">
      <c r="A334" s="98"/>
      <c r="B334" s="98"/>
      <c r="C334" s="98"/>
      <c r="D334" s="98"/>
      <c r="E334" s="98"/>
      <c r="F334" s="98"/>
      <c r="G334" s="98"/>
      <c r="H334" s="98"/>
      <c r="I334" s="98"/>
    </row>
    <row r="335" ht="20.25" spans="1:9">
      <c r="A335" s="98"/>
      <c r="B335" s="98"/>
      <c r="C335" s="98"/>
      <c r="D335" s="98"/>
      <c r="E335" s="98"/>
      <c r="F335" s="98"/>
      <c r="G335" s="98"/>
      <c r="H335" s="98"/>
      <c r="I335" s="98"/>
    </row>
    <row r="336" ht="20.25" spans="1:9">
      <c r="A336" s="98"/>
      <c r="B336" s="98"/>
      <c r="C336" s="98"/>
      <c r="D336" s="98"/>
      <c r="E336" s="98"/>
      <c r="F336" s="98"/>
      <c r="G336" s="98"/>
      <c r="H336" s="98"/>
      <c r="I336" s="98"/>
    </row>
    <row r="337" ht="20.25" spans="1:9">
      <c r="A337" s="98"/>
      <c r="B337" s="98"/>
      <c r="C337" s="98"/>
      <c r="D337" s="98"/>
      <c r="E337" s="98"/>
      <c r="F337" s="98"/>
      <c r="G337" s="98"/>
      <c r="H337" s="98"/>
      <c r="I337" s="98"/>
    </row>
    <row r="338" ht="20.25" spans="1:9">
      <c r="A338" s="98"/>
      <c r="B338" s="98"/>
      <c r="C338" s="98"/>
      <c r="D338" s="98"/>
      <c r="E338" s="98"/>
      <c r="F338" s="98"/>
      <c r="G338" s="98"/>
      <c r="H338" s="98"/>
      <c r="I338" s="98"/>
    </row>
    <row r="339" ht="20.25" spans="1:9">
      <c r="A339" s="98"/>
      <c r="B339" s="98"/>
      <c r="C339" s="98"/>
      <c r="D339" s="98"/>
      <c r="E339" s="98"/>
      <c r="F339" s="98"/>
      <c r="G339" s="98"/>
      <c r="H339" s="98"/>
      <c r="I339" s="98"/>
    </row>
    <row r="340" ht="20.25" spans="1:9">
      <c r="A340" s="98"/>
      <c r="B340" s="98"/>
      <c r="C340" s="98"/>
      <c r="D340" s="98"/>
      <c r="E340" s="98"/>
      <c r="F340" s="98"/>
      <c r="G340" s="98"/>
      <c r="H340" s="98"/>
      <c r="I340" s="98"/>
    </row>
    <row r="341" ht="20.25" spans="1:9">
      <c r="A341" s="98"/>
      <c r="B341" s="98"/>
      <c r="C341" s="98"/>
      <c r="D341" s="98"/>
      <c r="E341" s="98"/>
      <c r="F341" s="98"/>
      <c r="G341" s="98"/>
      <c r="H341" s="98"/>
      <c r="I341" s="98"/>
    </row>
    <row r="342" ht="20.25" spans="1:9">
      <c r="A342" s="98"/>
      <c r="B342" s="98"/>
      <c r="C342" s="98"/>
      <c r="D342" s="98"/>
      <c r="E342" s="98"/>
      <c r="F342" s="98"/>
      <c r="G342" s="98"/>
      <c r="H342" s="98"/>
      <c r="I342" s="98"/>
    </row>
    <row r="343" ht="20.25" spans="1:9">
      <c r="A343" s="98"/>
      <c r="B343" s="98"/>
      <c r="C343" s="98"/>
      <c r="D343" s="98"/>
      <c r="E343" s="98"/>
      <c r="F343" s="98"/>
      <c r="G343" s="98"/>
      <c r="H343" s="98"/>
      <c r="I343" s="98"/>
    </row>
    <row r="344" ht="20.25" spans="1:9">
      <c r="A344" s="98"/>
      <c r="B344" s="98"/>
      <c r="C344" s="98"/>
      <c r="D344" s="98"/>
      <c r="E344" s="98"/>
      <c r="F344" s="98"/>
      <c r="G344" s="98"/>
      <c r="H344" s="98"/>
      <c r="I344" s="98"/>
    </row>
    <row r="345" ht="20.25" spans="1:9">
      <c r="A345" s="98"/>
      <c r="B345" s="98"/>
      <c r="C345" s="98"/>
      <c r="D345" s="98"/>
      <c r="E345" s="98"/>
      <c r="F345" s="98"/>
      <c r="G345" s="98"/>
      <c r="H345" s="98"/>
      <c r="I345" s="98"/>
    </row>
    <row r="346" ht="20.25" spans="1:9">
      <c r="A346" s="98"/>
      <c r="B346" s="98"/>
      <c r="C346" s="98"/>
      <c r="D346" s="98"/>
      <c r="E346" s="98"/>
      <c r="F346" s="98"/>
      <c r="G346" s="98"/>
      <c r="H346" s="98"/>
      <c r="I346" s="98"/>
    </row>
    <row r="347" ht="20.25" spans="1:9">
      <c r="A347" s="98"/>
      <c r="B347" s="98"/>
      <c r="C347" s="98"/>
      <c r="D347" s="98"/>
      <c r="E347" s="98"/>
      <c r="F347" s="98"/>
      <c r="G347" s="98"/>
      <c r="H347" s="98"/>
      <c r="I347" s="98"/>
    </row>
    <row r="348" ht="20.25" spans="1:9">
      <c r="A348" s="98"/>
      <c r="B348" s="98"/>
      <c r="C348" s="98"/>
      <c r="D348" s="98"/>
      <c r="E348" s="98"/>
      <c r="F348" s="98"/>
      <c r="G348" s="98"/>
      <c r="H348" s="98"/>
      <c r="I348" s="98"/>
    </row>
    <row r="349" ht="20.25" spans="1:9">
      <c r="A349" s="98"/>
      <c r="B349" s="98"/>
      <c r="C349" s="98"/>
      <c r="D349" s="98"/>
      <c r="E349" s="98"/>
      <c r="F349" s="98"/>
      <c r="G349" s="98"/>
      <c r="H349" s="98"/>
      <c r="I349" s="98"/>
    </row>
    <row r="350" ht="20.25" spans="1:9">
      <c r="A350" s="98"/>
      <c r="B350" s="98"/>
      <c r="C350" s="98"/>
      <c r="D350" s="98"/>
      <c r="E350" s="98"/>
      <c r="F350" s="98"/>
      <c r="G350" s="98"/>
      <c r="H350" s="98"/>
      <c r="I350" s="98"/>
    </row>
    <row r="351" ht="20.25" spans="1:9">
      <c r="A351" s="98"/>
      <c r="B351" s="98"/>
      <c r="C351" s="98"/>
      <c r="D351" s="98"/>
      <c r="E351" s="98"/>
      <c r="F351" s="98"/>
      <c r="G351" s="98"/>
      <c r="H351" s="98"/>
      <c r="I351" s="98"/>
    </row>
    <row r="352" ht="20.25" spans="1:9">
      <c r="A352" s="98"/>
      <c r="B352" s="98"/>
      <c r="C352" s="98"/>
      <c r="D352" s="98"/>
      <c r="E352" s="98"/>
      <c r="F352" s="98"/>
      <c r="G352" s="98"/>
      <c r="H352" s="98"/>
      <c r="I352" s="98"/>
    </row>
    <row r="353" ht="20.25" spans="1:9">
      <c r="A353" s="98"/>
      <c r="B353" s="98"/>
      <c r="C353" s="98"/>
      <c r="D353" s="98"/>
      <c r="E353" s="98"/>
      <c r="F353" s="98"/>
      <c r="G353" s="98"/>
      <c r="H353" s="98"/>
      <c r="I353" s="98"/>
    </row>
    <row r="354" ht="20.25" spans="1:9">
      <c r="A354" s="98"/>
      <c r="B354" s="98"/>
      <c r="C354" s="98"/>
      <c r="D354" s="98"/>
      <c r="E354" s="98"/>
      <c r="F354" s="98"/>
      <c r="G354" s="98"/>
      <c r="H354" s="98"/>
      <c r="I354" s="98"/>
    </row>
    <row r="355" ht="20.25" spans="1:9">
      <c r="A355" s="98"/>
      <c r="B355" s="98"/>
      <c r="C355" s="98"/>
      <c r="D355" s="98"/>
      <c r="E355" s="98"/>
      <c r="F355" s="98"/>
      <c r="G355" s="98"/>
      <c r="H355" s="98"/>
      <c r="I355" s="98"/>
    </row>
    <row r="356" ht="20.25" spans="1:9">
      <c r="A356" s="98"/>
      <c r="B356" s="98"/>
      <c r="C356" s="98"/>
      <c r="D356" s="98"/>
      <c r="E356" s="98"/>
      <c r="F356" s="98"/>
      <c r="G356" s="98"/>
      <c r="H356" s="98"/>
      <c r="I356" s="98"/>
    </row>
    <row r="357" ht="20.25" spans="1:9">
      <c r="A357" s="98"/>
      <c r="B357" s="98"/>
      <c r="C357" s="98"/>
      <c r="D357" s="98"/>
      <c r="E357" s="98"/>
      <c r="F357" s="98"/>
      <c r="G357" s="98"/>
      <c r="H357" s="98"/>
      <c r="I357" s="98"/>
    </row>
    <row r="358" ht="20.25" spans="1:9">
      <c r="A358" s="98"/>
      <c r="B358" s="98"/>
      <c r="C358" s="98"/>
      <c r="D358" s="98"/>
      <c r="E358" s="98"/>
      <c r="F358" s="98"/>
      <c r="G358" s="98"/>
      <c r="H358" s="98"/>
      <c r="I358" s="98"/>
    </row>
    <row r="359" ht="20.25" spans="1:9">
      <c r="A359" s="98"/>
      <c r="B359" s="98"/>
      <c r="C359" s="98"/>
      <c r="D359" s="98"/>
      <c r="E359" s="98"/>
      <c r="F359" s="98"/>
      <c r="G359" s="98"/>
      <c r="H359" s="98"/>
      <c r="I359" s="98"/>
    </row>
    <row r="360" ht="20.25" spans="1:9">
      <c r="A360" s="98"/>
      <c r="B360" s="98"/>
      <c r="C360" s="98"/>
      <c r="D360" s="98"/>
      <c r="E360" s="98"/>
      <c r="F360" s="98"/>
      <c r="G360" s="98"/>
      <c r="H360" s="98"/>
      <c r="I360" s="98"/>
    </row>
    <row r="361" ht="20.25" spans="1:9">
      <c r="A361" s="98"/>
      <c r="B361" s="98"/>
      <c r="C361" s="98"/>
      <c r="D361" s="98"/>
      <c r="E361" s="98"/>
      <c r="F361" s="98"/>
      <c r="G361" s="98"/>
      <c r="H361" s="98"/>
      <c r="I361" s="98"/>
    </row>
    <row r="362" ht="20.25" spans="1:9">
      <c r="A362" s="98"/>
      <c r="B362" s="98"/>
      <c r="C362" s="98"/>
      <c r="D362" s="98"/>
      <c r="E362" s="98"/>
      <c r="F362" s="98"/>
      <c r="G362" s="98"/>
      <c r="H362" s="98"/>
      <c r="I362" s="98"/>
    </row>
    <row r="363" ht="20.25" spans="1:9">
      <c r="A363" s="98"/>
      <c r="B363" s="98"/>
      <c r="C363" s="98"/>
      <c r="D363" s="98"/>
      <c r="E363" s="98"/>
      <c r="F363" s="98"/>
      <c r="G363" s="98"/>
      <c r="H363" s="98"/>
      <c r="I363" s="98"/>
    </row>
    <row r="364" ht="20.25" spans="1:9">
      <c r="A364" s="98"/>
      <c r="B364" s="98"/>
      <c r="C364" s="98"/>
      <c r="D364" s="98"/>
      <c r="E364" s="98"/>
      <c r="F364" s="98"/>
      <c r="G364" s="98"/>
      <c r="H364" s="98"/>
      <c r="I364" s="98"/>
    </row>
    <row r="365" ht="20.25" spans="1:9">
      <c r="A365" s="98"/>
      <c r="B365" s="98"/>
      <c r="C365" s="98"/>
      <c r="D365" s="98"/>
      <c r="E365" s="98"/>
      <c r="F365" s="98"/>
      <c r="G365" s="98"/>
      <c r="H365" s="98"/>
      <c r="I365" s="98"/>
    </row>
    <row r="366" ht="20.25" spans="1:9">
      <c r="A366" s="98"/>
      <c r="B366" s="98"/>
      <c r="C366" s="98"/>
      <c r="D366" s="98"/>
      <c r="E366" s="98"/>
      <c r="F366" s="98"/>
      <c r="G366" s="98"/>
      <c r="H366" s="98"/>
      <c r="I366" s="98"/>
    </row>
    <row r="367" ht="20.25" spans="1:9">
      <c r="A367" s="98"/>
      <c r="B367" s="98"/>
      <c r="C367" s="98"/>
      <c r="D367" s="98"/>
      <c r="E367" s="98"/>
      <c r="F367" s="98"/>
      <c r="G367" s="98"/>
      <c r="H367" s="98"/>
      <c r="I367" s="98"/>
    </row>
    <row r="368" ht="20.25" spans="1:9">
      <c r="A368" s="98"/>
      <c r="B368" s="98"/>
      <c r="C368" s="98"/>
      <c r="D368" s="98"/>
      <c r="E368" s="98"/>
      <c r="F368" s="98"/>
      <c r="G368" s="98"/>
      <c r="H368" s="98"/>
      <c r="I368" s="98"/>
    </row>
    <row r="369" ht="20.25" spans="1:9">
      <c r="A369" s="98"/>
      <c r="B369" s="98"/>
      <c r="C369" s="98"/>
      <c r="D369" s="98"/>
      <c r="E369" s="98"/>
      <c r="F369" s="98"/>
      <c r="G369" s="98"/>
      <c r="H369" s="98"/>
      <c r="I369" s="98"/>
    </row>
    <row r="370" ht="20.25" spans="1:9">
      <c r="A370" s="98"/>
      <c r="B370" s="98"/>
      <c r="C370" s="98"/>
      <c r="D370" s="98"/>
      <c r="E370" s="98"/>
      <c r="F370" s="98"/>
      <c r="G370" s="98"/>
      <c r="H370" s="98"/>
      <c r="I370" s="98"/>
    </row>
    <row r="371" ht="20.25" spans="1:9">
      <c r="A371" s="98"/>
      <c r="B371" s="98"/>
      <c r="C371" s="98"/>
      <c r="D371" s="98"/>
      <c r="E371" s="98"/>
      <c r="F371" s="98"/>
      <c r="G371" s="98"/>
      <c r="H371" s="98"/>
      <c r="I371" s="98"/>
    </row>
    <row r="372" ht="20.25" spans="1:9">
      <c r="A372" s="98"/>
      <c r="B372" s="98"/>
      <c r="C372" s="98"/>
      <c r="D372" s="98"/>
      <c r="E372" s="98"/>
      <c r="F372" s="98"/>
      <c r="G372" s="98"/>
      <c r="H372" s="98"/>
      <c r="I372" s="98"/>
    </row>
    <row r="373" ht="20.25" spans="1:9">
      <c r="A373" s="98"/>
      <c r="B373" s="98"/>
      <c r="C373" s="98"/>
      <c r="D373" s="98"/>
      <c r="E373" s="98"/>
      <c r="F373" s="98"/>
      <c r="G373" s="98"/>
      <c r="H373" s="98"/>
      <c r="I373" s="98"/>
    </row>
    <row r="374" ht="20.25" spans="1:9">
      <c r="A374" s="98"/>
      <c r="B374" s="98"/>
      <c r="C374" s="98"/>
      <c r="D374" s="98"/>
      <c r="E374" s="98"/>
      <c r="F374" s="98"/>
      <c r="G374" s="98"/>
      <c r="H374" s="98"/>
      <c r="I374" s="98"/>
    </row>
    <row r="375" ht="20.25" spans="1:9">
      <c r="A375" s="98"/>
      <c r="B375" s="98"/>
      <c r="C375" s="98"/>
      <c r="D375" s="98"/>
      <c r="E375" s="98"/>
      <c r="F375" s="98"/>
      <c r="G375" s="98"/>
      <c r="H375" s="98"/>
      <c r="I375" s="98"/>
    </row>
    <row r="376" ht="20.25" spans="1:9">
      <c r="A376" s="98"/>
      <c r="B376" s="98"/>
      <c r="C376" s="98"/>
      <c r="D376" s="98"/>
      <c r="E376" s="98"/>
      <c r="F376" s="98"/>
      <c r="G376" s="98"/>
      <c r="H376" s="98"/>
      <c r="I376" s="98"/>
    </row>
    <row r="377" ht="20.25" spans="1:9">
      <c r="A377" s="98"/>
      <c r="B377" s="98"/>
      <c r="C377" s="98"/>
      <c r="D377" s="98"/>
      <c r="E377" s="98"/>
      <c r="F377" s="98"/>
      <c r="G377" s="98"/>
      <c r="H377" s="98"/>
      <c r="I377" s="98"/>
    </row>
    <row r="378" ht="20.25" spans="1:9">
      <c r="A378" s="98"/>
      <c r="B378" s="98"/>
      <c r="C378" s="98"/>
      <c r="D378" s="98"/>
      <c r="E378" s="98"/>
      <c r="F378" s="98"/>
      <c r="G378" s="98"/>
      <c r="H378" s="98"/>
      <c r="I378" s="98"/>
    </row>
    <row r="379" ht="20.25" spans="1:9">
      <c r="A379" s="98"/>
      <c r="B379" s="98"/>
      <c r="C379" s="98"/>
      <c r="D379" s="98"/>
      <c r="E379" s="98"/>
      <c r="F379" s="98"/>
      <c r="G379" s="98"/>
      <c r="H379" s="98"/>
      <c r="I379" s="98"/>
    </row>
    <row r="380" ht="20.25" spans="1:9">
      <c r="A380" s="98"/>
      <c r="B380" s="98"/>
      <c r="C380" s="98"/>
      <c r="D380" s="98"/>
      <c r="E380" s="98"/>
      <c r="F380" s="98"/>
      <c r="G380" s="98"/>
      <c r="H380" s="98"/>
      <c r="I380" s="98"/>
    </row>
    <row r="381" ht="20.25" spans="1:9">
      <c r="A381" s="98"/>
      <c r="B381" s="98"/>
      <c r="C381" s="98"/>
      <c r="D381" s="98"/>
      <c r="E381" s="98"/>
      <c r="F381" s="98"/>
      <c r="G381" s="98"/>
      <c r="H381" s="98"/>
      <c r="I381" s="98"/>
    </row>
    <row r="382" ht="20.25" spans="1:9">
      <c r="A382" s="98"/>
      <c r="B382" s="98"/>
      <c r="C382" s="98"/>
      <c r="D382" s="98"/>
      <c r="E382" s="98"/>
      <c r="F382" s="98"/>
      <c r="G382" s="98"/>
      <c r="H382" s="98"/>
      <c r="I382" s="98"/>
    </row>
    <row r="383" ht="20.25" spans="1:9">
      <c r="A383" s="98"/>
      <c r="B383" s="98"/>
      <c r="C383" s="98"/>
      <c r="D383" s="98"/>
      <c r="E383" s="98"/>
      <c r="F383" s="98"/>
      <c r="G383" s="98"/>
      <c r="H383" s="98"/>
      <c r="I383" s="98"/>
    </row>
    <row r="384" ht="20.25" spans="1:9">
      <c r="A384" s="98"/>
      <c r="B384" s="98"/>
      <c r="C384" s="98"/>
      <c r="D384" s="98"/>
      <c r="E384" s="98"/>
      <c r="F384" s="98"/>
      <c r="G384" s="98"/>
      <c r="H384" s="98"/>
      <c r="I384" s="98"/>
    </row>
    <row r="385" ht="20.25" spans="1:9">
      <c r="A385" s="98"/>
      <c r="B385" s="98"/>
      <c r="C385" s="98"/>
      <c r="D385" s="98"/>
      <c r="E385" s="98"/>
      <c r="F385" s="98"/>
      <c r="G385" s="98"/>
      <c r="H385" s="98"/>
      <c r="I385" s="98"/>
    </row>
    <row r="386" ht="20.25" spans="1:9">
      <c r="A386" s="98"/>
      <c r="B386" s="98"/>
      <c r="C386" s="98"/>
      <c r="D386" s="98"/>
      <c r="E386" s="98"/>
      <c r="F386" s="98"/>
      <c r="G386" s="98"/>
      <c r="H386" s="98"/>
      <c r="I386" s="98"/>
    </row>
    <row r="387" ht="20.25" spans="1:9">
      <c r="A387" s="98"/>
      <c r="B387" s="98"/>
      <c r="C387" s="98"/>
      <c r="D387" s="98"/>
      <c r="E387" s="98"/>
      <c r="F387" s="98"/>
      <c r="G387" s="98"/>
      <c r="H387" s="98"/>
      <c r="I387" s="98"/>
    </row>
    <row r="388" ht="20.25" spans="1:9">
      <c r="A388" s="98"/>
      <c r="B388" s="98"/>
      <c r="C388" s="98"/>
      <c r="D388" s="98"/>
      <c r="E388" s="98"/>
      <c r="F388" s="98"/>
      <c r="G388" s="98"/>
      <c r="H388" s="98"/>
      <c r="I388" s="98"/>
    </row>
    <row r="389" ht="20.25" spans="1:9">
      <c r="A389" s="98"/>
      <c r="B389" s="98"/>
      <c r="C389" s="98"/>
      <c r="D389" s="98"/>
      <c r="E389" s="98"/>
      <c r="F389" s="98"/>
      <c r="G389" s="98"/>
      <c r="H389" s="98"/>
      <c r="I389" s="98"/>
    </row>
    <row r="390" ht="20.25" spans="1:9">
      <c r="A390" s="98"/>
      <c r="B390" s="98"/>
      <c r="C390" s="98"/>
      <c r="D390" s="98"/>
      <c r="E390" s="98"/>
      <c r="F390" s="98"/>
      <c r="G390" s="98"/>
      <c r="H390" s="98"/>
      <c r="I390" s="98"/>
    </row>
    <row r="391" ht="20.25" spans="1:9">
      <c r="A391" s="98"/>
      <c r="B391" s="98"/>
      <c r="C391" s="98"/>
      <c r="D391" s="98"/>
      <c r="E391" s="98"/>
      <c r="F391" s="98"/>
      <c r="G391" s="98"/>
      <c r="H391" s="98"/>
      <c r="I391" s="98"/>
    </row>
    <row r="392" ht="20.25" spans="1:9">
      <c r="A392" s="98"/>
      <c r="B392" s="98"/>
      <c r="C392" s="98"/>
      <c r="D392" s="98"/>
      <c r="E392" s="98"/>
      <c r="F392" s="98"/>
      <c r="G392" s="98"/>
      <c r="H392" s="98"/>
      <c r="I392" s="98"/>
    </row>
    <row r="393" ht="20.25" spans="1:9">
      <c r="A393" s="98"/>
      <c r="B393" s="98"/>
      <c r="C393" s="98"/>
      <c r="D393" s="98"/>
      <c r="E393" s="98"/>
      <c r="F393" s="98"/>
      <c r="G393" s="98"/>
      <c r="H393" s="98"/>
      <c r="I393" s="98"/>
    </row>
    <row r="394" ht="20.25" spans="1:9">
      <c r="A394" s="98"/>
      <c r="B394" s="98"/>
      <c r="C394" s="98"/>
      <c r="D394" s="98"/>
      <c r="E394" s="98"/>
      <c r="F394" s="98"/>
      <c r="G394" s="98"/>
      <c r="H394" s="98"/>
      <c r="I394" s="98"/>
    </row>
    <row r="395" ht="20.25" spans="1:9">
      <c r="A395" s="98"/>
      <c r="B395" s="98"/>
      <c r="C395" s="98"/>
      <c r="D395" s="98"/>
      <c r="E395" s="98"/>
      <c r="F395" s="98"/>
      <c r="G395" s="98"/>
      <c r="H395" s="98"/>
      <c r="I395" s="98"/>
    </row>
    <row r="396" ht="20.25" spans="1:9">
      <c r="A396" s="98"/>
      <c r="B396" s="98"/>
      <c r="C396" s="98"/>
      <c r="D396" s="98"/>
      <c r="E396" s="98"/>
      <c r="F396" s="98"/>
      <c r="G396" s="98"/>
      <c r="H396" s="98"/>
      <c r="I396" s="98"/>
    </row>
    <row r="397" ht="20.25" spans="1:9">
      <c r="A397" s="98"/>
      <c r="B397" s="98"/>
      <c r="C397" s="98"/>
      <c r="D397" s="98"/>
      <c r="E397" s="98"/>
      <c r="F397" s="98"/>
      <c r="G397" s="98"/>
      <c r="H397" s="98"/>
      <c r="I397" s="98"/>
    </row>
    <row r="398" ht="20.25" spans="1:9">
      <c r="A398" s="98"/>
      <c r="B398" s="98"/>
      <c r="C398" s="98"/>
      <c r="D398" s="98"/>
      <c r="E398" s="98"/>
      <c r="F398" s="98"/>
      <c r="G398" s="98"/>
      <c r="H398" s="98"/>
      <c r="I398" s="98"/>
    </row>
    <row r="399" ht="20.25" spans="1:9">
      <c r="A399" s="98"/>
      <c r="B399" s="98"/>
      <c r="C399" s="98"/>
      <c r="D399" s="98"/>
      <c r="E399" s="98"/>
      <c r="F399" s="98"/>
      <c r="G399" s="98"/>
      <c r="H399" s="98"/>
      <c r="I399" s="98"/>
    </row>
    <row r="400" ht="20.25" spans="1:9">
      <c r="A400" s="98"/>
      <c r="B400" s="98"/>
      <c r="C400" s="98"/>
      <c r="D400" s="98"/>
      <c r="E400" s="98"/>
      <c r="F400" s="98"/>
      <c r="G400" s="98"/>
      <c r="H400" s="98"/>
      <c r="I400" s="98"/>
    </row>
    <row r="401" ht="20.25" spans="1:9">
      <c r="A401" s="98"/>
      <c r="B401" s="98"/>
      <c r="C401" s="98"/>
      <c r="D401" s="98"/>
      <c r="E401" s="98"/>
      <c r="F401" s="98"/>
      <c r="G401" s="98"/>
      <c r="H401" s="98"/>
      <c r="I401" s="98"/>
    </row>
    <row r="402" ht="20.25" spans="1:9">
      <c r="A402" s="98"/>
      <c r="B402" s="98"/>
      <c r="C402" s="98"/>
      <c r="D402" s="98"/>
      <c r="E402" s="98"/>
      <c r="F402" s="98"/>
      <c r="G402" s="98"/>
      <c r="H402" s="98"/>
      <c r="I402" s="98"/>
    </row>
    <row r="403" ht="20.25" spans="1:9">
      <c r="A403" s="98"/>
      <c r="B403" s="98"/>
      <c r="C403" s="98"/>
      <c r="D403" s="98"/>
      <c r="E403" s="98"/>
      <c r="F403" s="98"/>
      <c r="G403" s="98"/>
      <c r="H403" s="98"/>
      <c r="I403" s="98"/>
    </row>
    <row r="404" ht="20.25" spans="1:9">
      <c r="A404" s="98"/>
      <c r="B404" s="98"/>
      <c r="C404" s="98"/>
      <c r="D404" s="98"/>
      <c r="E404" s="98"/>
      <c r="F404" s="98"/>
      <c r="G404" s="98"/>
      <c r="H404" s="98"/>
      <c r="I404" s="98"/>
    </row>
    <row r="405" ht="20.25" spans="1:9">
      <c r="A405" s="98"/>
      <c r="B405" s="98"/>
      <c r="C405" s="98"/>
      <c r="D405" s="98"/>
      <c r="E405" s="98"/>
      <c r="F405" s="98"/>
      <c r="G405" s="98"/>
      <c r="H405" s="98"/>
      <c r="I405" s="98"/>
    </row>
    <row r="406" ht="20.25" spans="1:9">
      <c r="A406" s="98"/>
      <c r="B406" s="98"/>
      <c r="C406" s="98"/>
      <c r="D406" s="98"/>
      <c r="E406" s="98"/>
      <c r="F406" s="98"/>
      <c r="G406" s="98"/>
      <c r="H406" s="98"/>
      <c r="I406" s="98"/>
    </row>
    <row r="407" ht="20.25" spans="1:9">
      <c r="A407" s="98"/>
      <c r="B407" s="98"/>
      <c r="C407" s="98"/>
      <c r="D407" s="98"/>
      <c r="E407" s="98"/>
      <c r="F407" s="98"/>
      <c r="G407" s="98"/>
      <c r="H407" s="98"/>
      <c r="I407" s="98"/>
    </row>
    <row r="408" ht="20.25" spans="1:9">
      <c r="A408" s="98"/>
      <c r="B408" s="98"/>
      <c r="C408" s="98"/>
      <c r="D408" s="98"/>
      <c r="E408" s="98"/>
      <c r="F408" s="98"/>
      <c r="G408" s="98"/>
      <c r="H408" s="98"/>
      <c r="I408" s="98"/>
    </row>
    <row r="409" ht="20.25" spans="1:9">
      <c r="A409" s="98"/>
      <c r="B409" s="98"/>
      <c r="C409" s="98"/>
      <c r="D409" s="98"/>
      <c r="E409" s="98"/>
      <c r="F409" s="98"/>
      <c r="G409" s="98"/>
      <c r="H409" s="98"/>
      <c r="I409" s="98"/>
    </row>
    <row r="410" ht="20.25" spans="1:9">
      <c r="A410" s="98"/>
      <c r="B410" s="98"/>
      <c r="C410" s="98"/>
      <c r="D410" s="98"/>
      <c r="E410" s="98"/>
      <c r="F410" s="98"/>
      <c r="G410" s="98"/>
      <c r="H410" s="98"/>
      <c r="I410" s="98"/>
    </row>
    <row r="411" ht="20.25" spans="1:9">
      <c r="A411" s="98"/>
      <c r="B411" s="98"/>
      <c r="C411" s="98"/>
      <c r="D411" s="98"/>
      <c r="E411" s="98"/>
      <c r="F411" s="98"/>
      <c r="G411" s="98"/>
      <c r="H411" s="98"/>
      <c r="I411" s="98"/>
    </row>
    <row r="412" ht="20.25" spans="1:9">
      <c r="A412" s="98"/>
      <c r="B412" s="98"/>
      <c r="C412" s="98"/>
      <c r="D412" s="98"/>
      <c r="E412" s="98"/>
      <c r="F412" s="98"/>
      <c r="G412" s="98"/>
      <c r="H412" s="98"/>
      <c r="I412" s="98"/>
    </row>
    <row r="413" ht="20.25" spans="1:9">
      <c r="A413" s="98"/>
      <c r="B413" s="98"/>
      <c r="C413" s="98"/>
      <c r="D413" s="98"/>
      <c r="E413" s="98"/>
      <c r="F413" s="98"/>
      <c r="G413" s="98"/>
      <c r="H413" s="98"/>
      <c r="I413" s="98"/>
    </row>
    <row r="414" ht="20.25" spans="1:9">
      <c r="A414" s="98"/>
      <c r="B414" s="98"/>
      <c r="C414" s="98"/>
      <c r="D414" s="98"/>
      <c r="E414" s="98"/>
      <c r="F414" s="98"/>
      <c r="G414" s="98"/>
      <c r="H414" s="98"/>
      <c r="I414" s="98"/>
    </row>
    <row r="415" ht="20.25" spans="1:9">
      <c r="A415" s="98"/>
      <c r="B415" s="98"/>
      <c r="C415" s="98"/>
      <c r="D415" s="98"/>
      <c r="E415" s="98"/>
      <c r="F415" s="98"/>
      <c r="G415" s="98"/>
      <c r="H415" s="98"/>
      <c r="I415" s="98"/>
    </row>
    <row r="416" ht="20.25" spans="1:9">
      <c r="A416" s="98"/>
      <c r="B416" s="98"/>
      <c r="C416" s="98"/>
      <c r="D416" s="98"/>
      <c r="E416" s="98"/>
      <c r="F416" s="98"/>
      <c r="G416" s="98"/>
      <c r="H416" s="98"/>
      <c r="I416" s="98"/>
    </row>
    <row r="417" ht="20.25" spans="1:9">
      <c r="A417" s="98"/>
      <c r="B417" s="98"/>
      <c r="C417" s="98"/>
      <c r="D417" s="98"/>
      <c r="E417" s="98"/>
      <c r="F417" s="98"/>
      <c r="G417" s="98"/>
      <c r="H417" s="98"/>
      <c r="I417" s="98"/>
    </row>
    <row r="418" ht="20.25" spans="1:9">
      <c r="A418" s="98"/>
      <c r="B418" s="98"/>
      <c r="C418" s="98"/>
      <c r="D418" s="98"/>
      <c r="E418" s="98"/>
      <c r="F418" s="98"/>
      <c r="G418" s="98"/>
      <c r="H418" s="98"/>
      <c r="I418" s="98"/>
    </row>
    <row r="419" ht="20.25" spans="1:9">
      <c r="A419" s="98"/>
      <c r="B419" s="98"/>
      <c r="C419" s="98"/>
      <c r="D419" s="98"/>
      <c r="E419" s="98"/>
      <c r="F419" s="98"/>
      <c r="G419" s="98"/>
      <c r="H419" s="98"/>
      <c r="I419" s="98"/>
    </row>
    <row r="420" ht="20.25" spans="1:9">
      <c r="A420" s="98"/>
      <c r="B420" s="98"/>
      <c r="C420" s="98"/>
      <c r="D420" s="98"/>
      <c r="E420" s="98"/>
      <c r="F420" s="98"/>
      <c r="G420" s="98"/>
      <c r="H420" s="98"/>
      <c r="I420" s="98"/>
    </row>
    <row r="421" ht="20.25" spans="1:9">
      <c r="A421" s="98"/>
      <c r="B421" s="98"/>
      <c r="C421" s="98"/>
      <c r="D421" s="98"/>
      <c r="E421" s="98"/>
      <c r="F421" s="98"/>
      <c r="G421" s="98"/>
      <c r="H421" s="98"/>
      <c r="I421" s="98"/>
    </row>
    <row r="422" ht="20.25" spans="1:9">
      <c r="A422" s="98"/>
      <c r="B422" s="98"/>
      <c r="C422" s="98"/>
      <c r="D422" s="98"/>
      <c r="E422" s="98"/>
      <c r="F422" s="98"/>
      <c r="G422" s="98"/>
      <c r="H422" s="98"/>
      <c r="I422" s="98"/>
    </row>
    <row r="423" ht="20.25" spans="1:9">
      <c r="A423" s="98"/>
      <c r="B423" s="98"/>
      <c r="C423" s="98"/>
      <c r="D423" s="98"/>
      <c r="E423" s="98"/>
      <c r="F423" s="98"/>
      <c r="G423" s="98"/>
      <c r="H423" s="98"/>
      <c r="I423" s="98"/>
    </row>
    <row r="424" ht="20.25" spans="1:9">
      <c r="A424" s="98"/>
      <c r="B424" s="98"/>
      <c r="C424" s="98"/>
      <c r="D424" s="98"/>
      <c r="E424" s="98"/>
      <c r="F424" s="98"/>
      <c r="G424" s="98"/>
      <c r="H424" s="98"/>
      <c r="I424" s="98"/>
    </row>
    <row r="425" ht="20.25" spans="1:9">
      <c r="A425" s="98"/>
      <c r="B425" s="98"/>
      <c r="C425" s="98"/>
      <c r="D425" s="98"/>
      <c r="E425" s="98"/>
      <c r="F425" s="98"/>
      <c r="G425" s="98"/>
      <c r="H425" s="98"/>
      <c r="I425" s="98"/>
    </row>
    <row r="426" ht="20.25" spans="1:9">
      <c r="A426" s="98"/>
      <c r="B426" s="98"/>
      <c r="C426" s="98"/>
      <c r="D426" s="98"/>
      <c r="E426" s="98"/>
      <c r="F426" s="98"/>
      <c r="G426" s="98"/>
      <c r="H426" s="98"/>
      <c r="I426" s="98"/>
    </row>
    <row r="427" ht="20.25" spans="1:9">
      <c r="A427" s="98"/>
      <c r="B427" s="98"/>
      <c r="C427" s="98"/>
      <c r="D427" s="98"/>
      <c r="E427" s="98"/>
      <c r="F427" s="98"/>
      <c r="G427" s="98"/>
      <c r="H427" s="98"/>
      <c r="I427" s="98"/>
    </row>
    <row r="428" ht="20.25" spans="1:9">
      <c r="A428" s="98"/>
      <c r="B428" s="98"/>
      <c r="C428" s="98"/>
      <c r="D428" s="98"/>
      <c r="E428" s="98"/>
      <c r="F428" s="98"/>
      <c r="G428" s="98"/>
      <c r="H428" s="98"/>
      <c r="I428" s="98"/>
    </row>
    <row r="429" ht="20.25" spans="1:9">
      <c r="A429" s="98"/>
      <c r="B429" s="98"/>
      <c r="C429" s="98"/>
      <c r="D429" s="98"/>
      <c r="E429" s="98"/>
      <c r="F429" s="98"/>
      <c r="G429" s="98"/>
      <c r="H429" s="98"/>
      <c r="I429" s="98"/>
    </row>
    <row r="430" ht="20.25" spans="1:9">
      <c r="A430" s="98"/>
      <c r="B430" s="98"/>
      <c r="C430" s="98"/>
      <c r="D430" s="98"/>
      <c r="E430" s="98"/>
      <c r="F430" s="98"/>
      <c r="G430" s="98"/>
      <c r="H430" s="98"/>
      <c r="I430" s="98"/>
    </row>
    <row r="431" ht="20.25" spans="1:9">
      <c r="A431" s="98"/>
      <c r="B431" s="98"/>
      <c r="C431" s="98"/>
      <c r="D431" s="98"/>
      <c r="E431" s="98"/>
      <c r="F431" s="98"/>
      <c r="G431" s="98"/>
      <c r="H431" s="98"/>
      <c r="I431" s="98"/>
    </row>
    <row r="432" ht="20.25" spans="1:9">
      <c r="A432" s="98"/>
      <c r="B432" s="98"/>
      <c r="C432" s="98"/>
      <c r="D432" s="98"/>
      <c r="E432" s="98"/>
      <c r="F432" s="98"/>
      <c r="G432" s="98"/>
      <c r="H432" s="98"/>
      <c r="I432" s="98"/>
    </row>
    <row r="433" ht="20.25" spans="1:9">
      <c r="A433" s="98"/>
      <c r="B433" s="98"/>
      <c r="C433" s="98"/>
      <c r="D433" s="98"/>
      <c r="E433" s="98"/>
      <c r="F433" s="98"/>
      <c r="G433" s="98"/>
      <c r="H433" s="98"/>
      <c r="I433" s="98"/>
    </row>
    <row r="434" ht="20.25" spans="1:9">
      <c r="A434" s="98"/>
      <c r="B434" s="98"/>
      <c r="C434" s="98"/>
      <c r="D434" s="98"/>
      <c r="E434" s="98"/>
      <c r="F434" s="98"/>
      <c r="G434" s="98"/>
      <c r="H434" s="98"/>
      <c r="I434" s="98"/>
    </row>
    <row r="435" ht="20.25" spans="1:9">
      <c r="A435" s="98"/>
      <c r="B435" s="98"/>
      <c r="C435" s="98"/>
      <c r="D435" s="98"/>
      <c r="E435" s="98"/>
      <c r="F435" s="98"/>
      <c r="G435" s="98"/>
      <c r="H435" s="98"/>
      <c r="I435" s="98"/>
    </row>
    <row r="436" ht="20.25" spans="1:9">
      <c r="A436" s="98"/>
      <c r="B436" s="98"/>
      <c r="C436" s="98"/>
      <c r="D436" s="98"/>
      <c r="E436" s="98"/>
      <c r="F436" s="98"/>
      <c r="G436" s="98"/>
      <c r="H436" s="98"/>
      <c r="I436" s="98"/>
    </row>
    <row r="437" ht="20.25" spans="1:9">
      <c r="A437" s="98"/>
      <c r="B437" s="98"/>
      <c r="C437" s="98"/>
      <c r="D437" s="98"/>
      <c r="E437" s="98"/>
      <c r="F437" s="98"/>
      <c r="G437" s="98"/>
      <c r="H437" s="98"/>
      <c r="I437" s="98"/>
    </row>
    <row r="438" ht="20.25" spans="1:9">
      <c r="A438" s="98"/>
      <c r="B438" s="98"/>
      <c r="C438" s="98"/>
      <c r="D438" s="98"/>
      <c r="E438" s="98"/>
      <c r="F438" s="98"/>
      <c r="G438" s="98"/>
      <c r="H438" s="98"/>
      <c r="I438" s="98"/>
    </row>
    <row r="439" ht="20.25" spans="1:9">
      <c r="A439" s="98"/>
      <c r="B439" s="98"/>
      <c r="C439" s="98"/>
      <c r="D439" s="98"/>
      <c r="E439" s="98"/>
      <c r="F439" s="98"/>
      <c r="G439" s="98"/>
      <c r="H439" s="98"/>
      <c r="I439" s="98"/>
    </row>
    <row r="440" ht="20.25" spans="1:9">
      <c r="A440" s="98"/>
      <c r="B440" s="98"/>
      <c r="C440" s="98"/>
      <c r="D440" s="98"/>
      <c r="E440" s="98"/>
      <c r="F440" s="98"/>
      <c r="G440" s="98"/>
      <c r="H440" s="98"/>
      <c r="I440" s="98"/>
    </row>
    <row r="441" ht="20.25" spans="1:9">
      <c r="A441" s="98"/>
      <c r="B441" s="98"/>
      <c r="C441" s="98"/>
      <c r="D441" s="98"/>
      <c r="E441" s="98"/>
      <c r="F441" s="98"/>
      <c r="G441" s="98"/>
      <c r="H441" s="98"/>
      <c r="I441" s="98"/>
    </row>
    <row r="442" ht="20.25" spans="1:9">
      <c r="A442" s="98"/>
      <c r="B442" s="98"/>
      <c r="C442" s="98"/>
      <c r="D442" s="98"/>
      <c r="E442" s="98"/>
      <c r="F442" s="98"/>
      <c r="G442" s="98"/>
      <c r="H442" s="98"/>
      <c r="I442" s="98"/>
    </row>
    <row r="443" ht="20.25" spans="1:9">
      <c r="A443" s="98"/>
      <c r="B443" s="98"/>
      <c r="C443" s="98"/>
      <c r="D443" s="98"/>
      <c r="E443" s="98"/>
      <c r="F443" s="98"/>
      <c r="G443" s="98"/>
      <c r="H443" s="98"/>
      <c r="I443" s="98"/>
    </row>
    <row r="444" ht="20.25" spans="1:9">
      <c r="A444" s="98"/>
      <c r="B444" s="98"/>
      <c r="C444" s="98"/>
      <c r="D444" s="98"/>
      <c r="E444" s="98"/>
      <c r="F444" s="98"/>
      <c r="G444" s="98"/>
      <c r="H444" s="98"/>
      <c r="I444" s="98"/>
    </row>
    <row r="445" ht="20.25" spans="1:9">
      <c r="A445" s="98"/>
      <c r="B445" s="98"/>
      <c r="C445" s="98"/>
      <c r="D445" s="98"/>
      <c r="E445" s="98"/>
      <c r="F445" s="98"/>
      <c r="G445" s="98"/>
      <c r="H445" s="98"/>
      <c r="I445" s="98"/>
    </row>
    <row r="446" ht="20.25" spans="1:9">
      <c r="A446" s="98"/>
      <c r="B446" s="98"/>
      <c r="C446" s="98"/>
      <c r="D446" s="98"/>
      <c r="E446" s="98"/>
      <c r="F446" s="98"/>
      <c r="G446" s="98"/>
      <c r="H446" s="98"/>
      <c r="I446" s="98"/>
    </row>
    <row r="447" ht="20.25" spans="1:9">
      <c r="A447" s="98"/>
      <c r="B447" s="98"/>
      <c r="C447" s="98"/>
      <c r="D447" s="98"/>
      <c r="E447" s="98"/>
      <c r="F447" s="98"/>
      <c r="G447" s="98"/>
      <c r="H447" s="98"/>
      <c r="I447" s="98"/>
    </row>
    <row r="448" ht="20.25" spans="1:9">
      <c r="A448" s="98"/>
      <c r="B448" s="98"/>
      <c r="C448" s="98"/>
      <c r="D448" s="98"/>
      <c r="E448" s="98"/>
      <c r="F448" s="98"/>
      <c r="G448" s="98"/>
      <c r="H448" s="98"/>
      <c r="I448" s="98"/>
    </row>
    <row r="449" ht="20.25" spans="1:9">
      <c r="A449" s="98"/>
      <c r="B449" s="98"/>
      <c r="C449" s="98"/>
      <c r="D449" s="98"/>
      <c r="E449" s="98"/>
      <c r="F449" s="98"/>
      <c r="G449" s="98"/>
      <c r="H449" s="98"/>
      <c r="I449" s="98"/>
    </row>
    <row r="450" ht="20.25" spans="1:9">
      <c r="A450" s="98"/>
      <c r="B450" s="98"/>
      <c r="C450" s="98"/>
      <c r="D450" s="98"/>
      <c r="E450" s="98"/>
      <c r="F450" s="98"/>
      <c r="G450" s="98"/>
      <c r="H450" s="98"/>
      <c r="I450" s="98"/>
    </row>
    <row r="451" ht="20.25" spans="1:9">
      <c r="A451" s="98"/>
      <c r="B451" s="98"/>
      <c r="C451" s="98"/>
      <c r="D451" s="98"/>
      <c r="E451" s="98"/>
      <c r="F451" s="98"/>
      <c r="G451" s="98"/>
      <c r="H451" s="98"/>
      <c r="I451" s="98"/>
    </row>
    <row r="452" ht="20.25" spans="1:9">
      <c r="A452" s="98"/>
      <c r="B452" s="98"/>
      <c r="C452" s="98"/>
      <c r="D452" s="98"/>
      <c r="E452" s="98"/>
      <c r="F452" s="98"/>
      <c r="G452" s="98"/>
      <c r="H452" s="98"/>
      <c r="I452" s="98"/>
    </row>
    <row r="453" ht="20.25" spans="1:9">
      <c r="A453" s="98"/>
      <c r="B453" s="98"/>
      <c r="C453" s="98"/>
      <c r="D453" s="98"/>
      <c r="E453" s="98"/>
      <c r="F453" s="98"/>
      <c r="G453" s="98"/>
      <c r="H453" s="98"/>
      <c r="I453" s="98"/>
    </row>
    <row r="454" ht="20.25" spans="1:9">
      <c r="A454" s="98"/>
      <c r="B454" s="98"/>
      <c r="C454" s="98"/>
      <c r="D454" s="98"/>
      <c r="E454" s="98"/>
      <c r="F454" s="98"/>
      <c r="G454" s="98"/>
      <c r="H454" s="98"/>
      <c r="I454" s="98"/>
    </row>
    <row r="455" ht="20.25" spans="1:9">
      <c r="A455" s="98"/>
      <c r="B455" s="98"/>
      <c r="C455" s="98"/>
      <c r="D455" s="98"/>
      <c r="E455" s="98"/>
      <c r="F455" s="98"/>
      <c r="G455" s="98"/>
      <c r="H455" s="98"/>
      <c r="I455" s="98"/>
    </row>
    <row r="456" ht="20.25" spans="1:9">
      <c r="A456" s="98"/>
      <c r="B456" s="98"/>
      <c r="C456" s="98"/>
      <c r="D456" s="98"/>
      <c r="E456" s="98"/>
      <c r="F456" s="98"/>
      <c r="G456" s="98"/>
      <c r="H456" s="98"/>
      <c r="I456" s="98"/>
    </row>
    <row r="457" ht="20.25" spans="1:9">
      <c r="A457" s="98"/>
      <c r="B457" s="98"/>
      <c r="C457" s="98"/>
      <c r="D457" s="98"/>
      <c r="E457" s="98"/>
      <c r="F457" s="98"/>
      <c r="G457" s="98"/>
      <c r="H457" s="98"/>
      <c r="I457" s="98"/>
    </row>
    <row r="458" ht="20.25" spans="1:9">
      <c r="A458" s="98"/>
      <c r="B458" s="98"/>
      <c r="C458" s="98"/>
      <c r="D458" s="98"/>
      <c r="E458" s="98"/>
      <c r="F458" s="98"/>
      <c r="G458" s="98"/>
      <c r="H458" s="98"/>
      <c r="I458" s="98"/>
    </row>
    <row r="459" ht="20.25" spans="1:9">
      <c r="A459" s="98"/>
      <c r="B459" s="98"/>
      <c r="C459" s="98"/>
      <c r="D459" s="98"/>
      <c r="E459" s="98"/>
      <c r="F459" s="98"/>
      <c r="G459" s="98"/>
      <c r="H459" s="98"/>
      <c r="I459" s="98"/>
    </row>
    <row r="460" ht="20.25" spans="1:9">
      <c r="A460" s="98"/>
      <c r="B460" s="98"/>
      <c r="C460" s="98"/>
      <c r="D460" s="98"/>
      <c r="E460" s="98"/>
      <c r="F460" s="98"/>
      <c r="G460" s="98"/>
      <c r="H460" s="98"/>
      <c r="I460" s="98"/>
    </row>
    <row r="461" ht="20.25" spans="1:9">
      <c r="A461" s="98"/>
      <c r="B461" s="98"/>
      <c r="C461" s="98"/>
      <c r="D461" s="98"/>
      <c r="E461" s="98"/>
      <c r="F461" s="98"/>
      <c r="G461" s="98"/>
      <c r="H461" s="98"/>
      <c r="I461" s="98"/>
    </row>
    <row r="462" ht="20.25" spans="1:9">
      <c r="A462" s="98"/>
      <c r="B462" s="98"/>
      <c r="C462" s="98"/>
      <c r="D462" s="98"/>
      <c r="E462" s="98"/>
      <c r="F462" s="98"/>
      <c r="G462" s="98"/>
      <c r="H462" s="98"/>
      <c r="I462" s="98"/>
    </row>
    <row r="463" ht="20.25" spans="1:9">
      <c r="A463" s="98"/>
      <c r="B463" s="98"/>
      <c r="C463" s="98"/>
      <c r="D463" s="98"/>
      <c r="E463" s="98"/>
      <c r="F463" s="98"/>
      <c r="G463" s="98"/>
      <c r="H463" s="98"/>
      <c r="I463" s="98"/>
    </row>
    <row r="464" ht="20.25" spans="1:9">
      <c r="A464" s="98"/>
      <c r="B464" s="98"/>
      <c r="C464" s="98"/>
      <c r="D464" s="98"/>
      <c r="E464" s="98"/>
      <c r="F464" s="98"/>
      <c r="G464" s="98"/>
      <c r="H464" s="98"/>
      <c r="I464" s="98"/>
    </row>
    <row r="465" ht="20.25" spans="1:9">
      <c r="A465" s="98"/>
      <c r="B465" s="98"/>
      <c r="C465" s="98"/>
      <c r="D465" s="98"/>
      <c r="E465" s="98"/>
      <c r="F465" s="98"/>
      <c r="G465" s="98"/>
      <c r="H465" s="98"/>
      <c r="I465" s="98"/>
    </row>
    <row r="466" ht="20.25" spans="1:9">
      <c r="A466" s="98"/>
      <c r="B466" s="98"/>
      <c r="C466" s="98"/>
      <c r="D466" s="98"/>
      <c r="E466" s="98"/>
      <c r="F466" s="98"/>
      <c r="G466" s="98"/>
      <c r="H466" s="98"/>
      <c r="I466" s="98"/>
    </row>
    <row r="467" ht="20.25" spans="1:9">
      <c r="A467" s="98"/>
      <c r="B467" s="98"/>
      <c r="C467" s="98"/>
      <c r="D467" s="98"/>
      <c r="E467" s="98"/>
      <c r="F467" s="98"/>
      <c r="G467" s="98"/>
      <c r="H467" s="98"/>
      <c r="I467" s="98"/>
    </row>
    <row r="468" ht="20.25" spans="1:9">
      <c r="A468" s="98"/>
      <c r="B468" s="98"/>
      <c r="C468" s="98"/>
      <c r="D468" s="98"/>
      <c r="E468" s="98"/>
      <c r="F468" s="98"/>
      <c r="G468" s="98"/>
      <c r="H468" s="98"/>
      <c r="I468" s="98"/>
    </row>
    <row r="469" ht="20.25" spans="1:9">
      <c r="A469" s="98"/>
      <c r="B469" s="98"/>
      <c r="C469" s="98"/>
      <c r="D469" s="98"/>
      <c r="E469" s="98"/>
      <c r="F469" s="98"/>
      <c r="G469" s="98"/>
      <c r="H469" s="98"/>
      <c r="I469" s="98"/>
    </row>
    <row r="470" ht="20.25" spans="1:9">
      <c r="A470" s="98"/>
      <c r="B470" s="98"/>
      <c r="C470" s="98"/>
      <c r="D470" s="98"/>
      <c r="E470" s="98"/>
      <c r="F470" s="98"/>
      <c r="G470" s="98"/>
      <c r="H470" s="98"/>
      <c r="I470" s="98"/>
    </row>
    <row r="471" ht="20.25" spans="1:9">
      <c r="A471" s="98"/>
      <c r="B471" s="98"/>
      <c r="C471" s="98"/>
      <c r="D471" s="98"/>
      <c r="E471" s="98"/>
      <c r="F471" s="98"/>
      <c r="G471" s="98"/>
      <c r="H471" s="98"/>
      <c r="I471" s="98"/>
    </row>
    <row r="472" ht="20.25" spans="1:9">
      <c r="A472" s="98"/>
      <c r="B472" s="98"/>
      <c r="C472" s="98"/>
      <c r="D472" s="98"/>
      <c r="E472" s="98"/>
      <c r="F472" s="98"/>
      <c r="G472" s="98"/>
      <c r="H472" s="98"/>
      <c r="I472" s="98"/>
    </row>
    <row r="473" ht="20.25" spans="1:9">
      <c r="A473" s="98"/>
      <c r="B473" s="98"/>
      <c r="C473" s="98"/>
      <c r="D473" s="98"/>
      <c r="E473" s="98"/>
      <c r="F473" s="98"/>
      <c r="G473" s="98"/>
      <c r="H473" s="98"/>
      <c r="I473" s="98"/>
    </row>
    <row r="474" ht="20.25" spans="1:9">
      <c r="A474" s="98"/>
      <c r="B474" s="98"/>
      <c r="C474" s="98"/>
      <c r="D474" s="98"/>
      <c r="E474" s="98"/>
      <c r="F474" s="98"/>
      <c r="G474" s="98"/>
      <c r="H474" s="98"/>
      <c r="I474" s="98"/>
    </row>
    <row r="475" ht="20.25" spans="1:9">
      <c r="A475" s="98"/>
      <c r="B475" s="98"/>
      <c r="C475" s="98"/>
      <c r="D475" s="98"/>
      <c r="E475" s="98"/>
      <c r="F475" s="98"/>
      <c r="G475" s="98"/>
      <c r="H475" s="98"/>
      <c r="I475" s="98"/>
    </row>
    <row r="476" ht="20.25" spans="1:9">
      <c r="A476" s="98"/>
      <c r="B476" s="98"/>
      <c r="C476" s="98"/>
      <c r="D476" s="98"/>
      <c r="E476" s="98"/>
      <c r="F476" s="98"/>
      <c r="G476" s="98"/>
      <c r="H476" s="98"/>
      <c r="I476" s="98"/>
    </row>
    <row r="477" ht="20.25" spans="1:9">
      <c r="A477" s="98"/>
      <c r="B477" s="98"/>
      <c r="C477" s="98"/>
      <c r="D477" s="98"/>
      <c r="E477" s="98"/>
      <c r="F477" s="98"/>
      <c r="G477" s="98"/>
      <c r="H477" s="98"/>
      <c r="I477" s="98"/>
    </row>
    <row r="478" ht="20.25" spans="1:9">
      <c r="A478" s="98"/>
      <c r="B478" s="98"/>
      <c r="C478" s="98"/>
      <c r="D478" s="98"/>
      <c r="E478" s="98"/>
      <c r="F478" s="98"/>
      <c r="G478" s="98"/>
      <c r="H478" s="98"/>
      <c r="I478" s="98"/>
    </row>
    <row r="479" ht="20.25" spans="1:9">
      <c r="A479" s="98"/>
      <c r="B479" s="98"/>
      <c r="C479" s="98"/>
      <c r="D479" s="98"/>
      <c r="E479" s="98"/>
      <c r="F479" s="98"/>
      <c r="G479" s="98"/>
      <c r="H479" s="98"/>
      <c r="I479" s="98"/>
    </row>
    <row r="480" ht="20.25" spans="1:9">
      <c r="A480" s="98"/>
      <c r="B480" s="98"/>
      <c r="C480" s="98"/>
      <c r="D480" s="98"/>
      <c r="E480" s="98"/>
      <c r="F480" s="98"/>
      <c r="G480" s="98"/>
      <c r="H480" s="98"/>
      <c r="I480" s="98"/>
    </row>
    <row r="481" ht="20.25" spans="1:9">
      <c r="A481" s="98"/>
      <c r="B481" s="98"/>
      <c r="C481" s="98"/>
      <c r="D481" s="98"/>
      <c r="E481" s="98"/>
      <c r="F481" s="98"/>
      <c r="G481" s="98"/>
      <c r="H481" s="98"/>
      <c r="I481" s="98"/>
    </row>
    <row r="482" ht="20.25" spans="1:9">
      <c r="A482" s="98"/>
      <c r="B482" s="98"/>
      <c r="C482" s="98"/>
      <c r="D482" s="98"/>
      <c r="E482" s="98"/>
      <c r="F482" s="98"/>
      <c r="G482" s="98"/>
      <c r="H482" s="98"/>
      <c r="I482" s="98"/>
    </row>
    <row r="483" ht="20.25" spans="1:9">
      <c r="A483" s="98"/>
      <c r="B483" s="98"/>
      <c r="C483" s="98"/>
      <c r="D483" s="98"/>
      <c r="E483" s="98"/>
      <c r="F483" s="98"/>
      <c r="G483" s="98"/>
      <c r="H483" s="98"/>
      <c r="I483" s="98"/>
    </row>
    <row r="484" ht="20.25" spans="1:9">
      <c r="A484" s="98"/>
      <c r="B484" s="98"/>
      <c r="C484" s="98"/>
      <c r="D484" s="98"/>
      <c r="E484" s="98"/>
      <c r="F484" s="98"/>
      <c r="G484" s="98"/>
      <c r="H484" s="98"/>
      <c r="I484" s="98"/>
    </row>
    <row r="485" ht="20.25" spans="1:9">
      <c r="A485" s="98"/>
      <c r="B485" s="98"/>
      <c r="C485" s="98"/>
      <c r="D485" s="98"/>
      <c r="E485" s="98"/>
      <c r="F485" s="98"/>
      <c r="G485" s="98"/>
      <c r="H485" s="98"/>
      <c r="I485" s="98"/>
    </row>
    <row r="486" ht="20.25" spans="1:9">
      <c r="A486" s="98"/>
      <c r="B486" s="98"/>
      <c r="C486" s="98"/>
      <c r="D486" s="98"/>
      <c r="E486" s="98"/>
      <c r="F486" s="98"/>
      <c r="G486" s="98"/>
      <c r="H486" s="98"/>
      <c r="I486" s="98"/>
    </row>
    <row r="487" ht="20.25" spans="1:9">
      <c r="A487" s="98"/>
      <c r="B487" s="98"/>
      <c r="C487" s="98"/>
      <c r="D487" s="98"/>
      <c r="E487" s="98"/>
      <c r="F487" s="98"/>
      <c r="G487" s="98"/>
      <c r="H487" s="98"/>
      <c r="I487" s="98"/>
    </row>
    <row r="488" ht="20.25" spans="1:9">
      <c r="A488" s="98"/>
      <c r="B488" s="98"/>
      <c r="C488" s="98"/>
      <c r="D488" s="98"/>
      <c r="E488" s="98"/>
      <c r="F488" s="98"/>
      <c r="G488" s="98"/>
      <c r="H488" s="98"/>
      <c r="I488" s="98"/>
    </row>
    <row r="489" ht="20.25" spans="1:9">
      <c r="A489" s="98"/>
      <c r="B489" s="98"/>
      <c r="C489" s="98"/>
      <c r="D489" s="98"/>
      <c r="E489" s="98"/>
      <c r="F489" s="98"/>
      <c r="G489" s="98"/>
      <c r="H489" s="98"/>
      <c r="I489" s="98"/>
    </row>
    <row r="490" ht="20.25" spans="1:9">
      <c r="A490" s="98"/>
      <c r="B490" s="98"/>
      <c r="C490" s="98"/>
      <c r="D490" s="98"/>
      <c r="E490" s="98"/>
      <c r="F490" s="98"/>
      <c r="G490" s="98"/>
      <c r="H490" s="98"/>
      <c r="I490" s="98"/>
    </row>
    <row r="491" ht="20.25" spans="1:9">
      <c r="A491" s="98"/>
      <c r="B491" s="98"/>
      <c r="C491" s="98"/>
      <c r="D491" s="98"/>
      <c r="E491" s="98"/>
      <c r="F491" s="98"/>
      <c r="G491" s="98"/>
      <c r="H491" s="98"/>
      <c r="I491" s="98"/>
    </row>
    <row r="492" ht="20.25" spans="1:9">
      <c r="A492" s="98"/>
      <c r="B492" s="98"/>
      <c r="C492" s="98"/>
      <c r="D492" s="98"/>
      <c r="E492" s="98"/>
      <c r="F492" s="98"/>
      <c r="G492" s="98"/>
      <c r="H492" s="98"/>
      <c r="I492" s="98"/>
    </row>
    <row r="493" ht="20.25" spans="1:9">
      <c r="A493" s="98"/>
      <c r="B493" s="98"/>
      <c r="C493" s="98"/>
      <c r="D493" s="98"/>
      <c r="E493" s="98"/>
      <c r="F493" s="98"/>
      <c r="G493" s="98"/>
      <c r="H493" s="98"/>
      <c r="I493" s="98"/>
    </row>
    <row r="494" ht="20.25" spans="1:9">
      <c r="A494" s="98"/>
      <c r="B494" s="98"/>
      <c r="C494" s="98"/>
      <c r="D494" s="98"/>
      <c r="E494" s="98"/>
      <c r="F494" s="98"/>
      <c r="G494" s="98"/>
      <c r="H494" s="98"/>
      <c r="I494" s="98"/>
    </row>
    <row r="495" ht="20.25" spans="1:9">
      <c r="A495" s="98"/>
      <c r="B495" s="98"/>
      <c r="C495" s="98"/>
      <c r="D495" s="98"/>
      <c r="E495" s="98"/>
      <c r="F495" s="98"/>
      <c r="G495" s="98"/>
      <c r="H495" s="98"/>
      <c r="I495" s="98"/>
    </row>
    <row r="496" ht="20.25" spans="1:9">
      <c r="A496" s="98"/>
      <c r="B496" s="98"/>
      <c r="C496" s="98"/>
      <c r="D496" s="98"/>
      <c r="E496" s="98"/>
      <c r="F496" s="98"/>
      <c r="G496" s="98"/>
      <c r="H496" s="98"/>
      <c r="I496" s="98"/>
    </row>
    <row r="497" ht="20.25" spans="1:9">
      <c r="A497" s="98"/>
      <c r="B497" s="98"/>
      <c r="C497" s="98"/>
      <c r="D497" s="98"/>
      <c r="E497" s="98"/>
      <c r="F497" s="98"/>
      <c r="G497" s="98"/>
      <c r="H497" s="98"/>
      <c r="I497" s="98"/>
    </row>
    <row r="498" ht="20.25" spans="1:9">
      <c r="A498" s="98"/>
      <c r="B498" s="98"/>
      <c r="C498" s="98"/>
      <c r="D498" s="98"/>
      <c r="E498" s="98"/>
      <c r="F498" s="98"/>
      <c r="G498" s="98"/>
      <c r="H498" s="98"/>
      <c r="I498" s="98"/>
    </row>
    <row r="499" ht="20.25" spans="1:9">
      <c r="A499" s="98"/>
      <c r="B499" s="98"/>
      <c r="C499" s="98"/>
      <c r="D499" s="98"/>
      <c r="E499" s="98"/>
      <c r="F499" s="98"/>
      <c r="G499" s="98"/>
      <c r="H499" s="98"/>
      <c r="I499" s="98"/>
    </row>
    <row r="500" ht="20.25" spans="1:9">
      <c r="A500" s="98"/>
      <c r="B500" s="98"/>
      <c r="C500" s="98"/>
      <c r="D500" s="98"/>
      <c r="E500" s="98"/>
      <c r="F500" s="98"/>
      <c r="G500" s="98"/>
      <c r="H500" s="98"/>
      <c r="I500" s="98"/>
    </row>
    <row r="501" ht="20.25" spans="1:9">
      <c r="A501" s="98"/>
      <c r="B501" s="98"/>
      <c r="C501" s="98"/>
      <c r="D501" s="98"/>
      <c r="E501" s="98"/>
      <c r="F501" s="98"/>
      <c r="G501" s="98"/>
      <c r="H501" s="98"/>
      <c r="I501" s="98"/>
    </row>
    <row r="502" ht="20.25" spans="1:9">
      <c r="A502" s="98"/>
      <c r="B502" s="98"/>
      <c r="C502" s="98"/>
      <c r="D502" s="98"/>
      <c r="E502" s="98"/>
      <c r="F502" s="98"/>
      <c r="G502" s="98"/>
      <c r="H502" s="98"/>
      <c r="I502" s="98"/>
    </row>
    <row r="503" ht="20.25" spans="1:9">
      <c r="A503" s="98"/>
      <c r="B503" s="98"/>
      <c r="C503" s="98"/>
      <c r="D503" s="98"/>
      <c r="E503" s="98"/>
      <c r="F503" s="98"/>
      <c r="G503" s="98"/>
      <c r="H503" s="98"/>
      <c r="I503" s="98"/>
    </row>
    <row r="504" ht="20.25" spans="1:9">
      <c r="A504" s="98"/>
      <c r="B504" s="98"/>
      <c r="C504" s="98"/>
      <c r="D504" s="98"/>
      <c r="E504" s="98"/>
      <c r="F504" s="98"/>
      <c r="G504" s="98"/>
      <c r="H504" s="98"/>
      <c r="I504" s="98"/>
    </row>
    <row r="505" ht="20.25" spans="1:9">
      <c r="A505" s="98"/>
      <c r="B505" s="98"/>
      <c r="C505" s="98"/>
      <c r="D505" s="98"/>
      <c r="E505" s="98"/>
      <c r="F505" s="98"/>
      <c r="G505" s="98"/>
      <c r="H505" s="98"/>
      <c r="I505" s="98"/>
    </row>
    <row r="506" ht="20.25" spans="1:9">
      <c r="A506" s="98"/>
      <c r="B506" s="98"/>
      <c r="C506" s="98"/>
      <c r="D506" s="98"/>
      <c r="E506" s="98"/>
      <c r="F506" s="98"/>
      <c r="G506" s="98"/>
      <c r="H506" s="98"/>
      <c r="I506" s="98"/>
    </row>
    <row r="507" ht="20.25" spans="1:9">
      <c r="A507" s="98"/>
      <c r="B507" s="98"/>
      <c r="C507" s="98"/>
      <c r="D507" s="98"/>
      <c r="E507" s="98"/>
      <c r="F507" s="98"/>
      <c r="G507" s="98"/>
      <c r="H507" s="98"/>
      <c r="I507" s="98"/>
    </row>
    <row r="508" ht="20.25" spans="1:9">
      <c r="A508" s="98"/>
      <c r="B508" s="98"/>
      <c r="C508" s="98"/>
      <c r="D508" s="98"/>
      <c r="E508" s="98"/>
      <c r="F508" s="98"/>
      <c r="G508" s="98"/>
      <c r="H508" s="98"/>
      <c r="I508" s="98"/>
    </row>
    <row r="509" ht="20.25" spans="1:9">
      <c r="A509" s="98"/>
      <c r="B509" s="98"/>
      <c r="C509" s="98"/>
      <c r="D509" s="98"/>
      <c r="E509" s="98"/>
      <c r="F509" s="98"/>
      <c r="G509" s="98"/>
      <c r="H509" s="98"/>
      <c r="I509" s="98"/>
    </row>
    <row r="510" ht="20.25" spans="1:9">
      <c r="A510" s="98"/>
      <c r="B510" s="98"/>
      <c r="C510" s="98"/>
      <c r="D510" s="98"/>
      <c r="E510" s="98"/>
      <c r="F510" s="98"/>
      <c r="G510" s="98"/>
      <c r="H510" s="98"/>
      <c r="I510" s="98"/>
    </row>
    <row r="511" ht="20.25" spans="1:9">
      <c r="A511" s="98"/>
      <c r="B511" s="98"/>
      <c r="C511" s="98"/>
      <c r="D511" s="98"/>
      <c r="E511" s="98"/>
      <c r="F511" s="98"/>
      <c r="G511" s="98"/>
      <c r="H511" s="98"/>
      <c r="I511" s="98"/>
    </row>
    <row r="512" ht="20.25" spans="1:9">
      <c r="A512" s="98"/>
      <c r="B512" s="98"/>
      <c r="C512" s="98"/>
      <c r="D512" s="98"/>
      <c r="E512" s="98"/>
      <c r="F512" s="98"/>
      <c r="G512" s="98"/>
      <c r="H512" s="98"/>
      <c r="I512" s="98"/>
    </row>
    <row r="513" ht="20.25" spans="1:9">
      <c r="A513" s="98"/>
      <c r="B513" s="98"/>
      <c r="C513" s="98"/>
      <c r="D513" s="98"/>
      <c r="E513" s="98"/>
      <c r="F513" s="98"/>
      <c r="G513" s="98"/>
      <c r="H513" s="98"/>
      <c r="I513" s="98"/>
    </row>
    <row r="514" ht="20.25" spans="1:9">
      <c r="A514" s="98"/>
      <c r="B514" s="98"/>
      <c r="C514" s="98"/>
      <c r="D514" s="98"/>
      <c r="E514" s="98"/>
      <c r="F514" s="98"/>
      <c r="G514" s="98"/>
      <c r="H514" s="98"/>
      <c r="I514" s="98"/>
    </row>
    <row r="515" ht="20.25" spans="1:9">
      <c r="A515" s="98"/>
      <c r="B515" s="98"/>
      <c r="C515" s="98"/>
      <c r="D515" s="98"/>
      <c r="E515" s="98"/>
      <c r="F515" s="98"/>
      <c r="G515" s="98"/>
      <c r="H515" s="98"/>
      <c r="I515" s="98"/>
    </row>
    <row r="516" ht="20.25" spans="1:9">
      <c r="A516" s="98"/>
      <c r="B516" s="98"/>
      <c r="C516" s="98"/>
      <c r="D516" s="98"/>
      <c r="E516" s="98"/>
      <c r="F516" s="98"/>
      <c r="G516" s="98"/>
      <c r="H516" s="98"/>
      <c r="I516" s="98"/>
    </row>
    <row r="517" ht="20.25" spans="1:9">
      <c r="A517" s="98"/>
      <c r="B517" s="98"/>
      <c r="C517" s="98"/>
      <c r="D517" s="98"/>
      <c r="E517" s="98"/>
      <c r="F517" s="98"/>
      <c r="G517" s="98"/>
      <c r="H517" s="98"/>
      <c r="I517" s="98"/>
    </row>
    <row r="518" ht="20.25" spans="1:9">
      <c r="A518" s="98"/>
      <c r="B518" s="98"/>
      <c r="C518" s="98"/>
      <c r="D518" s="98"/>
      <c r="E518" s="98"/>
      <c r="F518" s="98"/>
      <c r="G518" s="98"/>
      <c r="H518" s="98"/>
      <c r="I518" s="98"/>
    </row>
    <row r="519" ht="20.25" spans="1:9">
      <c r="A519" s="98"/>
      <c r="B519" s="98"/>
      <c r="C519" s="98"/>
      <c r="D519" s="98"/>
      <c r="E519" s="98"/>
      <c r="F519" s="98"/>
      <c r="G519" s="98"/>
      <c r="H519" s="98"/>
      <c r="I519" s="98"/>
    </row>
    <row r="520" ht="20.25" spans="1:9">
      <c r="A520" s="98"/>
      <c r="B520" s="98"/>
      <c r="C520" s="98"/>
      <c r="D520" s="98"/>
      <c r="E520" s="98"/>
      <c r="F520" s="98"/>
      <c r="G520" s="98"/>
      <c r="H520" s="98"/>
      <c r="I520" s="98"/>
    </row>
    <row r="521" ht="20.25" spans="1:9">
      <c r="A521" s="98"/>
      <c r="B521" s="98"/>
      <c r="C521" s="98"/>
      <c r="D521" s="98"/>
      <c r="E521" s="98"/>
      <c r="F521" s="98"/>
      <c r="G521" s="98"/>
      <c r="H521" s="98"/>
      <c r="I521" s="98"/>
    </row>
    <row r="522" ht="20.25" spans="1:9">
      <c r="A522" s="98"/>
      <c r="B522" s="98"/>
      <c r="C522" s="98"/>
      <c r="D522" s="98"/>
      <c r="E522" s="98"/>
      <c r="F522" s="98"/>
      <c r="G522" s="98"/>
      <c r="H522" s="98"/>
      <c r="I522" s="98"/>
    </row>
    <row r="523" ht="20.25" spans="1:9">
      <c r="A523" s="98"/>
      <c r="B523" s="98"/>
      <c r="C523" s="98"/>
      <c r="D523" s="98"/>
      <c r="E523" s="98"/>
      <c r="F523" s="98"/>
      <c r="G523" s="98"/>
      <c r="H523" s="98"/>
      <c r="I523" s="98"/>
    </row>
    <row r="524" ht="20.25" spans="1:9">
      <c r="A524" s="98"/>
      <c r="B524" s="98"/>
      <c r="C524" s="98"/>
      <c r="D524" s="98"/>
      <c r="E524" s="98"/>
      <c r="F524" s="98"/>
      <c r="G524" s="98"/>
      <c r="H524" s="98"/>
      <c r="I524" s="98"/>
    </row>
    <row r="525" ht="20.25" spans="1:9">
      <c r="A525" s="98"/>
      <c r="B525" s="98"/>
      <c r="C525" s="98"/>
      <c r="D525" s="98"/>
      <c r="E525" s="98"/>
      <c r="F525" s="98"/>
      <c r="G525" s="98"/>
      <c r="H525" s="98"/>
      <c r="I525" s="98"/>
    </row>
    <row r="526" ht="20.25" spans="1:9">
      <c r="A526" s="98"/>
      <c r="B526" s="98"/>
      <c r="C526" s="98"/>
      <c r="D526" s="98"/>
      <c r="E526" s="98"/>
      <c r="F526" s="98"/>
      <c r="G526" s="98"/>
      <c r="H526" s="98"/>
      <c r="I526" s="98"/>
    </row>
    <row r="527" ht="20.25" spans="1:9">
      <c r="A527" s="98"/>
      <c r="B527" s="98"/>
      <c r="C527" s="98"/>
      <c r="D527" s="98"/>
      <c r="E527" s="98"/>
      <c r="F527" s="98"/>
      <c r="G527" s="98"/>
      <c r="H527" s="98"/>
      <c r="I527" s="98"/>
    </row>
    <row r="528" ht="20.25" spans="1:9">
      <c r="A528" s="98"/>
      <c r="B528" s="98"/>
      <c r="C528" s="98"/>
      <c r="D528" s="98"/>
      <c r="E528" s="98"/>
      <c r="F528" s="98"/>
      <c r="G528" s="98"/>
      <c r="H528" s="98"/>
      <c r="I528" s="98"/>
    </row>
    <row r="529" ht="20.25" spans="1:9">
      <c r="A529" s="98"/>
      <c r="B529" s="98"/>
      <c r="C529" s="98"/>
      <c r="D529" s="98"/>
      <c r="E529" s="98"/>
      <c r="F529" s="98"/>
      <c r="G529" s="98"/>
      <c r="H529" s="98"/>
      <c r="I529" s="98"/>
    </row>
    <row r="530" ht="20.25" spans="1:9">
      <c r="A530" s="98"/>
      <c r="B530" s="98"/>
      <c r="C530" s="98"/>
      <c r="D530" s="98"/>
      <c r="E530" s="98"/>
      <c r="F530" s="98"/>
      <c r="G530" s="98"/>
      <c r="H530" s="98"/>
      <c r="I530" s="98"/>
    </row>
    <row r="531" ht="20.25" spans="1:9">
      <c r="A531" s="98"/>
      <c r="B531" s="98"/>
      <c r="C531" s="98"/>
      <c r="D531" s="98"/>
      <c r="E531" s="98"/>
      <c r="F531" s="98"/>
      <c r="G531" s="98"/>
      <c r="H531" s="98"/>
      <c r="I531" s="98"/>
    </row>
    <row r="532" ht="20.25" spans="1:9">
      <c r="A532" s="98"/>
      <c r="B532" s="98"/>
      <c r="C532" s="98"/>
      <c r="D532" s="98"/>
      <c r="E532" s="98"/>
      <c r="F532" s="98"/>
      <c r="G532" s="98"/>
      <c r="H532" s="98"/>
      <c r="I532" s="98"/>
    </row>
    <row r="533" ht="20.25" spans="1:9">
      <c r="A533" s="98"/>
      <c r="B533" s="98"/>
      <c r="C533" s="98"/>
      <c r="D533" s="98"/>
      <c r="E533" s="98"/>
      <c r="F533" s="98"/>
      <c r="G533" s="98"/>
      <c r="H533" s="98"/>
      <c r="I533" s="98"/>
    </row>
    <row r="534" ht="20.25" spans="1:9">
      <c r="A534" s="98"/>
      <c r="B534" s="98"/>
      <c r="C534" s="98"/>
      <c r="D534" s="98"/>
      <c r="E534" s="98"/>
      <c r="F534" s="98"/>
      <c r="G534" s="98"/>
      <c r="H534" s="98"/>
      <c r="I534" s="98"/>
    </row>
    <row r="535" ht="20.25" spans="1:9">
      <c r="A535" s="98"/>
      <c r="B535" s="98"/>
      <c r="C535" s="98"/>
      <c r="D535" s="98"/>
      <c r="E535" s="98"/>
      <c r="F535" s="98"/>
      <c r="G535" s="98"/>
      <c r="H535" s="98"/>
      <c r="I535" s="98"/>
    </row>
    <row r="536" ht="20.25" spans="1:9">
      <c r="A536" s="98"/>
      <c r="B536" s="98"/>
      <c r="C536" s="98"/>
      <c r="D536" s="98"/>
      <c r="E536" s="98"/>
      <c r="F536" s="98"/>
      <c r="G536" s="98"/>
      <c r="H536" s="98"/>
      <c r="I536" s="98"/>
    </row>
    <row r="537" ht="20.25" spans="1:9">
      <c r="A537" s="98"/>
      <c r="B537" s="98"/>
      <c r="C537" s="98"/>
      <c r="D537" s="98"/>
      <c r="E537" s="98"/>
      <c r="F537" s="98"/>
      <c r="G537" s="98"/>
      <c r="H537" s="98"/>
      <c r="I537" s="98"/>
    </row>
    <row r="538" ht="20.25" spans="1:9">
      <c r="A538" s="98"/>
      <c r="B538" s="98"/>
      <c r="C538" s="98"/>
      <c r="D538" s="98"/>
      <c r="E538" s="98"/>
      <c r="F538" s="98"/>
      <c r="G538" s="98"/>
      <c r="H538" s="98"/>
      <c r="I538" s="98"/>
    </row>
    <row r="539" ht="20.25" spans="1:9">
      <c r="A539" s="98"/>
      <c r="B539" s="98"/>
      <c r="C539" s="98"/>
      <c r="D539" s="98"/>
      <c r="E539" s="98"/>
      <c r="F539" s="98"/>
      <c r="G539" s="98"/>
      <c r="H539" s="98"/>
      <c r="I539" s="98"/>
    </row>
    <row r="540" ht="20.25" spans="1:9">
      <c r="A540" s="98"/>
      <c r="B540" s="98"/>
      <c r="C540" s="98"/>
      <c r="D540" s="98"/>
      <c r="E540" s="98"/>
      <c r="F540" s="98"/>
      <c r="G540" s="98"/>
      <c r="H540" s="98"/>
      <c r="I540" s="98"/>
    </row>
    <row r="541" ht="20.25" spans="1:9">
      <c r="A541" s="98"/>
      <c r="B541" s="98"/>
      <c r="C541" s="98"/>
      <c r="D541" s="98"/>
      <c r="E541" s="98"/>
      <c r="F541" s="98"/>
      <c r="G541" s="98"/>
      <c r="H541" s="98"/>
      <c r="I541" s="98"/>
    </row>
    <row r="542" ht="20.25" spans="1:9">
      <c r="A542" s="98"/>
      <c r="B542" s="98"/>
      <c r="C542" s="98"/>
      <c r="D542" s="98"/>
      <c r="E542" s="98"/>
      <c r="F542" s="98"/>
      <c r="G542" s="98"/>
      <c r="H542" s="98"/>
      <c r="I542" s="98"/>
    </row>
    <row r="543" ht="20.25" spans="1:9">
      <c r="A543" s="98"/>
      <c r="B543" s="98"/>
      <c r="C543" s="98"/>
      <c r="D543" s="98"/>
      <c r="E543" s="98"/>
      <c r="F543" s="98"/>
      <c r="G543" s="98"/>
      <c r="H543" s="98"/>
      <c r="I543" s="98"/>
    </row>
    <row r="544" ht="20.25" spans="1:9">
      <c r="A544" s="98"/>
      <c r="B544" s="98"/>
      <c r="C544" s="98"/>
      <c r="D544" s="98"/>
      <c r="E544" s="98"/>
      <c r="F544" s="98"/>
      <c r="G544" s="98"/>
      <c r="H544" s="98"/>
      <c r="I544" s="98"/>
    </row>
    <row r="545" ht="20.25" spans="1:9">
      <c r="A545" s="98"/>
      <c r="B545" s="98"/>
      <c r="C545" s="98"/>
      <c r="D545" s="98"/>
      <c r="E545" s="98"/>
      <c r="F545" s="98"/>
      <c r="G545" s="98"/>
      <c r="H545" s="98"/>
      <c r="I545" s="98"/>
    </row>
    <row r="546" ht="20.25" spans="1:9">
      <c r="A546" s="98"/>
      <c r="B546" s="98"/>
      <c r="C546" s="98"/>
      <c r="D546" s="98"/>
      <c r="E546" s="98"/>
      <c r="F546" s="98"/>
      <c r="G546" s="98"/>
      <c r="H546" s="98"/>
      <c r="I546" s="98"/>
    </row>
    <row r="547" ht="20.25" spans="1:9">
      <c r="A547" s="98"/>
      <c r="B547" s="98"/>
      <c r="C547" s="98"/>
      <c r="D547" s="98"/>
      <c r="E547" s="98"/>
      <c r="F547" s="98"/>
      <c r="G547" s="98"/>
      <c r="H547" s="98"/>
      <c r="I547" s="98"/>
    </row>
    <row r="548" ht="20.25" spans="1:9">
      <c r="A548" s="98"/>
      <c r="B548" s="98"/>
      <c r="C548" s="98"/>
      <c r="D548" s="98"/>
      <c r="E548" s="98"/>
      <c r="F548" s="98"/>
      <c r="G548" s="98"/>
      <c r="H548" s="98"/>
      <c r="I548" s="98"/>
    </row>
    <row r="549" ht="20.25" spans="1:9">
      <c r="A549" s="98"/>
      <c r="B549" s="98"/>
      <c r="C549" s="98"/>
      <c r="D549" s="98"/>
      <c r="E549" s="98"/>
      <c r="F549" s="98"/>
      <c r="G549" s="98"/>
      <c r="H549" s="98"/>
      <c r="I549" s="98"/>
    </row>
    <row r="550" ht="20.25" spans="1:9">
      <c r="A550" s="98"/>
      <c r="B550" s="98"/>
      <c r="C550" s="98"/>
      <c r="D550" s="98"/>
      <c r="E550" s="98"/>
      <c r="F550" s="98"/>
      <c r="G550" s="98"/>
      <c r="H550" s="98"/>
      <c r="I550" s="98"/>
    </row>
    <row r="551" ht="20.25" spans="1:9">
      <c r="A551" s="98"/>
      <c r="B551" s="98"/>
      <c r="C551" s="98"/>
      <c r="D551" s="98"/>
      <c r="E551" s="98"/>
      <c r="F551" s="98"/>
      <c r="G551" s="98"/>
      <c r="H551" s="98"/>
      <c r="I551" s="98"/>
    </row>
    <row r="552" ht="20.25" spans="1:9">
      <c r="A552" s="98"/>
      <c r="B552" s="98"/>
      <c r="C552" s="98"/>
      <c r="D552" s="98"/>
      <c r="E552" s="98"/>
      <c r="F552" s="98"/>
      <c r="G552" s="98"/>
      <c r="H552" s="98"/>
      <c r="I552" s="98"/>
    </row>
    <row r="553" ht="20.25" spans="1:9">
      <c r="A553" s="98"/>
      <c r="B553" s="98"/>
      <c r="C553" s="98"/>
      <c r="D553" s="98"/>
      <c r="E553" s="98"/>
      <c r="F553" s="98"/>
      <c r="G553" s="98"/>
      <c r="H553" s="98"/>
      <c r="I553" s="98"/>
    </row>
    <row r="554" ht="20.25" spans="1:9">
      <c r="A554" s="98"/>
      <c r="B554" s="98"/>
      <c r="C554" s="98"/>
      <c r="D554" s="98"/>
      <c r="E554" s="98"/>
      <c r="F554" s="98"/>
      <c r="G554" s="98"/>
      <c r="H554" s="98"/>
      <c r="I554" s="98"/>
    </row>
    <row r="555" ht="20.25" spans="1:9">
      <c r="A555" s="98"/>
      <c r="B555" s="98"/>
      <c r="C555" s="98"/>
      <c r="D555" s="98"/>
      <c r="E555" s="98"/>
      <c r="F555" s="98"/>
      <c r="G555" s="98"/>
      <c r="H555" s="98"/>
      <c r="I555" s="98"/>
    </row>
    <row r="556" ht="20.25" spans="1:9">
      <c r="A556" s="98"/>
      <c r="B556" s="98"/>
      <c r="C556" s="98"/>
      <c r="D556" s="98"/>
      <c r="E556" s="98"/>
      <c r="F556" s="98"/>
      <c r="G556" s="98"/>
      <c r="H556" s="98"/>
      <c r="I556" s="98"/>
    </row>
    <row r="557" ht="20.25" spans="1:9">
      <c r="A557" s="98"/>
      <c r="B557" s="98"/>
      <c r="C557" s="98"/>
      <c r="D557" s="98"/>
      <c r="E557" s="98"/>
      <c r="F557" s="98"/>
      <c r="G557" s="98"/>
      <c r="H557" s="98"/>
      <c r="I557" s="98"/>
    </row>
    <row r="558" ht="20.25" spans="1:9">
      <c r="A558" s="98"/>
      <c r="B558" s="98"/>
      <c r="C558" s="98"/>
      <c r="D558" s="98"/>
      <c r="E558" s="98"/>
      <c r="F558" s="98"/>
      <c r="G558" s="98"/>
      <c r="H558" s="98"/>
      <c r="I558" s="98"/>
    </row>
    <row r="559" ht="20.25" spans="1:9">
      <c r="A559" s="98"/>
      <c r="B559" s="98"/>
      <c r="C559" s="98"/>
      <c r="D559" s="98"/>
      <c r="E559" s="98"/>
      <c r="F559" s="98"/>
      <c r="G559" s="98"/>
      <c r="H559" s="98"/>
      <c r="I559" s="98"/>
    </row>
    <row r="560" ht="20.25" spans="1:9">
      <c r="A560" s="98"/>
      <c r="B560" s="98"/>
      <c r="C560" s="98"/>
      <c r="D560" s="98"/>
      <c r="E560" s="98"/>
      <c r="F560" s="98"/>
      <c r="G560" s="98"/>
      <c r="H560" s="98"/>
      <c r="I560" s="98"/>
    </row>
    <row r="561" ht="20.25" spans="1:9">
      <c r="A561" s="98"/>
      <c r="B561" s="98"/>
      <c r="C561" s="98"/>
      <c r="D561" s="98"/>
      <c r="E561" s="98"/>
      <c r="F561" s="98"/>
      <c r="G561" s="98"/>
      <c r="H561" s="98"/>
      <c r="I561" s="98"/>
    </row>
    <row r="562" ht="20.25" spans="1:9">
      <c r="A562" s="98"/>
      <c r="B562" s="98"/>
      <c r="C562" s="98"/>
      <c r="D562" s="98"/>
      <c r="E562" s="98"/>
      <c r="F562" s="98"/>
      <c r="G562" s="98"/>
      <c r="H562" s="98"/>
      <c r="I562" s="98"/>
    </row>
    <row r="563" ht="20.25" spans="1:9">
      <c r="A563" s="98"/>
      <c r="B563" s="98"/>
      <c r="C563" s="98"/>
      <c r="D563" s="98"/>
      <c r="E563" s="98"/>
      <c r="F563" s="98"/>
      <c r="G563" s="98"/>
      <c r="H563" s="98"/>
      <c r="I563" s="98"/>
    </row>
    <row r="564" ht="20.25" spans="1:9">
      <c r="A564" s="98"/>
      <c r="B564" s="98"/>
      <c r="C564" s="98"/>
      <c r="D564" s="98"/>
      <c r="E564" s="98"/>
      <c r="F564" s="98"/>
      <c r="G564" s="98"/>
      <c r="H564" s="98"/>
      <c r="I564" s="98"/>
    </row>
    <row r="565" ht="20.25" spans="1:9">
      <c r="A565" s="98"/>
      <c r="B565" s="98"/>
      <c r="C565" s="98"/>
      <c r="D565" s="98"/>
      <c r="E565" s="98"/>
      <c r="F565" s="98"/>
      <c r="G565" s="98"/>
      <c r="H565" s="98"/>
      <c r="I565" s="98"/>
    </row>
    <row r="566" ht="20.25" spans="1:9">
      <c r="A566" s="98"/>
      <c r="B566" s="98"/>
      <c r="C566" s="98"/>
      <c r="D566" s="98"/>
      <c r="E566" s="98"/>
      <c r="F566" s="98"/>
      <c r="G566" s="98"/>
      <c r="H566" s="98"/>
      <c r="I566" s="98"/>
    </row>
    <row r="567" ht="20.25" spans="1:9">
      <c r="A567" s="98"/>
      <c r="B567" s="98"/>
      <c r="C567" s="98"/>
      <c r="D567" s="98"/>
      <c r="E567" s="98"/>
      <c r="F567" s="98"/>
      <c r="G567" s="98"/>
      <c r="H567" s="98"/>
      <c r="I567" s="98"/>
    </row>
    <row r="568" ht="20.25" spans="1:9">
      <c r="A568" s="98"/>
      <c r="B568" s="98"/>
      <c r="C568" s="98"/>
      <c r="D568" s="98"/>
      <c r="E568" s="98"/>
      <c r="F568" s="98"/>
      <c r="G568" s="98"/>
      <c r="H568" s="98"/>
      <c r="I568" s="98"/>
    </row>
    <row r="569" ht="20.25" spans="1:9">
      <c r="A569" s="98"/>
      <c r="B569" s="98"/>
      <c r="C569" s="98"/>
      <c r="D569" s="98"/>
      <c r="E569" s="98"/>
      <c r="F569" s="98"/>
      <c r="G569" s="98"/>
      <c r="H569" s="98"/>
      <c r="I569" s="98"/>
    </row>
    <row r="570" ht="20.25" spans="1:9">
      <c r="A570" s="98"/>
      <c r="B570" s="98"/>
      <c r="C570" s="98"/>
      <c r="D570" s="98"/>
      <c r="E570" s="98"/>
      <c r="F570" s="98"/>
      <c r="G570" s="98"/>
      <c r="H570" s="98"/>
      <c r="I570" s="98"/>
    </row>
    <row r="571" ht="20.25" spans="1:9">
      <c r="A571" s="98"/>
      <c r="B571" s="98"/>
      <c r="C571" s="98"/>
      <c r="D571" s="98"/>
      <c r="E571" s="98"/>
      <c r="F571" s="98"/>
      <c r="G571" s="98"/>
      <c r="H571" s="98"/>
      <c r="I571" s="98"/>
    </row>
    <row r="572" ht="20.25" spans="1:9">
      <c r="A572" s="98"/>
      <c r="B572" s="98"/>
      <c r="C572" s="98"/>
      <c r="D572" s="98"/>
      <c r="E572" s="98"/>
      <c r="F572" s="98"/>
      <c r="G572" s="98"/>
      <c r="H572" s="98"/>
      <c r="I572" s="98"/>
    </row>
    <row r="573" ht="20.25" spans="1:9">
      <c r="A573" s="98"/>
      <c r="B573" s="98"/>
      <c r="C573" s="98"/>
      <c r="D573" s="98"/>
      <c r="E573" s="98"/>
      <c r="F573" s="98"/>
      <c r="G573" s="98"/>
      <c r="H573" s="98"/>
      <c r="I573" s="98"/>
    </row>
    <row r="574" ht="20.25" spans="1:9">
      <c r="A574" s="98"/>
      <c r="B574" s="98"/>
      <c r="C574" s="98"/>
      <c r="D574" s="98"/>
      <c r="E574" s="98"/>
      <c r="F574" s="98"/>
      <c r="G574" s="98"/>
      <c r="H574" s="98"/>
      <c r="I574" s="98"/>
    </row>
    <row r="575" ht="20.25" spans="1:9">
      <c r="A575" s="98"/>
      <c r="B575" s="98"/>
      <c r="C575" s="98"/>
      <c r="D575" s="98"/>
      <c r="E575" s="98"/>
      <c r="F575" s="98"/>
      <c r="G575" s="98"/>
      <c r="H575" s="98"/>
      <c r="I575" s="98"/>
    </row>
    <row r="576" ht="20.25" spans="1:9">
      <c r="A576" s="98"/>
      <c r="B576" s="98"/>
      <c r="C576" s="98"/>
      <c r="D576" s="98"/>
      <c r="E576" s="98"/>
      <c r="F576" s="98"/>
      <c r="G576" s="98"/>
      <c r="H576" s="98"/>
      <c r="I576" s="98"/>
    </row>
    <row r="577" ht="20.25" spans="1:9">
      <c r="A577" s="98"/>
      <c r="B577" s="98"/>
      <c r="C577" s="98"/>
      <c r="D577" s="98"/>
      <c r="E577" s="98"/>
      <c r="F577" s="98"/>
      <c r="G577" s="98"/>
      <c r="H577" s="98"/>
      <c r="I577" s="98"/>
    </row>
    <row r="578" ht="20.25" spans="1:9">
      <c r="A578" s="98"/>
      <c r="B578" s="98"/>
      <c r="C578" s="98"/>
      <c r="D578" s="98"/>
      <c r="E578" s="98"/>
      <c r="F578" s="98"/>
      <c r="G578" s="98"/>
      <c r="H578" s="98"/>
      <c r="I578" s="98"/>
    </row>
    <row r="579" ht="20.25" spans="1:9">
      <c r="A579" s="98"/>
      <c r="B579" s="98"/>
      <c r="C579" s="98"/>
      <c r="D579" s="98"/>
      <c r="E579" s="98"/>
      <c r="F579" s="98"/>
      <c r="G579" s="98"/>
      <c r="H579" s="98"/>
      <c r="I579" s="98"/>
    </row>
    <row r="580" ht="20.25" spans="1:9">
      <c r="A580" s="98"/>
      <c r="B580" s="98"/>
      <c r="C580" s="98"/>
      <c r="D580" s="98"/>
      <c r="E580" s="98"/>
      <c r="F580" s="98"/>
      <c r="G580" s="98"/>
      <c r="H580" s="98"/>
      <c r="I580" s="98"/>
    </row>
    <row r="581" ht="20.25" spans="1:9">
      <c r="A581" s="98"/>
      <c r="B581" s="98"/>
      <c r="C581" s="98"/>
      <c r="D581" s="98"/>
      <c r="E581" s="98"/>
      <c r="F581" s="98"/>
      <c r="G581" s="98"/>
      <c r="H581" s="98"/>
      <c r="I581" s="98"/>
    </row>
    <row r="582" ht="20.25" spans="1:9">
      <c r="A582" s="98"/>
      <c r="B582" s="98"/>
      <c r="C582" s="98"/>
      <c r="D582" s="98"/>
      <c r="E582" s="98"/>
      <c r="F582" s="98"/>
      <c r="G582" s="98"/>
      <c r="H582" s="98"/>
      <c r="I582" s="98"/>
    </row>
    <row r="583" ht="20.25" spans="1:9">
      <c r="A583" s="98"/>
      <c r="B583" s="98"/>
      <c r="C583" s="98"/>
      <c r="D583" s="98"/>
      <c r="E583" s="98"/>
      <c r="F583" s="98"/>
      <c r="G583" s="98"/>
      <c r="H583" s="98"/>
      <c r="I583" s="98"/>
    </row>
    <row r="584" ht="20.25" spans="1:9">
      <c r="A584" s="98"/>
      <c r="B584" s="98"/>
      <c r="C584" s="98"/>
      <c r="D584" s="98"/>
      <c r="E584" s="98"/>
      <c r="F584" s="98"/>
      <c r="G584" s="98"/>
      <c r="H584" s="98"/>
      <c r="I584" s="98"/>
    </row>
    <row r="585" ht="20.25" spans="1:9">
      <c r="A585" s="98"/>
      <c r="B585" s="98"/>
      <c r="C585" s="98"/>
      <c r="D585" s="98"/>
      <c r="E585" s="98"/>
      <c r="F585" s="98"/>
      <c r="G585" s="98"/>
      <c r="H585" s="98"/>
      <c r="I585" s="98"/>
    </row>
    <row r="586" ht="20.25" spans="1:9">
      <c r="A586" s="98"/>
      <c r="B586" s="98"/>
      <c r="C586" s="98"/>
      <c r="D586" s="98"/>
      <c r="E586" s="98"/>
      <c r="F586" s="98"/>
      <c r="G586" s="98"/>
      <c r="H586" s="98"/>
      <c r="I586" s="98"/>
    </row>
    <row r="587" ht="20.25" spans="1:9">
      <c r="A587" s="98"/>
      <c r="B587" s="98"/>
      <c r="C587" s="98"/>
      <c r="D587" s="98"/>
      <c r="E587" s="98"/>
      <c r="F587" s="98"/>
      <c r="G587" s="98"/>
      <c r="H587" s="98"/>
      <c r="I587" s="98"/>
    </row>
    <row r="588" ht="20.25" spans="1:9">
      <c r="A588" s="98"/>
      <c r="B588" s="98"/>
      <c r="C588" s="98"/>
      <c r="D588" s="98"/>
      <c r="E588" s="98"/>
      <c r="F588" s="98"/>
      <c r="G588" s="98"/>
      <c r="H588" s="98"/>
      <c r="I588" s="98"/>
    </row>
    <row r="589" ht="20.25" spans="1:9">
      <c r="A589" s="98"/>
      <c r="B589" s="98"/>
      <c r="C589" s="98"/>
      <c r="D589" s="98"/>
      <c r="E589" s="98"/>
      <c r="F589" s="98"/>
      <c r="G589" s="98"/>
      <c r="H589" s="98"/>
      <c r="I589" s="98"/>
    </row>
    <row r="590" ht="20.25" spans="1:9">
      <c r="A590" s="98"/>
      <c r="B590" s="98"/>
      <c r="C590" s="98"/>
      <c r="D590" s="98"/>
      <c r="E590" s="98"/>
      <c r="F590" s="98"/>
      <c r="G590" s="98"/>
      <c r="H590" s="98"/>
      <c r="I590" s="98"/>
    </row>
    <row r="591" ht="20.25" spans="1:9">
      <c r="A591" s="98"/>
      <c r="B591" s="98"/>
      <c r="C591" s="98"/>
      <c r="D591" s="98"/>
      <c r="E591" s="98"/>
      <c r="F591" s="98"/>
      <c r="G591" s="98"/>
      <c r="H591" s="98"/>
      <c r="I591" s="98"/>
    </row>
    <row r="592" ht="20.25" spans="1:9">
      <c r="A592" s="98"/>
      <c r="B592" s="98"/>
      <c r="C592" s="98"/>
      <c r="D592" s="98"/>
      <c r="E592" s="98"/>
      <c r="F592" s="98"/>
      <c r="G592" s="98"/>
      <c r="H592" s="98"/>
      <c r="I592" s="98"/>
    </row>
    <row r="593" ht="20.25" spans="1:9">
      <c r="A593" s="98"/>
      <c r="B593" s="98"/>
      <c r="C593" s="98"/>
      <c r="D593" s="98"/>
      <c r="E593" s="98"/>
      <c r="F593" s="98"/>
      <c r="G593" s="98"/>
      <c r="H593" s="98"/>
      <c r="I593" s="98"/>
    </row>
    <row r="594" ht="20.25" spans="1:9">
      <c r="A594" s="98"/>
      <c r="B594" s="98"/>
      <c r="C594" s="98"/>
      <c r="D594" s="98"/>
      <c r="E594" s="98"/>
      <c r="F594" s="98"/>
      <c r="G594" s="98"/>
      <c r="H594" s="98"/>
      <c r="I594" s="98"/>
    </row>
    <row r="595" ht="20.25" spans="1:9">
      <c r="A595" s="98"/>
      <c r="B595" s="98"/>
      <c r="C595" s="98"/>
      <c r="D595" s="98"/>
      <c r="E595" s="98"/>
      <c r="F595" s="98"/>
      <c r="G595" s="98"/>
      <c r="H595" s="98"/>
      <c r="I595" s="98"/>
    </row>
    <row r="596" ht="20.25" spans="1:9">
      <c r="A596" s="98"/>
      <c r="B596" s="98"/>
      <c r="C596" s="98"/>
      <c r="D596" s="98"/>
      <c r="E596" s="98"/>
      <c r="F596" s="98"/>
      <c r="G596" s="98"/>
      <c r="H596" s="98"/>
      <c r="I596" s="98"/>
    </row>
    <row r="597" ht="20.25" spans="1:9">
      <c r="A597" s="98"/>
      <c r="B597" s="98"/>
      <c r="C597" s="98"/>
      <c r="D597" s="98"/>
      <c r="E597" s="98"/>
      <c r="F597" s="98"/>
      <c r="G597" s="98"/>
      <c r="H597" s="98"/>
      <c r="I597" s="98"/>
    </row>
    <row r="598" ht="20.25" spans="1:9">
      <c r="A598" s="98"/>
      <c r="B598" s="98"/>
      <c r="C598" s="98"/>
      <c r="D598" s="98"/>
      <c r="E598" s="98"/>
      <c r="F598" s="98"/>
      <c r="G598" s="98"/>
      <c r="H598" s="98"/>
      <c r="I598" s="98"/>
    </row>
    <row r="599" ht="20.25" spans="1:9">
      <c r="A599" s="98"/>
      <c r="B599" s="98"/>
      <c r="C599" s="98"/>
      <c r="D599" s="98"/>
      <c r="E599" s="98"/>
      <c r="F599" s="98"/>
      <c r="G599" s="98"/>
      <c r="H599" s="98"/>
      <c r="I599" s="98"/>
    </row>
    <row r="600" ht="20.25" spans="1:9">
      <c r="A600" s="98"/>
      <c r="B600" s="98"/>
      <c r="C600" s="98"/>
      <c r="D600" s="98"/>
      <c r="E600" s="98"/>
      <c r="F600" s="98"/>
      <c r="G600" s="98"/>
      <c r="H600" s="98"/>
      <c r="I600" s="98"/>
    </row>
    <row r="601" ht="20.25" spans="1:9">
      <c r="A601" s="98"/>
      <c r="B601" s="98"/>
      <c r="C601" s="98"/>
      <c r="D601" s="98"/>
      <c r="E601" s="98"/>
      <c r="F601" s="98"/>
      <c r="G601" s="98"/>
      <c r="H601" s="98"/>
      <c r="I601" s="98"/>
    </row>
    <row r="602" ht="20.25" spans="1:9">
      <c r="A602" s="98"/>
      <c r="B602" s="98"/>
      <c r="C602" s="98"/>
      <c r="D602" s="98"/>
      <c r="E602" s="98"/>
      <c r="F602" s="98"/>
      <c r="G602" s="98"/>
      <c r="H602" s="98"/>
      <c r="I602" s="98"/>
    </row>
    <row r="603" ht="20.25" spans="1:9">
      <c r="A603" s="98"/>
      <c r="B603" s="98"/>
      <c r="C603" s="98"/>
      <c r="D603" s="98"/>
      <c r="E603" s="98"/>
      <c r="F603" s="98"/>
      <c r="G603" s="98"/>
      <c r="H603" s="98"/>
      <c r="I603" s="98"/>
    </row>
    <row r="604" ht="20.25" spans="1:9">
      <c r="A604" s="98"/>
      <c r="B604" s="98"/>
      <c r="C604" s="98"/>
      <c r="D604" s="98"/>
      <c r="E604" s="98"/>
      <c r="F604" s="98"/>
      <c r="G604" s="98"/>
      <c r="H604" s="98"/>
      <c r="I604" s="98"/>
    </row>
    <row r="605" ht="20.25" spans="1:9">
      <c r="A605" s="98"/>
      <c r="B605" s="98"/>
      <c r="C605" s="98"/>
      <c r="D605" s="98"/>
      <c r="E605" s="98"/>
      <c r="F605" s="98"/>
      <c r="G605" s="98"/>
      <c r="H605" s="98"/>
      <c r="I605" s="98"/>
    </row>
    <row r="606" ht="20.25" spans="1:9">
      <c r="A606" s="98"/>
      <c r="B606" s="98"/>
      <c r="C606" s="98"/>
      <c r="D606" s="98"/>
      <c r="E606" s="98"/>
      <c r="F606" s="98"/>
      <c r="G606" s="98"/>
      <c r="H606" s="98"/>
      <c r="I606" s="98"/>
    </row>
    <row r="607" ht="20.25" spans="1:9">
      <c r="A607" s="98"/>
      <c r="B607" s="98"/>
      <c r="C607" s="98"/>
      <c r="D607" s="98"/>
      <c r="E607" s="98"/>
      <c r="F607" s="98"/>
      <c r="G607" s="98"/>
      <c r="H607" s="98"/>
      <c r="I607" s="98"/>
    </row>
    <row r="608" ht="20.25" spans="1:9">
      <c r="A608" s="98"/>
      <c r="B608" s="98"/>
      <c r="C608" s="98"/>
      <c r="D608" s="98"/>
      <c r="E608" s="98"/>
      <c r="F608" s="98"/>
      <c r="G608" s="98"/>
      <c r="H608" s="98"/>
      <c r="I608" s="98"/>
    </row>
    <row r="609" ht="20.25" spans="1:9">
      <c r="A609" s="98"/>
      <c r="B609" s="98"/>
      <c r="C609" s="98"/>
      <c r="D609" s="98"/>
      <c r="E609" s="98"/>
      <c r="F609" s="98"/>
      <c r="G609" s="98"/>
      <c r="H609" s="98"/>
      <c r="I609" s="98"/>
    </row>
    <row r="610" ht="20.25" spans="1:9">
      <c r="A610" s="98"/>
      <c r="B610" s="98"/>
      <c r="C610" s="98"/>
      <c r="D610" s="98"/>
      <c r="E610" s="98"/>
      <c r="F610" s="98"/>
      <c r="G610" s="98"/>
      <c r="H610" s="98"/>
      <c r="I610" s="98"/>
    </row>
    <row r="611" ht="20.25" spans="1:9">
      <c r="A611" s="98"/>
      <c r="B611" s="98"/>
      <c r="C611" s="98"/>
      <c r="D611" s="98"/>
      <c r="E611" s="98"/>
      <c r="F611" s="98"/>
      <c r="G611" s="98"/>
      <c r="H611" s="98"/>
      <c r="I611" s="98"/>
    </row>
    <row r="612" ht="20.25" spans="1:9">
      <c r="A612" s="98"/>
      <c r="B612" s="98"/>
      <c r="C612" s="98"/>
      <c r="D612" s="98"/>
      <c r="E612" s="98"/>
      <c r="F612" s="98"/>
      <c r="G612" s="98"/>
      <c r="H612" s="98"/>
      <c r="I612" s="98"/>
    </row>
    <row r="613" ht="20.25" spans="1:9">
      <c r="A613" s="98"/>
      <c r="B613" s="98"/>
      <c r="C613" s="98"/>
      <c r="D613" s="98"/>
      <c r="E613" s="98"/>
      <c r="F613" s="98"/>
      <c r="G613" s="98"/>
      <c r="H613" s="98"/>
      <c r="I613" s="98"/>
    </row>
    <row r="614" ht="20.25" spans="1:9">
      <c r="A614" s="98"/>
      <c r="B614" s="98"/>
      <c r="C614" s="98"/>
      <c r="D614" s="98"/>
      <c r="E614" s="98"/>
      <c r="F614" s="98"/>
      <c r="G614" s="98"/>
      <c r="H614" s="98"/>
      <c r="I614" s="98"/>
    </row>
    <row r="615" ht="20.25" spans="1:9">
      <c r="A615" s="98"/>
      <c r="B615" s="98"/>
      <c r="C615" s="98"/>
      <c r="D615" s="98"/>
      <c r="E615" s="98"/>
      <c r="F615" s="98"/>
      <c r="G615" s="98"/>
      <c r="H615" s="98"/>
      <c r="I615" s="98"/>
    </row>
    <row r="616" ht="20.25" spans="1:9">
      <c r="A616" s="98"/>
      <c r="B616" s="98"/>
      <c r="C616" s="98"/>
      <c r="D616" s="98"/>
      <c r="E616" s="98"/>
      <c r="F616" s="98"/>
      <c r="G616" s="98"/>
      <c r="H616" s="98"/>
      <c r="I616" s="98"/>
    </row>
    <row r="617" ht="20.25" spans="1:9">
      <c r="A617" s="98"/>
      <c r="B617" s="98"/>
      <c r="C617" s="98"/>
      <c r="D617" s="98"/>
      <c r="E617" s="98"/>
      <c r="F617" s="98"/>
      <c r="G617" s="98"/>
      <c r="H617" s="98"/>
      <c r="I617" s="98"/>
    </row>
    <row r="618" ht="20.25" spans="1:9">
      <c r="A618" s="98"/>
      <c r="B618" s="98"/>
      <c r="C618" s="98"/>
      <c r="D618" s="98"/>
      <c r="E618" s="98"/>
      <c r="F618" s="98"/>
      <c r="G618" s="98"/>
      <c r="H618" s="98"/>
      <c r="I618" s="98"/>
    </row>
    <row r="619" ht="20.25" spans="1:9">
      <c r="A619" s="98"/>
      <c r="B619" s="98"/>
      <c r="C619" s="98"/>
      <c r="D619" s="98"/>
      <c r="E619" s="98"/>
      <c r="F619" s="98"/>
      <c r="G619" s="98"/>
      <c r="H619" s="98"/>
      <c r="I619" s="98"/>
    </row>
    <row r="620" ht="20.25" spans="1:9">
      <c r="A620" s="98"/>
      <c r="B620" s="98"/>
      <c r="C620" s="98"/>
      <c r="D620" s="98"/>
      <c r="E620" s="98"/>
      <c r="F620" s="98"/>
      <c r="G620" s="98"/>
      <c r="H620" s="98"/>
      <c r="I620" s="98"/>
    </row>
    <row r="621" ht="20.25" spans="1:9">
      <c r="A621" s="98"/>
      <c r="B621" s="98"/>
      <c r="C621" s="98"/>
      <c r="D621" s="98"/>
      <c r="E621" s="98"/>
      <c r="F621" s="98"/>
      <c r="G621" s="98"/>
      <c r="H621" s="98"/>
      <c r="I621" s="98"/>
    </row>
    <row r="622" ht="20.25" spans="1:9">
      <c r="A622" s="98"/>
      <c r="B622" s="98"/>
      <c r="C622" s="98"/>
      <c r="D622" s="98"/>
      <c r="E622" s="98"/>
      <c r="F622" s="98"/>
      <c r="G622" s="98"/>
      <c r="H622" s="98"/>
      <c r="I622" s="98"/>
    </row>
    <row r="623" ht="20.25" spans="1:9">
      <c r="A623" s="98"/>
      <c r="B623" s="98"/>
      <c r="C623" s="98"/>
      <c r="D623" s="98"/>
      <c r="E623" s="98"/>
      <c r="F623" s="98"/>
      <c r="G623" s="98"/>
      <c r="H623" s="98"/>
      <c r="I623" s="98"/>
    </row>
    <row r="624" ht="20.25" spans="1:9">
      <c r="A624" s="98"/>
      <c r="B624" s="98"/>
      <c r="C624" s="98"/>
      <c r="D624" s="98"/>
      <c r="E624" s="98"/>
      <c r="F624" s="98"/>
      <c r="G624" s="98"/>
      <c r="H624" s="98"/>
      <c r="I624" s="98"/>
    </row>
    <row r="625" ht="20.25" spans="1:9">
      <c r="A625" s="98"/>
      <c r="B625" s="98"/>
      <c r="C625" s="98"/>
      <c r="D625" s="98"/>
      <c r="E625" s="98"/>
      <c r="F625" s="98"/>
      <c r="G625" s="98"/>
      <c r="H625" s="98"/>
      <c r="I625" s="98"/>
    </row>
    <row r="626" ht="20.25" spans="1:9">
      <c r="A626" s="98"/>
      <c r="B626" s="98"/>
      <c r="C626" s="98"/>
      <c r="D626" s="98"/>
      <c r="E626" s="98"/>
      <c r="F626" s="98"/>
      <c r="G626" s="98"/>
      <c r="H626" s="98"/>
      <c r="I626" s="98"/>
    </row>
    <row r="627" ht="20.25" spans="1:9">
      <c r="A627" s="98"/>
      <c r="B627" s="98"/>
      <c r="C627" s="98"/>
      <c r="D627" s="98"/>
      <c r="E627" s="98"/>
      <c r="F627" s="98"/>
      <c r="G627" s="98"/>
      <c r="H627" s="98"/>
      <c r="I627" s="98"/>
    </row>
    <row r="628" ht="20.25" spans="1:9">
      <c r="A628" s="98"/>
      <c r="B628" s="98"/>
      <c r="C628" s="98"/>
      <c r="D628" s="98"/>
      <c r="E628" s="98"/>
      <c r="F628" s="98"/>
      <c r="G628" s="98"/>
      <c r="H628" s="98"/>
      <c r="I628" s="98"/>
    </row>
    <row r="629" ht="20.25" spans="1:9">
      <c r="A629" s="98"/>
      <c r="B629" s="98"/>
      <c r="C629" s="98"/>
      <c r="D629" s="98"/>
      <c r="E629" s="98"/>
      <c r="F629" s="98"/>
      <c r="G629" s="98"/>
      <c r="H629" s="98"/>
      <c r="I629" s="98"/>
    </row>
    <row r="630" ht="20.25" spans="1:9">
      <c r="A630" s="98"/>
      <c r="B630" s="98"/>
      <c r="C630" s="98"/>
      <c r="D630" s="98"/>
      <c r="E630" s="98"/>
      <c r="F630" s="98"/>
      <c r="G630" s="98"/>
      <c r="H630" s="98"/>
      <c r="I630" s="98"/>
    </row>
    <row r="631" ht="20.25" spans="1:9">
      <c r="A631" s="98"/>
      <c r="B631" s="98"/>
      <c r="C631" s="98"/>
      <c r="D631" s="98"/>
      <c r="E631" s="98"/>
      <c r="F631" s="98"/>
      <c r="G631" s="98"/>
      <c r="H631" s="98"/>
      <c r="I631" s="98"/>
    </row>
    <row r="632" ht="20.25" spans="1:9">
      <c r="A632" s="98"/>
      <c r="B632" s="98"/>
      <c r="C632" s="98"/>
      <c r="D632" s="98"/>
      <c r="E632" s="98"/>
      <c r="F632" s="98"/>
      <c r="G632" s="98"/>
      <c r="H632" s="98"/>
      <c r="I632" s="98"/>
    </row>
    <row r="633" ht="20.25" spans="1:9">
      <c r="A633" s="98"/>
      <c r="B633" s="98"/>
      <c r="C633" s="98"/>
      <c r="D633" s="98"/>
      <c r="E633" s="98"/>
      <c r="F633" s="98"/>
      <c r="G633" s="98"/>
      <c r="H633" s="98"/>
      <c r="I633" s="98"/>
    </row>
    <row r="634" ht="20.25" spans="1:9">
      <c r="A634" s="98"/>
      <c r="B634" s="98"/>
      <c r="C634" s="98"/>
      <c r="D634" s="98"/>
      <c r="E634" s="98"/>
      <c r="F634" s="98"/>
      <c r="G634" s="98"/>
      <c r="H634" s="98"/>
      <c r="I634" s="98"/>
    </row>
    <row r="635" ht="20.25" spans="1:9">
      <c r="A635" s="98"/>
      <c r="B635" s="98"/>
      <c r="C635" s="98"/>
      <c r="D635" s="98"/>
      <c r="E635" s="98"/>
      <c r="F635" s="98"/>
      <c r="G635" s="98"/>
      <c r="H635" s="98"/>
      <c r="I635" s="98"/>
    </row>
    <row r="636" ht="20.25" spans="1:9">
      <c r="A636" s="98"/>
      <c r="B636" s="98"/>
      <c r="C636" s="98"/>
      <c r="D636" s="98"/>
      <c r="E636" s="98"/>
      <c r="F636" s="98"/>
      <c r="G636" s="98"/>
      <c r="H636" s="98"/>
      <c r="I636" s="98"/>
    </row>
    <row r="637" ht="20.25" spans="1:9">
      <c r="A637" s="98"/>
      <c r="B637" s="98"/>
      <c r="C637" s="98"/>
      <c r="D637" s="98"/>
      <c r="E637" s="98"/>
      <c r="F637" s="98"/>
      <c r="G637" s="98"/>
      <c r="H637" s="98"/>
      <c r="I637" s="98"/>
    </row>
    <row r="638" ht="20.25" spans="1:9">
      <c r="A638" s="98"/>
      <c r="B638" s="98"/>
      <c r="C638" s="98"/>
      <c r="D638" s="98"/>
      <c r="E638" s="98"/>
      <c r="F638" s="98"/>
      <c r="G638" s="98"/>
      <c r="H638" s="98"/>
      <c r="I638" s="98"/>
    </row>
    <row r="639" ht="20.25" spans="1:9">
      <c r="A639" s="98"/>
      <c r="B639" s="98"/>
      <c r="C639" s="98"/>
      <c r="D639" s="98"/>
      <c r="E639" s="98"/>
      <c r="F639" s="98"/>
      <c r="G639" s="98"/>
      <c r="H639" s="98"/>
      <c r="I639" s="98"/>
    </row>
    <row r="640" ht="20.25" spans="1:9">
      <c r="A640" s="98"/>
      <c r="B640" s="98"/>
      <c r="C640" s="98"/>
      <c r="D640" s="98"/>
      <c r="E640" s="98"/>
      <c r="F640" s="98"/>
      <c r="G640" s="98"/>
      <c r="H640" s="98"/>
      <c r="I640" s="98"/>
    </row>
    <row r="641" ht="20.25" spans="1:9">
      <c r="A641" s="98"/>
      <c r="B641" s="98"/>
      <c r="C641" s="98"/>
      <c r="D641" s="98"/>
      <c r="E641" s="98"/>
      <c r="F641" s="98"/>
      <c r="G641" s="98"/>
      <c r="H641" s="98"/>
      <c r="I641" s="98"/>
    </row>
    <row r="642" ht="20.25" spans="1:9">
      <c r="A642" s="98"/>
      <c r="B642" s="98"/>
      <c r="C642" s="98"/>
      <c r="D642" s="98"/>
      <c r="E642" s="98"/>
      <c r="F642" s="98"/>
      <c r="G642" s="98"/>
      <c r="H642" s="98"/>
      <c r="I642" s="98"/>
    </row>
    <row r="643" ht="20.25" spans="1:9">
      <c r="A643" s="98"/>
      <c r="B643" s="98"/>
      <c r="C643" s="98"/>
      <c r="D643" s="98"/>
      <c r="E643" s="98"/>
      <c r="F643" s="98"/>
      <c r="G643" s="98"/>
      <c r="H643" s="98"/>
      <c r="I643" s="98"/>
    </row>
    <row r="644" ht="20.25" spans="1:9">
      <c r="A644" s="98"/>
      <c r="B644" s="98"/>
      <c r="C644" s="98"/>
      <c r="D644" s="98"/>
      <c r="E644" s="98"/>
      <c r="F644" s="98"/>
      <c r="G644" s="98"/>
      <c r="H644" s="98"/>
      <c r="I644" s="98"/>
    </row>
    <row r="645" ht="20.25" spans="1:9">
      <c r="A645" s="98"/>
      <c r="B645" s="98"/>
      <c r="C645" s="98"/>
      <c r="D645" s="98"/>
      <c r="E645" s="98"/>
      <c r="F645" s="98"/>
      <c r="G645" s="98"/>
      <c r="H645" s="98"/>
      <c r="I645" s="98"/>
    </row>
    <row r="646" ht="20.25" spans="1:9">
      <c r="A646" s="98"/>
      <c r="B646" s="98"/>
      <c r="C646" s="98"/>
      <c r="D646" s="98"/>
      <c r="E646" s="98"/>
      <c r="F646" s="98"/>
      <c r="G646" s="98"/>
      <c r="H646" s="98"/>
      <c r="I646" s="98"/>
    </row>
    <row r="647" ht="20.25" spans="1:9">
      <c r="A647" s="98"/>
      <c r="B647" s="98"/>
      <c r="C647" s="98"/>
      <c r="D647" s="98"/>
      <c r="E647" s="98"/>
      <c r="F647" s="98"/>
      <c r="G647" s="98"/>
      <c r="H647" s="98"/>
      <c r="I647" s="98"/>
    </row>
    <row r="648" ht="20.25" spans="1:9">
      <c r="A648" s="98"/>
      <c r="B648" s="98"/>
      <c r="C648" s="98"/>
      <c r="D648" s="98"/>
      <c r="E648" s="98"/>
      <c r="F648" s="98"/>
      <c r="G648" s="98"/>
      <c r="H648" s="98"/>
      <c r="I648" s="98"/>
    </row>
    <row r="649" ht="20.25" spans="1:9">
      <c r="A649" s="98"/>
      <c r="B649" s="98"/>
      <c r="C649" s="98"/>
      <c r="D649" s="98"/>
      <c r="E649" s="98"/>
      <c r="F649" s="98"/>
      <c r="G649" s="98"/>
      <c r="H649" s="98"/>
      <c r="I649" s="98"/>
    </row>
    <row r="650" ht="20.25" spans="1:9">
      <c r="A650" s="98"/>
      <c r="B650" s="98"/>
      <c r="C650" s="98"/>
      <c r="D650" s="98"/>
      <c r="E650" s="98"/>
      <c r="F650" s="98"/>
      <c r="G650" s="98"/>
      <c r="H650" s="98"/>
      <c r="I650" s="98"/>
    </row>
    <row r="651" ht="20.25" spans="1:9">
      <c r="A651" s="98"/>
      <c r="B651" s="98"/>
      <c r="C651" s="98"/>
      <c r="D651" s="98"/>
      <c r="E651" s="98"/>
      <c r="F651" s="98"/>
      <c r="G651" s="98"/>
      <c r="H651" s="98"/>
      <c r="I651" s="98"/>
    </row>
    <row r="652" ht="20.25" spans="1:9">
      <c r="A652" s="98"/>
      <c r="B652" s="98"/>
      <c r="C652" s="98"/>
      <c r="D652" s="98"/>
      <c r="E652" s="98"/>
      <c r="F652" s="98"/>
      <c r="G652" s="98"/>
      <c r="H652" s="98"/>
      <c r="I652" s="98"/>
    </row>
    <row r="653" ht="20.25" spans="1:9">
      <c r="A653" s="98"/>
      <c r="B653" s="98"/>
      <c r="C653" s="98"/>
      <c r="D653" s="98"/>
      <c r="E653" s="98"/>
      <c r="F653" s="98"/>
      <c r="G653" s="98"/>
      <c r="H653" s="98"/>
      <c r="I653" s="98"/>
    </row>
    <row r="654" ht="20.25" spans="1:9">
      <c r="A654" s="98"/>
      <c r="B654" s="98"/>
      <c r="C654" s="98"/>
      <c r="D654" s="98"/>
      <c r="E654" s="98"/>
      <c r="F654" s="98"/>
      <c r="G654" s="98"/>
      <c r="H654" s="98"/>
      <c r="I654" s="98"/>
    </row>
    <row r="655" ht="20.25" spans="1:9">
      <c r="A655" s="98"/>
      <c r="B655" s="98"/>
      <c r="C655" s="98"/>
      <c r="D655" s="98"/>
      <c r="E655" s="98"/>
      <c r="F655" s="98"/>
      <c r="G655" s="98"/>
      <c r="H655" s="98"/>
      <c r="I655" s="98"/>
    </row>
    <row r="656" ht="20.25" spans="1:9">
      <c r="A656" s="98"/>
      <c r="B656" s="98"/>
      <c r="C656" s="98"/>
      <c r="D656" s="98"/>
      <c r="E656" s="98"/>
      <c r="F656" s="98"/>
      <c r="G656" s="98"/>
      <c r="H656" s="98"/>
      <c r="I656" s="98"/>
    </row>
    <row r="657" ht="20.25" spans="1:9">
      <c r="A657" s="98"/>
      <c r="B657" s="98"/>
      <c r="C657" s="98"/>
      <c r="D657" s="98"/>
      <c r="E657" s="98"/>
      <c r="F657" s="98"/>
      <c r="G657" s="98"/>
      <c r="H657" s="98"/>
      <c r="I657" s="98"/>
    </row>
    <row r="658" ht="20.25" spans="1:9">
      <c r="A658" s="98"/>
      <c r="B658" s="98"/>
      <c r="C658" s="98"/>
      <c r="D658" s="98"/>
      <c r="E658" s="98"/>
      <c r="F658" s="98"/>
      <c r="G658" s="98"/>
      <c r="H658" s="98"/>
      <c r="I658" s="98"/>
    </row>
    <row r="659" ht="20.25" spans="1:9">
      <c r="A659" s="98"/>
      <c r="B659" s="98"/>
      <c r="C659" s="98"/>
      <c r="D659" s="98"/>
      <c r="E659" s="98"/>
      <c r="F659" s="98"/>
      <c r="G659" s="98"/>
      <c r="H659" s="98"/>
      <c r="I659" s="98"/>
    </row>
    <row r="660" ht="20.25" spans="1:9">
      <c r="A660" s="98"/>
      <c r="B660" s="98"/>
      <c r="C660" s="98"/>
      <c r="D660" s="98"/>
      <c r="E660" s="98"/>
      <c r="F660" s="98"/>
      <c r="G660" s="98"/>
      <c r="H660" s="98"/>
      <c r="I660" s="98"/>
    </row>
    <row r="661" ht="20.25" spans="1:9">
      <c r="A661" s="98"/>
      <c r="B661" s="98"/>
      <c r="C661" s="98"/>
      <c r="D661" s="98"/>
      <c r="E661" s="98"/>
      <c r="F661" s="98"/>
      <c r="G661" s="98"/>
      <c r="H661" s="98"/>
      <c r="I661" s="98"/>
    </row>
    <row r="662" ht="20.25" spans="1:9">
      <c r="A662" s="98"/>
      <c r="B662" s="98"/>
      <c r="C662" s="98"/>
      <c r="D662" s="98"/>
      <c r="E662" s="98"/>
      <c r="F662" s="98"/>
      <c r="G662" s="98"/>
      <c r="H662" s="98"/>
      <c r="I662" s="98"/>
    </row>
    <row r="663" ht="20.25" spans="1:9">
      <c r="A663" s="98"/>
      <c r="B663" s="98"/>
      <c r="C663" s="98"/>
      <c r="D663" s="98"/>
      <c r="E663" s="98"/>
      <c r="F663" s="98"/>
      <c r="G663" s="98"/>
      <c r="H663" s="98"/>
      <c r="I663" s="98"/>
    </row>
    <row r="664" ht="20.25" spans="1:9">
      <c r="A664" s="98"/>
      <c r="B664" s="98"/>
      <c r="C664" s="98"/>
      <c r="D664" s="98"/>
      <c r="E664" s="98"/>
      <c r="F664" s="98"/>
      <c r="G664" s="98"/>
      <c r="H664" s="98"/>
      <c r="I664" s="98"/>
    </row>
    <row r="665" ht="20.25" spans="1:9">
      <c r="A665" s="98"/>
      <c r="B665" s="98"/>
      <c r="C665" s="98"/>
      <c r="D665" s="98"/>
      <c r="E665" s="98"/>
      <c r="F665" s="98"/>
      <c r="G665" s="98"/>
      <c r="H665" s="98"/>
      <c r="I665" s="98"/>
    </row>
    <row r="666" ht="20.25" spans="1:9">
      <c r="A666" s="98"/>
      <c r="B666" s="98"/>
      <c r="C666" s="98"/>
      <c r="D666" s="98"/>
      <c r="E666" s="98"/>
      <c r="F666" s="98"/>
      <c r="G666" s="98"/>
      <c r="H666" s="98"/>
      <c r="I666" s="98"/>
    </row>
    <row r="667" ht="20.25" spans="1:9">
      <c r="A667" s="98"/>
      <c r="B667" s="98"/>
      <c r="C667" s="98"/>
      <c r="D667" s="98"/>
      <c r="E667" s="98"/>
      <c r="F667" s="98"/>
      <c r="G667" s="98"/>
      <c r="H667" s="98"/>
      <c r="I667" s="98"/>
    </row>
    <row r="668" ht="20.25" spans="1:9">
      <c r="A668" s="98"/>
      <c r="B668" s="98"/>
      <c r="C668" s="98"/>
      <c r="D668" s="98"/>
      <c r="E668" s="98"/>
      <c r="F668" s="98"/>
      <c r="G668" s="98"/>
      <c r="H668" s="98"/>
      <c r="I668" s="98"/>
    </row>
    <row r="669" ht="20.25" spans="1:9">
      <c r="A669" s="98"/>
      <c r="B669" s="98"/>
      <c r="C669" s="98"/>
      <c r="D669" s="98"/>
      <c r="E669" s="98"/>
      <c r="F669" s="98"/>
      <c r="G669" s="98"/>
      <c r="H669" s="98"/>
      <c r="I669" s="98"/>
    </row>
    <row r="670" ht="20.25" spans="1:9">
      <c r="A670" s="98"/>
      <c r="B670" s="98"/>
      <c r="C670" s="98"/>
      <c r="D670" s="98"/>
      <c r="E670" s="98"/>
      <c r="F670" s="98"/>
      <c r="G670" s="98"/>
      <c r="H670" s="98"/>
      <c r="I670" s="98"/>
    </row>
    <row r="671" ht="20.25" spans="1:9">
      <c r="A671" s="98"/>
      <c r="B671" s="98"/>
      <c r="C671" s="98"/>
      <c r="D671" s="98"/>
      <c r="E671" s="98"/>
      <c r="F671" s="98"/>
      <c r="G671" s="98"/>
      <c r="H671" s="98"/>
      <c r="I671" s="98"/>
    </row>
    <row r="672" ht="20.25" spans="1:9">
      <c r="A672" s="98"/>
      <c r="B672" s="98"/>
      <c r="C672" s="98"/>
      <c r="D672" s="98"/>
      <c r="E672" s="98"/>
      <c r="F672" s="98"/>
      <c r="G672" s="98"/>
      <c r="H672" s="98"/>
      <c r="I672" s="98"/>
    </row>
    <row r="673" ht="20.25" spans="1:9">
      <c r="A673" s="98"/>
      <c r="B673" s="98"/>
      <c r="C673" s="98"/>
      <c r="D673" s="98"/>
      <c r="E673" s="98"/>
      <c r="F673" s="98"/>
      <c r="G673" s="98"/>
      <c r="H673" s="98"/>
      <c r="I673" s="98"/>
    </row>
    <row r="674" ht="20.25" spans="1:9">
      <c r="A674" s="98"/>
      <c r="B674" s="98"/>
      <c r="C674" s="98"/>
      <c r="D674" s="98"/>
      <c r="E674" s="98"/>
      <c r="F674" s="98"/>
      <c r="G674" s="98"/>
      <c r="H674" s="98"/>
      <c r="I674" s="98"/>
    </row>
    <row r="675" ht="20.25" spans="1:9">
      <c r="A675" s="98"/>
      <c r="B675" s="98"/>
      <c r="C675" s="98"/>
      <c r="D675" s="98"/>
      <c r="E675" s="98"/>
      <c r="F675" s="98"/>
      <c r="G675" s="98"/>
      <c r="H675" s="98"/>
      <c r="I675" s="98"/>
    </row>
    <row r="676" ht="20.25" spans="1:9">
      <c r="A676" s="98"/>
      <c r="B676" s="98"/>
      <c r="C676" s="98"/>
      <c r="D676" s="98"/>
      <c r="E676" s="98"/>
      <c r="F676" s="98"/>
      <c r="G676" s="98"/>
      <c r="H676" s="98"/>
      <c r="I676" s="98"/>
    </row>
    <row r="677" ht="20.25" spans="1:9">
      <c r="A677" s="98"/>
      <c r="B677" s="98"/>
      <c r="C677" s="98"/>
      <c r="D677" s="98"/>
      <c r="E677" s="98"/>
      <c r="F677" s="98"/>
      <c r="G677" s="98"/>
      <c r="H677" s="98"/>
      <c r="I677" s="98"/>
    </row>
    <row r="678" ht="20.25" spans="1:9">
      <c r="A678" s="98"/>
      <c r="B678" s="98"/>
      <c r="C678" s="98"/>
      <c r="D678" s="98"/>
      <c r="E678" s="98"/>
      <c r="F678" s="98"/>
      <c r="G678" s="98"/>
      <c r="H678" s="98"/>
      <c r="I678" s="98"/>
    </row>
    <row r="679" ht="20.25" spans="1:9">
      <c r="A679" s="98"/>
      <c r="B679" s="98"/>
      <c r="C679" s="98"/>
      <c r="D679" s="98"/>
      <c r="E679" s="98"/>
      <c r="F679" s="98"/>
      <c r="G679" s="98"/>
      <c r="H679" s="98"/>
      <c r="I679" s="98"/>
    </row>
    <row r="680" ht="20.25" spans="1:9">
      <c r="A680" s="98"/>
      <c r="B680" s="98"/>
      <c r="C680" s="98"/>
      <c r="D680" s="98"/>
      <c r="E680" s="98"/>
      <c r="F680" s="98"/>
      <c r="G680" s="98"/>
      <c r="H680" s="98"/>
      <c r="I680" s="98"/>
    </row>
    <row r="681" ht="20.25" spans="1:9">
      <c r="A681" s="98"/>
      <c r="B681" s="98"/>
      <c r="C681" s="98"/>
      <c r="D681" s="98"/>
      <c r="E681" s="98"/>
      <c r="F681" s="98"/>
      <c r="G681" s="98"/>
      <c r="H681" s="98"/>
      <c r="I681" s="98"/>
    </row>
    <row r="682" ht="20.25" spans="1:9">
      <c r="A682" s="98"/>
      <c r="B682" s="98"/>
      <c r="C682" s="98"/>
      <c r="D682" s="98"/>
      <c r="E682" s="98"/>
      <c r="F682" s="98"/>
      <c r="G682" s="98"/>
      <c r="H682" s="98"/>
      <c r="I682" s="98"/>
    </row>
    <row r="683" ht="20.25" spans="1:9">
      <c r="A683" s="98"/>
      <c r="B683" s="98"/>
      <c r="C683" s="98"/>
      <c r="D683" s="98"/>
      <c r="E683" s="98"/>
      <c r="F683" s="98"/>
      <c r="G683" s="98"/>
      <c r="H683" s="98"/>
      <c r="I683" s="98"/>
    </row>
    <row r="684" ht="20.25" spans="1:9">
      <c r="A684" s="98"/>
      <c r="B684" s="98"/>
      <c r="C684" s="98"/>
      <c r="D684" s="98"/>
      <c r="E684" s="98"/>
      <c r="F684" s="98"/>
      <c r="G684" s="98"/>
      <c r="H684" s="98"/>
      <c r="I684" s="98"/>
    </row>
    <row r="685" ht="20.25" spans="1:9">
      <c r="A685" s="98"/>
      <c r="B685" s="98"/>
      <c r="C685" s="98"/>
      <c r="D685" s="98"/>
      <c r="E685" s="98"/>
      <c r="F685" s="98"/>
      <c r="G685" s="98"/>
      <c r="H685" s="98"/>
      <c r="I685" s="98"/>
    </row>
    <row r="686" ht="20.25" spans="1:9">
      <c r="A686" s="98"/>
      <c r="B686" s="98"/>
      <c r="C686" s="98"/>
      <c r="D686" s="98"/>
      <c r="E686" s="98"/>
      <c r="F686" s="98"/>
      <c r="G686" s="98"/>
      <c r="H686" s="98"/>
      <c r="I686" s="98"/>
    </row>
    <row r="687" ht="20.25" spans="1:9">
      <c r="A687" s="98"/>
      <c r="B687" s="98"/>
      <c r="C687" s="98"/>
      <c r="D687" s="98"/>
      <c r="E687" s="98"/>
      <c r="F687" s="98"/>
      <c r="G687" s="98"/>
      <c r="H687" s="98"/>
      <c r="I687" s="98"/>
    </row>
    <row r="688" ht="20.25" spans="1:9">
      <c r="A688" s="98"/>
      <c r="B688" s="98"/>
      <c r="C688" s="98"/>
      <c r="D688" s="98"/>
      <c r="E688" s="98"/>
      <c r="F688" s="98"/>
      <c r="G688" s="98"/>
      <c r="H688" s="98"/>
      <c r="I688" s="98"/>
    </row>
    <row r="689" ht="20.25" spans="1:9">
      <c r="A689" s="98"/>
      <c r="B689" s="98"/>
      <c r="C689" s="98"/>
      <c r="D689" s="98"/>
      <c r="E689" s="98"/>
      <c r="F689" s="98"/>
      <c r="G689" s="98"/>
      <c r="H689" s="98"/>
      <c r="I689" s="98"/>
    </row>
    <row r="690" ht="20.25" spans="1:9">
      <c r="A690" s="98"/>
      <c r="B690" s="98"/>
      <c r="C690" s="98"/>
      <c r="D690" s="98"/>
      <c r="E690" s="98"/>
      <c r="F690" s="98"/>
      <c r="G690" s="98"/>
      <c r="H690" s="98"/>
      <c r="I690" s="98"/>
    </row>
    <row r="691" ht="20.25" spans="1:9">
      <c r="A691" s="98"/>
      <c r="B691" s="98"/>
      <c r="C691" s="98"/>
      <c r="D691" s="98"/>
      <c r="E691" s="98"/>
      <c r="F691" s="98"/>
      <c r="G691" s="98"/>
      <c r="H691" s="98"/>
      <c r="I691" s="98"/>
    </row>
    <row r="692" ht="20.25" spans="1:9">
      <c r="A692" s="98"/>
      <c r="B692" s="98"/>
      <c r="C692" s="98"/>
      <c r="D692" s="98"/>
      <c r="E692" s="98"/>
      <c r="F692" s="98"/>
      <c r="G692" s="98"/>
      <c r="H692" s="98"/>
      <c r="I692" s="98"/>
    </row>
    <row r="693" ht="20.25" spans="1:9">
      <c r="A693" s="98"/>
      <c r="B693" s="98"/>
      <c r="C693" s="98"/>
      <c r="D693" s="98"/>
      <c r="E693" s="98"/>
      <c r="F693" s="98"/>
      <c r="G693" s="98"/>
      <c r="H693" s="98"/>
      <c r="I693" s="98"/>
    </row>
    <row r="694" ht="20.25" spans="1:9">
      <c r="A694" s="98"/>
      <c r="B694" s="98"/>
      <c r="C694" s="98"/>
      <c r="D694" s="98"/>
      <c r="E694" s="98"/>
      <c r="F694" s="98"/>
      <c r="G694" s="98"/>
      <c r="H694" s="98"/>
      <c r="I694" s="98"/>
    </row>
    <row r="695" ht="20.25" spans="1:9">
      <c r="A695" s="98"/>
      <c r="B695" s="98"/>
      <c r="C695" s="98"/>
      <c r="D695" s="98"/>
      <c r="E695" s="98"/>
      <c r="F695" s="98"/>
      <c r="G695" s="98"/>
      <c r="H695" s="98"/>
      <c r="I695" s="98"/>
    </row>
    <row r="696" ht="20.25" spans="1:9">
      <c r="A696" s="98"/>
      <c r="B696" s="98"/>
      <c r="C696" s="98"/>
      <c r="D696" s="98"/>
      <c r="E696" s="98"/>
      <c r="F696" s="98"/>
      <c r="G696" s="98"/>
      <c r="H696" s="98"/>
      <c r="I696" s="98"/>
    </row>
    <row r="697" ht="20.25" spans="1:9">
      <c r="A697" s="98"/>
      <c r="B697" s="98"/>
      <c r="C697" s="98"/>
      <c r="D697" s="98"/>
      <c r="E697" s="98"/>
      <c r="F697" s="98"/>
      <c r="G697" s="98"/>
      <c r="H697" s="98"/>
      <c r="I697" s="98"/>
    </row>
    <row r="698" ht="20.25" spans="1:9">
      <c r="A698" s="98"/>
      <c r="B698" s="98"/>
      <c r="C698" s="98"/>
      <c r="D698" s="98"/>
      <c r="E698" s="98"/>
      <c r="F698" s="98"/>
      <c r="G698" s="98"/>
      <c r="H698" s="98"/>
      <c r="I698" s="98"/>
    </row>
    <row r="699" ht="20.25" spans="1:9">
      <c r="A699" s="98"/>
      <c r="B699" s="98"/>
      <c r="C699" s="98"/>
      <c r="D699" s="98"/>
      <c r="E699" s="98"/>
      <c r="F699" s="98"/>
      <c r="G699" s="98"/>
      <c r="H699" s="98"/>
      <c r="I699" s="98"/>
    </row>
    <row r="700" ht="20.25" spans="1:9">
      <c r="A700" s="98"/>
      <c r="B700" s="98"/>
      <c r="C700" s="98"/>
      <c r="D700" s="98"/>
      <c r="E700" s="98"/>
      <c r="F700" s="98"/>
      <c r="G700" s="98"/>
      <c r="H700" s="98"/>
      <c r="I700" s="98"/>
    </row>
    <row r="701" ht="20.25" spans="1:9">
      <c r="A701" s="98"/>
      <c r="B701" s="98"/>
      <c r="C701" s="98"/>
      <c r="D701" s="98"/>
      <c r="E701" s="98"/>
      <c r="F701" s="98"/>
      <c r="G701" s="98"/>
      <c r="H701" s="98"/>
      <c r="I701" s="98"/>
    </row>
    <row r="702" ht="20.25" spans="1:9">
      <c r="A702" s="98"/>
      <c r="B702" s="98"/>
      <c r="C702" s="98"/>
      <c r="D702" s="98"/>
      <c r="E702" s="98"/>
      <c r="F702" s="98"/>
      <c r="G702" s="98"/>
      <c r="H702" s="98"/>
      <c r="I702" s="98"/>
    </row>
    <row r="703" ht="20.25" spans="1:9">
      <c r="A703" s="98"/>
      <c r="B703" s="98"/>
      <c r="C703" s="98"/>
      <c r="D703" s="98"/>
      <c r="E703" s="98"/>
      <c r="F703" s="98"/>
      <c r="G703" s="98"/>
      <c r="H703" s="98"/>
      <c r="I703" s="98"/>
    </row>
    <row r="704" ht="20.25" spans="1:9">
      <c r="A704" s="98"/>
      <c r="B704" s="98"/>
      <c r="C704" s="98"/>
      <c r="D704" s="98"/>
      <c r="E704" s="98"/>
      <c r="F704" s="98"/>
      <c r="G704" s="98"/>
      <c r="H704" s="98"/>
      <c r="I704" s="98"/>
    </row>
    <row r="705" ht="20.25" spans="1:9">
      <c r="A705" s="98"/>
      <c r="B705" s="98"/>
      <c r="C705" s="98"/>
      <c r="D705" s="98"/>
      <c r="E705" s="98"/>
      <c r="F705" s="98"/>
      <c r="G705" s="98"/>
      <c r="H705" s="98"/>
      <c r="I705" s="98"/>
    </row>
    <row r="706" ht="20.25" spans="1:9">
      <c r="A706" s="98"/>
      <c r="B706" s="98"/>
      <c r="C706" s="98"/>
      <c r="D706" s="98"/>
      <c r="E706" s="98"/>
      <c r="F706" s="98"/>
      <c r="G706" s="98"/>
      <c r="H706" s="98"/>
      <c r="I706" s="98"/>
    </row>
    <row r="707" ht="20.25" spans="1:9">
      <c r="A707" s="98"/>
      <c r="B707" s="98"/>
      <c r="C707" s="98"/>
      <c r="D707" s="98"/>
      <c r="E707" s="98"/>
      <c r="F707" s="98"/>
      <c r="G707" s="98"/>
      <c r="H707" s="98"/>
      <c r="I707" s="98"/>
    </row>
    <row r="708" ht="20.25" spans="1:9">
      <c r="A708" s="98"/>
      <c r="B708" s="98"/>
      <c r="C708" s="98"/>
      <c r="D708" s="98"/>
      <c r="E708" s="98"/>
      <c r="F708" s="98"/>
      <c r="G708" s="98"/>
      <c r="H708" s="98"/>
      <c r="I708" s="98"/>
    </row>
    <row r="709" ht="20.25" spans="1:9">
      <c r="A709" s="98"/>
      <c r="B709" s="98"/>
      <c r="C709" s="98"/>
      <c r="D709" s="98"/>
      <c r="E709" s="98"/>
      <c r="F709" s="98"/>
      <c r="G709" s="98"/>
      <c r="H709" s="98"/>
      <c r="I709" s="98"/>
    </row>
    <row r="710" ht="20.25" spans="1:9">
      <c r="A710" s="98"/>
      <c r="B710" s="98"/>
      <c r="C710" s="98"/>
      <c r="D710" s="98"/>
      <c r="E710" s="98"/>
      <c r="F710" s="98"/>
      <c r="G710" s="98"/>
      <c r="H710" s="98"/>
      <c r="I710" s="98"/>
    </row>
    <row r="711" ht="20.25" spans="1:9">
      <c r="A711" s="98"/>
      <c r="B711" s="98"/>
      <c r="C711" s="98"/>
      <c r="D711" s="98"/>
      <c r="E711" s="98"/>
      <c r="F711" s="98"/>
      <c r="G711" s="98"/>
      <c r="H711" s="98"/>
      <c r="I711" s="98"/>
    </row>
    <row r="712" ht="20.25" spans="1:9">
      <c r="A712" s="98"/>
      <c r="B712" s="98"/>
      <c r="C712" s="98"/>
      <c r="D712" s="98"/>
      <c r="E712" s="98"/>
      <c r="F712" s="98"/>
      <c r="G712" s="98"/>
      <c r="H712" s="98"/>
      <c r="I712" s="98"/>
    </row>
    <row r="713" ht="20.25" spans="1:9">
      <c r="A713" s="98"/>
      <c r="B713" s="98"/>
      <c r="C713" s="98"/>
      <c r="D713" s="98"/>
      <c r="E713" s="98"/>
      <c r="F713" s="98"/>
      <c r="G713" s="98"/>
      <c r="H713" s="98"/>
      <c r="I713" s="98"/>
    </row>
    <row r="714" ht="20.25" spans="1:9">
      <c r="A714" s="98"/>
      <c r="B714" s="98"/>
      <c r="C714" s="98"/>
      <c r="D714" s="98"/>
      <c r="E714" s="98"/>
      <c r="F714" s="98"/>
      <c r="G714" s="98"/>
      <c r="H714" s="98"/>
      <c r="I714" s="98"/>
    </row>
    <row r="715" ht="20.25" spans="1:9">
      <c r="A715" s="98"/>
      <c r="B715" s="98"/>
      <c r="C715" s="98"/>
      <c r="D715" s="98"/>
      <c r="E715" s="98"/>
      <c r="F715" s="98"/>
      <c r="G715" s="98"/>
      <c r="H715" s="98"/>
      <c r="I715" s="98"/>
    </row>
    <row r="716" ht="20.25" spans="1:9">
      <c r="A716" s="98"/>
      <c r="B716" s="98"/>
      <c r="C716" s="98"/>
      <c r="D716" s="98"/>
      <c r="E716" s="98"/>
      <c r="F716" s="98"/>
      <c r="G716" s="98"/>
      <c r="H716" s="98"/>
      <c r="I716" s="98"/>
    </row>
    <row r="717" ht="20.25" spans="1:9">
      <c r="A717" s="98"/>
      <c r="B717" s="98"/>
      <c r="C717" s="98"/>
      <c r="D717" s="98"/>
      <c r="E717" s="98"/>
      <c r="F717" s="98"/>
      <c r="G717" s="98"/>
      <c r="H717" s="98"/>
      <c r="I717" s="98"/>
    </row>
    <row r="718" ht="20.25" spans="1:9">
      <c r="A718" s="98"/>
      <c r="B718" s="98"/>
      <c r="C718" s="98"/>
      <c r="D718" s="98"/>
      <c r="E718" s="98"/>
      <c r="F718" s="98"/>
      <c r="G718" s="98"/>
      <c r="H718" s="98"/>
      <c r="I718" s="98"/>
    </row>
    <row r="719" ht="20.25" spans="1:9">
      <c r="A719" s="98"/>
      <c r="B719" s="98"/>
      <c r="C719" s="98"/>
      <c r="D719" s="98"/>
      <c r="E719" s="98"/>
      <c r="F719" s="98"/>
      <c r="G719" s="98"/>
      <c r="H719" s="98"/>
      <c r="I719" s="98"/>
    </row>
    <row r="720" ht="20.25" spans="1:9">
      <c r="A720" s="98"/>
      <c r="B720" s="98"/>
      <c r="C720" s="98"/>
      <c r="D720" s="98"/>
      <c r="E720" s="98"/>
      <c r="F720" s="98"/>
      <c r="G720" s="98"/>
      <c r="H720" s="98"/>
      <c r="I720" s="98"/>
    </row>
    <row r="721" ht="20.25" spans="1:9">
      <c r="A721" s="98"/>
      <c r="B721" s="98"/>
      <c r="C721" s="98"/>
      <c r="D721" s="98"/>
      <c r="E721" s="98"/>
      <c r="F721" s="98"/>
      <c r="G721" s="98"/>
      <c r="H721" s="98"/>
      <c r="I721" s="98"/>
    </row>
    <row r="722" ht="20.25" spans="1:9">
      <c r="A722" s="98"/>
      <c r="B722" s="98"/>
      <c r="C722" s="98"/>
      <c r="D722" s="98"/>
      <c r="E722" s="98"/>
      <c r="F722" s="98"/>
      <c r="G722" s="98"/>
      <c r="H722" s="98"/>
      <c r="I722" s="98"/>
    </row>
    <row r="723" ht="20.25" spans="1:9">
      <c r="A723" s="98"/>
      <c r="B723" s="98"/>
      <c r="C723" s="98"/>
      <c r="D723" s="98"/>
      <c r="E723" s="98"/>
      <c r="F723" s="98"/>
      <c r="G723" s="98"/>
      <c r="H723" s="98"/>
      <c r="I723" s="98"/>
    </row>
    <row r="724" ht="20.25" spans="1:9">
      <c r="A724" s="98"/>
      <c r="B724" s="98"/>
      <c r="C724" s="98"/>
      <c r="D724" s="98"/>
      <c r="E724" s="98"/>
      <c r="F724" s="98"/>
      <c r="G724" s="98"/>
      <c r="H724" s="98"/>
      <c r="I724" s="98"/>
    </row>
    <row r="725" ht="20.25" spans="1:9">
      <c r="A725" s="98"/>
      <c r="B725" s="98"/>
      <c r="C725" s="98"/>
      <c r="D725" s="98"/>
      <c r="E725" s="98"/>
      <c r="F725" s="98"/>
      <c r="G725" s="98"/>
      <c r="H725" s="98"/>
      <c r="I725" s="98"/>
    </row>
    <row r="726" ht="20.25" spans="1:9">
      <c r="A726" s="98"/>
      <c r="B726" s="98"/>
      <c r="C726" s="98"/>
      <c r="D726" s="98"/>
      <c r="E726" s="98"/>
      <c r="F726" s="98"/>
      <c r="G726" s="98"/>
      <c r="H726" s="98"/>
      <c r="I726" s="98"/>
    </row>
    <row r="727" ht="20.25" spans="1:9">
      <c r="A727" s="98"/>
      <c r="B727" s="98"/>
      <c r="C727" s="98"/>
      <c r="D727" s="98"/>
      <c r="E727" s="98"/>
      <c r="F727" s="98"/>
      <c r="G727" s="98"/>
      <c r="H727" s="98"/>
      <c r="I727" s="98"/>
    </row>
    <row r="728" ht="20.25" spans="1:9">
      <c r="A728" s="98"/>
      <c r="B728" s="98"/>
      <c r="C728" s="98"/>
      <c r="D728" s="98"/>
      <c r="E728" s="98"/>
      <c r="F728" s="98"/>
      <c r="G728" s="98"/>
      <c r="H728" s="98"/>
      <c r="I728" s="98"/>
    </row>
    <row r="729" ht="20.25" spans="1:9">
      <c r="A729" s="98"/>
      <c r="B729" s="98"/>
      <c r="C729" s="98"/>
      <c r="D729" s="98"/>
      <c r="E729" s="98"/>
      <c r="F729" s="98"/>
      <c r="G729" s="98"/>
      <c r="H729" s="98"/>
      <c r="I729" s="98"/>
    </row>
    <row r="730" ht="20.25" spans="1:9">
      <c r="A730" s="98"/>
      <c r="B730" s="98"/>
      <c r="C730" s="98"/>
      <c r="D730" s="98"/>
      <c r="E730" s="98"/>
      <c r="F730" s="98"/>
      <c r="G730" s="98"/>
      <c r="H730" s="98"/>
      <c r="I730" s="98"/>
    </row>
    <row r="731" ht="20.25" spans="1:9">
      <c r="A731" s="98"/>
      <c r="B731" s="98"/>
      <c r="C731" s="98"/>
      <c r="D731" s="98"/>
      <c r="E731" s="98"/>
      <c r="F731" s="98"/>
      <c r="G731" s="98"/>
      <c r="H731" s="98"/>
      <c r="I731" s="98"/>
    </row>
    <row r="732" ht="20.25" spans="1:9">
      <c r="A732" s="98"/>
      <c r="B732" s="98"/>
      <c r="C732" s="98"/>
      <c r="D732" s="98"/>
      <c r="E732" s="98"/>
      <c r="F732" s="98"/>
      <c r="G732" s="98"/>
      <c r="H732" s="98"/>
      <c r="I732" s="98"/>
    </row>
    <row r="733" ht="20.25" spans="1:9">
      <c r="A733" s="98"/>
      <c r="B733" s="98"/>
      <c r="C733" s="98"/>
      <c r="D733" s="98"/>
      <c r="E733" s="98"/>
      <c r="F733" s="98"/>
      <c r="G733" s="98"/>
      <c r="H733" s="98"/>
      <c r="I733" s="98"/>
    </row>
    <row r="734" ht="20.25" spans="1:9">
      <c r="A734" s="98"/>
      <c r="B734" s="98"/>
      <c r="C734" s="98"/>
      <c r="D734" s="98"/>
      <c r="E734" s="98"/>
      <c r="F734" s="98"/>
      <c r="G734" s="98"/>
      <c r="H734" s="98"/>
      <c r="I734" s="98"/>
    </row>
    <row r="735" ht="20.25" spans="1:9">
      <c r="A735" s="98"/>
      <c r="B735" s="98"/>
      <c r="C735" s="98"/>
      <c r="D735" s="98"/>
      <c r="E735" s="98"/>
      <c r="F735" s="98"/>
      <c r="G735" s="98"/>
      <c r="H735" s="98"/>
      <c r="I735" s="98"/>
    </row>
    <row r="736" ht="20.25" spans="1:9">
      <c r="A736" s="98"/>
      <c r="B736" s="98"/>
      <c r="C736" s="98"/>
      <c r="D736" s="98"/>
      <c r="E736" s="98"/>
      <c r="F736" s="98"/>
      <c r="G736" s="98"/>
      <c r="H736" s="98"/>
      <c r="I736" s="98"/>
    </row>
    <row r="737" ht="20.25" spans="1:9">
      <c r="A737" s="98"/>
      <c r="B737" s="98"/>
      <c r="C737" s="98"/>
      <c r="D737" s="98"/>
      <c r="E737" s="98"/>
      <c r="F737" s="98"/>
      <c r="G737" s="98"/>
      <c r="H737" s="98"/>
      <c r="I737" s="98"/>
    </row>
    <row r="738" ht="20.25" spans="1:9">
      <c r="A738" s="98"/>
      <c r="B738" s="98"/>
      <c r="C738" s="98"/>
      <c r="D738" s="98"/>
      <c r="E738" s="98"/>
      <c r="F738" s="98"/>
      <c r="G738" s="98"/>
      <c r="H738" s="98"/>
      <c r="I738" s="98"/>
    </row>
    <row r="739" ht="20.25" spans="1:9">
      <c r="A739" s="98"/>
      <c r="B739" s="98"/>
      <c r="C739" s="98"/>
      <c r="D739" s="98"/>
      <c r="E739" s="98"/>
      <c r="F739" s="98"/>
      <c r="G739" s="98"/>
      <c r="H739" s="98"/>
      <c r="I739" s="98"/>
    </row>
    <row r="740" ht="20.25" spans="1:9">
      <c r="A740" s="98"/>
      <c r="B740" s="98"/>
      <c r="C740" s="98"/>
      <c r="D740" s="98"/>
      <c r="E740" s="98"/>
      <c r="F740" s="98"/>
      <c r="G740" s="98"/>
      <c r="H740" s="98"/>
      <c r="I740" s="98"/>
    </row>
    <row r="741" ht="20.25" spans="1:9">
      <c r="A741" s="98"/>
      <c r="B741" s="98"/>
      <c r="C741" s="98"/>
      <c r="D741" s="98"/>
      <c r="E741" s="98"/>
      <c r="F741" s="98"/>
      <c r="G741" s="98"/>
      <c r="H741" s="98"/>
      <c r="I741" s="98"/>
    </row>
    <row r="742" ht="20.25" spans="1:9">
      <c r="A742" s="98"/>
      <c r="B742" s="98"/>
      <c r="C742" s="98"/>
      <c r="D742" s="98"/>
      <c r="E742" s="98"/>
      <c r="F742" s="98"/>
      <c r="G742" s="98"/>
      <c r="H742" s="98"/>
      <c r="I742" s="98"/>
    </row>
    <row r="743" ht="20.25" spans="1:9">
      <c r="A743" s="98"/>
      <c r="B743" s="98"/>
      <c r="C743" s="98"/>
      <c r="D743" s="98"/>
      <c r="E743" s="98"/>
      <c r="F743" s="98"/>
      <c r="G743" s="98"/>
      <c r="H743" s="98"/>
      <c r="I743" s="98"/>
    </row>
    <row r="744" ht="20.25" spans="1:9">
      <c r="A744" s="98"/>
      <c r="B744" s="98"/>
      <c r="C744" s="98"/>
      <c r="D744" s="98"/>
      <c r="E744" s="98"/>
      <c r="F744" s="98"/>
      <c r="G744" s="98"/>
      <c r="H744" s="98"/>
      <c r="I744" s="98"/>
    </row>
    <row r="745" ht="20.25" spans="1:9">
      <c r="A745" s="98"/>
      <c r="B745" s="98"/>
      <c r="C745" s="98"/>
      <c r="D745" s="98"/>
      <c r="E745" s="98"/>
      <c r="F745" s="98"/>
      <c r="G745" s="98"/>
      <c r="H745" s="98"/>
      <c r="I745" s="98"/>
    </row>
    <row r="746" ht="20.25" spans="1:9">
      <c r="A746" s="98"/>
      <c r="B746" s="98"/>
      <c r="C746" s="98"/>
      <c r="D746" s="98"/>
      <c r="E746" s="98"/>
      <c r="F746" s="98"/>
      <c r="G746" s="98"/>
      <c r="H746" s="98"/>
      <c r="I746" s="98"/>
    </row>
    <row r="747" ht="20.25" spans="1:9">
      <c r="A747" s="98"/>
      <c r="B747" s="98"/>
      <c r="C747" s="98"/>
      <c r="D747" s="98"/>
      <c r="E747" s="98"/>
      <c r="F747" s="98"/>
      <c r="G747" s="98"/>
      <c r="H747" s="98"/>
      <c r="I747" s="98"/>
    </row>
    <row r="748" ht="20.25" spans="1:9">
      <c r="A748" s="98"/>
      <c r="B748" s="98"/>
      <c r="C748" s="98"/>
      <c r="D748" s="98"/>
      <c r="E748" s="98"/>
      <c r="F748" s="98"/>
      <c r="G748" s="98"/>
      <c r="H748" s="98"/>
      <c r="I748" s="98"/>
    </row>
    <row r="749" ht="20.25" spans="1:9">
      <c r="A749" s="98"/>
      <c r="B749" s="98"/>
      <c r="C749" s="98"/>
      <c r="D749" s="98"/>
      <c r="E749" s="98"/>
      <c r="F749" s="98"/>
      <c r="G749" s="98"/>
      <c r="H749" s="98"/>
      <c r="I749" s="98"/>
    </row>
    <row r="750" ht="20.25" spans="1:9">
      <c r="A750" s="98"/>
      <c r="B750" s="98"/>
      <c r="C750" s="98"/>
      <c r="D750" s="98"/>
      <c r="E750" s="98"/>
      <c r="F750" s="98"/>
      <c r="G750" s="98"/>
      <c r="H750" s="98"/>
      <c r="I750" s="98"/>
    </row>
    <row r="751" ht="20.25" spans="1:9">
      <c r="A751" s="98"/>
      <c r="B751" s="98"/>
      <c r="C751" s="98"/>
      <c r="D751" s="98"/>
      <c r="E751" s="98"/>
      <c r="F751" s="98"/>
      <c r="G751" s="98"/>
      <c r="H751" s="98"/>
      <c r="I751" s="98"/>
    </row>
    <row r="752" ht="20.25" spans="1:9">
      <c r="A752" s="98"/>
      <c r="B752" s="98"/>
      <c r="C752" s="98"/>
      <c r="D752" s="98"/>
      <c r="E752" s="98"/>
      <c r="F752" s="98"/>
      <c r="G752" s="98"/>
      <c r="H752" s="98"/>
      <c r="I752" s="98"/>
    </row>
    <row r="753" ht="20.25" spans="1:9">
      <c r="A753" s="98"/>
      <c r="B753" s="98"/>
      <c r="C753" s="98"/>
      <c r="D753" s="98"/>
      <c r="E753" s="98"/>
      <c r="F753" s="98"/>
      <c r="G753" s="98"/>
      <c r="H753" s="98"/>
      <c r="I753" s="98"/>
    </row>
    <row r="754" ht="20.25" spans="1:9">
      <c r="A754" s="98"/>
      <c r="B754" s="98"/>
      <c r="C754" s="98"/>
      <c r="D754" s="98"/>
      <c r="E754" s="98"/>
      <c r="F754" s="98"/>
      <c r="G754" s="98"/>
      <c r="H754" s="98"/>
      <c r="I754" s="98"/>
    </row>
    <row r="755" ht="20.25" spans="1:9">
      <c r="A755" s="98"/>
      <c r="B755" s="98"/>
      <c r="C755" s="98"/>
      <c r="D755" s="98"/>
      <c r="E755" s="98"/>
      <c r="F755" s="98"/>
      <c r="G755" s="98"/>
      <c r="H755" s="98"/>
      <c r="I755" s="98"/>
    </row>
    <row r="756" ht="20.25" spans="1:9">
      <c r="A756" s="98"/>
      <c r="B756" s="98"/>
      <c r="C756" s="98"/>
      <c r="D756" s="98"/>
      <c r="E756" s="98"/>
      <c r="F756" s="98"/>
      <c r="G756" s="98"/>
      <c r="H756" s="98"/>
      <c r="I756" s="98"/>
    </row>
    <row r="757" ht="20.25" spans="1:9">
      <c r="A757" s="98"/>
      <c r="B757" s="98"/>
      <c r="C757" s="98"/>
      <c r="D757" s="98"/>
      <c r="E757" s="98"/>
      <c r="F757" s="98"/>
      <c r="G757" s="98"/>
      <c r="H757" s="98"/>
      <c r="I757" s="98"/>
    </row>
    <row r="758" ht="20.25" spans="1:9">
      <c r="A758" s="98"/>
      <c r="B758" s="98"/>
      <c r="C758" s="98"/>
      <c r="D758" s="98"/>
      <c r="E758" s="98"/>
      <c r="F758" s="98"/>
      <c r="G758" s="98"/>
      <c r="H758" s="98"/>
      <c r="I758" s="98"/>
    </row>
    <row r="759" ht="20.25" spans="1:9">
      <c r="A759" s="98"/>
      <c r="B759" s="98"/>
      <c r="C759" s="98"/>
      <c r="D759" s="98"/>
      <c r="E759" s="98"/>
      <c r="F759" s="98"/>
      <c r="G759" s="98"/>
      <c r="H759" s="98"/>
      <c r="I759" s="98"/>
    </row>
    <row r="760" ht="20.25" spans="1:9">
      <c r="A760" s="98"/>
      <c r="B760" s="98"/>
      <c r="C760" s="98"/>
      <c r="D760" s="98"/>
      <c r="E760" s="98"/>
      <c r="F760" s="98"/>
      <c r="G760" s="98"/>
      <c r="H760" s="98"/>
      <c r="I760" s="98"/>
    </row>
    <row r="761" ht="20.25" spans="1:9">
      <c r="A761" s="98"/>
      <c r="B761" s="98"/>
      <c r="C761" s="98"/>
      <c r="D761" s="98"/>
      <c r="E761" s="98"/>
      <c r="F761" s="98"/>
      <c r="G761" s="98"/>
      <c r="H761" s="98"/>
      <c r="I761" s="98"/>
    </row>
    <row r="762" ht="20.25" spans="1:9">
      <c r="A762" s="98"/>
      <c r="B762" s="98"/>
      <c r="C762" s="98"/>
      <c r="D762" s="98"/>
      <c r="E762" s="98"/>
      <c r="F762" s="98"/>
      <c r="G762" s="98"/>
      <c r="H762" s="98"/>
      <c r="I762" s="98"/>
    </row>
    <row r="763" ht="20.25" spans="1:9">
      <c r="A763" s="98"/>
      <c r="B763" s="98"/>
      <c r="C763" s="98"/>
      <c r="D763" s="98"/>
      <c r="E763" s="98"/>
      <c r="F763" s="98"/>
      <c r="G763" s="98"/>
      <c r="H763" s="98"/>
      <c r="I763" s="98"/>
    </row>
    <row r="764" ht="20.25" spans="1:9">
      <c r="A764" s="98"/>
      <c r="B764" s="98"/>
      <c r="C764" s="98"/>
      <c r="D764" s="98"/>
      <c r="E764" s="98"/>
      <c r="F764" s="98"/>
      <c r="G764" s="98"/>
      <c r="H764" s="98"/>
      <c r="I764" s="98"/>
    </row>
    <row r="765" ht="20.25" spans="1:9">
      <c r="A765" s="98"/>
      <c r="B765" s="98"/>
      <c r="C765" s="98"/>
      <c r="D765" s="98"/>
      <c r="E765" s="98"/>
      <c r="F765" s="98"/>
      <c r="G765" s="98"/>
      <c r="H765" s="98"/>
      <c r="I765" s="98"/>
    </row>
    <row r="766" ht="20.25" spans="1:9">
      <c r="A766" s="98"/>
      <c r="B766" s="98"/>
      <c r="C766" s="98"/>
      <c r="D766" s="98"/>
      <c r="E766" s="98"/>
      <c r="F766" s="98"/>
      <c r="G766" s="98"/>
      <c r="H766" s="98"/>
      <c r="I766" s="98"/>
    </row>
    <row r="767" ht="20.25" spans="1:9">
      <c r="A767" s="98"/>
      <c r="B767" s="98"/>
      <c r="C767" s="98"/>
      <c r="D767" s="98"/>
      <c r="E767" s="98"/>
      <c r="F767" s="98"/>
      <c r="G767" s="98"/>
      <c r="H767" s="98"/>
      <c r="I767" s="98"/>
    </row>
    <row r="768" ht="20.25" spans="1:9">
      <c r="A768" s="98"/>
      <c r="B768" s="98"/>
      <c r="C768" s="98"/>
      <c r="D768" s="98"/>
      <c r="E768" s="98"/>
      <c r="F768" s="98"/>
      <c r="G768" s="98"/>
      <c r="H768" s="98"/>
      <c r="I768" s="98"/>
    </row>
    <row r="769" ht="20.25" spans="1:9">
      <c r="A769" s="98"/>
      <c r="B769" s="98"/>
      <c r="C769" s="98"/>
      <c r="D769" s="98"/>
      <c r="E769" s="98"/>
      <c r="F769" s="98"/>
      <c r="G769" s="98"/>
      <c r="H769" s="98"/>
      <c r="I769" s="98"/>
    </row>
    <row r="770" ht="20.25" spans="1:9">
      <c r="A770" s="98"/>
      <c r="B770" s="98"/>
      <c r="C770" s="98"/>
      <c r="D770" s="98"/>
      <c r="E770" s="98"/>
      <c r="F770" s="98"/>
      <c r="G770" s="98"/>
      <c r="H770" s="98"/>
      <c r="I770" s="98"/>
    </row>
    <row r="771" ht="20.25" spans="1:9">
      <c r="A771" s="98"/>
      <c r="B771" s="98"/>
      <c r="C771" s="98"/>
      <c r="D771" s="98"/>
      <c r="E771" s="98"/>
      <c r="F771" s="98"/>
      <c r="G771" s="98"/>
      <c r="H771" s="98"/>
      <c r="I771" s="98"/>
    </row>
    <row r="772" ht="20.25" spans="1:9">
      <c r="A772" s="98"/>
      <c r="B772" s="98"/>
      <c r="C772" s="98"/>
      <c r="D772" s="98"/>
      <c r="E772" s="98"/>
      <c r="F772" s="98"/>
      <c r="G772" s="98"/>
      <c r="H772" s="98"/>
      <c r="I772" s="98"/>
    </row>
    <row r="773" ht="20.25" spans="1:9">
      <c r="A773" s="98"/>
      <c r="B773" s="98"/>
      <c r="C773" s="98"/>
      <c r="D773" s="98"/>
      <c r="E773" s="98"/>
      <c r="F773" s="98"/>
      <c r="G773" s="98"/>
      <c r="H773" s="98"/>
      <c r="I773" s="98"/>
    </row>
    <row r="774" ht="20.25" spans="1:9">
      <c r="A774" s="98"/>
      <c r="B774" s="98"/>
      <c r="C774" s="98"/>
      <c r="D774" s="98"/>
      <c r="E774" s="98"/>
      <c r="F774" s="98"/>
      <c r="G774" s="98"/>
      <c r="H774" s="98"/>
      <c r="I774" s="98"/>
    </row>
    <row r="775" ht="20.25" spans="1:9">
      <c r="A775" s="98"/>
      <c r="B775" s="98"/>
      <c r="C775" s="98"/>
      <c r="D775" s="98"/>
      <c r="E775" s="98"/>
      <c r="F775" s="98"/>
      <c r="G775" s="98"/>
      <c r="H775" s="98"/>
      <c r="I775" s="98"/>
    </row>
    <row r="776" ht="20.25" spans="1:9">
      <c r="A776" s="98"/>
      <c r="B776" s="98"/>
      <c r="C776" s="98"/>
      <c r="D776" s="98"/>
      <c r="E776" s="98"/>
      <c r="F776" s="98"/>
      <c r="G776" s="98"/>
      <c r="H776" s="98"/>
      <c r="I776" s="98"/>
    </row>
    <row r="777" ht="20.25" spans="1:9">
      <c r="A777" s="98"/>
      <c r="B777" s="98"/>
      <c r="C777" s="98"/>
      <c r="D777" s="98"/>
      <c r="E777" s="98"/>
      <c r="F777" s="98"/>
      <c r="G777" s="98"/>
      <c r="H777" s="98"/>
      <c r="I777" s="98"/>
    </row>
    <row r="778" ht="20.25" spans="1:9">
      <c r="A778" s="98"/>
      <c r="B778" s="98"/>
      <c r="C778" s="98"/>
      <c r="D778" s="98"/>
      <c r="E778" s="98"/>
      <c r="F778" s="98"/>
      <c r="G778" s="98"/>
      <c r="H778" s="98"/>
      <c r="I778" s="98"/>
    </row>
    <row r="779" ht="20.25" spans="1:9">
      <c r="A779" s="98"/>
      <c r="B779" s="98"/>
      <c r="C779" s="98"/>
      <c r="D779" s="98"/>
      <c r="E779" s="98"/>
      <c r="F779" s="98"/>
      <c r="G779" s="98"/>
      <c r="H779" s="98"/>
      <c r="I779" s="98"/>
    </row>
    <row r="780" ht="20.25" spans="1:9">
      <c r="A780" s="98"/>
      <c r="B780" s="98"/>
      <c r="C780" s="98"/>
      <c r="D780" s="98"/>
      <c r="E780" s="98"/>
      <c r="F780" s="98"/>
      <c r="G780" s="98"/>
      <c r="H780" s="98"/>
      <c r="I780" s="98"/>
    </row>
    <row r="781" ht="20.25" spans="1:9">
      <c r="A781" s="98"/>
      <c r="B781" s="98"/>
      <c r="C781" s="98"/>
      <c r="D781" s="98"/>
      <c r="E781" s="98"/>
      <c r="F781" s="98"/>
      <c r="G781" s="98"/>
      <c r="H781" s="98"/>
      <c r="I781" s="98"/>
    </row>
    <row r="782" ht="20.25" spans="1:9">
      <c r="A782" s="98"/>
      <c r="B782" s="98"/>
      <c r="C782" s="98"/>
      <c r="D782" s="98"/>
      <c r="E782" s="98"/>
      <c r="F782" s="98"/>
      <c r="G782" s="98"/>
      <c r="H782" s="98"/>
      <c r="I782" s="98"/>
    </row>
    <row r="783" ht="20.25" spans="1:9">
      <c r="A783" s="98"/>
      <c r="B783" s="98"/>
      <c r="C783" s="98"/>
      <c r="D783" s="98"/>
      <c r="E783" s="98"/>
      <c r="F783" s="98"/>
      <c r="G783" s="98"/>
      <c r="H783" s="98"/>
      <c r="I783" s="98"/>
    </row>
    <row r="784" ht="20.25" spans="1:9">
      <c r="A784" s="98"/>
      <c r="B784" s="98"/>
      <c r="C784" s="98"/>
      <c r="D784" s="98"/>
      <c r="E784" s="98"/>
      <c r="F784" s="98"/>
      <c r="G784" s="98"/>
      <c r="H784" s="98"/>
      <c r="I784" s="98"/>
    </row>
    <row r="785" ht="20.25" spans="1:9">
      <c r="A785" s="98"/>
      <c r="B785" s="98"/>
      <c r="C785" s="98"/>
      <c r="D785" s="98"/>
      <c r="E785" s="98"/>
      <c r="F785" s="98"/>
      <c r="G785" s="98"/>
      <c r="H785" s="98"/>
      <c r="I785" s="98"/>
    </row>
    <row r="786" ht="20.25" spans="1:9">
      <c r="A786" s="98"/>
      <c r="B786" s="98"/>
      <c r="C786" s="98"/>
      <c r="D786" s="98"/>
      <c r="E786" s="98"/>
      <c r="F786" s="98"/>
      <c r="G786" s="98"/>
      <c r="H786" s="98"/>
      <c r="I786" s="98"/>
    </row>
    <row r="787" ht="20.25" spans="1:9">
      <c r="A787" s="98"/>
      <c r="B787" s="98"/>
      <c r="C787" s="98"/>
      <c r="D787" s="98"/>
      <c r="E787" s="98"/>
      <c r="F787" s="98"/>
      <c r="G787" s="98"/>
      <c r="H787" s="98"/>
      <c r="I787" s="98"/>
    </row>
    <row r="788" ht="20.25" spans="1:9">
      <c r="A788" s="98"/>
      <c r="B788" s="98"/>
      <c r="C788" s="98"/>
      <c r="D788" s="98"/>
      <c r="E788" s="98"/>
      <c r="F788" s="98"/>
      <c r="G788" s="98"/>
      <c r="H788" s="98"/>
      <c r="I788" s="98"/>
    </row>
    <row r="789" ht="20.25" spans="1:9">
      <c r="A789" s="98"/>
      <c r="B789" s="98"/>
      <c r="C789" s="98"/>
      <c r="D789" s="98"/>
      <c r="E789" s="98"/>
      <c r="F789" s="98"/>
      <c r="G789" s="98"/>
      <c r="H789" s="98"/>
      <c r="I789" s="98"/>
    </row>
    <row r="790" ht="20.25" spans="1:9">
      <c r="A790" s="98"/>
      <c r="B790" s="98"/>
      <c r="C790" s="98"/>
      <c r="D790" s="98"/>
      <c r="E790" s="98"/>
      <c r="F790" s="98"/>
      <c r="G790" s="98"/>
      <c r="H790" s="98"/>
      <c r="I790" s="98"/>
    </row>
    <row r="791" ht="20.25" spans="1:9">
      <c r="A791" s="98"/>
      <c r="B791" s="98"/>
      <c r="C791" s="98"/>
      <c r="D791" s="98"/>
      <c r="E791" s="98"/>
      <c r="F791" s="98"/>
      <c r="G791" s="98"/>
      <c r="H791" s="98"/>
      <c r="I791" s="98"/>
    </row>
    <row r="792" ht="20.25" spans="1:9">
      <c r="A792" s="98"/>
      <c r="B792" s="98"/>
      <c r="C792" s="98"/>
      <c r="D792" s="98"/>
      <c r="E792" s="98"/>
      <c r="F792" s="98"/>
      <c r="G792" s="98"/>
      <c r="H792" s="98"/>
      <c r="I792" s="98"/>
    </row>
    <row r="793" ht="20.25" spans="1:9">
      <c r="A793" s="98"/>
      <c r="B793" s="98"/>
      <c r="C793" s="98"/>
      <c r="D793" s="98"/>
      <c r="E793" s="98"/>
      <c r="F793" s="98"/>
      <c r="G793" s="98"/>
      <c r="H793" s="98"/>
      <c r="I793" s="98"/>
    </row>
    <row r="794" ht="20.25" spans="1:9">
      <c r="A794" s="98"/>
      <c r="B794" s="98"/>
      <c r="C794" s="98"/>
      <c r="D794" s="98"/>
      <c r="E794" s="98"/>
      <c r="F794" s="98"/>
      <c r="G794" s="98"/>
      <c r="H794" s="98"/>
      <c r="I794" s="98"/>
    </row>
    <row r="795" ht="20.25" spans="1:9">
      <c r="A795" s="98"/>
      <c r="B795" s="98"/>
      <c r="C795" s="98"/>
      <c r="D795" s="98"/>
      <c r="E795" s="98"/>
      <c r="F795" s="98"/>
      <c r="G795" s="98"/>
      <c r="H795" s="98"/>
      <c r="I795" s="98"/>
    </row>
    <row r="796" ht="20.25" spans="1:9">
      <c r="A796" s="98"/>
      <c r="B796" s="98"/>
      <c r="C796" s="98"/>
      <c r="D796" s="98"/>
      <c r="E796" s="98"/>
      <c r="F796" s="98"/>
      <c r="G796" s="98"/>
      <c r="H796" s="98"/>
      <c r="I796" s="98"/>
    </row>
    <row r="797" ht="20.25" spans="1:9">
      <c r="A797" s="98"/>
      <c r="B797" s="98"/>
      <c r="C797" s="98"/>
      <c r="D797" s="98"/>
      <c r="E797" s="98"/>
      <c r="F797" s="98"/>
      <c r="G797" s="98"/>
      <c r="H797" s="98"/>
      <c r="I797" s="98"/>
    </row>
    <row r="798" ht="20.25" spans="1:9">
      <c r="A798" s="98"/>
      <c r="B798" s="98"/>
      <c r="C798" s="98"/>
      <c r="D798" s="98"/>
      <c r="E798" s="98"/>
      <c r="F798" s="98"/>
      <c r="G798" s="98"/>
      <c r="H798" s="98"/>
      <c r="I798" s="98"/>
    </row>
    <row r="799" ht="20.25" spans="1:9">
      <c r="A799" s="98"/>
      <c r="B799" s="98"/>
      <c r="C799" s="98"/>
      <c r="D799" s="98"/>
      <c r="E799" s="98"/>
      <c r="F799" s="98"/>
      <c r="G799" s="98"/>
      <c r="H799" s="98"/>
      <c r="I799" s="98"/>
    </row>
    <row r="800" ht="20.25" spans="1:9">
      <c r="A800" s="98"/>
      <c r="B800" s="98"/>
      <c r="C800" s="98"/>
      <c r="D800" s="98"/>
      <c r="E800" s="98"/>
      <c r="F800" s="98"/>
      <c r="G800" s="98"/>
      <c r="H800" s="98"/>
      <c r="I800" s="98"/>
    </row>
    <row r="801" ht="20.25" spans="1:9">
      <c r="A801" s="98"/>
      <c r="B801" s="98"/>
      <c r="C801" s="98"/>
      <c r="D801" s="98"/>
      <c r="E801" s="98"/>
      <c r="F801" s="98"/>
      <c r="G801" s="98"/>
      <c r="H801" s="98"/>
      <c r="I801" s="98"/>
    </row>
    <row r="802" ht="20.25" spans="1:9">
      <c r="A802" s="98"/>
      <c r="B802" s="98"/>
      <c r="C802" s="98"/>
      <c r="D802" s="98"/>
      <c r="E802" s="98"/>
      <c r="F802" s="98"/>
      <c r="G802" s="98"/>
      <c r="H802" s="98"/>
      <c r="I802" s="98"/>
    </row>
    <row r="803" ht="20.25" spans="1:9">
      <c r="A803" s="98"/>
      <c r="B803" s="98"/>
      <c r="C803" s="98"/>
      <c r="D803" s="98"/>
      <c r="E803" s="98"/>
      <c r="F803" s="98"/>
      <c r="G803" s="98"/>
      <c r="H803" s="98"/>
      <c r="I803" s="98"/>
    </row>
    <row r="804" ht="20.25" spans="1:9">
      <c r="A804" s="98"/>
      <c r="B804" s="98"/>
      <c r="C804" s="98"/>
      <c r="D804" s="98"/>
      <c r="E804" s="98"/>
      <c r="F804" s="98"/>
      <c r="G804" s="98"/>
      <c r="H804" s="98"/>
      <c r="I804" s="98"/>
    </row>
    <row r="805" ht="20.25" spans="1:9">
      <c r="A805" s="98"/>
      <c r="B805" s="98"/>
      <c r="C805" s="98"/>
      <c r="D805" s="98"/>
      <c r="E805" s="98"/>
      <c r="F805" s="98"/>
      <c r="G805" s="98"/>
      <c r="H805" s="98"/>
      <c r="I805" s="98"/>
    </row>
    <row r="806" ht="20.25" spans="1:9">
      <c r="A806" s="98"/>
      <c r="B806" s="98"/>
      <c r="C806" s="98"/>
      <c r="D806" s="98"/>
      <c r="E806" s="98"/>
      <c r="F806" s="98"/>
      <c r="G806" s="98"/>
      <c r="H806" s="98"/>
      <c r="I806" s="98"/>
    </row>
    <row r="807" ht="20.25" spans="1:9">
      <c r="A807" s="98"/>
      <c r="B807" s="98"/>
      <c r="C807" s="98"/>
      <c r="D807" s="98"/>
      <c r="E807" s="98"/>
      <c r="F807" s="98"/>
      <c r="G807" s="98"/>
      <c r="H807" s="98"/>
      <c r="I807" s="98"/>
    </row>
    <row r="808" ht="20.25" spans="1:9">
      <c r="A808" s="98"/>
      <c r="B808" s="98"/>
      <c r="C808" s="98"/>
      <c r="D808" s="98"/>
      <c r="E808" s="98"/>
      <c r="F808" s="98"/>
      <c r="G808" s="98"/>
      <c r="H808" s="98"/>
      <c r="I808" s="98"/>
    </row>
    <row r="809" ht="20.25" spans="1:9">
      <c r="A809" s="98"/>
      <c r="B809" s="98"/>
      <c r="C809" s="98"/>
      <c r="D809" s="98"/>
      <c r="E809" s="98"/>
      <c r="F809" s="98"/>
      <c r="G809" s="98"/>
      <c r="H809" s="98"/>
      <c r="I809" s="98"/>
    </row>
    <row r="810" ht="20.25" spans="1:9">
      <c r="A810" s="98"/>
      <c r="B810" s="98"/>
      <c r="C810" s="98"/>
      <c r="D810" s="98"/>
      <c r="E810" s="98"/>
      <c r="F810" s="98"/>
      <c r="G810" s="98"/>
      <c r="H810" s="98"/>
      <c r="I810" s="98"/>
    </row>
    <row r="811" ht="20.25" spans="1:9">
      <c r="A811" s="98"/>
      <c r="B811" s="98"/>
      <c r="C811" s="98"/>
      <c r="D811" s="98"/>
      <c r="E811" s="98"/>
      <c r="F811" s="98"/>
      <c r="G811" s="98"/>
      <c r="H811" s="98"/>
      <c r="I811" s="98"/>
    </row>
    <row r="812" ht="20.25" spans="1:9">
      <c r="A812" s="98"/>
      <c r="B812" s="98"/>
      <c r="C812" s="98"/>
      <c r="D812" s="98"/>
      <c r="E812" s="98"/>
      <c r="F812" s="98"/>
      <c r="G812" s="98"/>
      <c r="H812" s="98"/>
      <c r="I812" s="98"/>
    </row>
    <row r="813" ht="20.25" spans="1:9">
      <c r="A813" s="98"/>
      <c r="B813" s="98"/>
      <c r="C813" s="98"/>
      <c r="D813" s="98"/>
      <c r="E813" s="98"/>
      <c r="F813" s="98"/>
      <c r="G813" s="98"/>
      <c r="H813" s="98"/>
      <c r="I813" s="98"/>
    </row>
    <row r="814" ht="20.25" spans="1:9">
      <c r="A814" s="98"/>
      <c r="B814" s="98"/>
      <c r="C814" s="98"/>
      <c r="D814" s="98"/>
      <c r="E814" s="98"/>
      <c r="F814" s="98"/>
      <c r="G814" s="98"/>
      <c r="H814" s="98"/>
      <c r="I814" s="98"/>
    </row>
    <row r="815" ht="20.25" spans="1:9">
      <c r="A815" s="98"/>
      <c r="B815" s="98"/>
      <c r="C815" s="98"/>
      <c r="D815" s="98"/>
      <c r="E815" s="98"/>
      <c r="F815" s="98"/>
      <c r="G815" s="98"/>
      <c r="H815" s="98"/>
      <c r="I815" s="98"/>
    </row>
    <row r="816" ht="20.25" spans="1:9">
      <c r="A816" s="98"/>
      <c r="B816" s="98"/>
      <c r="C816" s="98"/>
      <c r="D816" s="98"/>
      <c r="E816" s="98"/>
      <c r="F816" s="98"/>
      <c r="G816" s="98"/>
      <c r="H816" s="98"/>
      <c r="I816" s="98"/>
    </row>
    <row r="817" ht="20.25" spans="1:9">
      <c r="A817" s="98"/>
      <c r="B817" s="98"/>
      <c r="C817" s="98"/>
      <c r="D817" s="98"/>
      <c r="E817" s="98"/>
      <c r="F817" s="98"/>
      <c r="G817" s="98"/>
      <c r="H817" s="98"/>
      <c r="I817" s="98"/>
    </row>
    <row r="818" ht="20.25" spans="1:9">
      <c r="A818" s="98"/>
      <c r="B818" s="98"/>
      <c r="C818" s="98"/>
      <c r="D818" s="98"/>
      <c r="E818" s="98"/>
      <c r="F818" s="98"/>
      <c r="G818" s="98"/>
      <c r="H818" s="98"/>
      <c r="I818" s="98"/>
    </row>
    <row r="819" ht="20.25" spans="1:9">
      <c r="A819" s="98"/>
      <c r="B819" s="98"/>
      <c r="C819" s="98"/>
      <c r="D819" s="98"/>
      <c r="E819" s="98"/>
      <c r="F819" s="98"/>
      <c r="G819" s="98"/>
      <c r="H819" s="98"/>
      <c r="I819" s="98"/>
    </row>
    <row r="820" ht="20.25" spans="1:9">
      <c r="A820" s="98"/>
      <c r="B820" s="98"/>
      <c r="C820" s="98"/>
      <c r="D820" s="98"/>
      <c r="E820" s="98"/>
      <c r="F820" s="98"/>
      <c r="G820" s="98"/>
      <c r="H820" s="98"/>
      <c r="I820" s="98"/>
    </row>
    <row r="821" ht="20.25" spans="1:9">
      <c r="A821" s="98"/>
      <c r="B821" s="98"/>
      <c r="C821" s="98"/>
      <c r="D821" s="98"/>
      <c r="E821" s="98"/>
      <c r="F821" s="98"/>
      <c r="G821" s="98"/>
      <c r="H821" s="98"/>
      <c r="I821" s="98"/>
    </row>
    <row r="822" ht="20.25" spans="1:9">
      <c r="A822" s="98"/>
      <c r="B822" s="98"/>
      <c r="C822" s="98"/>
      <c r="D822" s="98"/>
      <c r="E822" s="98"/>
      <c r="F822" s="98"/>
      <c r="G822" s="98"/>
      <c r="H822" s="98"/>
      <c r="I822" s="98"/>
    </row>
    <row r="823" ht="20.25" spans="1:9">
      <c r="A823" s="98"/>
      <c r="B823" s="98"/>
      <c r="C823" s="98"/>
      <c r="D823" s="98"/>
      <c r="E823" s="98"/>
      <c r="F823" s="98"/>
      <c r="G823" s="98"/>
      <c r="H823" s="98"/>
      <c r="I823" s="98"/>
    </row>
    <row r="824" ht="20.25" spans="1:9">
      <c r="A824" s="98"/>
      <c r="B824" s="98"/>
      <c r="C824" s="98"/>
      <c r="D824" s="98"/>
      <c r="E824" s="98"/>
      <c r="F824" s="98"/>
      <c r="G824" s="98"/>
      <c r="H824" s="98"/>
      <c r="I824" s="98"/>
    </row>
    <row r="825" ht="20.25" spans="1:9">
      <c r="A825" s="98"/>
      <c r="B825" s="98"/>
      <c r="C825" s="98"/>
      <c r="D825" s="98"/>
      <c r="E825" s="98"/>
      <c r="F825" s="98"/>
      <c r="G825" s="98"/>
      <c r="H825" s="98"/>
      <c r="I825" s="98"/>
    </row>
    <row r="826" ht="20.25" spans="1:9">
      <c r="A826" s="98"/>
      <c r="B826" s="98"/>
      <c r="C826" s="98"/>
      <c r="D826" s="98"/>
      <c r="E826" s="98"/>
      <c r="F826" s="98"/>
      <c r="G826" s="98"/>
      <c r="H826" s="98"/>
      <c r="I826" s="98"/>
    </row>
    <row r="827" ht="20.25" spans="1:9">
      <c r="A827" s="98"/>
      <c r="B827" s="98"/>
      <c r="C827" s="98"/>
      <c r="D827" s="98"/>
      <c r="E827" s="98"/>
      <c r="F827" s="98"/>
      <c r="G827" s="98"/>
      <c r="H827" s="98"/>
      <c r="I827" s="98"/>
    </row>
    <row r="828" ht="20.25" spans="1:9">
      <c r="A828" s="98"/>
      <c r="B828" s="98"/>
      <c r="C828" s="98"/>
      <c r="D828" s="98"/>
      <c r="E828" s="98"/>
      <c r="F828" s="98"/>
      <c r="G828" s="98"/>
      <c r="H828" s="98"/>
      <c r="I828" s="98"/>
    </row>
    <row r="829" ht="20.25" spans="1:9">
      <c r="A829" s="98"/>
      <c r="B829" s="98"/>
      <c r="C829" s="98"/>
      <c r="D829" s="98"/>
      <c r="E829" s="98"/>
      <c r="F829" s="98"/>
      <c r="G829" s="98"/>
      <c r="H829" s="98"/>
      <c r="I829" s="98"/>
    </row>
    <row r="830" ht="20.25" spans="1:9">
      <c r="A830" s="98"/>
      <c r="B830" s="98"/>
      <c r="C830" s="98"/>
      <c r="D830" s="98"/>
      <c r="E830" s="98"/>
      <c r="F830" s="98"/>
      <c r="G830" s="98"/>
      <c r="H830" s="98"/>
      <c r="I830" s="98"/>
    </row>
    <row r="831" ht="20.25" spans="1:9">
      <c r="A831" s="98"/>
      <c r="B831" s="98"/>
      <c r="C831" s="98"/>
      <c r="D831" s="98"/>
      <c r="E831" s="98"/>
      <c r="F831" s="98"/>
      <c r="G831" s="98"/>
      <c r="H831" s="98"/>
      <c r="I831" s="98"/>
    </row>
    <row r="832" ht="20.25" spans="1:9">
      <c r="A832" s="98"/>
      <c r="B832" s="98"/>
      <c r="C832" s="98"/>
      <c r="D832" s="98"/>
      <c r="E832" s="98"/>
      <c r="F832" s="98"/>
      <c r="G832" s="98"/>
      <c r="H832" s="98"/>
      <c r="I832" s="98"/>
    </row>
    <row r="833" ht="20.25" spans="1:9">
      <c r="A833" s="98"/>
      <c r="B833" s="98"/>
      <c r="C833" s="98"/>
      <c r="D833" s="98"/>
      <c r="E833" s="98"/>
      <c r="F833" s="98"/>
      <c r="G833" s="98"/>
      <c r="H833" s="98"/>
      <c r="I833" s="98"/>
    </row>
    <row r="834" ht="20.25" spans="1:9">
      <c r="A834" s="98"/>
      <c r="B834" s="98"/>
      <c r="C834" s="98"/>
      <c r="D834" s="98"/>
      <c r="E834" s="98"/>
      <c r="F834" s="98"/>
      <c r="G834" s="98"/>
      <c r="H834" s="98"/>
      <c r="I834" s="98"/>
    </row>
    <row r="835" ht="20.25" spans="1:9">
      <c r="A835" s="98"/>
      <c r="B835" s="98"/>
      <c r="C835" s="98"/>
      <c r="D835" s="98"/>
      <c r="E835" s="98"/>
      <c r="F835" s="98"/>
      <c r="G835" s="98"/>
      <c r="H835" s="98"/>
      <c r="I835" s="98"/>
    </row>
    <row r="836" ht="20.25" spans="1:9">
      <c r="A836" s="98"/>
      <c r="B836" s="98"/>
      <c r="C836" s="98"/>
      <c r="D836" s="98"/>
      <c r="E836" s="98"/>
      <c r="F836" s="98"/>
      <c r="G836" s="98"/>
      <c r="H836" s="98"/>
      <c r="I836" s="98"/>
    </row>
    <row r="837" ht="20.25" spans="1:9">
      <c r="A837" s="98"/>
      <c r="B837" s="98"/>
      <c r="C837" s="98"/>
      <c r="D837" s="98"/>
      <c r="E837" s="98"/>
      <c r="F837" s="98"/>
      <c r="G837" s="98"/>
      <c r="H837" s="98"/>
      <c r="I837" s="98"/>
    </row>
    <row r="838" ht="20.25" spans="1:9">
      <c r="A838" s="98"/>
      <c r="B838" s="98"/>
      <c r="C838" s="98"/>
      <c r="D838" s="98"/>
      <c r="E838" s="98"/>
      <c r="F838" s="98"/>
      <c r="G838" s="98"/>
      <c r="H838" s="98"/>
      <c r="I838" s="98"/>
    </row>
    <row r="839" ht="20.25" spans="1:9">
      <c r="A839" s="98"/>
      <c r="B839" s="98"/>
      <c r="C839" s="98"/>
      <c r="D839" s="98"/>
      <c r="E839" s="98"/>
      <c r="F839" s="98"/>
      <c r="G839" s="98"/>
      <c r="H839" s="98"/>
      <c r="I839" s="98"/>
    </row>
    <row r="840" ht="20.25" spans="1:9">
      <c r="A840" s="98"/>
      <c r="B840" s="98"/>
      <c r="C840" s="98"/>
      <c r="D840" s="98"/>
      <c r="E840" s="98"/>
      <c r="F840" s="98"/>
      <c r="G840" s="98"/>
      <c r="H840" s="98"/>
      <c r="I840" s="98"/>
    </row>
    <row r="841" ht="20.25" spans="1:9">
      <c r="A841" s="98"/>
      <c r="B841" s="98"/>
      <c r="C841" s="98"/>
      <c r="D841" s="98"/>
      <c r="E841" s="98"/>
      <c r="F841" s="98"/>
      <c r="G841" s="98"/>
      <c r="H841" s="98"/>
      <c r="I841" s="98"/>
    </row>
    <row r="842" ht="20.25" spans="1:9">
      <c r="A842" s="98"/>
      <c r="B842" s="98"/>
      <c r="C842" s="98"/>
      <c r="D842" s="98"/>
      <c r="E842" s="98"/>
      <c r="F842" s="98"/>
      <c r="G842" s="98"/>
      <c r="H842" s="98"/>
      <c r="I842" s="98"/>
    </row>
    <row r="843" ht="20.25" spans="1:9">
      <c r="A843" s="98"/>
      <c r="B843" s="98"/>
      <c r="C843" s="98"/>
      <c r="D843" s="98"/>
      <c r="E843" s="98"/>
      <c r="F843" s="98"/>
      <c r="G843" s="98"/>
      <c r="H843" s="98"/>
      <c r="I843" s="98"/>
    </row>
    <row r="844" ht="20.25" spans="1:9">
      <c r="A844" s="98"/>
      <c r="B844" s="98"/>
      <c r="C844" s="98"/>
      <c r="D844" s="98"/>
      <c r="E844" s="98"/>
      <c r="F844" s="98"/>
      <c r="G844" s="98"/>
      <c r="H844" s="98"/>
      <c r="I844" s="98"/>
    </row>
    <row r="845" ht="20.25" spans="1:9">
      <c r="A845" s="98"/>
      <c r="B845" s="98"/>
      <c r="C845" s="98"/>
      <c r="D845" s="98"/>
      <c r="E845" s="98"/>
      <c r="F845" s="98"/>
      <c r="G845" s="98"/>
      <c r="H845" s="98"/>
      <c r="I845" s="98"/>
    </row>
    <row r="846" ht="20.25" spans="1:9">
      <c r="A846" s="98"/>
      <c r="B846" s="98"/>
      <c r="C846" s="98"/>
      <c r="D846" s="98"/>
      <c r="E846" s="98"/>
      <c r="F846" s="98"/>
      <c r="G846" s="98"/>
      <c r="H846" s="98"/>
      <c r="I846" s="98"/>
    </row>
    <row r="847" ht="20.25" spans="1:9">
      <c r="A847" s="98"/>
      <c r="B847" s="98"/>
      <c r="C847" s="98"/>
      <c r="D847" s="98"/>
      <c r="E847" s="98"/>
      <c r="F847" s="98"/>
      <c r="G847" s="98"/>
      <c r="H847" s="98"/>
      <c r="I847" s="98"/>
    </row>
    <row r="848" ht="20.25" spans="1:9">
      <c r="A848" s="98"/>
      <c r="B848" s="98"/>
      <c r="C848" s="98"/>
      <c r="D848" s="98"/>
      <c r="E848" s="98"/>
      <c r="F848" s="98"/>
      <c r="G848" s="98"/>
      <c r="H848" s="98"/>
      <c r="I848" s="98"/>
    </row>
    <row r="849" ht="20.25" spans="1:9">
      <c r="A849" s="98"/>
      <c r="B849" s="98"/>
      <c r="C849" s="98"/>
      <c r="D849" s="98"/>
      <c r="E849" s="98"/>
      <c r="F849" s="98"/>
      <c r="G849" s="98"/>
      <c r="H849" s="98"/>
      <c r="I849" s="98"/>
    </row>
    <row r="850" ht="20.25" spans="1:9">
      <c r="A850" s="98"/>
      <c r="B850" s="98"/>
      <c r="C850" s="98"/>
      <c r="D850" s="98"/>
      <c r="E850" s="98"/>
      <c r="F850" s="98"/>
      <c r="G850" s="98"/>
      <c r="H850" s="98"/>
      <c r="I850" s="98"/>
    </row>
    <row r="851" ht="20.25" spans="1:9">
      <c r="A851" s="98"/>
      <c r="B851" s="98"/>
      <c r="C851" s="98"/>
      <c r="D851" s="98"/>
      <c r="E851" s="98"/>
      <c r="F851" s="98"/>
      <c r="G851" s="98"/>
      <c r="H851" s="98"/>
      <c r="I851" s="98"/>
    </row>
    <row r="852" ht="20.25" spans="1:9">
      <c r="A852" s="98"/>
      <c r="B852" s="98"/>
      <c r="C852" s="98"/>
      <c r="D852" s="98"/>
      <c r="E852" s="98"/>
      <c r="F852" s="98"/>
      <c r="G852" s="98"/>
      <c r="H852" s="98"/>
      <c r="I852" s="98"/>
    </row>
    <row r="853" ht="20.25" spans="1:9">
      <c r="A853" s="98"/>
      <c r="B853" s="98"/>
      <c r="C853" s="98"/>
      <c r="D853" s="98"/>
      <c r="E853" s="98"/>
      <c r="F853" s="98"/>
      <c r="G853" s="98"/>
      <c r="H853" s="98"/>
      <c r="I853" s="98"/>
    </row>
    <row r="854" ht="20.25" spans="1:9">
      <c r="A854" s="98"/>
      <c r="B854" s="98"/>
      <c r="C854" s="98"/>
      <c r="D854" s="98"/>
      <c r="E854" s="98"/>
      <c r="F854" s="98"/>
      <c r="G854" s="98"/>
      <c r="H854" s="98"/>
      <c r="I854" s="98"/>
    </row>
    <row r="855" ht="20.25" spans="1:9">
      <c r="A855" s="98"/>
      <c r="B855" s="98"/>
      <c r="C855" s="98"/>
      <c r="D855" s="98"/>
      <c r="E855" s="98"/>
      <c r="F855" s="98"/>
      <c r="G855" s="98"/>
      <c r="H855" s="98"/>
      <c r="I855" s="98"/>
    </row>
    <row r="856" ht="20.25" spans="1:9">
      <c r="A856" s="98"/>
      <c r="B856" s="98"/>
      <c r="C856" s="98"/>
      <c r="D856" s="98"/>
      <c r="E856" s="98"/>
      <c r="F856" s="98"/>
      <c r="G856" s="98"/>
      <c r="H856" s="98"/>
      <c r="I856" s="98"/>
    </row>
    <row r="857" ht="20.25" spans="1:9">
      <c r="A857" s="98"/>
      <c r="B857" s="98"/>
      <c r="C857" s="98"/>
      <c r="D857" s="98"/>
      <c r="E857" s="98"/>
      <c r="F857" s="98"/>
      <c r="G857" s="98"/>
      <c r="H857" s="98"/>
      <c r="I857" s="98"/>
    </row>
    <row r="858" ht="20.25" spans="1:9">
      <c r="A858" s="98"/>
      <c r="B858" s="98"/>
      <c r="C858" s="98"/>
      <c r="D858" s="98"/>
      <c r="E858" s="98"/>
      <c r="F858" s="98"/>
      <c r="G858" s="98"/>
      <c r="H858" s="98"/>
      <c r="I858" s="98"/>
    </row>
    <row r="859" ht="20.25" spans="1:9">
      <c r="A859" s="98"/>
      <c r="B859" s="98"/>
      <c r="C859" s="98"/>
      <c r="D859" s="98"/>
      <c r="E859" s="98"/>
      <c r="F859" s="98"/>
      <c r="G859" s="98"/>
      <c r="H859" s="98"/>
      <c r="I859" s="98"/>
    </row>
    <row r="860" ht="20.25" spans="1:9">
      <c r="A860" s="98"/>
      <c r="B860" s="98"/>
      <c r="C860" s="98"/>
      <c r="D860" s="98"/>
      <c r="E860" s="98"/>
      <c r="F860" s="98"/>
      <c r="G860" s="98"/>
      <c r="H860" s="98"/>
      <c r="I860" s="98"/>
    </row>
    <row r="861" ht="20.25" spans="1:9">
      <c r="A861" s="98"/>
      <c r="B861" s="98"/>
      <c r="C861" s="98"/>
      <c r="D861" s="98"/>
      <c r="E861" s="98"/>
      <c r="F861" s="98"/>
      <c r="G861" s="98"/>
      <c r="H861" s="98"/>
      <c r="I861" s="98"/>
    </row>
    <row r="862" ht="20.25" spans="1:9">
      <c r="A862" s="98"/>
      <c r="B862" s="98"/>
      <c r="C862" s="98"/>
      <c r="D862" s="98"/>
      <c r="E862" s="98"/>
      <c r="F862" s="98"/>
      <c r="G862" s="98"/>
      <c r="H862" s="98"/>
      <c r="I862" s="98"/>
    </row>
    <row r="863" ht="20.25" spans="1:9">
      <c r="A863" s="98"/>
      <c r="B863" s="98"/>
      <c r="C863" s="98"/>
      <c r="D863" s="98"/>
      <c r="E863" s="98"/>
      <c r="F863" s="98"/>
      <c r="G863" s="98"/>
      <c r="H863" s="98"/>
      <c r="I863" s="98"/>
    </row>
    <row r="864" ht="20.25" spans="1:9">
      <c r="A864" s="98"/>
      <c r="B864" s="98"/>
      <c r="C864" s="98"/>
      <c r="D864" s="98"/>
      <c r="E864" s="98"/>
      <c r="F864" s="98"/>
      <c r="G864" s="98"/>
      <c r="H864" s="98"/>
      <c r="I864" s="98"/>
    </row>
    <row r="865" ht="20.25" spans="1:9">
      <c r="A865" s="98"/>
      <c r="B865" s="98"/>
      <c r="C865" s="98"/>
      <c r="D865" s="98"/>
      <c r="E865" s="98"/>
      <c r="F865" s="98"/>
      <c r="G865" s="98"/>
      <c r="H865" s="98"/>
      <c r="I865" s="98"/>
    </row>
    <row r="866" ht="20.25" spans="1:9">
      <c r="A866" s="98"/>
      <c r="B866" s="98"/>
      <c r="C866" s="98"/>
      <c r="D866" s="98"/>
      <c r="E866" s="98"/>
      <c r="F866" s="98"/>
      <c r="G866" s="98"/>
      <c r="H866" s="98"/>
      <c r="I866" s="98"/>
    </row>
    <row r="867" ht="20.25" spans="1:9">
      <c r="A867" s="98"/>
      <c r="B867" s="98"/>
      <c r="C867" s="98"/>
      <c r="D867" s="98"/>
      <c r="E867" s="98"/>
      <c r="F867" s="98"/>
      <c r="G867" s="98"/>
      <c r="H867" s="98"/>
      <c r="I867" s="98"/>
    </row>
    <row r="868" ht="20.25" spans="1:9">
      <c r="A868" s="98"/>
      <c r="B868" s="98"/>
      <c r="C868" s="98"/>
      <c r="D868" s="98"/>
      <c r="E868" s="98"/>
      <c r="F868" s="98"/>
      <c r="G868" s="98"/>
      <c r="H868" s="98"/>
      <c r="I868" s="98"/>
    </row>
    <row r="869" ht="20.25" spans="1:9">
      <c r="A869" s="98"/>
      <c r="B869" s="98"/>
      <c r="C869" s="98"/>
      <c r="D869" s="98"/>
      <c r="E869" s="98"/>
      <c r="F869" s="98"/>
      <c r="G869" s="98"/>
      <c r="H869" s="98"/>
      <c r="I869" s="98"/>
    </row>
    <row r="870" ht="20.25" spans="1:9">
      <c r="A870" s="98"/>
      <c r="B870" s="98"/>
      <c r="C870" s="98"/>
      <c r="D870" s="98"/>
      <c r="E870" s="98"/>
      <c r="F870" s="98"/>
      <c r="G870" s="98"/>
      <c r="H870" s="98"/>
      <c r="I870" s="98"/>
    </row>
    <row r="871" ht="20.25" spans="1:9">
      <c r="A871" s="98"/>
      <c r="B871" s="98"/>
      <c r="C871" s="98"/>
      <c r="D871" s="98"/>
      <c r="E871" s="98"/>
      <c r="F871" s="98"/>
      <c r="G871" s="98"/>
      <c r="H871" s="98"/>
      <c r="I871" s="98"/>
    </row>
    <row r="872" ht="20.25" spans="1:9">
      <c r="A872" s="98"/>
      <c r="B872" s="98"/>
      <c r="C872" s="98"/>
      <c r="D872" s="98"/>
      <c r="E872" s="98"/>
      <c r="F872" s="98"/>
      <c r="G872" s="98"/>
      <c r="H872" s="98"/>
      <c r="I872" s="98"/>
    </row>
    <row r="873" ht="20.25" spans="1:9">
      <c r="A873" s="98"/>
      <c r="B873" s="98"/>
      <c r="C873" s="98"/>
      <c r="D873" s="98"/>
      <c r="E873" s="98"/>
      <c r="F873" s="98"/>
      <c r="G873" s="98"/>
      <c r="H873" s="98"/>
      <c r="I873" s="98"/>
    </row>
    <row r="874" ht="20.25" spans="1:9">
      <c r="A874" s="98"/>
      <c r="B874" s="98"/>
      <c r="C874" s="98"/>
      <c r="D874" s="98"/>
      <c r="E874" s="98"/>
      <c r="F874" s="98"/>
      <c r="G874" s="98"/>
      <c r="H874" s="98"/>
      <c r="I874" s="98"/>
    </row>
    <row r="875" ht="20.25" spans="1:9">
      <c r="A875" s="98"/>
      <c r="B875" s="98"/>
      <c r="C875" s="98"/>
      <c r="D875" s="98"/>
      <c r="E875" s="98"/>
      <c r="F875" s="98"/>
      <c r="G875" s="98"/>
      <c r="H875" s="98"/>
      <c r="I875" s="98"/>
    </row>
    <row r="876" ht="20.25" spans="1:9">
      <c r="A876" s="98"/>
      <c r="B876" s="98"/>
      <c r="C876" s="98"/>
      <c r="D876" s="98"/>
      <c r="E876" s="98"/>
      <c r="F876" s="98"/>
      <c r="G876" s="98"/>
      <c r="H876" s="98"/>
      <c r="I876" s="98"/>
    </row>
    <row r="877" ht="20.25" spans="1:9">
      <c r="A877" s="98"/>
      <c r="B877" s="98"/>
      <c r="C877" s="98"/>
      <c r="D877" s="98"/>
      <c r="E877" s="98"/>
      <c r="F877" s="98"/>
      <c r="G877" s="98"/>
      <c r="H877" s="98"/>
      <c r="I877" s="98"/>
    </row>
    <row r="878" ht="20.25" spans="1:9">
      <c r="A878" s="98"/>
      <c r="B878" s="98"/>
      <c r="C878" s="98"/>
      <c r="D878" s="98"/>
      <c r="E878" s="98"/>
      <c r="F878" s="98"/>
      <c r="G878" s="98"/>
      <c r="H878" s="98"/>
      <c r="I878" s="98"/>
    </row>
    <row r="879" ht="20.25" spans="1:9">
      <c r="A879" s="98"/>
      <c r="B879" s="98"/>
      <c r="C879" s="98"/>
      <c r="D879" s="98"/>
      <c r="E879" s="98"/>
      <c r="F879" s="98"/>
      <c r="G879" s="98"/>
      <c r="H879" s="98"/>
      <c r="I879" s="98"/>
    </row>
    <row r="880" ht="20.25" spans="1:9">
      <c r="A880" s="98"/>
      <c r="B880" s="98"/>
      <c r="C880" s="98"/>
      <c r="D880" s="98"/>
      <c r="E880" s="98"/>
      <c r="F880" s="98"/>
      <c r="G880" s="98"/>
      <c r="H880" s="98"/>
      <c r="I880" s="98"/>
    </row>
    <row r="881" ht="20.25" spans="1:9">
      <c r="A881" s="98"/>
      <c r="B881" s="98"/>
      <c r="C881" s="98"/>
      <c r="D881" s="98"/>
      <c r="E881" s="98"/>
      <c r="F881" s="98"/>
      <c r="G881" s="98"/>
      <c r="H881" s="98"/>
      <c r="I881" s="98"/>
    </row>
    <row r="882" ht="20.25" spans="1:9">
      <c r="A882" s="98"/>
      <c r="B882" s="98"/>
      <c r="C882" s="98"/>
      <c r="D882" s="98"/>
      <c r="E882" s="98"/>
      <c r="F882" s="98"/>
      <c r="G882" s="98"/>
      <c r="H882" s="98"/>
      <c r="I882" s="98"/>
    </row>
    <row r="883" ht="20.25" spans="1:9">
      <c r="A883" s="98"/>
      <c r="B883" s="98"/>
      <c r="C883" s="98"/>
      <c r="D883" s="98"/>
      <c r="E883" s="98"/>
      <c r="F883" s="98"/>
      <c r="G883" s="98"/>
      <c r="H883" s="98"/>
      <c r="I883" s="98"/>
    </row>
    <row r="884" ht="20.25" spans="1:9">
      <c r="A884" s="98"/>
      <c r="B884" s="98"/>
      <c r="C884" s="98"/>
      <c r="D884" s="98"/>
      <c r="E884" s="98"/>
      <c r="F884" s="98"/>
      <c r="G884" s="98"/>
      <c r="H884" s="98"/>
      <c r="I884" s="98"/>
    </row>
    <row r="885" ht="20.25" spans="1:9">
      <c r="A885" s="98"/>
      <c r="B885" s="98"/>
      <c r="C885" s="98"/>
      <c r="D885" s="98"/>
      <c r="E885" s="98"/>
      <c r="F885" s="98"/>
      <c r="G885" s="98"/>
      <c r="H885" s="98"/>
      <c r="I885" s="98"/>
    </row>
    <row r="886" ht="20.25" spans="1:9">
      <c r="A886" s="98"/>
      <c r="B886" s="98"/>
      <c r="C886" s="98"/>
      <c r="D886" s="98"/>
      <c r="E886" s="98"/>
      <c r="F886" s="98"/>
      <c r="G886" s="98"/>
      <c r="H886" s="98"/>
      <c r="I886" s="98"/>
    </row>
    <row r="887" ht="20.25" spans="1:9">
      <c r="A887" s="98"/>
      <c r="B887" s="98"/>
      <c r="C887" s="98"/>
      <c r="D887" s="98"/>
      <c r="E887" s="98"/>
      <c r="F887" s="98"/>
      <c r="G887" s="98"/>
      <c r="H887" s="98"/>
      <c r="I887" s="98"/>
    </row>
    <row r="888" ht="20.25" spans="1:9">
      <c r="A888" s="98"/>
      <c r="B888" s="98"/>
      <c r="C888" s="98"/>
      <c r="D888" s="98"/>
      <c r="E888" s="98"/>
      <c r="F888" s="98"/>
      <c r="G888" s="98"/>
      <c r="H888" s="98"/>
      <c r="I888" s="98"/>
    </row>
    <row r="889" ht="20.25" spans="1:9">
      <c r="A889" s="98"/>
      <c r="B889" s="98"/>
      <c r="C889" s="98"/>
      <c r="D889" s="98"/>
      <c r="E889" s="98"/>
      <c r="F889" s="98"/>
      <c r="G889" s="98"/>
      <c r="H889" s="98"/>
      <c r="I889" s="98"/>
    </row>
    <row r="890" ht="20.25" spans="1:9">
      <c r="A890" s="98"/>
      <c r="B890" s="98"/>
      <c r="C890" s="98"/>
      <c r="D890" s="98"/>
      <c r="E890" s="98"/>
      <c r="F890" s="98"/>
      <c r="G890" s="98"/>
      <c r="H890" s="98"/>
      <c r="I890" s="98"/>
    </row>
    <row r="891" ht="20.25" spans="1:9">
      <c r="A891" s="98"/>
      <c r="B891" s="98"/>
      <c r="C891" s="98"/>
      <c r="D891" s="98"/>
      <c r="E891" s="98"/>
      <c r="F891" s="98"/>
      <c r="G891" s="98"/>
      <c r="H891" s="98"/>
      <c r="I891" s="98"/>
    </row>
    <row r="892" ht="20.25" spans="1:9">
      <c r="A892" s="98"/>
      <c r="B892" s="98"/>
      <c r="C892" s="98"/>
      <c r="D892" s="98"/>
      <c r="E892" s="98"/>
      <c r="F892" s="98"/>
      <c r="G892" s="98"/>
      <c r="H892" s="98"/>
      <c r="I892" s="98"/>
    </row>
    <row r="893" ht="20.25" spans="1:9">
      <c r="A893" s="98"/>
      <c r="B893" s="98"/>
      <c r="C893" s="98"/>
      <c r="D893" s="98"/>
      <c r="E893" s="98"/>
      <c r="F893" s="98"/>
      <c r="G893" s="98"/>
      <c r="H893" s="98"/>
      <c r="I893" s="98"/>
    </row>
    <row r="894" ht="20.25" spans="1:9">
      <c r="A894" s="98"/>
      <c r="B894" s="98"/>
      <c r="C894" s="98"/>
      <c r="D894" s="98"/>
      <c r="E894" s="98"/>
      <c r="F894" s="98"/>
      <c r="G894" s="98"/>
      <c r="H894" s="98"/>
      <c r="I894" s="98"/>
    </row>
    <row r="895" ht="20.25" spans="1:9">
      <c r="A895" s="98"/>
      <c r="B895" s="98"/>
      <c r="C895" s="98"/>
      <c r="D895" s="98"/>
      <c r="E895" s="98"/>
      <c r="F895" s="98"/>
      <c r="G895" s="98"/>
      <c r="H895" s="98"/>
      <c r="I895" s="98"/>
    </row>
    <row r="896" ht="20.25" spans="1:9">
      <c r="A896" s="98"/>
      <c r="B896" s="98"/>
      <c r="C896" s="98"/>
      <c r="D896" s="98"/>
      <c r="E896" s="98"/>
      <c r="F896" s="98"/>
      <c r="G896" s="98"/>
      <c r="H896" s="98"/>
      <c r="I896" s="98"/>
    </row>
    <row r="897" ht="20.25" spans="1:9">
      <c r="A897" s="98"/>
      <c r="B897" s="98"/>
      <c r="C897" s="98"/>
      <c r="D897" s="98"/>
      <c r="E897" s="98"/>
      <c r="F897" s="98"/>
      <c r="G897" s="98"/>
      <c r="H897" s="98"/>
      <c r="I897" s="98"/>
    </row>
    <row r="898" ht="20.25" spans="1:9">
      <c r="A898" s="98"/>
      <c r="B898" s="98"/>
      <c r="C898" s="98"/>
      <c r="D898" s="98"/>
      <c r="E898" s="98"/>
      <c r="F898" s="98"/>
      <c r="G898" s="98"/>
      <c r="H898" s="98"/>
      <c r="I898" s="98"/>
    </row>
    <row r="899" ht="20.25" spans="1:9">
      <c r="A899" s="98"/>
      <c r="B899" s="98"/>
      <c r="C899" s="98"/>
      <c r="D899" s="98"/>
      <c r="E899" s="98"/>
      <c r="F899" s="98"/>
      <c r="G899" s="98"/>
      <c r="H899" s="98"/>
      <c r="I899" s="98"/>
    </row>
    <row r="900" ht="20.25" spans="1:9">
      <c r="A900" s="98"/>
      <c r="B900" s="98"/>
      <c r="C900" s="98"/>
      <c r="D900" s="98"/>
      <c r="E900" s="98"/>
      <c r="F900" s="98"/>
      <c r="G900" s="98"/>
      <c r="H900" s="98"/>
      <c r="I900" s="98"/>
    </row>
    <row r="901" ht="20.25" spans="1:9">
      <c r="A901" s="98"/>
      <c r="B901" s="98"/>
      <c r="C901" s="98"/>
      <c r="D901" s="98"/>
      <c r="E901" s="98"/>
      <c r="F901" s="98"/>
      <c r="G901" s="98"/>
      <c r="H901" s="98"/>
      <c r="I901" s="98"/>
    </row>
    <row r="902" ht="20.25" spans="1:9">
      <c r="A902" s="98"/>
      <c r="B902" s="98"/>
      <c r="C902" s="98"/>
      <c r="D902" s="98"/>
      <c r="E902" s="98"/>
      <c r="F902" s="98"/>
      <c r="G902" s="98"/>
      <c r="H902" s="98"/>
      <c r="I902" s="98"/>
    </row>
    <row r="903" ht="20.25" spans="1:9">
      <c r="A903" s="98"/>
      <c r="B903" s="98"/>
      <c r="C903" s="98"/>
      <c r="D903" s="98"/>
      <c r="E903" s="98"/>
      <c r="F903" s="98"/>
      <c r="G903" s="98"/>
      <c r="H903" s="98"/>
      <c r="I903" s="98"/>
    </row>
    <row r="904" ht="20.25" spans="1:9">
      <c r="A904" s="98"/>
      <c r="B904" s="98"/>
      <c r="C904" s="98"/>
      <c r="D904" s="98"/>
      <c r="E904" s="98"/>
      <c r="F904" s="98"/>
      <c r="G904" s="98"/>
      <c r="H904" s="98"/>
      <c r="I904" s="98"/>
    </row>
    <row r="905" ht="20.25" spans="1:9">
      <c r="A905" s="98"/>
      <c r="B905" s="98"/>
      <c r="C905" s="98"/>
      <c r="D905" s="98"/>
      <c r="E905" s="98"/>
      <c r="F905" s="98"/>
      <c r="G905" s="98"/>
      <c r="H905" s="98"/>
      <c r="I905" s="98"/>
    </row>
    <row r="906" ht="20.25" spans="1:9">
      <c r="A906" s="98"/>
      <c r="B906" s="98"/>
      <c r="C906" s="98"/>
      <c r="D906" s="98"/>
      <c r="E906" s="98"/>
      <c r="F906" s="98"/>
      <c r="G906" s="98"/>
      <c r="H906" s="98"/>
      <c r="I906" s="98"/>
    </row>
    <row r="907" ht="20.25" spans="1:9">
      <c r="A907" s="98"/>
      <c r="B907" s="98"/>
      <c r="C907" s="98"/>
      <c r="D907" s="98"/>
      <c r="E907" s="98"/>
      <c r="F907" s="98"/>
      <c r="G907" s="98"/>
      <c r="H907" s="98"/>
      <c r="I907" s="98"/>
    </row>
    <row r="908" ht="20.25" spans="1:9">
      <c r="A908" s="98"/>
      <c r="B908" s="98"/>
      <c r="C908" s="98"/>
      <c r="D908" s="98"/>
      <c r="E908" s="98"/>
      <c r="F908" s="98"/>
      <c r="G908" s="98"/>
      <c r="H908" s="98"/>
      <c r="I908" s="98"/>
    </row>
    <row r="909" ht="20.25" spans="1:9">
      <c r="A909" s="98"/>
      <c r="B909" s="98"/>
      <c r="C909" s="98"/>
      <c r="D909" s="98"/>
      <c r="E909" s="98"/>
      <c r="F909" s="98"/>
      <c r="G909" s="98"/>
      <c r="H909" s="98"/>
      <c r="I909" s="98"/>
    </row>
    <row r="910" ht="20.25" spans="1:9">
      <c r="A910" s="98"/>
      <c r="B910" s="98"/>
      <c r="C910" s="98"/>
      <c r="D910" s="98"/>
      <c r="E910" s="98"/>
      <c r="F910" s="98"/>
      <c r="G910" s="98"/>
      <c r="H910" s="98"/>
      <c r="I910" s="98"/>
    </row>
    <row r="911" ht="20.25" spans="1:9">
      <c r="A911" s="98"/>
      <c r="B911" s="98"/>
      <c r="C911" s="98"/>
      <c r="D911" s="98"/>
      <c r="E911" s="98"/>
      <c r="F911" s="98"/>
      <c r="G911" s="98"/>
      <c r="H911" s="98"/>
      <c r="I911" s="98"/>
    </row>
    <row r="912" ht="20.25" spans="1:9">
      <c r="A912" s="98"/>
      <c r="B912" s="98"/>
      <c r="C912" s="98"/>
      <c r="D912" s="98"/>
      <c r="E912" s="98"/>
      <c r="F912" s="98"/>
      <c r="G912" s="98"/>
      <c r="H912" s="98"/>
      <c r="I912" s="98"/>
    </row>
    <row r="913" ht="20.25" spans="1:9">
      <c r="A913" s="98"/>
      <c r="B913" s="98"/>
      <c r="C913" s="98"/>
      <c r="D913" s="98"/>
      <c r="E913" s="98"/>
      <c r="F913" s="98"/>
      <c r="G913" s="98"/>
      <c r="H913" s="98"/>
      <c r="I913" s="98"/>
    </row>
    <row r="914" ht="20.25" spans="1:9">
      <c r="A914" s="98"/>
      <c r="B914" s="98"/>
      <c r="C914" s="98"/>
      <c r="D914" s="98"/>
      <c r="E914" s="98"/>
      <c r="F914" s="98"/>
      <c r="G914" s="98"/>
      <c r="H914" s="98"/>
      <c r="I914" s="98"/>
    </row>
    <row r="915" ht="20.25" spans="1:9">
      <c r="A915" s="98"/>
      <c r="B915" s="98"/>
      <c r="C915" s="98"/>
      <c r="D915" s="98"/>
      <c r="E915" s="98"/>
      <c r="F915" s="98"/>
      <c r="G915" s="98"/>
      <c r="H915" s="98"/>
      <c r="I915" s="98"/>
    </row>
    <row r="916" ht="20.25" spans="1:9">
      <c r="A916" s="98"/>
      <c r="B916" s="98"/>
      <c r="C916" s="98"/>
      <c r="D916" s="98"/>
      <c r="E916" s="98"/>
      <c r="F916" s="98"/>
      <c r="G916" s="98"/>
      <c r="H916" s="98"/>
      <c r="I916" s="98"/>
    </row>
    <row r="917" ht="20.25" spans="1:9">
      <c r="A917" s="98"/>
      <c r="B917" s="98"/>
      <c r="C917" s="98"/>
      <c r="D917" s="98"/>
      <c r="E917" s="98"/>
      <c r="F917" s="98"/>
      <c r="G917" s="98"/>
      <c r="H917" s="98"/>
      <c r="I917" s="98"/>
    </row>
    <row r="918" ht="20.25" spans="1:9">
      <c r="A918" s="98"/>
      <c r="B918" s="98"/>
      <c r="C918" s="98"/>
      <c r="D918" s="98"/>
      <c r="E918" s="98"/>
      <c r="F918" s="98"/>
      <c r="G918" s="98"/>
      <c r="H918" s="98"/>
      <c r="I918" s="98"/>
    </row>
    <row r="919" ht="20.25" spans="1:9">
      <c r="A919" s="98"/>
      <c r="B919" s="98"/>
      <c r="C919" s="98"/>
      <c r="D919" s="98"/>
      <c r="E919" s="98"/>
      <c r="F919" s="98"/>
      <c r="G919" s="98"/>
      <c r="H919" s="98"/>
      <c r="I919" s="98"/>
    </row>
    <row r="920" ht="20.25" spans="1:9">
      <c r="A920" s="98"/>
      <c r="B920" s="98"/>
      <c r="C920" s="98"/>
      <c r="D920" s="98"/>
      <c r="E920" s="98"/>
      <c r="F920" s="98"/>
      <c r="G920" s="98"/>
      <c r="H920" s="98"/>
      <c r="I920" s="98"/>
    </row>
    <row r="921" ht="20.25" spans="1:9">
      <c r="A921" s="98"/>
      <c r="B921" s="98"/>
      <c r="C921" s="98"/>
      <c r="D921" s="98"/>
      <c r="E921" s="98"/>
      <c r="F921" s="98"/>
      <c r="G921" s="98"/>
      <c r="H921" s="98"/>
      <c r="I921" s="98"/>
    </row>
    <row r="922" ht="20.25" spans="1:9">
      <c r="A922" s="98"/>
      <c r="B922" s="98"/>
      <c r="C922" s="98"/>
      <c r="D922" s="98"/>
      <c r="E922" s="98"/>
      <c r="F922" s="98"/>
      <c r="G922" s="98"/>
      <c r="H922" s="98"/>
      <c r="I922" s="98"/>
    </row>
    <row r="923" ht="20.25" spans="1:9">
      <c r="A923" s="98"/>
      <c r="B923" s="98"/>
      <c r="C923" s="98"/>
      <c r="D923" s="98"/>
      <c r="E923" s="98"/>
      <c r="F923" s="98"/>
      <c r="G923" s="98"/>
      <c r="H923" s="98"/>
      <c r="I923" s="98"/>
    </row>
    <row r="924" ht="20.25" spans="1:9">
      <c r="A924" s="98"/>
      <c r="B924" s="98"/>
      <c r="C924" s="98"/>
      <c r="D924" s="98"/>
      <c r="E924" s="98"/>
      <c r="F924" s="98"/>
      <c r="G924" s="98"/>
      <c r="H924" s="98"/>
      <c r="I924" s="98"/>
    </row>
    <row r="925" ht="20.25" spans="1:9">
      <c r="A925" s="98"/>
      <c r="B925" s="98"/>
      <c r="C925" s="98"/>
      <c r="D925" s="98"/>
      <c r="E925" s="98"/>
      <c r="F925" s="98"/>
      <c r="G925" s="98"/>
      <c r="H925" s="98"/>
      <c r="I925" s="98"/>
    </row>
    <row r="926" ht="20.25" spans="1:9">
      <c r="A926" s="98"/>
      <c r="B926" s="98"/>
      <c r="C926" s="98"/>
      <c r="D926" s="98"/>
      <c r="E926" s="98"/>
      <c r="F926" s="98"/>
      <c r="G926" s="98"/>
      <c r="H926" s="98"/>
      <c r="I926" s="98"/>
    </row>
    <row r="927" ht="20.25" spans="1:9">
      <c r="A927" s="98"/>
      <c r="B927" s="98"/>
      <c r="C927" s="98"/>
      <c r="D927" s="98"/>
      <c r="E927" s="98"/>
      <c r="F927" s="98"/>
      <c r="G927" s="98"/>
      <c r="H927" s="98"/>
      <c r="I927" s="98"/>
    </row>
    <row r="928" ht="20.25" spans="1:9">
      <c r="A928" s="98"/>
      <c r="B928" s="98"/>
      <c r="C928" s="98"/>
      <c r="D928" s="98"/>
      <c r="E928" s="98"/>
      <c r="F928" s="98"/>
      <c r="G928" s="98"/>
      <c r="H928" s="98"/>
      <c r="I928" s="98"/>
    </row>
    <row r="929" ht="20.25" spans="1:9">
      <c r="A929" s="98"/>
      <c r="B929" s="98"/>
      <c r="C929" s="98"/>
      <c r="D929" s="98"/>
      <c r="E929" s="98"/>
      <c r="F929" s="98"/>
      <c r="G929" s="98"/>
      <c r="H929" s="98"/>
      <c r="I929" s="98"/>
    </row>
    <row r="930" ht="20.25" spans="1:9">
      <c r="A930" s="98"/>
      <c r="B930" s="98"/>
      <c r="C930" s="98"/>
      <c r="D930" s="98"/>
      <c r="E930" s="98"/>
      <c r="F930" s="98"/>
      <c r="G930" s="98"/>
      <c r="H930" s="98"/>
      <c r="I930" s="98"/>
    </row>
    <row r="931" ht="20.25" spans="1:9">
      <c r="A931" s="98"/>
      <c r="B931" s="98"/>
      <c r="C931" s="98"/>
      <c r="D931" s="98"/>
      <c r="E931" s="98"/>
      <c r="F931" s="98"/>
      <c r="G931" s="98"/>
      <c r="H931" s="98"/>
      <c r="I931" s="98"/>
    </row>
    <row r="932" ht="20.25" spans="1:9">
      <c r="A932" s="98"/>
      <c r="B932" s="98"/>
      <c r="C932" s="98"/>
      <c r="D932" s="98"/>
      <c r="E932" s="98"/>
      <c r="F932" s="98"/>
      <c r="G932" s="98"/>
      <c r="H932" s="98"/>
      <c r="I932" s="98"/>
    </row>
    <row r="933" ht="20.25" spans="1:9">
      <c r="A933" s="98"/>
      <c r="B933" s="98"/>
      <c r="C933" s="98"/>
      <c r="D933" s="98"/>
      <c r="E933" s="98"/>
      <c r="F933" s="98"/>
      <c r="G933" s="98"/>
      <c r="H933" s="98"/>
      <c r="I933" s="98"/>
    </row>
    <row r="934" ht="20.25" spans="1:9">
      <c r="A934" s="98"/>
      <c r="B934" s="98"/>
      <c r="C934" s="98"/>
      <c r="D934" s="98"/>
      <c r="E934" s="98"/>
      <c r="F934" s="98"/>
      <c r="G934" s="98"/>
      <c r="H934" s="98"/>
      <c r="I934" s="98"/>
    </row>
    <row r="935" ht="20.25" spans="1:9">
      <c r="A935" s="98"/>
      <c r="B935" s="98"/>
      <c r="C935" s="98"/>
      <c r="D935" s="98"/>
      <c r="E935" s="98"/>
      <c r="F935" s="98"/>
      <c r="G935" s="98"/>
      <c r="H935" s="98"/>
      <c r="I935" s="98"/>
    </row>
    <row r="936" ht="20.25" spans="1:9">
      <c r="A936" s="98"/>
      <c r="B936" s="98"/>
      <c r="C936" s="98"/>
      <c r="D936" s="98"/>
      <c r="E936" s="98"/>
      <c r="F936" s="98"/>
      <c r="G936" s="98"/>
      <c r="H936" s="98"/>
      <c r="I936" s="98"/>
    </row>
    <row r="937" ht="20.25" spans="1:9">
      <c r="A937" s="98"/>
      <c r="B937" s="98"/>
      <c r="C937" s="98"/>
      <c r="D937" s="98"/>
      <c r="E937" s="98"/>
      <c r="F937" s="98"/>
      <c r="G937" s="98"/>
      <c r="H937" s="98"/>
      <c r="I937" s="98"/>
    </row>
    <row r="938" ht="20.25" spans="1:9">
      <c r="A938" s="98"/>
      <c r="B938" s="98"/>
      <c r="C938" s="98"/>
      <c r="D938" s="98"/>
      <c r="E938" s="98"/>
      <c r="F938" s="98"/>
      <c r="G938" s="98"/>
      <c r="H938" s="98"/>
      <c r="I938" s="98"/>
    </row>
    <row r="939" ht="20.25" spans="1:9">
      <c r="A939" s="98"/>
      <c r="B939" s="98"/>
      <c r="C939" s="98"/>
      <c r="D939" s="98"/>
      <c r="E939" s="98"/>
      <c r="F939" s="98"/>
      <c r="G939" s="98"/>
      <c r="H939" s="98"/>
      <c r="I939" s="98"/>
    </row>
    <row r="940" ht="20.25" spans="1:9">
      <c r="A940" s="98"/>
      <c r="B940" s="98"/>
      <c r="C940" s="98"/>
      <c r="D940" s="98"/>
      <c r="E940" s="98"/>
      <c r="F940" s="98"/>
      <c r="G940" s="98"/>
      <c r="H940" s="98"/>
      <c r="I940" s="98"/>
    </row>
    <row r="941" ht="20.25" spans="1:9">
      <c r="A941" s="98"/>
      <c r="B941" s="98"/>
      <c r="C941" s="98"/>
      <c r="D941" s="98"/>
      <c r="E941" s="98"/>
      <c r="F941" s="98"/>
      <c r="G941" s="98"/>
      <c r="H941" s="98"/>
      <c r="I941" s="98"/>
    </row>
    <row r="942" ht="20.25" spans="1:9">
      <c r="A942" s="98"/>
      <c r="B942" s="98"/>
      <c r="C942" s="98"/>
      <c r="D942" s="98"/>
      <c r="E942" s="98"/>
      <c r="F942" s="98"/>
      <c r="G942" s="98"/>
      <c r="H942" s="98"/>
      <c r="I942" s="98"/>
    </row>
    <row r="943" ht="20.25" spans="1:9">
      <c r="A943" s="98"/>
      <c r="B943" s="98"/>
      <c r="C943" s="98"/>
      <c r="D943" s="98"/>
      <c r="E943" s="98"/>
      <c r="F943" s="98"/>
      <c r="G943" s="98"/>
      <c r="H943" s="98"/>
      <c r="I943" s="98"/>
    </row>
    <row r="944" ht="20.25" spans="1:9">
      <c r="A944" s="98"/>
      <c r="B944" s="98"/>
      <c r="C944" s="98"/>
      <c r="D944" s="98"/>
      <c r="E944" s="98"/>
      <c r="F944" s="98"/>
      <c r="G944" s="98"/>
      <c r="H944" s="98"/>
      <c r="I944" s="98"/>
    </row>
    <row r="945" ht="20.25" spans="1:9">
      <c r="A945" s="98"/>
      <c r="B945" s="98"/>
      <c r="C945" s="98"/>
      <c r="D945" s="98"/>
      <c r="E945" s="98"/>
      <c r="F945" s="98"/>
      <c r="G945" s="98"/>
      <c r="H945" s="98"/>
      <c r="I945" s="98"/>
    </row>
    <row r="946" ht="20.25" spans="1:9">
      <c r="A946" s="98"/>
      <c r="B946" s="98"/>
      <c r="C946" s="98"/>
      <c r="D946" s="98"/>
      <c r="E946" s="98"/>
      <c r="F946" s="98"/>
      <c r="G946" s="98"/>
      <c r="H946" s="98"/>
      <c r="I946" s="98"/>
    </row>
    <row r="947" ht="20.25" spans="1:9">
      <c r="A947" s="98"/>
      <c r="B947" s="98"/>
      <c r="C947" s="98"/>
      <c r="D947" s="98"/>
      <c r="E947" s="98"/>
      <c r="F947" s="98"/>
      <c r="G947" s="98"/>
      <c r="H947" s="98"/>
      <c r="I947" s="98"/>
    </row>
    <row r="948" ht="20.25" spans="1:9">
      <c r="A948" s="98"/>
      <c r="B948" s="98"/>
      <c r="C948" s="98"/>
      <c r="D948" s="98"/>
      <c r="E948" s="98"/>
      <c r="F948" s="98"/>
      <c r="G948" s="98"/>
      <c r="H948" s="98"/>
      <c r="I948" s="98"/>
    </row>
    <row r="949" ht="20.25" spans="1:9">
      <c r="A949" s="98"/>
      <c r="B949" s="98"/>
      <c r="C949" s="98"/>
      <c r="D949" s="98"/>
      <c r="E949" s="98"/>
      <c r="F949" s="98"/>
      <c r="G949" s="98"/>
      <c r="H949" s="98"/>
      <c r="I949" s="98"/>
    </row>
    <row r="950" ht="20.25" spans="1:9">
      <c r="A950" s="98"/>
      <c r="B950" s="98"/>
      <c r="C950" s="98"/>
      <c r="D950" s="98"/>
      <c r="E950" s="98"/>
      <c r="F950" s="98"/>
      <c r="G950" s="98"/>
      <c r="H950" s="98"/>
      <c r="I950" s="98"/>
    </row>
    <row r="951" ht="20.25" spans="1:9">
      <c r="A951" s="98"/>
      <c r="B951" s="98"/>
      <c r="C951" s="98"/>
      <c r="D951" s="98"/>
      <c r="E951" s="98"/>
      <c r="F951" s="98"/>
      <c r="G951" s="98"/>
      <c r="H951" s="98"/>
      <c r="I951" s="98"/>
    </row>
    <row r="952" ht="20.25" spans="1:9">
      <c r="A952" s="98"/>
      <c r="B952" s="98"/>
      <c r="C952" s="98"/>
      <c r="D952" s="98"/>
      <c r="E952" s="98"/>
      <c r="F952" s="98"/>
      <c r="G952" s="98"/>
      <c r="H952" s="98"/>
      <c r="I952" s="98"/>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872</v>
      </c>
      <c r="B1" s="4"/>
      <c r="C1" s="4"/>
      <c r="D1" s="4"/>
      <c r="E1" s="4"/>
      <c r="F1" s="4"/>
      <c r="G1" s="4"/>
      <c r="H1" s="4"/>
      <c r="I1" s="4"/>
      <c r="J1" s="4"/>
      <c r="K1" s="4"/>
      <c r="L1" s="4"/>
    </row>
    <row r="2" ht="14.25" spans="1:12">
      <c r="A2" s="4"/>
      <c r="B2" s="4"/>
      <c r="C2" s="4"/>
      <c r="D2" s="4"/>
      <c r="E2" s="4"/>
      <c r="F2" s="4"/>
      <c r="G2" s="4"/>
      <c r="H2" s="4"/>
      <c r="I2" s="4"/>
      <c r="J2" s="4"/>
      <c r="K2" s="4"/>
      <c r="L2" s="4"/>
    </row>
    <row r="3" ht="14.25" spans="1:12">
      <c r="A3" s="5" t="s">
        <v>740</v>
      </c>
      <c r="B3" s="5"/>
      <c r="C3" s="5" t="e">
        <f>#REF!</f>
        <v>#REF!</v>
      </c>
      <c r="D3" s="5"/>
      <c r="E3" s="5"/>
      <c r="F3" s="5"/>
      <c r="G3" s="5"/>
      <c r="H3" s="5"/>
      <c r="I3" s="5" t="s">
        <v>873</v>
      </c>
      <c r="J3" s="5"/>
      <c r="K3" s="22" t="e">
        <f>[7]领料单!R2</f>
        <v>#REF!</v>
      </c>
      <c r="L3" s="22"/>
    </row>
    <row r="4" ht="14.25" spans="1:12">
      <c r="A4" s="6" t="s">
        <v>3</v>
      </c>
      <c r="B4" s="6"/>
      <c r="C4" s="6" t="e">
        <f>#REF!</f>
        <v>#REF!</v>
      </c>
      <c r="D4" s="6"/>
      <c r="E4" s="6" t="s">
        <v>6</v>
      </c>
      <c r="F4" s="6"/>
      <c r="G4" s="7">
        <f>[7]领料单!M3</f>
        <v>40889</v>
      </c>
      <c r="H4" s="7"/>
      <c r="I4" s="6" t="s">
        <v>764</v>
      </c>
      <c r="J4" s="6"/>
      <c r="K4" s="6" t="e">
        <f>#REF!</f>
        <v>#REF!</v>
      </c>
      <c r="L4" s="6"/>
    </row>
    <row r="5" ht="14.25" spans="1:12">
      <c r="A5" s="6" t="e">
        <f>#REF!</f>
        <v>#REF!</v>
      </c>
      <c r="B5" s="6"/>
      <c r="C5" s="6" t="e">
        <f>#REF!</f>
        <v>#REF!</v>
      </c>
      <c r="D5" s="6"/>
      <c r="E5" s="6" t="s">
        <v>741</v>
      </c>
      <c r="F5" s="6"/>
      <c r="G5" s="8" t="e">
        <f>[7]下料单!X2</f>
        <v>#REF!</v>
      </c>
      <c r="H5" s="8"/>
      <c r="I5" s="6"/>
      <c r="J5" s="6"/>
      <c r="K5" s="6"/>
      <c r="L5" s="6"/>
    </row>
    <row r="6" ht="14.25" spans="1:12">
      <c r="A6" s="9" t="s">
        <v>23</v>
      </c>
      <c r="B6" s="9" t="s">
        <v>874</v>
      </c>
      <c r="C6" s="9" t="s">
        <v>875</v>
      </c>
      <c r="D6" s="9" t="s">
        <v>876</v>
      </c>
      <c r="E6" s="9" t="s">
        <v>68</v>
      </c>
      <c r="F6" s="9" t="s">
        <v>481</v>
      </c>
      <c r="G6" s="9"/>
      <c r="H6" s="9"/>
      <c r="I6" s="9"/>
      <c r="J6" s="9" t="s">
        <v>651</v>
      </c>
      <c r="K6" s="9" t="s">
        <v>314</v>
      </c>
      <c r="L6" s="9" t="s">
        <v>30</v>
      </c>
    </row>
    <row r="7" ht="14.25" spans="1:12">
      <c r="A7" s="10">
        <v>1</v>
      </c>
      <c r="B7" s="10" t="s">
        <v>877</v>
      </c>
      <c r="C7" s="10">
        <v>720</v>
      </c>
      <c r="D7" s="10" t="s">
        <v>878</v>
      </c>
      <c r="E7" s="10">
        <v>1</v>
      </c>
      <c r="F7" s="10" t="s">
        <v>879</v>
      </c>
      <c r="G7" s="10"/>
      <c r="H7" s="10"/>
      <c r="I7" s="10"/>
      <c r="J7" s="10">
        <f>E7*1</f>
        <v>1</v>
      </c>
      <c r="K7" s="10" t="s">
        <v>880</v>
      </c>
      <c r="L7" s="10"/>
    </row>
    <row r="8" ht="14.25" spans="1:12">
      <c r="A8" s="10"/>
      <c r="B8" s="10"/>
      <c r="C8" s="10"/>
      <c r="D8" s="10"/>
      <c r="E8" s="10"/>
      <c r="F8" s="12" t="s">
        <v>881</v>
      </c>
      <c r="G8" s="13"/>
      <c r="H8" s="13"/>
      <c r="I8" s="23"/>
      <c r="J8" s="10">
        <f>E7*2</f>
        <v>2</v>
      </c>
      <c r="K8" s="10" t="s">
        <v>486</v>
      </c>
      <c r="L8" s="10"/>
    </row>
    <row r="9" ht="14.25" spans="1:12">
      <c r="A9" s="10">
        <v>2</v>
      </c>
      <c r="B9" s="10" t="s">
        <v>882</v>
      </c>
      <c r="C9" s="10">
        <v>720</v>
      </c>
      <c r="D9" s="10" t="s">
        <v>883</v>
      </c>
      <c r="E9" s="10">
        <v>1</v>
      </c>
      <c r="F9" s="10" t="s">
        <v>884</v>
      </c>
      <c r="G9" s="10"/>
      <c r="H9" s="10"/>
      <c r="I9" s="10"/>
      <c r="J9" s="10">
        <f>E9*1</f>
        <v>1</v>
      </c>
      <c r="K9" s="10" t="s">
        <v>880</v>
      </c>
      <c r="L9" s="10"/>
    </row>
    <row r="10" ht="14.25" spans="1:12">
      <c r="A10" s="10"/>
      <c r="B10" s="10"/>
      <c r="C10" s="10"/>
      <c r="D10" s="10"/>
      <c r="E10" s="10"/>
      <c r="F10" s="12" t="s">
        <v>881</v>
      </c>
      <c r="G10" s="13"/>
      <c r="H10" s="13"/>
      <c r="I10" s="23"/>
      <c r="J10" s="10">
        <f>+E9*2.6</f>
        <v>2.6</v>
      </c>
      <c r="K10" s="10" t="s">
        <v>486</v>
      </c>
      <c r="L10" s="10"/>
    </row>
    <row r="11" ht="14.25" spans="1:12">
      <c r="A11" s="10"/>
      <c r="B11" s="10"/>
      <c r="C11" s="10"/>
      <c r="D11" s="10"/>
      <c r="E11" s="10"/>
      <c r="F11" s="17" t="s">
        <v>885</v>
      </c>
      <c r="G11" s="17"/>
      <c r="H11" s="17"/>
      <c r="I11" s="17"/>
      <c r="J11" s="17">
        <f>+E9*0.3</f>
        <v>0.3</v>
      </c>
      <c r="K11" s="17" t="s">
        <v>485</v>
      </c>
      <c r="L11" s="17" t="s">
        <v>886</v>
      </c>
    </row>
    <row r="12" ht="14.25" spans="1:12">
      <c r="A12" s="10">
        <v>3</v>
      </c>
      <c r="B12" s="10" t="s">
        <v>887</v>
      </c>
      <c r="C12" s="10">
        <v>720</v>
      </c>
      <c r="D12" s="10" t="s">
        <v>883</v>
      </c>
      <c r="E12" s="10">
        <v>1</v>
      </c>
      <c r="F12" s="10" t="s">
        <v>888</v>
      </c>
      <c r="G12" s="10"/>
      <c r="H12" s="10"/>
      <c r="I12" s="10"/>
      <c r="J12" s="10">
        <f>E12*1</f>
        <v>1</v>
      </c>
      <c r="K12" s="10" t="s">
        <v>880</v>
      </c>
      <c r="L12" s="10"/>
    </row>
    <row r="13" ht="14.25" spans="1:12">
      <c r="A13" s="10"/>
      <c r="B13" s="10"/>
      <c r="C13" s="10"/>
      <c r="D13" s="10"/>
      <c r="E13" s="10"/>
      <c r="F13" s="12" t="s">
        <v>881</v>
      </c>
      <c r="G13" s="13"/>
      <c r="H13" s="13"/>
      <c r="I13" s="23"/>
      <c r="J13" s="10">
        <f>+E12*3</f>
        <v>3</v>
      </c>
      <c r="K13" s="10" t="s">
        <v>486</v>
      </c>
      <c r="L13" s="10"/>
    </row>
    <row r="14" ht="14.25" spans="1:12">
      <c r="A14" s="10"/>
      <c r="B14" s="10"/>
      <c r="C14" s="10"/>
      <c r="D14" s="10"/>
      <c r="E14" s="10"/>
      <c r="F14" s="17" t="s">
        <v>885</v>
      </c>
      <c r="G14" s="17"/>
      <c r="H14" s="17"/>
      <c r="I14" s="17"/>
      <c r="J14" s="17">
        <f>+E12*0.3</f>
        <v>0.3</v>
      </c>
      <c r="K14" s="17" t="s">
        <v>485</v>
      </c>
      <c r="L14" s="17" t="s">
        <v>886</v>
      </c>
    </row>
    <row r="15" ht="14.25" spans="1:12">
      <c r="A15" s="10">
        <v>4</v>
      </c>
      <c r="B15" s="10" t="s">
        <v>889</v>
      </c>
      <c r="C15" s="10">
        <v>720</v>
      </c>
      <c r="D15" s="10" t="s">
        <v>883</v>
      </c>
      <c r="E15" s="10">
        <v>1</v>
      </c>
      <c r="F15" s="10" t="s">
        <v>890</v>
      </c>
      <c r="G15" s="10"/>
      <c r="H15" s="10"/>
      <c r="I15" s="10"/>
      <c r="J15" s="10">
        <f>+E15*1</f>
        <v>1</v>
      </c>
      <c r="K15" s="10" t="s">
        <v>880</v>
      </c>
      <c r="L15" s="10"/>
    </row>
    <row r="16" ht="14.25" spans="1:12">
      <c r="A16" s="10"/>
      <c r="B16" s="10"/>
      <c r="C16" s="10"/>
      <c r="D16" s="10"/>
      <c r="E16" s="10"/>
      <c r="F16" s="12" t="s">
        <v>881</v>
      </c>
      <c r="G16" s="13"/>
      <c r="H16" s="13"/>
      <c r="I16" s="23"/>
      <c r="J16" s="10">
        <f>+E15*3.7</f>
        <v>3.7</v>
      </c>
      <c r="K16" s="10" t="s">
        <v>486</v>
      </c>
      <c r="L16" s="10"/>
    </row>
    <row r="17" ht="14.25" spans="1:12">
      <c r="A17" s="10"/>
      <c r="B17" s="10"/>
      <c r="C17" s="10"/>
      <c r="D17" s="10"/>
      <c r="E17" s="10"/>
      <c r="F17" s="17" t="s">
        <v>885</v>
      </c>
      <c r="G17" s="17"/>
      <c r="H17" s="17"/>
      <c r="I17" s="17"/>
      <c r="J17" s="17">
        <f>+E15*0.5</f>
        <v>0.5</v>
      </c>
      <c r="K17" s="17" t="s">
        <v>485</v>
      </c>
      <c r="L17" s="17" t="s">
        <v>886</v>
      </c>
    </row>
    <row r="18" ht="14.25" spans="1:12">
      <c r="A18" s="10">
        <v>5</v>
      </c>
      <c r="B18" s="10" t="s">
        <v>891</v>
      </c>
      <c r="C18" s="10">
        <v>720</v>
      </c>
      <c r="D18" s="10" t="s">
        <v>883</v>
      </c>
      <c r="E18" s="10">
        <v>1</v>
      </c>
      <c r="F18" s="10" t="s">
        <v>892</v>
      </c>
      <c r="G18" s="10"/>
      <c r="H18" s="10"/>
      <c r="I18" s="10"/>
      <c r="J18" s="10">
        <f>+E18*1</f>
        <v>1</v>
      </c>
      <c r="K18" s="10" t="s">
        <v>880</v>
      </c>
      <c r="L18" s="10"/>
    </row>
    <row r="19" ht="14.25" spans="1:12">
      <c r="A19" s="10"/>
      <c r="B19" s="10"/>
      <c r="C19" s="10"/>
      <c r="D19" s="10"/>
      <c r="E19" s="10"/>
      <c r="F19" s="12" t="s">
        <v>881</v>
      </c>
      <c r="G19" s="13"/>
      <c r="H19" s="13"/>
      <c r="I19" s="23"/>
      <c r="J19" s="10">
        <f>+E18*4.5</f>
        <v>4.5</v>
      </c>
      <c r="K19" s="10" t="s">
        <v>486</v>
      </c>
      <c r="L19" s="10"/>
    </row>
    <row r="20" ht="14.25" spans="1:12">
      <c r="A20" s="10"/>
      <c r="B20" s="10"/>
      <c r="C20" s="10"/>
      <c r="D20" s="10"/>
      <c r="E20" s="10"/>
      <c r="F20" s="17" t="s">
        <v>885</v>
      </c>
      <c r="G20" s="17"/>
      <c r="H20" s="17"/>
      <c r="I20" s="17"/>
      <c r="J20" s="17">
        <f>+E18*0.5</f>
        <v>0.5</v>
      </c>
      <c r="K20" s="17" t="s">
        <v>485</v>
      </c>
      <c r="L20" s="17" t="s">
        <v>886</v>
      </c>
    </row>
    <row r="21" ht="14.25" spans="1:12">
      <c r="A21" s="10">
        <v>6</v>
      </c>
      <c r="B21" s="10" t="s">
        <v>882</v>
      </c>
      <c r="C21" s="10">
        <v>1440</v>
      </c>
      <c r="D21" s="10" t="s">
        <v>893</v>
      </c>
      <c r="E21" s="10">
        <v>1</v>
      </c>
      <c r="F21" s="10" t="s">
        <v>884</v>
      </c>
      <c r="G21" s="10"/>
      <c r="H21" s="10"/>
      <c r="I21" s="10"/>
      <c r="J21" s="10">
        <f>E21*1*2</f>
        <v>2</v>
      </c>
      <c r="K21" s="10" t="s">
        <v>880</v>
      </c>
      <c r="L21" s="10"/>
    </row>
    <row r="22" ht="14.25" spans="1:12">
      <c r="A22" s="10"/>
      <c r="B22" s="10"/>
      <c r="C22" s="10"/>
      <c r="D22" s="10"/>
      <c r="E22" s="10"/>
      <c r="F22" s="12" t="s">
        <v>881</v>
      </c>
      <c r="G22" s="13"/>
      <c r="H22" s="13"/>
      <c r="I22" s="23"/>
      <c r="J22" s="10">
        <f>+E21*2.6*2</f>
        <v>5.2</v>
      </c>
      <c r="K22" s="10" t="s">
        <v>486</v>
      </c>
      <c r="L22" s="10"/>
    </row>
    <row r="23" ht="14.25" spans="1:12">
      <c r="A23" s="10"/>
      <c r="B23" s="10"/>
      <c r="C23" s="10"/>
      <c r="D23" s="10"/>
      <c r="E23" s="10"/>
      <c r="F23" s="17" t="s">
        <v>885</v>
      </c>
      <c r="G23" s="17"/>
      <c r="H23" s="17"/>
      <c r="I23" s="17"/>
      <c r="J23" s="17">
        <f>+E21*0.3*2</f>
        <v>0.6</v>
      </c>
      <c r="K23" s="17" t="s">
        <v>485</v>
      </c>
      <c r="L23" s="17" t="s">
        <v>886</v>
      </c>
    </row>
    <row r="24" ht="14.25" spans="1:12">
      <c r="A24" s="10">
        <v>7</v>
      </c>
      <c r="B24" s="10" t="s">
        <v>887</v>
      </c>
      <c r="C24" s="10">
        <v>1440</v>
      </c>
      <c r="D24" s="10" t="s">
        <v>893</v>
      </c>
      <c r="E24" s="10">
        <v>1</v>
      </c>
      <c r="F24" s="10" t="s">
        <v>888</v>
      </c>
      <c r="G24" s="10"/>
      <c r="H24" s="10"/>
      <c r="I24" s="10"/>
      <c r="J24" s="10">
        <f>E24*1*2</f>
        <v>2</v>
      </c>
      <c r="K24" s="10" t="s">
        <v>880</v>
      </c>
      <c r="L24" s="10"/>
    </row>
    <row r="25" ht="14.25" spans="1:12">
      <c r="A25" s="10"/>
      <c r="B25" s="10"/>
      <c r="C25" s="10"/>
      <c r="D25" s="10"/>
      <c r="E25" s="10"/>
      <c r="F25" s="12" t="s">
        <v>881</v>
      </c>
      <c r="G25" s="13"/>
      <c r="H25" s="13"/>
      <c r="I25" s="23"/>
      <c r="J25" s="10">
        <f>+E24*3*2</f>
        <v>6</v>
      </c>
      <c r="K25" s="10" t="s">
        <v>486</v>
      </c>
      <c r="L25" s="10"/>
    </row>
    <row r="26" ht="14.25" spans="1:12">
      <c r="A26" s="10"/>
      <c r="B26" s="10"/>
      <c r="C26" s="10"/>
      <c r="D26" s="10"/>
      <c r="E26" s="10"/>
      <c r="F26" s="17" t="s">
        <v>885</v>
      </c>
      <c r="G26" s="17"/>
      <c r="H26" s="17"/>
      <c r="I26" s="17"/>
      <c r="J26" s="17">
        <f>+E24*0.3*2</f>
        <v>0.6</v>
      </c>
      <c r="K26" s="17" t="s">
        <v>485</v>
      </c>
      <c r="L26" s="17" t="s">
        <v>886</v>
      </c>
    </row>
    <row r="27" ht="14.25" spans="1:12">
      <c r="A27" s="10">
        <v>8</v>
      </c>
      <c r="B27" s="10" t="s">
        <v>889</v>
      </c>
      <c r="C27" s="10">
        <v>1440</v>
      </c>
      <c r="D27" s="10" t="s">
        <v>893</v>
      </c>
      <c r="E27" s="10">
        <v>1</v>
      </c>
      <c r="F27" s="10" t="s">
        <v>890</v>
      </c>
      <c r="G27" s="10"/>
      <c r="H27" s="10"/>
      <c r="I27" s="10"/>
      <c r="J27" s="10">
        <f>+E27*1*2</f>
        <v>2</v>
      </c>
      <c r="K27" s="10" t="s">
        <v>880</v>
      </c>
      <c r="L27" s="10"/>
    </row>
    <row r="28" ht="14.25" spans="1:12">
      <c r="A28" s="10"/>
      <c r="B28" s="10"/>
      <c r="C28" s="10"/>
      <c r="D28" s="10"/>
      <c r="E28" s="10"/>
      <c r="F28" s="12" t="s">
        <v>881</v>
      </c>
      <c r="G28" s="13"/>
      <c r="H28" s="13"/>
      <c r="I28" s="23"/>
      <c r="J28" s="10">
        <f>+E27*3.7*2</f>
        <v>7.4</v>
      </c>
      <c r="K28" s="10" t="s">
        <v>486</v>
      </c>
      <c r="L28" s="10"/>
    </row>
    <row r="29" ht="14.25" spans="1:12">
      <c r="A29" s="10"/>
      <c r="B29" s="10"/>
      <c r="C29" s="10"/>
      <c r="D29" s="10"/>
      <c r="E29" s="10"/>
      <c r="F29" s="17" t="s">
        <v>885</v>
      </c>
      <c r="G29" s="17"/>
      <c r="H29" s="17"/>
      <c r="I29" s="17"/>
      <c r="J29" s="17">
        <f>+E27*0.5*2</f>
        <v>1</v>
      </c>
      <c r="K29" s="17" t="s">
        <v>485</v>
      </c>
      <c r="L29" s="17" t="s">
        <v>886</v>
      </c>
    </row>
    <row r="30" ht="14.25" spans="1:12">
      <c r="A30" s="10">
        <v>9</v>
      </c>
      <c r="B30" s="10" t="s">
        <v>891</v>
      </c>
      <c r="C30" s="10">
        <v>1440</v>
      </c>
      <c r="D30" s="10" t="s">
        <v>893</v>
      </c>
      <c r="E30" s="10">
        <v>1</v>
      </c>
      <c r="F30" s="10" t="s">
        <v>892</v>
      </c>
      <c r="G30" s="10"/>
      <c r="H30" s="10"/>
      <c r="I30" s="10"/>
      <c r="J30" s="10">
        <f>+E30*1*2</f>
        <v>2</v>
      </c>
      <c r="K30" s="10" t="s">
        <v>880</v>
      </c>
      <c r="L30" s="10"/>
    </row>
    <row r="31" ht="14.25" spans="1:12">
      <c r="A31" s="10"/>
      <c r="B31" s="10"/>
      <c r="C31" s="10"/>
      <c r="D31" s="10"/>
      <c r="E31" s="10"/>
      <c r="F31" s="12" t="s">
        <v>881</v>
      </c>
      <c r="G31" s="13"/>
      <c r="H31" s="13"/>
      <c r="I31" s="23"/>
      <c r="J31" s="10">
        <f>+E30*4.5*2</f>
        <v>9</v>
      </c>
      <c r="K31" s="10" t="s">
        <v>486</v>
      </c>
      <c r="L31" s="10"/>
    </row>
    <row r="32" ht="14.25" spans="1:12">
      <c r="A32" s="10"/>
      <c r="B32" s="10"/>
      <c r="C32" s="10"/>
      <c r="D32" s="10"/>
      <c r="E32" s="10"/>
      <c r="F32" s="17" t="s">
        <v>885</v>
      </c>
      <c r="G32" s="17"/>
      <c r="H32" s="17"/>
      <c r="I32" s="17"/>
      <c r="J32" s="17">
        <f>+E30*0.5*2</f>
        <v>1</v>
      </c>
      <c r="K32" s="17" t="s">
        <v>485</v>
      </c>
      <c r="L32" s="17" t="s">
        <v>886</v>
      </c>
    </row>
    <row r="33" ht="14.25" spans="1:12">
      <c r="A33" s="10">
        <v>10</v>
      </c>
      <c r="B33" s="10" t="s">
        <v>894</v>
      </c>
      <c r="C33" s="10">
        <v>2160</v>
      </c>
      <c r="D33" s="10" t="s">
        <v>895</v>
      </c>
      <c r="E33" s="10">
        <v>1</v>
      </c>
      <c r="F33" s="10" t="s">
        <v>896</v>
      </c>
      <c r="G33" s="10"/>
      <c r="H33" s="10"/>
      <c r="I33" s="10"/>
      <c r="J33" s="10">
        <f>+E33*1</f>
        <v>1</v>
      </c>
      <c r="K33" s="10" t="s">
        <v>880</v>
      </c>
      <c r="L33" s="10"/>
    </row>
    <row r="34" ht="14.25" spans="1:12">
      <c r="A34" s="10"/>
      <c r="B34" s="10"/>
      <c r="C34" s="10"/>
      <c r="D34" s="10"/>
      <c r="E34" s="10"/>
      <c r="F34" s="12" t="s">
        <v>881</v>
      </c>
      <c r="G34" s="13"/>
      <c r="H34" s="13"/>
      <c r="I34" s="23"/>
      <c r="J34" s="10">
        <f>+E33*5</f>
        <v>5</v>
      </c>
      <c r="K34" s="10" t="s">
        <v>486</v>
      </c>
      <c r="L34" s="10"/>
    </row>
    <row r="35" ht="14.25" spans="1:12">
      <c r="A35" s="10"/>
      <c r="B35" s="10"/>
      <c r="C35" s="10"/>
      <c r="D35" s="10"/>
      <c r="E35" s="10"/>
      <c r="F35" s="17" t="s">
        <v>885</v>
      </c>
      <c r="G35" s="17"/>
      <c r="H35" s="17"/>
      <c r="I35" s="17"/>
      <c r="J35" s="17">
        <f>+E33*0.5</f>
        <v>0.5</v>
      </c>
      <c r="K35" s="17" t="s">
        <v>485</v>
      </c>
      <c r="L35" s="17" t="s">
        <v>886</v>
      </c>
    </row>
    <row r="36" s="45" customFormat="1" ht="14.25" spans="1:20">
      <c r="A36" s="45" t="s">
        <v>897</v>
      </c>
      <c r="M36" s="2" t="s">
        <v>898</v>
      </c>
      <c r="T36" s="47"/>
    </row>
    <row r="37" ht="14.25" spans="1:13">
      <c r="A37" s="29">
        <v>11</v>
      </c>
      <c r="B37" s="30" t="s">
        <v>68</v>
      </c>
      <c r="C37" s="30"/>
      <c r="D37" s="31" t="s">
        <v>899</v>
      </c>
      <c r="E37" s="30"/>
      <c r="F37" s="46" t="s">
        <v>900</v>
      </c>
      <c r="G37" s="46"/>
      <c r="H37" s="46"/>
      <c r="I37" s="46"/>
      <c r="J37" s="10">
        <v>1</v>
      </c>
      <c r="K37" s="10" t="s">
        <v>485</v>
      </c>
      <c r="L37" s="10"/>
      <c r="M37" s="2">
        <f>J37*1.5</f>
        <v>1.5</v>
      </c>
    </row>
    <row r="38" ht="14.25" spans="1:13">
      <c r="A38" s="29"/>
      <c r="B38" s="30"/>
      <c r="C38" s="30"/>
      <c r="D38" s="30"/>
      <c r="E38" s="30"/>
      <c r="F38" s="12" t="s">
        <v>881</v>
      </c>
      <c r="G38" s="13"/>
      <c r="H38" s="13"/>
      <c r="I38" s="23"/>
      <c r="J38" s="10">
        <v>30</v>
      </c>
      <c r="K38" s="10" t="s">
        <v>486</v>
      </c>
      <c r="L38" s="10"/>
      <c r="M38" s="2">
        <f t="shared" ref="M38:M48" si="0">J38*1.5</f>
        <v>45</v>
      </c>
    </row>
    <row r="39" ht="14.25" spans="1:13">
      <c r="A39" s="29"/>
      <c r="B39" s="30"/>
      <c r="C39" s="30"/>
      <c r="D39" s="30"/>
      <c r="E39" s="30"/>
      <c r="F39" s="46" t="s">
        <v>901</v>
      </c>
      <c r="G39" s="46"/>
      <c r="H39" s="46"/>
      <c r="I39" s="46"/>
      <c r="J39" s="10">
        <v>2</v>
      </c>
      <c r="K39" s="10" t="s">
        <v>485</v>
      </c>
      <c r="L39" s="10"/>
      <c r="M39" s="2">
        <f t="shared" si="0"/>
        <v>3</v>
      </c>
    </row>
    <row r="40" ht="12" customHeight="1" spans="1:13">
      <c r="A40" s="29"/>
      <c r="B40" s="30"/>
      <c r="C40" s="30"/>
      <c r="D40" s="30"/>
      <c r="E40" s="30"/>
      <c r="F40" s="32" t="s">
        <v>902</v>
      </c>
      <c r="G40" s="33"/>
      <c r="H40" s="33"/>
      <c r="I40" s="36"/>
      <c r="J40" s="11">
        <v>32</v>
      </c>
      <c r="K40" s="11" t="s">
        <v>903</v>
      </c>
      <c r="L40" s="10"/>
      <c r="M40" s="2">
        <f t="shared" si="0"/>
        <v>48</v>
      </c>
    </row>
    <row r="41" ht="12" customHeight="1" spans="1:13">
      <c r="A41" s="29"/>
      <c r="B41" s="30"/>
      <c r="C41" s="30"/>
      <c r="D41" s="30"/>
      <c r="E41" s="30"/>
      <c r="F41" s="34"/>
      <c r="G41" s="35"/>
      <c r="H41" s="35"/>
      <c r="I41" s="41"/>
      <c r="J41" s="15"/>
      <c r="K41" s="15"/>
      <c r="L41" s="10"/>
      <c r="M41" s="2">
        <f t="shared" si="0"/>
        <v>0</v>
      </c>
    </row>
    <row r="42" ht="24" spans="1:13">
      <c r="A42" s="29"/>
      <c r="B42" s="30"/>
      <c r="C42" s="30"/>
      <c r="D42" s="30"/>
      <c r="E42" s="30"/>
      <c r="F42" s="17" t="s">
        <v>904</v>
      </c>
      <c r="G42" s="17"/>
      <c r="H42" s="17"/>
      <c r="I42" s="17"/>
      <c r="J42" s="17">
        <v>12</v>
      </c>
      <c r="K42" s="17" t="s">
        <v>905</v>
      </c>
      <c r="L42" s="17" t="s">
        <v>906</v>
      </c>
      <c r="M42" s="2">
        <f t="shared" si="0"/>
        <v>18</v>
      </c>
    </row>
    <row r="43" ht="14.25" spans="1:13">
      <c r="A43" s="29">
        <v>12</v>
      </c>
      <c r="B43" s="30" t="s">
        <v>68</v>
      </c>
      <c r="C43" s="30"/>
      <c r="D43" s="31" t="s">
        <v>907</v>
      </c>
      <c r="E43" s="30"/>
      <c r="F43" s="46" t="s">
        <v>900</v>
      </c>
      <c r="G43" s="46"/>
      <c r="H43" s="46"/>
      <c r="I43" s="46"/>
      <c r="J43" s="10">
        <v>2</v>
      </c>
      <c r="K43" s="10" t="s">
        <v>485</v>
      </c>
      <c r="L43" s="42"/>
      <c r="M43" s="2">
        <f t="shared" si="0"/>
        <v>3</v>
      </c>
    </row>
    <row r="44" ht="14.25" spans="1:13">
      <c r="A44" s="29"/>
      <c r="B44" s="30"/>
      <c r="C44" s="30"/>
      <c r="D44" s="30"/>
      <c r="E44" s="30"/>
      <c r="F44" s="12" t="s">
        <v>881</v>
      </c>
      <c r="G44" s="13"/>
      <c r="H44" s="13"/>
      <c r="I44" s="23"/>
      <c r="J44" s="10">
        <v>50</v>
      </c>
      <c r="K44" s="10" t="s">
        <v>486</v>
      </c>
      <c r="L44" s="42"/>
      <c r="M44" s="2">
        <f t="shared" si="0"/>
        <v>75</v>
      </c>
    </row>
    <row r="45" ht="14.25" spans="1:13">
      <c r="A45" s="29"/>
      <c r="B45" s="30"/>
      <c r="C45" s="30"/>
      <c r="D45" s="30"/>
      <c r="E45" s="30"/>
      <c r="F45" s="46" t="s">
        <v>901</v>
      </c>
      <c r="G45" s="46"/>
      <c r="H45" s="46"/>
      <c r="I45" s="46"/>
      <c r="J45" s="10">
        <v>3</v>
      </c>
      <c r="K45" s="10" t="s">
        <v>485</v>
      </c>
      <c r="L45" s="42"/>
      <c r="M45" s="2">
        <f t="shared" si="0"/>
        <v>4.5</v>
      </c>
    </row>
    <row r="46" ht="12" customHeight="1" spans="1:13">
      <c r="A46" s="29"/>
      <c r="B46" s="30"/>
      <c r="C46" s="30"/>
      <c r="D46" s="30"/>
      <c r="E46" s="30"/>
      <c r="F46" s="32" t="s">
        <v>902</v>
      </c>
      <c r="G46" s="33"/>
      <c r="H46" s="33"/>
      <c r="I46" s="36"/>
      <c r="J46" s="11">
        <v>60</v>
      </c>
      <c r="K46" s="11" t="s">
        <v>903</v>
      </c>
      <c r="L46" s="42"/>
      <c r="M46" s="2">
        <f t="shared" si="0"/>
        <v>90</v>
      </c>
    </row>
    <row r="47" ht="12" customHeight="1" spans="1:13">
      <c r="A47" s="29"/>
      <c r="B47" s="30"/>
      <c r="C47" s="30"/>
      <c r="D47" s="30"/>
      <c r="E47" s="30"/>
      <c r="F47" s="34"/>
      <c r="G47" s="35"/>
      <c r="H47" s="35"/>
      <c r="I47" s="41"/>
      <c r="J47" s="15"/>
      <c r="K47" s="15"/>
      <c r="L47" s="42"/>
      <c r="M47" s="2">
        <f t="shared" si="0"/>
        <v>0</v>
      </c>
    </row>
    <row r="48" ht="24" spans="1:13">
      <c r="A48" s="29"/>
      <c r="B48" s="30"/>
      <c r="C48" s="30"/>
      <c r="D48" s="30"/>
      <c r="E48" s="30"/>
      <c r="F48" s="17" t="s">
        <v>904</v>
      </c>
      <c r="G48" s="17"/>
      <c r="H48" s="17"/>
      <c r="I48" s="17"/>
      <c r="J48" s="17">
        <v>20</v>
      </c>
      <c r="K48" s="17" t="s">
        <v>905</v>
      </c>
      <c r="L48" s="17" t="s">
        <v>906</v>
      </c>
      <c r="M48" s="2">
        <f t="shared" si="0"/>
        <v>30</v>
      </c>
    </row>
    <row r="49" customHeight="1" spans="1:12">
      <c r="A49" s="16" t="s">
        <v>908</v>
      </c>
      <c r="B49" s="16"/>
      <c r="C49" s="16"/>
      <c r="D49" s="16"/>
      <c r="E49" s="16"/>
      <c r="F49" s="16"/>
      <c r="G49" s="16"/>
      <c r="H49" s="16"/>
      <c r="I49" s="16"/>
      <c r="J49" s="16"/>
      <c r="K49" s="16"/>
      <c r="L49" s="43"/>
    </row>
    <row r="50" customHeight="1" spans="1:12">
      <c r="A50" s="10">
        <v>1</v>
      </c>
      <c r="B50" s="32" t="s">
        <v>909</v>
      </c>
      <c r="C50" s="36"/>
      <c r="D50" s="10" t="s">
        <v>910</v>
      </c>
      <c r="E50" s="37">
        <v>1</v>
      </c>
      <c r="F50" s="10" t="s">
        <v>900</v>
      </c>
      <c r="G50" s="10"/>
      <c r="H50" s="10"/>
      <c r="I50" s="10"/>
      <c r="J50" s="10">
        <f>E50*2</f>
        <v>2</v>
      </c>
      <c r="K50" s="10" t="s">
        <v>485</v>
      </c>
      <c r="L50" s="10" t="s">
        <v>911</v>
      </c>
    </row>
    <row r="51" ht="14.25" spans="1:12">
      <c r="A51" s="10"/>
      <c r="B51" s="38"/>
      <c r="C51" s="39"/>
      <c r="D51" s="10"/>
      <c r="E51" s="40"/>
      <c r="F51" s="12" t="s">
        <v>881</v>
      </c>
      <c r="G51" s="13"/>
      <c r="H51" s="13"/>
      <c r="I51" s="23"/>
      <c r="J51" s="10">
        <f>+E50*5</f>
        <v>5</v>
      </c>
      <c r="K51" s="10" t="s">
        <v>486</v>
      </c>
      <c r="L51" s="10"/>
    </row>
    <row r="52" customHeight="1" spans="1:12">
      <c r="A52" s="10"/>
      <c r="B52" s="38"/>
      <c r="C52" s="39"/>
      <c r="D52" s="10"/>
      <c r="E52" s="40"/>
      <c r="F52" s="10" t="s">
        <v>901</v>
      </c>
      <c r="G52" s="10"/>
      <c r="H52" s="10"/>
      <c r="I52" s="10"/>
      <c r="J52" s="10">
        <f>+E50*1</f>
        <v>1</v>
      </c>
      <c r="K52" s="10" t="s">
        <v>485</v>
      </c>
      <c r="L52" s="10"/>
    </row>
    <row r="53" customHeight="1" spans="1:12">
      <c r="A53" s="10"/>
      <c r="B53" s="34"/>
      <c r="C53" s="41"/>
      <c r="D53" s="10"/>
      <c r="E53" s="40"/>
      <c r="F53" s="10" t="s">
        <v>912</v>
      </c>
      <c r="G53" s="10"/>
      <c r="H53" s="10"/>
      <c r="I53" s="10"/>
      <c r="J53" s="10">
        <f>+E50*8</f>
        <v>8</v>
      </c>
      <c r="K53" s="10" t="s">
        <v>903</v>
      </c>
      <c r="L53" s="10"/>
    </row>
    <row r="54" customHeight="1" spans="1:12">
      <c r="A54" s="10">
        <v>2</v>
      </c>
      <c r="B54" s="32" t="s">
        <v>913</v>
      </c>
      <c r="C54" s="36"/>
      <c r="D54" s="10" t="s">
        <v>914</v>
      </c>
      <c r="E54" s="37">
        <v>1</v>
      </c>
      <c r="F54" s="10" t="s">
        <v>900</v>
      </c>
      <c r="G54" s="10"/>
      <c r="H54" s="10"/>
      <c r="I54" s="10"/>
      <c r="J54" s="10">
        <f>E54*1</f>
        <v>1</v>
      </c>
      <c r="K54" s="10" t="s">
        <v>485</v>
      </c>
      <c r="L54" s="10"/>
    </row>
    <row r="55" customHeight="1" spans="1:12">
      <c r="A55" s="10"/>
      <c r="B55" s="38"/>
      <c r="C55" s="39"/>
      <c r="D55" s="10"/>
      <c r="E55" s="40"/>
      <c r="F55" s="12" t="s">
        <v>881</v>
      </c>
      <c r="G55" s="13"/>
      <c r="H55" s="13"/>
      <c r="I55" s="23"/>
      <c r="J55" s="10">
        <f>+E54*4</f>
        <v>4</v>
      </c>
      <c r="K55" s="10" t="s">
        <v>486</v>
      </c>
      <c r="L55" s="10"/>
    </row>
    <row r="56" customHeight="1" spans="1:12">
      <c r="A56" s="10"/>
      <c r="B56" s="38"/>
      <c r="C56" s="39"/>
      <c r="D56" s="10"/>
      <c r="E56" s="40"/>
      <c r="F56" s="10" t="s">
        <v>901</v>
      </c>
      <c r="G56" s="10"/>
      <c r="H56" s="10"/>
      <c r="I56" s="10"/>
      <c r="J56" s="10">
        <f>+E54*0.5</f>
        <v>0.5</v>
      </c>
      <c r="K56" s="10" t="s">
        <v>485</v>
      </c>
      <c r="L56" s="10"/>
    </row>
    <row r="57" customHeight="1" spans="1:12">
      <c r="A57" s="10"/>
      <c r="B57" s="34"/>
      <c r="C57" s="41"/>
      <c r="D57" s="10"/>
      <c r="E57" s="40"/>
      <c r="F57" s="10" t="s">
        <v>912</v>
      </c>
      <c r="G57" s="10"/>
      <c r="H57" s="10"/>
      <c r="I57" s="10"/>
      <c r="J57" s="10">
        <f>+E54*8</f>
        <v>8</v>
      </c>
      <c r="K57" s="10" t="s">
        <v>903</v>
      </c>
      <c r="L57" s="10"/>
    </row>
    <row r="58" customHeight="1" spans="1:12">
      <c r="A58" s="10">
        <v>3</v>
      </c>
      <c r="B58" s="32" t="s">
        <v>915</v>
      </c>
      <c r="C58" s="36"/>
      <c r="D58" s="10" t="s">
        <v>916</v>
      </c>
      <c r="E58" s="29">
        <v>1</v>
      </c>
      <c r="F58" s="10" t="s">
        <v>900</v>
      </c>
      <c r="G58" s="10"/>
      <c r="H58" s="10"/>
      <c r="I58" s="10"/>
      <c r="J58" s="10">
        <f>E58*2</f>
        <v>2</v>
      </c>
      <c r="K58" s="10" t="s">
        <v>485</v>
      </c>
      <c r="L58" s="10"/>
    </row>
    <row r="59" customHeight="1" spans="1:12">
      <c r="A59" s="10"/>
      <c r="B59" s="38"/>
      <c r="C59" s="39"/>
      <c r="D59" s="10"/>
      <c r="E59" s="29"/>
      <c r="F59" s="12" t="s">
        <v>881</v>
      </c>
      <c r="G59" s="13"/>
      <c r="H59" s="13"/>
      <c r="I59" s="23"/>
      <c r="J59" s="10">
        <f>+E58*7</f>
        <v>7</v>
      </c>
      <c r="K59" s="10" t="s">
        <v>486</v>
      </c>
      <c r="L59" s="10"/>
    </row>
    <row r="60" customHeight="1" spans="1:12">
      <c r="A60" s="10"/>
      <c r="B60" s="38"/>
      <c r="C60" s="39"/>
      <c r="D60" s="10"/>
      <c r="E60" s="29"/>
      <c r="F60" s="10" t="s">
        <v>901</v>
      </c>
      <c r="G60" s="10"/>
      <c r="H60" s="10"/>
      <c r="I60" s="10"/>
      <c r="J60" s="10">
        <f>+E58*1.5</f>
        <v>1.5</v>
      </c>
      <c r="K60" s="10" t="s">
        <v>485</v>
      </c>
      <c r="L60" s="10"/>
    </row>
    <row r="61" customHeight="1" spans="1:12">
      <c r="A61" s="10"/>
      <c r="B61" s="34"/>
      <c r="C61" s="41"/>
      <c r="D61" s="10"/>
      <c r="E61" s="29"/>
      <c r="F61" s="10" t="s">
        <v>912</v>
      </c>
      <c r="G61" s="10"/>
      <c r="H61" s="10"/>
      <c r="I61" s="10"/>
      <c r="J61" s="10">
        <f>+E58*8</f>
        <v>8</v>
      </c>
      <c r="K61" s="10" t="s">
        <v>903</v>
      </c>
      <c r="L61" s="1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F46:I47"/>
    <mergeCell ref="B43:C48"/>
    <mergeCell ref="D43:E48"/>
    <mergeCell ref="B37:C42"/>
    <mergeCell ref="D37:E42"/>
    <mergeCell ref="F40:I41"/>
    <mergeCell ref="I4:J5"/>
    <mergeCell ref="K4:L5"/>
    <mergeCell ref="A1:L2"/>
    <mergeCell ref="B50:C53"/>
    <mergeCell ref="B54:C57"/>
    <mergeCell ref="B58:C61"/>
  </mergeCells>
  <pageMargins left="0.699305555555556" right="0.699305555555556" top="0.75" bottom="0.75" header="0.3" footer="0.3"/>
  <pageSetup paperSize="9" scale="8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917</v>
      </c>
      <c r="B1" s="4"/>
      <c r="C1" s="4"/>
      <c r="D1" s="4"/>
      <c r="E1" s="4"/>
      <c r="F1" s="4"/>
      <c r="G1" s="4"/>
      <c r="H1" s="4"/>
      <c r="I1" s="4"/>
      <c r="J1" s="4"/>
      <c r="K1" s="4"/>
      <c r="L1" s="4"/>
    </row>
    <row r="2" ht="14.25" spans="1:12">
      <c r="A2" s="4"/>
      <c r="B2" s="4"/>
      <c r="C2" s="4"/>
      <c r="D2" s="4"/>
      <c r="E2" s="4"/>
      <c r="F2" s="4"/>
      <c r="G2" s="4"/>
      <c r="H2" s="4"/>
      <c r="I2" s="4"/>
      <c r="J2" s="4"/>
      <c r="K2" s="4"/>
      <c r="L2" s="4"/>
    </row>
    <row r="3" ht="14.25" spans="1:12">
      <c r="A3" s="5" t="s">
        <v>740</v>
      </c>
      <c r="B3" s="5"/>
      <c r="C3" s="5" t="e">
        <f>#REF!</f>
        <v>#REF!</v>
      </c>
      <c r="D3" s="5"/>
      <c r="E3" s="5"/>
      <c r="F3" s="5"/>
      <c r="G3" s="5"/>
      <c r="H3" s="5"/>
      <c r="I3" s="5" t="s">
        <v>873</v>
      </c>
      <c r="J3" s="5"/>
      <c r="K3" s="22" t="e">
        <f>[7]领料单!R2</f>
        <v>#REF!</v>
      </c>
      <c r="L3" s="22"/>
    </row>
    <row r="4" ht="14.25" spans="1:12">
      <c r="A4" s="6" t="s">
        <v>3</v>
      </c>
      <c r="B4" s="6"/>
      <c r="C4" s="6" t="e">
        <f>#REF!</f>
        <v>#REF!</v>
      </c>
      <c r="D4" s="6"/>
      <c r="E4" s="6" t="s">
        <v>6</v>
      </c>
      <c r="F4" s="6"/>
      <c r="G4" s="7">
        <f>[7]领料单!M3</f>
        <v>40889</v>
      </c>
      <c r="H4" s="7"/>
      <c r="I4" s="6" t="s">
        <v>764</v>
      </c>
      <c r="J4" s="6"/>
      <c r="K4" s="6" t="e">
        <f>#REF!</f>
        <v>#REF!</v>
      </c>
      <c r="L4" s="6"/>
    </row>
    <row r="5" ht="14.25" spans="1:12">
      <c r="A5" s="6" t="e">
        <f>#REF!</f>
        <v>#REF!</v>
      </c>
      <c r="B5" s="6"/>
      <c r="C5" s="6" t="e">
        <f>#REF!</f>
        <v>#REF!</v>
      </c>
      <c r="D5" s="6"/>
      <c r="E5" s="6" t="s">
        <v>741</v>
      </c>
      <c r="F5" s="6"/>
      <c r="G5" s="8" t="e">
        <f>[7]下料单!X2</f>
        <v>#REF!</v>
      </c>
      <c r="H5" s="8"/>
      <c r="I5" s="6"/>
      <c r="J5" s="6"/>
      <c r="K5" s="6"/>
      <c r="L5" s="6"/>
    </row>
    <row r="6" ht="14.25" spans="1:12">
      <c r="A6" s="9" t="s">
        <v>23</v>
      </c>
      <c r="B6" s="9" t="s">
        <v>874</v>
      </c>
      <c r="C6" s="9" t="s">
        <v>875</v>
      </c>
      <c r="D6" s="9" t="s">
        <v>876</v>
      </c>
      <c r="E6" s="9" t="s">
        <v>68</v>
      </c>
      <c r="F6" s="9" t="s">
        <v>481</v>
      </c>
      <c r="G6" s="9"/>
      <c r="H6" s="9"/>
      <c r="I6" s="9"/>
      <c r="J6" s="9" t="s">
        <v>651</v>
      </c>
      <c r="K6" s="9" t="s">
        <v>314</v>
      </c>
      <c r="L6" s="9" t="s">
        <v>30</v>
      </c>
    </row>
    <row r="7" ht="14.25" spans="1:12">
      <c r="A7" s="10">
        <v>1</v>
      </c>
      <c r="B7" s="11" t="s">
        <v>918</v>
      </c>
      <c r="C7" s="10">
        <v>720</v>
      </c>
      <c r="D7" s="10" t="s">
        <v>878</v>
      </c>
      <c r="E7" s="10">
        <v>1</v>
      </c>
      <c r="F7" s="12" t="s">
        <v>919</v>
      </c>
      <c r="G7" s="13"/>
      <c r="H7" s="13"/>
      <c r="I7" s="23"/>
      <c r="J7" s="10">
        <f>E7*1</f>
        <v>1</v>
      </c>
      <c r="K7" s="10" t="s">
        <v>903</v>
      </c>
      <c r="L7" s="24"/>
    </row>
    <row r="8" ht="14.25" spans="1:12">
      <c r="A8" s="10"/>
      <c r="B8" s="14"/>
      <c r="C8" s="10"/>
      <c r="D8" s="10"/>
      <c r="E8" s="10"/>
      <c r="F8" s="12" t="s">
        <v>881</v>
      </c>
      <c r="G8" s="13"/>
      <c r="H8" s="13"/>
      <c r="I8" s="23"/>
      <c r="J8" s="10">
        <f>+E7*3.6</f>
        <v>3.6</v>
      </c>
      <c r="K8" s="10" t="s">
        <v>486</v>
      </c>
      <c r="L8" s="10"/>
    </row>
    <row r="9" ht="14.25" spans="1:12">
      <c r="A9" s="10"/>
      <c r="B9" s="14"/>
      <c r="C9" s="10"/>
      <c r="D9" s="10"/>
      <c r="E9" s="10"/>
      <c r="F9" s="12" t="s">
        <v>901</v>
      </c>
      <c r="G9" s="13"/>
      <c r="H9" s="13"/>
      <c r="I9" s="23"/>
      <c r="J9" s="10">
        <f>+E7*0.5</f>
        <v>0.5</v>
      </c>
      <c r="K9" s="10" t="s">
        <v>485</v>
      </c>
      <c r="L9" s="10"/>
    </row>
    <row r="10" ht="14.25" spans="1:12">
      <c r="A10" s="10"/>
      <c r="B10" s="15"/>
      <c r="C10" s="10"/>
      <c r="D10" s="10"/>
      <c r="E10" s="10"/>
      <c r="F10" s="12" t="s">
        <v>920</v>
      </c>
      <c r="G10" s="13"/>
      <c r="H10" s="13"/>
      <c r="I10" s="23"/>
      <c r="J10" s="10">
        <f>+E7*8</f>
        <v>8</v>
      </c>
      <c r="K10" s="10" t="s">
        <v>903</v>
      </c>
      <c r="L10" s="24"/>
    </row>
    <row r="11" ht="14.25" spans="1:12">
      <c r="A11" s="10">
        <v>2</v>
      </c>
      <c r="B11" s="10">
        <v>900</v>
      </c>
      <c r="C11" s="10">
        <v>720</v>
      </c>
      <c r="D11" s="10" t="s">
        <v>878</v>
      </c>
      <c r="E11" s="10">
        <v>1</v>
      </c>
      <c r="F11" s="12" t="s">
        <v>921</v>
      </c>
      <c r="G11" s="13"/>
      <c r="H11" s="13"/>
      <c r="I11" s="23"/>
      <c r="J11" s="10">
        <f>E11*1</f>
        <v>1</v>
      </c>
      <c r="K11" s="10" t="s">
        <v>903</v>
      </c>
      <c r="L11" s="10"/>
    </row>
    <row r="12" ht="14.25" spans="1:12">
      <c r="A12" s="10"/>
      <c r="B12" s="10"/>
      <c r="C12" s="10"/>
      <c r="D12" s="10"/>
      <c r="E12" s="10"/>
      <c r="F12" s="12" t="s">
        <v>881</v>
      </c>
      <c r="G12" s="13"/>
      <c r="H12" s="13"/>
      <c r="I12" s="23"/>
      <c r="J12" s="10">
        <f>+E11*4.5</f>
        <v>4.5</v>
      </c>
      <c r="K12" s="10" t="s">
        <v>486</v>
      </c>
      <c r="L12" s="24"/>
    </row>
    <row r="13" ht="14.25" spans="1:12">
      <c r="A13" s="10"/>
      <c r="B13" s="10"/>
      <c r="C13" s="10"/>
      <c r="D13" s="10"/>
      <c r="E13" s="10"/>
      <c r="F13" s="12" t="s">
        <v>901</v>
      </c>
      <c r="G13" s="13"/>
      <c r="H13" s="13"/>
      <c r="I13" s="23"/>
      <c r="J13" s="10">
        <f>+E11*0.5</f>
        <v>0.5</v>
      </c>
      <c r="K13" s="10" t="s">
        <v>485</v>
      </c>
      <c r="L13" s="10"/>
    </row>
    <row r="14" ht="14.25" spans="1:12">
      <c r="A14" s="10"/>
      <c r="B14" s="10"/>
      <c r="C14" s="10"/>
      <c r="D14" s="10"/>
      <c r="E14" s="10"/>
      <c r="F14" s="12" t="s">
        <v>920</v>
      </c>
      <c r="G14" s="13"/>
      <c r="H14" s="13"/>
      <c r="I14" s="23"/>
      <c r="J14" s="10">
        <f>+E11*8</f>
        <v>8</v>
      </c>
      <c r="K14" s="10" t="s">
        <v>903</v>
      </c>
      <c r="L14" s="10"/>
    </row>
    <row r="15" ht="14.25" spans="1:12">
      <c r="A15" s="10">
        <v>3</v>
      </c>
      <c r="B15" s="10">
        <v>1200</v>
      </c>
      <c r="C15" s="10">
        <v>720</v>
      </c>
      <c r="D15" s="10" t="s">
        <v>878</v>
      </c>
      <c r="E15" s="10">
        <v>1</v>
      </c>
      <c r="F15" s="12" t="s">
        <v>922</v>
      </c>
      <c r="G15" s="13"/>
      <c r="H15" s="13"/>
      <c r="I15" s="23"/>
      <c r="J15" s="10">
        <f>E15*1</f>
        <v>1</v>
      </c>
      <c r="K15" s="10" t="s">
        <v>903</v>
      </c>
      <c r="L15" s="10"/>
    </row>
    <row r="16" ht="14.25" spans="1:12">
      <c r="A16" s="10"/>
      <c r="B16" s="10"/>
      <c r="C16" s="10"/>
      <c r="D16" s="10"/>
      <c r="E16" s="10"/>
      <c r="F16" s="12" t="s">
        <v>881</v>
      </c>
      <c r="G16" s="13"/>
      <c r="H16" s="13"/>
      <c r="I16" s="23"/>
      <c r="J16" s="10">
        <f>+E15*4.8</f>
        <v>4.8</v>
      </c>
      <c r="K16" s="10" t="s">
        <v>486</v>
      </c>
      <c r="L16" s="10"/>
    </row>
    <row r="17" ht="14.25" spans="1:12">
      <c r="A17" s="10"/>
      <c r="B17" s="10"/>
      <c r="C17" s="10"/>
      <c r="D17" s="10"/>
      <c r="E17" s="10"/>
      <c r="F17" s="12" t="s">
        <v>901</v>
      </c>
      <c r="G17" s="13"/>
      <c r="H17" s="13"/>
      <c r="I17" s="23"/>
      <c r="J17" s="10">
        <f>+E15*0.5</f>
        <v>0.5</v>
      </c>
      <c r="K17" s="10" t="s">
        <v>485</v>
      </c>
      <c r="L17" s="24"/>
    </row>
    <row r="18" ht="14.25" spans="1:12">
      <c r="A18" s="10"/>
      <c r="B18" s="10"/>
      <c r="C18" s="10"/>
      <c r="D18" s="10"/>
      <c r="E18" s="10"/>
      <c r="F18" s="12" t="s">
        <v>920</v>
      </c>
      <c r="G18" s="13"/>
      <c r="H18" s="13"/>
      <c r="I18" s="23"/>
      <c r="J18" s="10">
        <f>+E15*8</f>
        <v>8</v>
      </c>
      <c r="K18" s="10" t="s">
        <v>903</v>
      </c>
      <c r="L18" s="10"/>
    </row>
    <row r="19" ht="14.25" spans="1:12">
      <c r="A19" s="10">
        <v>4</v>
      </c>
      <c r="B19" s="11" t="s">
        <v>918</v>
      </c>
      <c r="C19" s="10">
        <v>720</v>
      </c>
      <c r="D19" s="10" t="s">
        <v>923</v>
      </c>
      <c r="E19" s="10">
        <v>1</v>
      </c>
      <c r="F19" s="12" t="s">
        <v>924</v>
      </c>
      <c r="G19" s="13"/>
      <c r="H19" s="13"/>
      <c r="I19" s="23"/>
      <c r="J19" s="10">
        <f>E19*1</f>
        <v>1</v>
      </c>
      <c r="K19" s="10" t="s">
        <v>880</v>
      </c>
      <c r="L19" s="25"/>
    </row>
    <row r="20" ht="14.25" spans="1:12">
      <c r="A20" s="10"/>
      <c r="B20" s="14"/>
      <c r="C20" s="10"/>
      <c r="D20" s="10"/>
      <c r="E20" s="10"/>
      <c r="F20" s="12" t="s">
        <v>881</v>
      </c>
      <c r="G20" s="13"/>
      <c r="H20" s="13"/>
      <c r="I20" s="23"/>
      <c r="J20" s="10">
        <f>+E19*3.5</f>
        <v>3.5</v>
      </c>
      <c r="K20" s="10" t="s">
        <v>486</v>
      </c>
      <c r="L20" s="25"/>
    </row>
    <row r="21" ht="14.25" spans="1:12">
      <c r="A21" s="10"/>
      <c r="B21" s="14"/>
      <c r="C21" s="10"/>
      <c r="D21" s="10"/>
      <c r="E21" s="10"/>
      <c r="F21" s="12" t="s">
        <v>901</v>
      </c>
      <c r="G21" s="13"/>
      <c r="H21" s="13"/>
      <c r="I21" s="23"/>
      <c r="J21" s="10">
        <f>+E19*0.5</f>
        <v>0.5</v>
      </c>
      <c r="K21" s="10" t="s">
        <v>485</v>
      </c>
      <c r="L21" s="25"/>
    </row>
    <row r="22" ht="14.25" spans="1:12">
      <c r="A22" s="10"/>
      <c r="B22" s="15"/>
      <c r="C22" s="10"/>
      <c r="D22" s="10"/>
      <c r="E22" s="10"/>
      <c r="F22" s="12" t="s">
        <v>920</v>
      </c>
      <c r="G22" s="13"/>
      <c r="H22" s="13"/>
      <c r="I22" s="23"/>
      <c r="J22" s="10">
        <f>+E19*8</f>
        <v>8</v>
      </c>
      <c r="K22" s="10" t="s">
        <v>903</v>
      </c>
      <c r="L22" s="25"/>
    </row>
    <row r="23" ht="14.25" spans="1:12">
      <c r="A23" s="10">
        <v>5</v>
      </c>
      <c r="B23" s="10">
        <v>900</v>
      </c>
      <c r="C23" s="10">
        <v>720</v>
      </c>
      <c r="D23" s="10" t="s">
        <v>923</v>
      </c>
      <c r="E23" s="10">
        <v>1</v>
      </c>
      <c r="F23" s="12" t="s">
        <v>925</v>
      </c>
      <c r="G23" s="13"/>
      <c r="H23" s="13"/>
      <c r="I23" s="23"/>
      <c r="J23" s="10">
        <f>E23*1</f>
        <v>1</v>
      </c>
      <c r="K23" s="10" t="s">
        <v>903</v>
      </c>
      <c r="L23" s="25"/>
    </row>
    <row r="24" ht="14.25" spans="1:12">
      <c r="A24" s="10"/>
      <c r="B24" s="10"/>
      <c r="C24" s="10"/>
      <c r="D24" s="10"/>
      <c r="E24" s="10"/>
      <c r="F24" s="12" t="s">
        <v>881</v>
      </c>
      <c r="G24" s="13"/>
      <c r="H24" s="13"/>
      <c r="I24" s="23"/>
      <c r="J24" s="10">
        <f>+E23*3.5</f>
        <v>3.5</v>
      </c>
      <c r="K24" s="10" t="s">
        <v>486</v>
      </c>
      <c r="L24" s="25"/>
    </row>
    <row r="25" ht="14.25" spans="1:12">
      <c r="A25" s="10"/>
      <c r="B25" s="10"/>
      <c r="C25" s="10"/>
      <c r="D25" s="10"/>
      <c r="E25" s="10"/>
      <c r="F25" s="12" t="s">
        <v>901</v>
      </c>
      <c r="G25" s="13"/>
      <c r="H25" s="13"/>
      <c r="I25" s="23"/>
      <c r="J25" s="10">
        <f>+E23*0.5</f>
        <v>0.5</v>
      </c>
      <c r="K25" s="10" t="s">
        <v>485</v>
      </c>
      <c r="L25" s="25"/>
    </row>
    <row r="26" ht="14.25" spans="1:12">
      <c r="A26" s="10"/>
      <c r="B26" s="10"/>
      <c r="C26" s="10"/>
      <c r="D26" s="10"/>
      <c r="E26" s="10"/>
      <c r="F26" s="12" t="s">
        <v>920</v>
      </c>
      <c r="G26" s="13"/>
      <c r="H26" s="13"/>
      <c r="I26" s="23"/>
      <c r="J26" s="10">
        <f>+E23*8</f>
        <v>8</v>
      </c>
      <c r="K26" s="10" t="s">
        <v>903</v>
      </c>
      <c r="L26" s="25"/>
    </row>
    <row r="27" ht="14.25" spans="1:12">
      <c r="A27" s="10">
        <v>6</v>
      </c>
      <c r="B27" s="10">
        <v>1200</v>
      </c>
      <c r="C27" s="10">
        <v>720</v>
      </c>
      <c r="D27" s="10" t="s">
        <v>923</v>
      </c>
      <c r="E27" s="10">
        <v>1</v>
      </c>
      <c r="F27" s="12" t="s">
        <v>926</v>
      </c>
      <c r="G27" s="13"/>
      <c r="H27" s="13"/>
      <c r="I27" s="23"/>
      <c r="J27" s="10">
        <f>E27*1</f>
        <v>1</v>
      </c>
      <c r="K27" s="10" t="s">
        <v>903</v>
      </c>
      <c r="L27" s="25"/>
    </row>
    <row r="28" ht="14.25" spans="1:12">
      <c r="A28" s="10"/>
      <c r="B28" s="10"/>
      <c r="C28" s="10"/>
      <c r="D28" s="10"/>
      <c r="E28" s="10"/>
      <c r="F28" s="12" t="s">
        <v>881</v>
      </c>
      <c r="G28" s="13"/>
      <c r="H28" s="13"/>
      <c r="I28" s="23"/>
      <c r="J28" s="10">
        <f>+E27*5</f>
        <v>5</v>
      </c>
      <c r="K28" s="10" t="s">
        <v>486</v>
      </c>
      <c r="L28" s="25"/>
    </row>
    <row r="29" ht="14.25" spans="1:12">
      <c r="A29" s="10"/>
      <c r="B29" s="10"/>
      <c r="C29" s="10"/>
      <c r="D29" s="10"/>
      <c r="E29" s="10"/>
      <c r="F29" s="12" t="s">
        <v>901</v>
      </c>
      <c r="G29" s="13"/>
      <c r="H29" s="13"/>
      <c r="I29" s="23"/>
      <c r="J29" s="10">
        <f>+E27*0.5</f>
        <v>0.5</v>
      </c>
      <c r="K29" s="10" t="s">
        <v>485</v>
      </c>
      <c r="L29" s="25"/>
    </row>
    <row r="30" ht="14.25" spans="1:12">
      <c r="A30" s="10"/>
      <c r="B30" s="10"/>
      <c r="C30" s="10"/>
      <c r="D30" s="10"/>
      <c r="E30" s="10"/>
      <c r="F30" s="12" t="s">
        <v>920</v>
      </c>
      <c r="G30" s="13"/>
      <c r="H30" s="13"/>
      <c r="I30" s="23"/>
      <c r="J30" s="10">
        <f>+E27*8</f>
        <v>8</v>
      </c>
      <c r="K30" s="10" t="s">
        <v>903</v>
      </c>
      <c r="L30" s="25"/>
    </row>
    <row r="31" ht="14.25" spans="1:12">
      <c r="A31" s="10">
        <v>7</v>
      </c>
      <c r="B31" s="11" t="s">
        <v>927</v>
      </c>
      <c r="C31" s="10">
        <v>1440</v>
      </c>
      <c r="D31" s="10" t="s">
        <v>893</v>
      </c>
      <c r="E31" s="10">
        <v>1</v>
      </c>
      <c r="F31" s="12" t="s">
        <v>900</v>
      </c>
      <c r="G31" s="13"/>
      <c r="H31" s="13"/>
      <c r="I31" s="23"/>
      <c r="J31" s="10">
        <f>E31*2</f>
        <v>2</v>
      </c>
      <c r="K31" s="10" t="s">
        <v>485</v>
      </c>
      <c r="L31" s="26" t="s">
        <v>928</v>
      </c>
    </row>
    <row r="32" ht="14.25" spans="1:12">
      <c r="A32" s="10"/>
      <c r="B32" s="14"/>
      <c r="C32" s="10"/>
      <c r="D32" s="10"/>
      <c r="E32" s="10"/>
      <c r="F32" s="12" t="s">
        <v>881</v>
      </c>
      <c r="G32" s="13"/>
      <c r="H32" s="13"/>
      <c r="I32" s="23"/>
      <c r="J32" s="10">
        <f>+E31*7</f>
        <v>7</v>
      </c>
      <c r="K32" s="10" t="s">
        <v>486</v>
      </c>
      <c r="L32" s="27"/>
    </row>
    <row r="33" ht="14.25" spans="1:12">
      <c r="A33" s="10"/>
      <c r="B33" s="14"/>
      <c r="C33" s="10"/>
      <c r="D33" s="10"/>
      <c r="E33" s="10"/>
      <c r="F33" s="12" t="s">
        <v>901</v>
      </c>
      <c r="G33" s="13"/>
      <c r="H33" s="13"/>
      <c r="I33" s="23"/>
      <c r="J33" s="10">
        <f>E31*1.5</f>
        <v>1.5</v>
      </c>
      <c r="K33" s="10" t="s">
        <v>485</v>
      </c>
      <c r="L33" s="27"/>
    </row>
    <row r="34" ht="14.25" spans="1:12">
      <c r="A34" s="10"/>
      <c r="B34" s="15"/>
      <c r="C34" s="10"/>
      <c r="D34" s="10"/>
      <c r="E34" s="10"/>
      <c r="F34" s="12" t="s">
        <v>912</v>
      </c>
      <c r="G34" s="13"/>
      <c r="H34" s="13"/>
      <c r="I34" s="23"/>
      <c r="J34" s="10">
        <f>+E31*8</f>
        <v>8</v>
      </c>
      <c r="K34" s="10" t="s">
        <v>903</v>
      </c>
      <c r="L34" s="28"/>
    </row>
    <row r="35" ht="14.25" spans="1:12">
      <c r="A35" s="10">
        <v>8</v>
      </c>
      <c r="B35" s="11">
        <v>600</v>
      </c>
      <c r="C35" s="10">
        <v>2160</v>
      </c>
      <c r="D35" s="10" t="s">
        <v>895</v>
      </c>
      <c r="E35" s="10">
        <v>1</v>
      </c>
      <c r="F35" s="12" t="s">
        <v>929</v>
      </c>
      <c r="G35" s="13"/>
      <c r="H35" s="13"/>
      <c r="I35" s="23"/>
      <c r="J35" s="10">
        <f>E35*1</f>
        <v>1</v>
      </c>
      <c r="K35" s="10" t="s">
        <v>485</v>
      </c>
      <c r="L35" s="25"/>
    </row>
    <row r="36" ht="14.25" spans="1:12">
      <c r="A36" s="10"/>
      <c r="B36" s="14"/>
      <c r="C36" s="10"/>
      <c r="D36" s="10"/>
      <c r="E36" s="10"/>
      <c r="F36" s="12" t="s">
        <v>881</v>
      </c>
      <c r="G36" s="13"/>
      <c r="H36" s="13"/>
      <c r="I36" s="23"/>
      <c r="J36" s="10">
        <f>+E35*11</f>
        <v>11</v>
      </c>
      <c r="K36" s="10" t="s">
        <v>486</v>
      </c>
      <c r="L36" s="25"/>
    </row>
    <row r="37" ht="14.25" spans="1:12">
      <c r="A37" s="10"/>
      <c r="B37" s="14"/>
      <c r="C37" s="10"/>
      <c r="D37" s="10"/>
      <c r="E37" s="10"/>
      <c r="F37" s="12" t="s">
        <v>901</v>
      </c>
      <c r="G37" s="13"/>
      <c r="H37" s="13"/>
      <c r="I37" s="23"/>
      <c r="J37" s="10">
        <f>+E35*1</f>
        <v>1</v>
      </c>
      <c r="K37" s="10" t="s">
        <v>485</v>
      </c>
      <c r="L37" s="25"/>
    </row>
    <row r="38" ht="14.25" spans="1:12">
      <c r="A38" s="10"/>
      <c r="B38" s="15"/>
      <c r="C38" s="10"/>
      <c r="D38" s="10"/>
      <c r="E38" s="10"/>
      <c r="F38" s="10" t="s">
        <v>920</v>
      </c>
      <c r="G38" s="10"/>
      <c r="H38" s="10"/>
      <c r="I38" s="10"/>
      <c r="J38" s="10">
        <f>+E35*8</f>
        <v>8</v>
      </c>
      <c r="K38" s="10" t="s">
        <v>903</v>
      </c>
      <c r="L38" s="25"/>
    </row>
    <row r="39" ht="14.25" spans="1:12">
      <c r="A39" s="16" t="s">
        <v>930</v>
      </c>
      <c r="B39" s="16"/>
      <c r="C39" s="16"/>
      <c r="D39" s="16"/>
      <c r="E39" s="16"/>
      <c r="F39" s="16"/>
      <c r="G39" s="16"/>
      <c r="H39" s="16"/>
      <c r="I39" s="16"/>
      <c r="J39" s="16"/>
      <c r="K39" s="16"/>
      <c r="L39" s="16"/>
    </row>
    <row r="40" ht="14.25" spans="1:12">
      <c r="A40" s="11">
        <v>9</v>
      </c>
      <c r="B40" s="11">
        <v>150</v>
      </c>
      <c r="C40" s="11">
        <v>720</v>
      </c>
      <c r="D40" s="11" t="s">
        <v>931</v>
      </c>
      <c r="E40" s="10">
        <v>1</v>
      </c>
      <c r="F40" s="10" t="s">
        <v>932</v>
      </c>
      <c r="G40" s="10"/>
      <c r="H40" s="10"/>
      <c r="I40" s="10"/>
      <c r="J40" s="10">
        <f>+E40*1</f>
        <v>1</v>
      </c>
      <c r="K40" s="10" t="s">
        <v>903</v>
      </c>
      <c r="L40" s="25"/>
    </row>
    <row r="41" ht="14.25" spans="1:12">
      <c r="A41" s="14"/>
      <c r="B41" s="14"/>
      <c r="C41" s="14"/>
      <c r="D41" s="14"/>
      <c r="E41" s="10"/>
      <c r="F41" s="12" t="s">
        <v>881</v>
      </c>
      <c r="G41" s="13"/>
      <c r="H41" s="13"/>
      <c r="I41" s="23"/>
      <c r="J41" s="10">
        <f>+E40*2</f>
        <v>2</v>
      </c>
      <c r="K41" s="10" t="s">
        <v>486</v>
      </c>
      <c r="L41" s="25"/>
    </row>
    <row r="42" ht="14.25" spans="1:12">
      <c r="A42" s="14"/>
      <c r="B42" s="14"/>
      <c r="C42" s="14"/>
      <c r="D42" s="14"/>
      <c r="E42" s="10"/>
      <c r="F42" s="10" t="s">
        <v>933</v>
      </c>
      <c r="G42" s="10"/>
      <c r="H42" s="10"/>
      <c r="I42" s="10"/>
      <c r="J42" s="10">
        <f>+E40*8</f>
        <v>8</v>
      </c>
      <c r="K42" s="10" t="s">
        <v>903</v>
      </c>
      <c r="L42" s="25"/>
    </row>
    <row r="43" ht="14.25" spans="1:12">
      <c r="A43" s="11">
        <v>10</v>
      </c>
      <c r="B43" s="11">
        <v>600</v>
      </c>
      <c r="C43" s="11">
        <v>720</v>
      </c>
      <c r="D43" s="11" t="s">
        <v>934</v>
      </c>
      <c r="E43" s="10">
        <v>1</v>
      </c>
      <c r="F43" s="10" t="s">
        <v>935</v>
      </c>
      <c r="G43" s="10"/>
      <c r="H43" s="10"/>
      <c r="I43" s="10"/>
      <c r="J43" s="10">
        <f>+E43*1</f>
        <v>1</v>
      </c>
      <c r="K43" s="10" t="s">
        <v>903</v>
      </c>
      <c r="L43" s="10"/>
    </row>
    <row r="44" ht="14.25" spans="1:12">
      <c r="A44" s="14"/>
      <c r="B44" s="14"/>
      <c r="C44" s="14"/>
      <c r="D44" s="14"/>
      <c r="E44" s="10"/>
      <c r="F44" s="12" t="s">
        <v>881</v>
      </c>
      <c r="G44" s="13"/>
      <c r="H44" s="13"/>
      <c r="I44" s="23"/>
      <c r="J44" s="10">
        <f>+E43*3</f>
        <v>3</v>
      </c>
      <c r="K44" s="10" t="s">
        <v>486</v>
      </c>
      <c r="L44" s="10"/>
    </row>
    <row r="45" ht="14.25" spans="1:12">
      <c r="A45" s="14"/>
      <c r="B45" s="14"/>
      <c r="C45" s="14"/>
      <c r="D45" s="14"/>
      <c r="E45" s="10"/>
      <c r="F45" s="17" t="s">
        <v>885</v>
      </c>
      <c r="G45" s="17"/>
      <c r="H45" s="17"/>
      <c r="I45" s="17"/>
      <c r="J45" s="17">
        <f>+E43*0.3</f>
        <v>0.3</v>
      </c>
      <c r="K45" s="17" t="s">
        <v>485</v>
      </c>
      <c r="L45" s="17" t="s">
        <v>886</v>
      </c>
    </row>
    <row r="46" ht="14.25" spans="1:12">
      <c r="A46" s="15"/>
      <c r="B46" s="15"/>
      <c r="C46" s="15"/>
      <c r="D46" s="15"/>
      <c r="E46" s="10"/>
      <c r="F46" s="10" t="s">
        <v>933</v>
      </c>
      <c r="G46" s="10"/>
      <c r="H46" s="10"/>
      <c r="I46" s="10"/>
      <c r="J46" s="10">
        <f>+E43*8</f>
        <v>8</v>
      </c>
      <c r="K46" s="10" t="s">
        <v>903</v>
      </c>
      <c r="L46" s="10"/>
    </row>
    <row r="47" ht="14.25" spans="1:12">
      <c r="A47" s="11">
        <v>11</v>
      </c>
      <c r="B47" s="11">
        <v>900</v>
      </c>
      <c r="C47" s="11">
        <v>720</v>
      </c>
      <c r="D47" s="11" t="s">
        <v>934</v>
      </c>
      <c r="E47" s="10">
        <v>1</v>
      </c>
      <c r="F47" s="10" t="s">
        <v>936</v>
      </c>
      <c r="G47" s="10"/>
      <c r="H47" s="10"/>
      <c r="I47" s="10"/>
      <c r="J47" s="10">
        <f>+E47*1</f>
        <v>1</v>
      </c>
      <c r="K47" s="10" t="s">
        <v>903</v>
      </c>
      <c r="L47" s="10"/>
    </row>
    <row r="48" ht="14.25" spans="1:12">
      <c r="A48" s="14"/>
      <c r="B48" s="14"/>
      <c r="C48" s="14"/>
      <c r="D48" s="14"/>
      <c r="E48" s="10"/>
      <c r="F48" s="12" t="s">
        <v>881</v>
      </c>
      <c r="G48" s="13"/>
      <c r="H48" s="13"/>
      <c r="I48" s="23"/>
      <c r="J48" s="10">
        <f>+E47*3</f>
        <v>3</v>
      </c>
      <c r="K48" s="10" t="s">
        <v>486</v>
      </c>
      <c r="L48" s="10"/>
    </row>
    <row r="49" ht="14.25" spans="1:12">
      <c r="A49" s="14"/>
      <c r="B49" s="14"/>
      <c r="C49" s="14"/>
      <c r="D49" s="14"/>
      <c r="E49" s="10"/>
      <c r="F49" s="17" t="s">
        <v>885</v>
      </c>
      <c r="G49" s="17"/>
      <c r="H49" s="17"/>
      <c r="I49" s="17"/>
      <c r="J49" s="17">
        <f>+E47*0.5</f>
        <v>0.5</v>
      </c>
      <c r="K49" s="17" t="s">
        <v>485</v>
      </c>
      <c r="L49" s="17" t="s">
        <v>886</v>
      </c>
    </row>
    <row r="50" ht="14.25" spans="1:12">
      <c r="A50" s="15"/>
      <c r="B50" s="15"/>
      <c r="C50" s="15"/>
      <c r="D50" s="15"/>
      <c r="E50" s="10"/>
      <c r="F50" s="10" t="s">
        <v>933</v>
      </c>
      <c r="G50" s="10"/>
      <c r="H50" s="10"/>
      <c r="I50" s="10"/>
      <c r="J50" s="10">
        <f>+E47*8</f>
        <v>8</v>
      </c>
      <c r="K50" s="10" t="s">
        <v>903</v>
      </c>
      <c r="L50" s="10"/>
    </row>
    <row r="51" ht="14.25" spans="1:12">
      <c r="A51" s="16" t="s">
        <v>937</v>
      </c>
      <c r="B51" s="16"/>
      <c r="C51" s="16"/>
      <c r="D51" s="16"/>
      <c r="E51" s="16"/>
      <c r="F51" s="16"/>
      <c r="G51" s="16"/>
      <c r="H51" s="16"/>
      <c r="I51" s="16"/>
      <c r="J51" s="16"/>
      <c r="K51" s="16"/>
      <c r="L51" s="16"/>
    </row>
    <row r="52" ht="14.25" spans="1:12">
      <c r="A52" s="18">
        <v>1</v>
      </c>
      <c r="B52" s="19" t="s">
        <v>938</v>
      </c>
      <c r="C52" s="18">
        <v>715</v>
      </c>
      <c r="D52" s="18">
        <v>20</v>
      </c>
      <c r="E52" s="18">
        <v>4</v>
      </c>
      <c r="F52" s="10" t="s">
        <v>939</v>
      </c>
      <c r="G52" s="10"/>
      <c r="H52" s="10"/>
      <c r="I52" s="10"/>
      <c r="J52" s="10">
        <f>E52*0.25</f>
        <v>1</v>
      </c>
      <c r="K52" s="10" t="s">
        <v>903</v>
      </c>
      <c r="L52" s="11" t="s">
        <v>940</v>
      </c>
    </row>
    <row r="53" ht="14.25" spans="1:12">
      <c r="A53" s="18"/>
      <c r="B53" s="20"/>
      <c r="C53" s="18"/>
      <c r="D53" s="18"/>
      <c r="E53" s="18"/>
      <c r="F53" s="12" t="s">
        <v>881</v>
      </c>
      <c r="G53" s="13"/>
      <c r="H53" s="13"/>
      <c r="I53" s="23"/>
      <c r="J53" s="10">
        <f>+E52*1</f>
        <v>4</v>
      </c>
      <c r="K53" s="10" t="s">
        <v>486</v>
      </c>
      <c r="L53" s="14"/>
    </row>
    <row r="54" ht="14.25" spans="1:12">
      <c r="A54" s="18"/>
      <c r="B54" s="20"/>
      <c r="C54" s="18"/>
      <c r="D54" s="18"/>
      <c r="E54" s="18"/>
      <c r="F54" s="10" t="s">
        <v>901</v>
      </c>
      <c r="G54" s="10"/>
      <c r="H54" s="10"/>
      <c r="I54" s="10"/>
      <c r="J54" s="10">
        <f>+E52*0.125</f>
        <v>0.5</v>
      </c>
      <c r="K54" s="10" t="s">
        <v>485</v>
      </c>
      <c r="L54" s="14"/>
    </row>
    <row r="55" ht="14.25" spans="1:12">
      <c r="A55" s="18"/>
      <c r="B55" s="21"/>
      <c r="C55" s="18"/>
      <c r="D55" s="18"/>
      <c r="E55" s="18"/>
      <c r="F55" s="10" t="s">
        <v>920</v>
      </c>
      <c r="G55" s="10"/>
      <c r="H55" s="10"/>
      <c r="I55" s="10"/>
      <c r="J55" s="10">
        <f>+E52*2</f>
        <v>8</v>
      </c>
      <c r="K55" s="10" t="s">
        <v>903</v>
      </c>
      <c r="L55" s="15"/>
    </row>
    <row r="56" ht="14.25" spans="1:12">
      <c r="A56" s="18">
        <v>2</v>
      </c>
      <c r="B56" s="18">
        <v>597</v>
      </c>
      <c r="C56" s="18">
        <v>715</v>
      </c>
      <c r="D56" s="18">
        <v>20</v>
      </c>
      <c r="E56" s="18">
        <v>4</v>
      </c>
      <c r="F56" s="10" t="s">
        <v>941</v>
      </c>
      <c r="G56" s="10"/>
      <c r="H56" s="10"/>
      <c r="I56" s="10"/>
      <c r="J56" s="10">
        <f>E56*0.25</f>
        <v>1</v>
      </c>
      <c r="K56" s="10" t="s">
        <v>903</v>
      </c>
      <c r="L56" s="11" t="s">
        <v>940</v>
      </c>
    </row>
    <row r="57" ht="14.25" spans="1:12">
      <c r="A57" s="18"/>
      <c r="B57" s="18"/>
      <c r="C57" s="18"/>
      <c r="D57" s="18"/>
      <c r="E57" s="18"/>
      <c r="F57" s="12" t="s">
        <v>881</v>
      </c>
      <c r="G57" s="13"/>
      <c r="H57" s="13"/>
      <c r="I57" s="23"/>
      <c r="J57" s="10">
        <f>+E56*1</f>
        <v>4</v>
      </c>
      <c r="K57" s="10" t="s">
        <v>486</v>
      </c>
      <c r="L57" s="14"/>
    </row>
    <row r="58" ht="14.25" spans="1:12">
      <c r="A58" s="18"/>
      <c r="B58" s="18"/>
      <c r="C58" s="18"/>
      <c r="D58" s="18"/>
      <c r="E58" s="18"/>
      <c r="F58" s="10" t="s">
        <v>901</v>
      </c>
      <c r="G58" s="10"/>
      <c r="H58" s="10"/>
      <c r="I58" s="10"/>
      <c r="J58" s="10">
        <f>+E56*0.125</f>
        <v>0.5</v>
      </c>
      <c r="K58" s="10" t="s">
        <v>485</v>
      </c>
      <c r="L58" s="14"/>
    </row>
    <row r="59" ht="14.25" spans="1:12">
      <c r="A59" s="18"/>
      <c r="B59" s="18"/>
      <c r="C59" s="18"/>
      <c r="D59" s="18"/>
      <c r="E59" s="18"/>
      <c r="F59" s="10" t="s">
        <v>920</v>
      </c>
      <c r="G59" s="10"/>
      <c r="H59" s="10"/>
      <c r="I59" s="10"/>
      <c r="J59" s="10">
        <f>+E56*2</f>
        <v>8</v>
      </c>
      <c r="K59" s="10" t="s">
        <v>903</v>
      </c>
      <c r="L59" s="15"/>
    </row>
    <row r="60" ht="14.25" spans="1:12">
      <c r="A60" s="18">
        <v>3</v>
      </c>
      <c r="B60" s="18">
        <v>597</v>
      </c>
      <c r="C60" s="18">
        <v>356</v>
      </c>
      <c r="D60" s="18">
        <v>20</v>
      </c>
      <c r="E60" s="18">
        <v>4</v>
      </c>
      <c r="F60" s="10" t="s">
        <v>942</v>
      </c>
      <c r="G60" s="10"/>
      <c r="H60" s="10"/>
      <c r="I60" s="10"/>
      <c r="J60" s="10">
        <f>E60*0.25</f>
        <v>1</v>
      </c>
      <c r="K60" s="10" t="s">
        <v>903</v>
      </c>
      <c r="L60" s="11" t="s">
        <v>940</v>
      </c>
    </row>
    <row r="61" ht="14.25" spans="1:12">
      <c r="A61" s="18"/>
      <c r="B61" s="18"/>
      <c r="C61" s="18"/>
      <c r="D61" s="18"/>
      <c r="E61" s="18"/>
      <c r="F61" s="12" t="s">
        <v>881</v>
      </c>
      <c r="G61" s="13"/>
      <c r="H61" s="13"/>
      <c r="I61" s="23"/>
      <c r="J61" s="10">
        <f>+E60*1</f>
        <v>4</v>
      </c>
      <c r="K61" s="10" t="s">
        <v>486</v>
      </c>
      <c r="L61" s="14"/>
    </row>
    <row r="62" ht="14.25" spans="1:12">
      <c r="A62" s="18"/>
      <c r="B62" s="18"/>
      <c r="C62" s="18"/>
      <c r="D62" s="18"/>
      <c r="E62" s="18"/>
      <c r="F62" s="10" t="s">
        <v>901</v>
      </c>
      <c r="G62" s="10"/>
      <c r="H62" s="10"/>
      <c r="I62" s="10"/>
      <c r="J62" s="10">
        <f>+E60*0.125</f>
        <v>0.5</v>
      </c>
      <c r="K62" s="10" t="s">
        <v>485</v>
      </c>
      <c r="L62" s="14"/>
    </row>
    <row r="63" ht="14.25" spans="1:12">
      <c r="A63" s="18"/>
      <c r="B63" s="18"/>
      <c r="C63" s="18"/>
      <c r="D63" s="18"/>
      <c r="E63" s="18"/>
      <c r="F63" s="10" t="s">
        <v>920</v>
      </c>
      <c r="G63" s="10"/>
      <c r="H63" s="10"/>
      <c r="I63" s="10"/>
      <c r="J63" s="10">
        <f>+E60*2</f>
        <v>8</v>
      </c>
      <c r="K63" s="10" t="s">
        <v>903</v>
      </c>
      <c r="L63" s="15"/>
    </row>
    <row r="64" ht="14.25" spans="1:12">
      <c r="A64" s="18">
        <v>4</v>
      </c>
      <c r="B64" s="18">
        <v>897</v>
      </c>
      <c r="C64" s="18">
        <v>356</v>
      </c>
      <c r="D64" s="18">
        <v>20</v>
      </c>
      <c r="E64" s="18">
        <v>4</v>
      </c>
      <c r="F64" s="10" t="s">
        <v>943</v>
      </c>
      <c r="G64" s="10"/>
      <c r="H64" s="10"/>
      <c r="I64" s="10"/>
      <c r="J64" s="10">
        <f>E64*0.25</f>
        <v>1</v>
      </c>
      <c r="K64" s="10" t="s">
        <v>903</v>
      </c>
      <c r="L64" s="11" t="s">
        <v>940</v>
      </c>
    </row>
    <row r="65" ht="14.25" spans="1:12">
      <c r="A65" s="18"/>
      <c r="B65" s="18"/>
      <c r="C65" s="18"/>
      <c r="D65" s="18"/>
      <c r="E65" s="18"/>
      <c r="F65" s="12" t="s">
        <v>881</v>
      </c>
      <c r="G65" s="13"/>
      <c r="H65" s="13"/>
      <c r="I65" s="23"/>
      <c r="J65" s="10">
        <f>+E64*1</f>
        <v>4</v>
      </c>
      <c r="K65" s="10" t="s">
        <v>486</v>
      </c>
      <c r="L65" s="14"/>
    </row>
    <row r="66" ht="14.25" spans="1:12">
      <c r="A66" s="18"/>
      <c r="B66" s="18"/>
      <c r="C66" s="18"/>
      <c r="D66" s="18"/>
      <c r="E66" s="18"/>
      <c r="F66" s="10" t="s">
        <v>901</v>
      </c>
      <c r="G66" s="10"/>
      <c r="H66" s="10"/>
      <c r="I66" s="10"/>
      <c r="J66" s="10">
        <f>+E64*0.125</f>
        <v>0.5</v>
      </c>
      <c r="K66" s="10" t="s">
        <v>485</v>
      </c>
      <c r="L66" s="14"/>
    </row>
    <row r="67" ht="14.25" spans="1:12">
      <c r="A67" s="18"/>
      <c r="B67" s="18"/>
      <c r="C67" s="18"/>
      <c r="D67" s="18"/>
      <c r="E67" s="18"/>
      <c r="F67" s="10" t="s">
        <v>920</v>
      </c>
      <c r="G67" s="10"/>
      <c r="H67" s="10"/>
      <c r="I67" s="10"/>
      <c r="J67" s="10">
        <f>+E64*2</f>
        <v>8</v>
      </c>
      <c r="K67" s="10" t="s">
        <v>903</v>
      </c>
      <c r="L67" s="15"/>
    </row>
    <row r="68" ht="14.25" spans="1:13">
      <c r="A68" s="16" t="s">
        <v>897</v>
      </c>
      <c r="B68" s="16"/>
      <c r="C68" s="16"/>
      <c r="D68" s="16"/>
      <c r="E68" s="16"/>
      <c r="F68" s="16"/>
      <c r="G68" s="16"/>
      <c r="H68" s="16"/>
      <c r="I68" s="16"/>
      <c r="J68" s="16"/>
      <c r="K68" s="16"/>
      <c r="L68" s="16"/>
      <c r="M68" s="2" t="s">
        <v>898</v>
      </c>
    </row>
    <row r="69" ht="14.25" spans="1:13">
      <c r="A69" s="29">
        <v>1</v>
      </c>
      <c r="B69" s="30" t="s">
        <v>68</v>
      </c>
      <c r="C69" s="30"/>
      <c r="D69" s="31" t="s">
        <v>899</v>
      </c>
      <c r="E69" s="30"/>
      <c r="F69" s="10" t="s">
        <v>900</v>
      </c>
      <c r="G69" s="10"/>
      <c r="H69" s="10"/>
      <c r="I69" s="10"/>
      <c r="J69" s="10">
        <v>5</v>
      </c>
      <c r="K69" s="10" t="s">
        <v>485</v>
      </c>
      <c r="L69" s="10"/>
      <c r="M69" s="2">
        <f>J69*1.5</f>
        <v>7.5</v>
      </c>
    </row>
    <row r="70" ht="14.25" spans="1:13">
      <c r="A70" s="29"/>
      <c r="B70" s="30"/>
      <c r="C70" s="30"/>
      <c r="D70" s="30"/>
      <c r="E70" s="30"/>
      <c r="F70" s="12" t="s">
        <v>881</v>
      </c>
      <c r="G70" s="13"/>
      <c r="H70" s="13"/>
      <c r="I70" s="23"/>
      <c r="J70" s="10">
        <v>30</v>
      </c>
      <c r="K70" s="10" t="s">
        <v>486</v>
      </c>
      <c r="L70" s="10"/>
      <c r="M70" s="2">
        <f t="shared" ref="M70:M80" si="0">J70*1.5</f>
        <v>45</v>
      </c>
    </row>
    <row r="71" ht="14.25" spans="1:13">
      <c r="A71" s="29"/>
      <c r="B71" s="30"/>
      <c r="C71" s="30"/>
      <c r="D71" s="30"/>
      <c r="E71" s="30"/>
      <c r="F71" s="10" t="s">
        <v>901</v>
      </c>
      <c r="G71" s="10"/>
      <c r="H71" s="10"/>
      <c r="I71" s="10"/>
      <c r="J71" s="10">
        <v>3</v>
      </c>
      <c r="K71" s="10" t="s">
        <v>485</v>
      </c>
      <c r="L71" s="10"/>
      <c r="M71" s="2">
        <f t="shared" si="0"/>
        <v>4.5</v>
      </c>
    </row>
    <row r="72" ht="14.25" customHeight="1" spans="1:13">
      <c r="A72" s="29"/>
      <c r="B72" s="30"/>
      <c r="C72" s="30"/>
      <c r="D72" s="30"/>
      <c r="E72" s="30"/>
      <c r="F72" s="32" t="s">
        <v>902</v>
      </c>
      <c r="G72" s="33"/>
      <c r="H72" s="33"/>
      <c r="I72" s="36"/>
      <c r="J72" s="11">
        <v>32</v>
      </c>
      <c r="K72" s="11" t="s">
        <v>903</v>
      </c>
      <c r="L72" s="10"/>
      <c r="M72" s="2">
        <f t="shared" si="0"/>
        <v>48</v>
      </c>
    </row>
    <row r="73" ht="12" customHeight="1" spans="1:13">
      <c r="A73" s="29"/>
      <c r="B73" s="30"/>
      <c r="C73" s="30"/>
      <c r="D73" s="30"/>
      <c r="E73" s="30"/>
      <c r="F73" s="34"/>
      <c r="G73" s="35"/>
      <c r="H73" s="35"/>
      <c r="I73" s="41"/>
      <c r="J73" s="15"/>
      <c r="K73" s="15"/>
      <c r="L73" s="10"/>
      <c r="M73" s="2">
        <f t="shared" si="0"/>
        <v>0</v>
      </c>
    </row>
    <row r="74" ht="24" spans="1:13">
      <c r="A74" s="29"/>
      <c r="B74" s="30"/>
      <c r="C74" s="30"/>
      <c r="D74" s="30"/>
      <c r="E74" s="30"/>
      <c r="F74" s="17" t="s">
        <v>904</v>
      </c>
      <c r="G74" s="17"/>
      <c r="H74" s="17"/>
      <c r="I74" s="17"/>
      <c r="J74" s="17">
        <v>12</v>
      </c>
      <c r="K74" s="17" t="s">
        <v>905</v>
      </c>
      <c r="L74" s="17" t="s">
        <v>906</v>
      </c>
      <c r="M74" s="2">
        <f t="shared" si="0"/>
        <v>18</v>
      </c>
    </row>
    <row r="75" ht="14.25" spans="1:13">
      <c r="A75" s="29">
        <v>2</v>
      </c>
      <c r="B75" s="30" t="s">
        <v>68</v>
      </c>
      <c r="C75" s="30"/>
      <c r="D75" s="31" t="s">
        <v>907</v>
      </c>
      <c r="E75" s="30"/>
      <c r="F75" s="10" t="s">
        <v>900</v>
      </c>
      <c r="G75" s="10"/>
      <c r="H75" s="10"/>
      <c r="I75" s="10"/>
      <c r="J75" s="10">
        <v>8</v>
      </c>
      <c r="K75" s="10" t="s">
        <v>485</v>
      </c>
      <c r="L75" s="42"/>
      <c r="M75" s="2">
        <f t="shared" si="0"/>
        <v>12</v>
      </c>
    </row>
    <row r="76" ht="14.25" spans="1:13">
      <c r="A76" s="29"/>
      <c r="B76" s="30"/>
      <c r="C76" s="30"/>
      <c r="D76" s="30"/>
      <c r="E76" s="30"/>
      <c r="F76" s="12" t="s">
        <v>881</v>
      </c>
      <c r="G76" s="13"/>
      <c r="H76" s="13"/>
      <c r="I76" s="23"/>
      <c r="J76" s="10">
        <v>50</v>
      </c>
      <c r="K76" s="10" t="s">
        <v>486</v>
      </c>
      <c r="L76" s="42"/>
      <c r="M76" s="2">
        <f t="shared" si="0"/>
        <v>75</v>
      </c>
    </row>
    <row r="77" ht="14.25" spans="1:13">
      <c r="A77" s="29"/>
      <c r="B77" s="30"/>
      <c r="C77" s="30"/>
      <c r="D77" s="30"/>
      <c r="E77" s="30"/>
      <c r="F77" s="10" t="s">
        <v>901</v>
      </c>
      <c r="G77" s="10"/>
      <c r="H77" s="10"/>
      <c r="I77" s="10"/>
      <c r="J77" s="10">
        <v>5</v>
      </c>
      <c r="K77" s="10" t="s">
        <v>485</v>
      </c>
      <c r="L77" s="42"/>
      <c r="M77" s="2">
        <f t="shared" si="0"/>
        <v>7.5</v>
      </c>
    </row>
    <row r="78" ht="14.25" customHeight="1" spans="1:13">
      <c r="A78" s="29"/>
      <c r="B78" s="30"/>
      <c r="C78" s="30"/>
      <c r="D78" s="30"/>
      <c r="E78" s="30"/>
      <c r="F78" s="32" t="s">
        <v>902</v>
      </c>
      <c r="G78" s="33"/>
      <c r="H78" s="33"/>
      <c r="I78" s="36"/>
      <c r="J78" s="11">
        <v>60</v>
      </c>
      <c r="K78" s="11" t="s">
        <v>903</v>
      </c>
      <c r="L78" s="42"/>
      <c r="M78" s="2">
        <f t="shared" si="0"/>
        <v>90</v>
      </c>
    </row>
    <row r="79" ht="12" customHeight="1" spans="1:13">
      <c r="A79" s="29"/>
      <c r="B79" s="30"/>
      <c r="C79" s="30"/>
      <c r="D79" s="30"/>
      <c r="E79" s="30"/>
      <c r="F79" s="34"/>
      <c r="G79" s="35"/>
      <c r="H79" s="35"/>
      <c r="I79" s="41"/>
      <c r="J79" s="15"/>
      <c r="K79" s="15"/>
      <c r="L79" s="42"/>
      <c r="M79" s="2">
        <f t="shared" si="0"/>
        <v>0</v>
      </c>
    </row>
    <row r="80" ht="24" spans="1:13">
      <c r="A80" s="29"/>
      <c r="B80" s="30"/>
      <c r="C80" s="30"/>
      <c r="D80" s="30"/>
      <c r="E80" s="30"/>
      <c r="F80" s="17" t="s">
        <v>904</v>
      </c>
      <c r="G80" s="17"/>
      <c r="H80" s="17"/>
      <c r="I80" s="17"/>
      <c r="J80" s="17">
        <v>20</v>
      </c>
      <c r="K80" s="17" t="s">
        <v>905</v>
      </c>
      <c r="L80" s="17" t="s">
        <v>906</v>
      </c>
      <c r="M80" s="2">
        <f t="shared" si="0"/>
        <v>30</v>
      </c>
    </row>
    <row r="81" s="1" customFormat="1" ht="14.25" spans="1:20">
      <c r="A81" s="16" t="s">
        <v>944</v>
      </c>
      <c r="B81" s="16"/>
      <c r="C81" s="16"/>
      <c r="D81" s="16"/>
      <c r="E81" s="16"/>
      <c r="F81" s="16"/>
      <c r="G81" s="16"/>
      <c r="H81" s="16"/>
      <c r="I81" s="16"/>
      <c r="J81" s="16"/>
      <c r="K81" s="16"/>
      <c r="L81" s="43"/>
      <c r="T81" s="44"/>
    </row>
    <row r="82" ht="14.25" spans="1:12">
      <c r="A82" s="10">
        <v>1</v>
      </c>
      <c r="B82" s="32" t="s">
        <v>909</v>
      </c>
      <c r="C82" s="36"/>
      <c r="D82" s="10" t="s">
        <v>910</v>
      </c>
      <c r="E82" s="37">
        <v>1</v>
      </c>
      <c r="F82" s="10" t="s">
        <v>900</v>
      </c>
      <c r="G82" s="10"/>
      <c r="H82" s="10"/>
      <c r="I82" s="10"/>
      <c r="J82" s="10">
        <f>E82*2</f>
        <v>2</v>
      </c>
      <c r="K82" s="10" t="s">
        <v>485</v>
      </c>
      <c r="L82" s="10" t="s">
        <v>911</v>
      </c>
    </row>
    <row r="83" ht="14.25" spans="1:12">
      <c r="A83" s="10"/>
      <c r="B83" s="38"/>
      <c r="C83" s="39"/>
      <c r="D83" s="10"/>
      <c r="E83" s="40"/>
      <c r="F83" s="12" t="s">
        <v>881</v>
      </c>
      <c r="G83" s="13"/>
      <c r="H83" s="13"/>
      <c r="I83" s="23"/>
      <c r="J83" s="10">
        <f>+E82*5</f>
        <v>5</v>
      </c>
      <c r="K83" s="10" t="s">
        <v>486</v>
      </c>
      <c r="L83" s="10"/>
    </row>
    <row r="84" ht="14.25" spans="1:12">
      <c r="A84" s="10"/>
      <c r="B84" s="38"/>
      <c r="C84" s="39"/>
      <c r="D84" s="10"/>
      <c r="E84" s="40"/>
      <c r="F84" s="10" t="s">
        <v>901</v>
      </c>
      <c r="G84" s="10"/>
      <c r="H84" s="10"/>
      <c r="I84" s="10"/>
      <c r="J84" s="10">
        <f>+E82*1</f>
        <v>1</v>
      </c>
      <c r="K84" s="10" t="s">
        <v>485</v>
      </c>
      <c r="L84" s="10"/>
    </row>
    <row r="85" ht="14.25" spans="1:12">
      <c r="A85" s="10"/>
      <c r="B85" s="34"/>
      <c r="C85" s="41"/>
      <c r="D85" s="10"/>
      <c r="E85" s="40"/>
      <c r="F85" s="10" t="s">
        <v>912</v>
      </c>
      <c r="G85" s="10"/>
      <c r="H85" s="10"/>
      <c r="I85" s="10"/>
      <c r="J85" s="10">
        <f>+E82*8</f>
        <v>8</v>
      </c>
      <c r="K85" s="10" t="s">
        <v>903</v>
      </c>
      <c r="L85" s="10"/>
    </row>
    <row r="86" ht="14.25" spans="1:12">
      <c r="A86" s="10">
        <v>2</v>
      </c>
      <c r="B86" s="32" t="s">
        <v>913</v>
      </c>
      <c r="C86" s="36"/>
      <c r="D86" s="10" t="s">
        <v>914</v>
      </c>
      <c r="E86" s="37">
        <v>1</v>
      </c>
      <c r="F86" s="10" t="s">
        <v>900</v>
      </c>
      <c r="G86" s="10"/>
      <c r="H86" s="10"/>
      <c r="I86" s="10"/>
      <c r="J86" s="10">
        <f>E86*1</f>
        <v>1</v>
      </c>
      <c r="K86" s="10" t="s">
        <v>485</v>
      </c>
      <c r="L86" s="10"/>
    </row>
    <row r="87" ht="14.25" spans="1:12">
      <c r="A87" s="10"/>
      <c r="B87" s="38"/>
      <c r="C87" s="39"/>
      <c r="D87" s="10"/>
      <c r="E87" s="40"/>
      <c r="F87" s="12" t="s">
        <v>881</v>
      </c>
      <c r="G87" s="13"/>
      <c r="H87" s="13"/>
      <c r="I87" s="23"/>
      <c r="J87" s="10">
        <f>+E86*4</f>
        <v>4</v>
      </c>
      <c r="K87" s="10" t="s">
        <v>486</v>
      </c>
      <c r="L87" s="10"/>
    </row>
    <row r="88" ht="14.25" spans="1:12">
      <c r="A88" s="10"/>
      <c r="B88" s="38"/>
      <c r="C88" s="39"/>
      <c r="D88" s="10"/>
      <c r="E88" s="40"/>
      <c r="F88" s="10" t="s">
        <v>901</v>
      </c>
      <c r="G88" s="10"/>
      <c r="H88" s="10"/>
      <c r="I88" s="10"/>
      <c r="J88" s="10">
        <f>+E86*0.5</f>
        <v>0.5</v>
      </c>
      <c r="K88" s="10" t="s">
        <v>485</v>
      </c>
      <c r="L88" s="10"/>
    </row>
    <row r="89" ht="14.25" spans="1:12">
      <c r="A89" s="10"/>
      <c r="B89" s="34"/>
      <c r="C89" s="41"/>
      <c r="D89" s="10"/>
      <c r="E89" s="40"/>
      <c r="F89" s="10" t="s">
        <v>912</v>
      </c>
      <c r="G89" s="10"/>
      <c r="H89" s="10"/>
      <c r="I89" s="10"/>
      <c r="J89" s="10">
        <f>+E86*8</f>
        <v>8</v>
      </c>
      <c r="K89" s="10" t="s">
        <v>903</v>
      </c>
      <c r="L89" s="10"/>
    </row>
    <row r="90" ht="14.25" spans="1:12">
      <c r="A90" s="10">
        <v>3</v>
      </c>
      <c r="B90" s="32" t="s">
        <v>915</v>
      </c>
      <c r="C90" s="36"/>
      <c r="D90" s="10" t="s">
        <v>916</v>
      </c>
      <c r="E90" s="29">
        <v>1</v>
      </c>
      <c r="F90" s="10" t="s">
        <v>900</v>
      </c>
      <c r="G90" s="10"/>
      <c r="H90" s="10"/>
      <c r="I90" s="10"/>
      <c r="J90" s="10">
        <f>E90*2</f>
        <v>2</v>
      </c>
      <c r="K90" s="10" t="s">
        <v>485</v>
      </c>
      <c r="L90" s="10"/>
    </row>
    <row r="91" ht="14.25" spans="1:12">
      <c r="A91" s="10"/>
      <c r="B91" s="38"/>
      <c r="C91" s="39"/>
      <c r="D91" s="10"/>
      <c r="E91" s="29"/>
      <c r="F91" s="12" t="s">
        <v>881</v>
      </c>
      <c r="G91" s="13"/>
      <c r="H91" s="13"/>
      <c r="I91" s="23"/>
      <c r="J91" s="10">
        <f>+E90*7</f>
        <v>7</v>
      </c>
      <c r="K91" s="10" t="s">
        <v>486</v>
      </c>
      <c r="L91" s="10"/>
    </row>
    <row r="92" ht="14.25" spans="1:12">
      <c r="A92" s="10"/>
      <c r="B92" s="38"/>
      <c r="C92" s="39"/>
      <c r="D92" s="10"/>
      <c r="E92" s="29"/>
      <c r="F92" s="10" t="s">
        <v>901</v>
      </c>
      <c r="G92" s="10"/>
      <c r="H92" s="10"/>
      <c r="I92" s="10"/>
      <c r="J92" s="10">
        <f>+E90*1.5</f>
        <v>1.5</v>
      </c>
      <c r="K92" s="10" t="s">
        <v>485</v>
      </c>
      <c r="L92" s="10"/>
    </row>
    <row r="93" ht="14.25" spans="1:12">
      <c r="A93" s="10"/>
      <c r="B93" s="34"/>
      <c r="C93" s="41"/>
      <c r="D93" s="10"/>
      <c r="E93" s="29"/>
      <c r="F93" s="10" t="s">
        <v>912</v>
      </c>
      <c r="G93" s="10"/>
      <c r="H93" s="10"/>
      <c r="I93" s="10"/>
      <c r="J93" s="10">
        <f>+E90*8</f>
        <v>8</v>
      </c>
      <c r="K93" s="10" t="s">
        <v>903</v>
      </c>
      <c r="L93" s="1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B82:C85"/>
    <mergeCell ref="B86:C89"/>
    <mergeCell ref="B90:C93"/>
    <mergeCell ref="B75:C80"/>
    <mergeCell ref="D75:E80"/>
    <mergeCell ref="F78:I79"/>
    <mergeCell ref="B69:C74"/>
    <mergeCell ref="D69:E74"/>
    <mergeCell ref="F72:I73"/>
    <mergeCell ref="I4:J5"/>
    <mergeCell ref="K4:L5"/>
    <mergeCell ref="A1:L2"/>
  </mergeCells>
  <pageMargins left="0.699305555555556" right="0.699305555555556" top="0.75" bottom="0.75" header="0.3" footer="0.3"/>
  <pageSetup paperSize="9" scale="6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883" customWidth="1"/>
    <col min="2" max="2" width="13.25" style="883" customWidth="1"/>
    <col min="3" max="3" width="9.25" style="883" customWidth="1"/>
    <col min="4" max="4" width="12.375" style="883" customWidth="1"/>
    <col min="5" max="5" width="9.625" style="883" customWidth="1"/>
    <col min="6" max="6" width="9.25" style="883" customWidth="1"/>
    <col min="7" max="7" width="13.125" style="883" customWidth="1"/>
    <col min="8" max="8" width="10.25" style="883" customWidth="1"/>
    <col min="9" max="16384" width="9" style="884"/>
  </cols>
  <sheetData>
    <row r="1" ht="33" spans="1:8">
      <c r="A1" s="885" t="s">
        <v>0</v>
      </c>
      <c r="B1" s="885"/>
      <c r="C1" s="885"/>
      <c r="D1" s="885"/>
      <c r="E1" s="885"/>
      <c r="F1" s="885"/>
      <c r="G1" s="885"/>
      <c r="H1" s="885"/>
    </row>
    <row r="2" ht="21.95" customHeight="1" spans="2:8">
      <c r="B2" s="886" t="s">
        <v>1</v>
      </c>
      <c r="E2" s="887" t="s">
        <v>2</v>
      </c>
      <c r="F2" s="887"/>
      <c r="G2" s="888" t="e">
        <f>#REF!</f>
        <v>#REF!</v>
      </c>
      <c r="H2" s="888"/>
    </row>
    <row r="3" customHeight="1" spans="1:8">
      <c r="A3" s="889" t="s">
        <v>3</v>
      </c>
      <c r="B3" s="890" t="e">
        <f>#REF!</f>
        <v>#REF!</v>
      </c>
      <c r="C3" s="891"/>
      <c r="D3" s="889" t="s">
        <v>4</v>
      </c>
      <c r="E3" s="890"/>
      <c r="F3" s="891"/>
      <c r="G3" s="889" t="s">
        <v>5</v>
      </c>
      <c r="H3" s="892" t="e">
        <f>#REF!</f>
        <v>#REF!</v>
      </c>
    </row>
    <row r="4" customHeight="1" spans="1:8">
      <c r="A4" s="889" t="s">
        <v>6</v>
      </c>
      <c r="B4" s="893" t="e">
        <f>#REF!</f>
        <v>#REF!</v>
      </c>
      <c r="C4" s="891"/>
      <c r="D4" s="889" t="s">
        <v>7</v>
      </c>
      <c r="E4" s="893"/>
      <c r="F4" s="891"/>
      <c r="G4" s="889" t="s">
        <v>8</v>
      </c>
      <c r="H4" s="892"/>
    </row>
    <row r="5" customHeight="1" spans="1:8">
      <c r="A5" s="889" t="s">
        <v>9</v>
      </c>
      <c r="B5" s="889" t="s">
        <v>10</v>
      </c>
      <c r="C5" s="889" t="s">
        <v>11</v>
      </c>
      <c r="D5" s="889" t="s">
        <v>12</v>
      </c>
      <c r="E5" s="889" t="s">
        <v>13</v>
      </c>
      <c r="F5" s="889" t="s">
        <v>14</v>
      </c>
      <c r="G5" s="889" t="s">
        <v>15</v>
      </c>
      <c r="H5" s="889" t="s">
        <v>16</v>
      </c>
    </row>
    <row r="6" customHeight="1" spans="1:8">
      <c r="A6" s="889" t="s">
        <v>17</v>
      </c>
      <c r="B6" s="894" t="e">
        <f>#REF!</f>
        <v>#REF!</v>
      </c>
      <c r="C6" s="895"/>
      <c r="D6" s="889" t="s">
        <v>18</v>
      </c>
      <c r="E6" s="894" t="e">
        <f>#REF!</f>
        <v>#REF!</v>
      </c>
      <c r="F6" s="895"/>
      <c r="G6" s="889" t="s">
        <v>19</v>
      </c>
      <c r="H6" s="889"/>
    </row>
    <row r="7" customHeight="1" spans="1:8">
      <c r="A7" s="889" t="s">
        <v>20</v>
      </c>
      <c r="B7" s="894" t="e">
        <f>#REF!</f>
        <v>#REF!</v>
      </c>
      <c r="C7" s="895"/>
      <c r="D7" s="889" t="s">
        <v>21</v>
      </c>
      <c r="E7" s="894"/>
      <c r="F7" s="895"/>
      <c r="G7" s="889" t="s">
        <v>22</v>
      </c>
      <c r="H7" s="889"/>
    </row>
    <row r="8" s="883" customFormat="1" customHeight="1" spans="1:8">
      <c r="A8" s="889" t="s">
        <v>23</v>
      </c>
      <c r="B8" s="889" t="s">
        <v>24</v>
      </c>
      <c r="C8" s="889" t="s">
        <v>25</v>
      </c>
      <c r="D8" s="889" t="s">
        <v>26</v>
      </c>
      <c r="E8" s="889" t="s">
        <v>27</v>
      </c>
      <c r="F8" s="889" t="s">
        <v>28</v>
      </c>
      <c r="G8" s="889" t="s">
        <v>29</v>
      </c>
      <c r="H8" s="889" t="s">
        <v>30</v>
      </c>
    </row>
    <row r="9" customHeight="1" spans="1:8">
      <c r="A9" s="896">
        <v>1</v>
      </c>
      <c r="B9" s="889" t="s">
        <v>31</v>
      </c>
      <c r="C9" s="897" t="e">
        <f>#REF!</f>
        <v>#REF!</v>
      </c>
      <c r="D9" s="898"/>
      <c r="E9" s="898"/>
      <c r="F9" s="898"/>
      <c r="G9" s="898"/>
      <c r="H9" s="898"/>
    </row>
    <row r="10" customHeight="1" spans="1:8">
      <c r="A10" s="896">
        <v>2</v>
      </c>
      <c r="B10" s="889" t="s">
        <v>32</v>
      </c>
      <c r="C10" s="897" t="e">
        <f>#REF!</f>
        <v>#REF!</v>
      </c>
      <c r="D10" s="898"/>
      <c r="E10" s="898"/>
      <c r="F10" s="898"/>
      <c r="G10" s="898"/>
      <c r="H10" s="898"/>
    </row>
    <row r="11" customHeight="1" spans="1:8">
      <c r="A11" s="896">
        <v>3</v>
      </c>
      <c r="B11" s="889" t="s">
        <v>33</v>
      </c>
      <c r="C11" s="897" t="e">
        <f>#REF!</f>
        <v>#REF!</v>
      </c>
      <c r="D11" s="898"/>
      <c r="E11" s="898"/>
      <c r="F11" s="898"/>
      <c r="G11" s="898"/>
      <c r="H11" s="898"/>
    </row>
    <row r="12" customHeight="1" spans="1:8">
      <c r="A12" s="896">
        <v>4</v>
      </c>
      <c r="B12" s="889" t="s">
        <v>34</v>
      </c>
      <c r="C12" s="897" t="s">
        <v>35</v>
      </c>
      <c r="D12" s="898"/>
      <c r="E12" s="898"/>
      <c r="F12" s="898"/>
      <c r="G12" s="898"/>
      <c r="H12" s="898"/>
    </row>
    <row r="13" customHeight="1" spans="1:8">
      <c r="A13" s="896">
        <v>5</v>
      </c>
      <c r="B13" s="889" t="s">
        <v>36</v>
      </c>
      <c r="C13" s="897"/>
      <c r="D13" s="898"/>
      <c r="E13" s="898"/>
      <c r="F13" s="898"/>
      <c r="G13" s="898"/>
      <c r="H13" s="898"/>
    </row>
    <row r="14" customHeight="1" spans="1:8">
      <c r="A14" s="896">
        <v>6</v>
      </c>
      <c r="B14" s="889" t="s">
        <v>37</v>
      </c>
      <c r="C14" s="897"/>
      <c r="D14" s="898"/>
      <c r="E14" s="898"/>
      <c r="F14" s="898"/>
      <c r="G14" s="898"/>
      <c r="H14" s="898"/>
    </row>
    <row r="15" customHeight="1" spans="1:8">
      <c r="A15" s="896">
        <v>7</v>
      </c>
      <c r="B15" s="889" t="s">
        <v>38</v>
      </c>
      <c r="C15" s="897"/>
      <c r="D15" s="898"/>
      <c r="E15" s="898"/>
      <c r="F15" s="898"/>
      <c r="G15" s="898"/>
      <c r="H15" s="898"/>
    </row>
    <row r="16" customHeight="1" spans="1:8">
      <c r="A16" s="896">
        <v>8</v>
      </c>
      <c r="B16" s="889" t="s">
        <v>39</v>
      </c>
      <c r="C16" s="897"/>
      <c r="D16" s="898"/>
      <c r="E16" s="898"/>
      <c r="F16" s="898"/>
      <c r="G16" s="898"/>
      <c r="H16" s="898"/>
    </row>
    <row r="17" customHeight="1" spans="1:8">
      <c r="A17" s="896">
        <v>9</v>
      </c>
      <c r="B17" s="889" t="s">
        <v>40</v>
      </c>
      <c r="C17" s="897"/>
      <c r="D17" s="898"/>
      <c r="E17" s="898"/>
      <c r="F17" s="898"/>
      <c r="G17" s="898"/>
      <c r="H17" s="898"/>
    </row>
    <row r="18" customHeight="1" spans="1:8">
      <c r="A18" s="896">
        <v>10</v>
      </c>
      <c r="B18" s="889" t="s">
        <v>41</v>
      </c>
      <c r="C18" s="897" t="e">
        <f>B6+E6</f>
        <v>#REF!</v>
      </c>
      <c r="D18" s="898"/>
      <c r="E18" s="898"/>
      <c r="F18" s="898"/>
      <c r="G18" s="898"/>
      <c r="H18" s="898"/>
    </row>
    <row r="19" customHeight="1" spans="1:8">
      <c r="A19" s="896">
        <v>11</v>
      </c>
      <c r="B19" s="889" t="s">
        <v>42</v>
      </c>
      <c r="C19" s="897" t="e">
        <f>#REF!+#REF!+#REF!+#REF!+#REF!+#REF!</f>
        <v>#REF!</v>
      </c>
      <c r="D19" s="898"/>
      <c r="E19" s="898"/>
      <c r="F19" s="898"/>
      <c r="G19" s="898"/>
      <c r="H19" s="898"/>
    </row>
    <row r="20" customHeight="1" spans="1:8">
      <c r="A20" s="896">
        <v>12</v>
      </c>
      <c r="B20" s="889" t="s">
        <v>43</v>
      </c>
      <c r="C20" s="897"/>
      <c r="D20" s="898"/>
      <c r="E20" s="898"/>
      <c r="F20" s="898"/>
      <c r="G20" s="898"/>
      <c r="H20" s="898"/>
    </row>
    <row r="21" customHeight="1" spans="1:8">
      <c r="A21" s="896">
        <v>13</v>
      </c>
      <c r="B21" s="889" t="s">
        <v>44</v>
      </c>
      <c r="C21" s="897"/>
      <c r="D21" s="898"/>
      <c r="E21" s="898"/>
      <c r="F21" s="898"/>
      <c r="G21" s="898"/>
      <c r="H21" s="898"/>
    </row>
    <row r="22" customHeight="1" spans="1:8">
      <c r="A22" s="896">
        <v>14</v>
      </c>
      <c r="B22" s="889" t="s">
        <v>45</v>
      </c>
      <c r="C22" s="897"/>
      <c r="D22" s="898"/>
      <c r="E22" s="898"/>
      <c r="F22" s="898"/>
      <c r="G22" s="898"/>
      <c r="H22" s="898"/>
    </row>
    <row r="23" customHeight="1" spans="1:8">
      <c r="A23" s="896">
        <v>15</v>
      </c>
      <c r="B23" s="889" t="s">
        <v>46</v>
      </c>
      <c r="C23" s="897" t="e">
        <f>(#REF!+#REF!+#REF!)/2</f>
        <v>#REF!</v>
      </c>
      <c r="D23" s="898"/>
      <c r="E23" s="898"/>
      <c r="F23" s="898"/>
      <c r="G23" s="898"/>
      <c r="H23" s="898"/>
    </row>
    <row r="24" customHeight="1" spans="1:8">
      <c r="A24" s="896">
        <v>16</v>
      </c>
      <c r="B24" s="889" t="s">
        <v>47</v>
      </c>
      <c r="C24" s="897"/>
      <c r="D24" s="898"/>
      <c r="E24" s="898"/>
      <c r="F24" s="898"/>
      <c r="G24" s="898"/>
      <c r="H24" s="898"/>
    </row>
    <row r="25" customHeight="1" spans="1:8">
      <c r="A25" s="896">
        <v>17</v>
      </c>
      <c r="B25" s="889" t="s">
        <v>48</v>
      </c>
      <c r="C25" s="897"/>
      <c r="D25" s="898"/>
      <c r="E25" s="898"/>
      <c r="F25" s="898"/>
      <c r="G25" s="898"/>
      <c r="H25" s="898"/>
    </row>
    <row r="26" customHeight="1" spans="1:8">
      <c r="A26" s="896">
        <v>18</v>
      </c>
      <c r="B26" s="889" t="s">
        <v>49</v>
      </c>
      <c r="C26" s="897" t="e">
        <f>#REF!/2</f>
        <v>#REF!</v>
      </c>
      <c r="D26" s="898"/>
      <c r="E26" s="898"/>
      <c r="F26" s="898"/>
      <c r="G26" s="898"/>
      <c r="H26" s="898"/>
    </row>
    <row r="27" customHeight="1" spans="1:8">
      <c r="A27" s="896">
        <v>19</v>
      </c>
      <c r="B27" s="889" t="s">
        <v>50</v>
      </c>
      <c r="C27" s="897"/>
      <c r="D27" s="898"/>
      <c r="E27" s="898"/>
      <c r="F27" s="898"/>
      <c r="G27" s="898"/>
      <c r="H27" s="898"/>
    </row>
    <row r="28" customHeight="1" spans="1:8">
      <c r="A28" s="896">
        <v>20</v>
      </c>
      <c r="B28" s="889" t="s">
        <v>51</v>
      </c>
      <c r="C28" s="897"/>
      <c r="D28" s="898"/>
      <c r="E28" s="898"/>
      <c r="F28" s="898"/>
      <c r="G28" s="898"/>
      <c r="H28" s="898"/>
    </row>
    <row r="29" customHeight="1" spans="1:8">
      <c r="A29" s="896">
        <v>21</v>
      </c>
      <c r="B29" s="889" t="s">
        <v>52</v>
      </c>
      <c r="C29" s="897"/>
      <c r="D29" s="898"/>
      <c r="E29" s="898"/>
      <c r="F29" s="898"/>
      <c r="G29" s="898"/>
      <c r="H29" s="898"/>
    </row>
    <row r="30" customHeight="1" spans="1:8">
      <c r="A30" s="896">
        <v>22</v>
      </c>
      <c r="B30" s="889" t="s">
        <v>53</v>
      </c>
      <c r="C30" s="899" t="e">
        <f>#REF!*1.2</f>
        <v>#REF!</v>
      </c>
      <c r="D30" s="898"/>
      <c r="E30" s="898"/>
      <c r="F30" s="898"/>
      <c r="G30" s="898"/>
      <c r="H30" s="898"/>
    </row>
    <row r="31" customHeight="1" spans="1:8">
      <c r="A31" s="900"/>
      <c r="B31" s="900"/>
      <c r="C31" s="901"/>
      <c r="D31" s="901"/>
      <c r="E31" s="901"/>
      <c r="F31" s="901"/>
      <c r="G31" s="901"/>
      <c r="H31" s="900"/>
    </row>
    <row r="32" customHeight="1" spans="1:7">
      <c r="A32" s="902" t="s">
        <v>54</v>
      </c>
      <c r="B32" s="902"/>
      <c r="C32" s="888"/>
      <c r="F32" s="883" t="s">
        <v>55</v>
      </c>
      <c r="G32" s="888" t="s">
        <v>56</v>
      </c>
    </row>
    <row r="33" customHeight="1" spans="1:7">
      <c r="A33" s="902"/>
      <c r="B33" s="902"/>
      <c r="C33" s="900"/>
      <c r="G33" s="900"/>
    </row>
    <row r="34" customHeight="1" spans="6:8">
      <c r="F34" s="883" t="s">
        <v>57</v>
      </c>
      <c r="G34" s="903" t="e">
        <f>B4</f>
        <v>#REF!</v>
      </c>
      <c r="H34" s="903"/>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755" customWidth="1"/>
    <col min="2" max="2" width="15.625" style="755" customWidth="1"/>
    <col min="3" max="4" width="6" style="755" customWidth="1"/>
    <col min="5" max="6" width="8.125" style="755" customWidth="1"/>
    <col min="7" max="7" width="15.875" style="755" customWidth="1"/>
    <col min="8" max="8" width="31" style="755" customWidth="1"/>
    <col min="9" max="9" width="5" style="756" customWidth="1"/>
    <col min="10" max="11" width="5" style="757" hidden="1" customWidth="1"/>
    <col min="12" max="12" width="16.125" style="755" hidden="1" customWidth="1"/>
    <col min="13" max="13" width="19.875" style="755" hidden="1" customWidth="1"/>
    <col min="14" max="14" width="4.875" style="755" hidden="1" customWidth="1"/>
    <col min="15" max="15" width="26.375" style="755" hidden="1" customWidth="1"/>
    <col min="16" max="17" width="14.5" style="755" hidden="1" customWidth="1"/>
    <col min="18" max="21" width="10" style="758" hidden="1" customWidth="1"/>
    <col min="22" max="22" width="11.125" style="758" hidden="1" customWidth="1"/>
    <col min="23" max="23" width="10" style="758" hidden="1" customWidth="1"/>
    <col min="24" max="24" width="7.375" style="756" hidden="1" customWidth="1"/>
    <col min="25" max="27" width="9" style="755" hidden="1" customWidth="1"/>
    <col min="28" max="28" width="34.125" style="755" hidden="1" customWidth="1"/>
    <col min="29" max="44" width="9" style="755" hidden="1" customWidth="1"/>
    <col min="45" max="16384" width="9" style="755"/>
  </cols>
  <sheetData>
    <row r="1" s="751" customFormat="1" customHeight="1" spans="1:24">
      <c r="A1" s="759" t="s">
        <v>58</v>
      </c>
      <c r="B1" s="759"/>
      <c r="C1" s="759"/>
      <c r="D1" s="759"/>
      <c r="E1" s="759"/>
      <c r="F1" s="759"/>
      <c r="G1" s="759"/>
      <c r="H1" s="759"/>
      <c r="I1" s="759"/>
      <c r="J1" s="822"/>
      <c r="K1" s="822"/>
      <c r="L1" s="822"/>
      <c r="M1" s="822"/>
      <c r="N1" s="822"/>
      <c r="O1" s="822"/>
      <c r="P1" s="822"/>
      <c r="Q1" s="822"/>
      <c r="R1" s="822"/>
      <c r="S1" s="822"/>
      <c r="T1" s="822"/>
      <c r="U1" s="822"/>
      <c r="V1" s="822"/>
      <c r="W1" s="822"/>
      <c r="X1" s="855"/>
    </row>
    <row r="2" s="751" customFormat="1" customHeight="1" spans="1:24">
      <c r="A2" s="759" t="s">
        <v>59</v>
      </c>
      <c r="B2" s="759" t="e">
        <f>#REF!</f>
        <v>#REF!</v>
      </c>
      <c r="C2" s="759" t="s">
        <v>60</v>
      </c>
      <c r="D2" s="759"/>
      <c r="E2" s="759" t="e">
        <f>#REF!</f>
        <v>#REF!</v>
      </c>
      <c r="F2" s="759"/>
      <c r="G2" s="759" t="s">
        <v>61</v>
      </c>
      <c r="H2" s="760" t="e">
        <f>#REF!</f>
        <v>#REF!</v>
      </c>
      <c r="I2" s="759"/>
      <c r="J2" s="822"/>
      <c r="K2" s="822"/>
      <c r="L2" s="822"/>
      <c r="M2" s="822"/>
      <c r="N2" s="822"/>
      <c r="O2" s="822"/>
      <c r="P2" s="822"/>
      <c r="Q2" s="822"/>
      <c r="R2" s="822"/>
      <c r="S2" s="822"/>
      <c r="T2" s="822"/>
      <c r="U2" s="822"/>
      <c r="V2" s="822"/>
      <c r="W2" s="822"/>
      <c r="X2" s="855"/>
    </row>
    <row r="3" s="751" customFormat="1" customHeight="1" spans="1:24">
      <c r="A3" s="759" t="s">
        <v>62</v>
      </c>
      <c r="B3" s="759" t="e">
        <f>#REF!</f>
        <v>#REF!</v>
      </c>
      <c r="C3" s="761" t="s">
        <v>63</v>
      </c>
      <c r="D3" s="761"/>
      <c r="E3" s="761" t="e">
        <f>#REF!</f>
        <v>#REF!</v>
      </c>
      <c r="F3" s="761"/>
      <c r="G3" s="759" t="s">
        <v>64</v>
      </c>
      <c r="H3" s="760" t="e">
        <f>#REF!</f>
        <v>#REF!</v>
      </c>
      <c r="I3" s="759"/>
      <c r="J3" s="822"/>
      <c r="K3" s="822"/>
      <c r="L3" s="822"/>
      <c r="M3" s="822"/>
      <c r="N3" s="822"/>
      <c r="O3" s="822"/>
      <c r="P3" s="822"/>
      <c r="Q3" s="822"/>
      <c r="R3" s="822"/>
      <c r="S3" s="822"/>
      <c r="T3" s="822"/>
      <c r="U3" s="822"/>
      <c r="V3" s="822"/>
      <c r="W3" s="822"/>
      <c r="X3" s="855"/>
    </row>
    <row r="4" s="751" customFormat="1" customHeight="1" spans="1:24">
      <c r="A4" s="762" t="s">
        <v>65</v>
      </c>
      <c r="B4" s="763" t="s">
        <v>66</v>
      </c>
      <c r="C4" s="764" t="s">
        <v>67</v>
      </c>
      <c r="D4" s="764"/>
      <c r="E4" s="764"/>
      <c r="F4" s="765" t="s">
        <v>68</v>
      </c>
      <c r="G4" s="764" t="s">
        <v>69</v>
      </c>
      <c r="H4" s="764"/>
      <c r="I4" s="823"/>
      <c r="J4" s="824" t="s">
        <v>70</v>
      </c>
      <c r="K4" s="825"/>
      <c r="L4" s="826" t="s">
        <v>71</v>
      </c>
      <c r="M4" s="827"/>
      <c r="N4" s="827"/>
      <c r="R4" s="856" t="s">
        <v>72</v>
      </c>
      <c r="S4" s="857" t="s">
        <v>73</v>
      </c>
      <c r="T4" s="857" t="s">
        <v>74</v>
      </c>
      <c r="U4" s="857" t="s">
        <v>75</v>
      </c>
      <c r="V4" s="857" t="s">
        <v>76</v>
      </c>
      <c r="W4" s="858" t="s">
        <v>77</v>
      </c>
      <c r="X4" s="859" t="s">
        <v>78</v>
      </c>
    </row>
    <row r="5" s="752" customFormat="1" customHeight="1" spans="1:24">
      <c r="A5" s="766"/>
      <c r="B5" s="767"/>
      <c r="C5" s="768" t="s">
        <v>79</v>
      </c>
      <c r="D5" s="768" t="s">
        <v>80</v>
      </c>
      <c r="E5" s="768" t="s">
        <v>81</v>
      </c>
      <c r="F5" s="769"/>
      <c r="G5" s="768" t="s">
        <v>82</v>
      </c>
      <c r="H5" s="768" t="s">
        <v>66</v>
      </c>
      <c r="I5" s="828" t="s">
        <v>83</v>
      </c>
      <c r="J5" s="829" t="s">
        <v>1</v>
      </c>
      <c r="K5" s="830" t="s">
        <v>84</v>
      </c>
      <c r="L5" s="826" t="s">
        <v>82</v>
      </c>
      <c r="M5" s="827" t="s">
        <v>66</v>
      </c>
      <c r="N5" s="827" t="s">
        <v>83</v>
      </c>
      <c r="R5" s="860"/>
      <c r="S5" s="861"/>
      <c r="T5" s="861"/>
      <c r="U5" s="861"/>
      <c r="V5" s="861"/>
      <c r="W5" s="862"/>
      <c r="X5" s="859"/>
    </row>
    <row r="6" s="753" customFormat="1" customHeight="1" spans="1:19">
      <c r="A6" s="770"/>
      <c r="B6" s="771" t="s">
        <v>85</v>
      </c>
      <c r="C6" s="772">
        <v>300</v>
      </c>
      <c r="D6" s="772">
        <v>560</v>
      </c>
      <c r="E6" s="772">
        <v>720</v>
      </c>
      <c r="F6" s="773">
        <v>1</v>
      </c>
      <c r="G6" s="774" t="s">
        <v>86</v>
      </c>
      <c r="H6" s="774" t="s">
        <v>87</v>
      </c>
      <c r="I6" s="831">
        <f>F6</f>
        <v>1</v>
      </c>
      <c r="J6" s="832" t="e">
        <f>I6*#REF!</f>
        <v>#REF!</v>
      </c>
      <c r="K6" s="833"/>
      <c r="L6" s="749"/>
      <c r="M6" s="749"/>
      <c r="N6" s="749"/>
      <c r="O6" s="749"/>
      <c r="P6" s="749"/>
      <c r="Q6" s="863" t="e">
        <f t="shared" ref="Q6:Q11" si="0">J6*560*720/1000000/0.9</f>
        <v>#REF!</v>
      </c>
      <c r="R6" s="863"/>
      <c r="S6" s="863"/>
    </row>
    <row r="7" s="753" customFormat="1" customHeight="1" spans="1:19">
      <c r="A7" s="775"/>
      <c r="B7" s="776"/>
      <c r="C7" s="777"/>
      <c r="D7" s="777"/>
      <c r="E7" s="777"/>
      <c r="F7" s="778"/>
      <c r="G7" s="779" t="s">
        <v>88</v>
      </c>
      <c r="H7" s="779" t="s">
        <v>89</v>
      </c>
      <c r="I7" s="834">
        <f>F6</f>
        <v>1</v>
      </c>
      <c r="J7" s="832" t="e">
        <f>I7*#REF!</f>
        <v>#REF!</v>
      </c>
      <c r="K7" s="833"/>
      <c r="L7" s="749"/>
      <c r="M7" s="749"/>
      <c r="N7" s="749"/>
      <c r="O7" s="749"/>
      <c r="P7" s="749"/>
      <c r="Q7" s="863" t="e">
        <f t="shared" si="0"/>
        <v>#REF!</v>
      </c>
      <c r="R7" s="863"/>
      <c r="S7" s="863"/>
    </row>
    <row r="8" s="753" customFormat="1" customHeight="1" spans="1:19">
      <c r="A8" s="775"/>
      <c r="B8" s="776"/>
      <c r="C8" s="777"/>
      <c r="D8" s="777"/>
      <c r="E8" s="777"/>
      <c r="F8" s="778"/>
      <c r="G8" s="779" t="s">
        <v>90</v>
      </c>
      <c r="H8" s="779" t="s">
        <v>91</v>
      </c>
      <c r="I8" s="834">
        <f>F6</f>
        <v>1</v>
      </c>
      <c r="J8" s="832" t="e">
        <f>I8*#REF!</f>
        <v>#REF!</v>
      </c>
      <c r="K8" s="833"/>
      <c r="L8" s="749"/>
      <c r="M8" s="749"/>
      <c r="N8" s="749"/>
      <c r="O8" s="749"/>
      <c r="P8" s="749"/>
      <c r="Q8" s="863" t="e">
        <f t="shared" si="0"/>
        <v>#REF!</v>
      </c>
      <c r="R8" s="863"/>
      <c r="S8" s="863"/>
    </row>
    <row r="9" s="753" customFormat="1" customHeight="1" spans="1:19">
      <c r="A9" s="775"/>
      <c r="B9" s="776"/>
      <c r="C9" s="777"/>
      <c r="D9" s="777"/>
      <c r="E9" s="777"/>
      <c r="F9" s="778"/>
      <c r="G9" s="779" t="s">
        <v>92</v>
      </c>
      <c r="H9" s="779" t="s">
        <v>93</v>
      </c>
      <c r="I9" s="834">
        <f>F6</f>
        <v>1</v>
      </c>
      <c r="J9" s="832" t="e">
        <f>I9*#REF!</f>
        <v>#REF!</v>
      </c>
      <c r="K9" s="833"/>
      <c r="L9" s="749"/>
      <c r="M9" s="749"/>
      <c r="N9" s="749"/>
      <c r="O9" s="749"/>
      <c r="P9" s="749"/>
      <c r="Q9" s="863" t="e">
        <f t="shared" si="0"/>
        <v>#REF!</v>
      </c>
      <c r="R9" s="863"/>
      <c r="S9" s="863"/>
    </row>
    <row r="10" s="753" customFormat="1" customHeight="1" spans="1:19">
      <c r="A10" s="775"/>
      <c r="B10" s="776"/>
      <c r="C10" s="777"/>
      <c r="D10" s="777"/>
      <c r="E10" s="777"/>
      <c r="F10" s="778"/>
      <c r="G10" s="779" t="s">
        <v>94</v>
      </c>
      <c r="H10" s="779" t="s">
        <v>95</v>
      </c>
      <c r="I10" s="834">
        <f>F6</f>
        <v>1</v>
      </c>
      <c r="J10" s="832" t="e">
        <f>I10*#REF!</f>
        <v>#REF!</v>
      </c>
      <c r="K10" s="833"/>
      <c r="L10" s="749"/>
      <c r="M10" s="749"/>
      <c r="N10" s="749"/>
      <c r="O10" s="749"/>
      <c r="P10" s="749"/>
      <c r="Q10" s="863" t="e">
        <f t="shared" si="0"/>
        <v>#REF!</v>
      </c>
      <c r="R10" s="863"/>
      <c r="S10" s="863"/>
    </row>
    <row r="11" s="753" customFormat="1" customHeight="1" spans="1:19">
      <c r="A11" s="775"/>
      <c r="B11" s="776"/>
      <c r="C11" s="780"/>
      <c r="D11" s="780"/>
      <c r="E11" s="780"/>
      <c r="F11" s="778"/>
      <c r="G11" s="779" t="s">
        <v>96</v>
      </c>
      <c r="H11" s="779" t="s">
        <v>97</v>
      </c>
      <c r="I11" s="834">
        <f>F6*2</f>
        <v>2</v>
      </c>
      <c r="J11" s="832" t="e">
        <f>I11*#REF!</f>
        <v>#REF!</v>
      </c>
      <c r="K11" s="833"/>
      <c r="L11" s="749"/>
      <c r="M11" s="749"/>
      <c r="N11" s="749"/>
      <c r="O11" s="749"/>
      <c r="P11" s="749"/>
      <c r="Q11" s="863" t="e">
        <f t="shared" si="0"/>
        <v>#REF!</v>
      </c>
      <c r="R11" s="863"/>
      <c r="S11" s="863"/>
    </row>
    <row r="12" s="751" customFormat="1" customHeight="1" spans="1:24">
      <c r="A12" s="775"/>
      <c r="B12" s="776"/>
      <c r="C12" s="772">
        <v>450</v>
      </c>
      <c r="D12" s="772">
        <v>560</v>
      </c>
      <c r="E12" s="772">
        <v>720</v>
      </c>
      <c r="F12" s="772">
        <v>1</v>
      </c>
      <c r="G12" s="781" t="s">
        <v>86</v>
      </c>
      <c r="H12" s="781" t="s">
        <v>87</v>
      </c>
      <c r="I12" s="835">
        <f>F12</f>
        <v>1</v>
      </c>
      <c r="J12" s="836">
        <v>35</v>
      </c>
      <c r="K12" s="837">
        <f>I12*J12</f>
        <v>35</v>
      </c>
      <c r="L12" s="838" t="s">
        <v>98</v>
      </c>
      <c r="M12" s="782" t="s">
        <v>99</v>
      </c>
      <c r="N12" s="782">
        <v>1</v>
      </c>
      <c r="O12" s="839" t="s">
        <v>100</v>
      </c>
      <c r="P12" s="839" t="s">
        <v>101</v>
      </c>
      <c r="Q12" s="864">
        <v>24</v>
      </c>
      <c r="R12" s="865">
        <f>K12*560*720/1000000/0.9</f>
        <v>15.68</v>
      </c>
      <c r="S12" s="866">
        <f>K12*((560+720)*2+40)/1000</f>
        <v>91</v>
      </c>
      <c r="T12" s="866">
        <f>S12-U12</f>
        <v>25.2</v>
      </c>
      <c r="U12" s="866">
        <f>S12-0.72*K12</f>
        <v>65.8</v>
      </c>
      <c r="V12" s="867">
        <f>J12*11</f>
        <v>385</v>
      </c>
      <c r="W12" s="868">
        <f>K12*560*720*16/1000000000</f>
        <v>0.225792</v>
      </c>
      <c r="X12" s="855">
        <v>0</v>
      </c>
    </row>
    <row r="13" s="751" customFormat="1" customHeight="1" spans="1:32">
      <c r="A13" s="775"/>
      <c r="B13" s="776"/>
      <c r="C13" s="777"/>
      <c r="D13" s="777"/>
      <c r="E13" s="777"/>
      <c r="F13" s="777"/>
      <c r="G13" s="782" t="s">
        <v>88</v>
      </c>
      <c r="H13" s="782" t="s">
        <v>89</v>
      </c>
      <c r="I13" s="840">
        <f>F12</f>
        <v>1</v>
      </c>
      <c r="J13" s="841"/>
      <c r="K13" s="837">
        <f>I13*J12</f>
        <v>35</v>
      </c>
      <c r="L13" s="838" t="s">
        <v>102</v>
      </c>
      <c r="M13" s="782" t="s">
        <v>103</v>
      </c>
      <c r="N13" s="782">
        <v>1</v>
      </c>
      <c r="O13" s="839" t="s">
        <v>104</v>
      </c>
      <c r="P13" s="839" t="s">
        <v>101</v>
      </c>
      <c r="Q13" s="864">
        <v>24</v>
      </c>
      <c r="R13" s="865">
        <f>K13*560*720/1000000/0.9</f>
        <v>15.68</v>
      </c>
      <c r="S13" s="866">
        <f t="shared" ref="S13:S56" si="1">K13*((560+720)*2+40)/1000</f>
        <v>91</v>
      </c>
      <c r="T13" s="866">
        <f t="shared" ref="T13:T99" si="2">S13-U13</f>
        <v>25.2</v>
      </c>
      <c r="U13" s="866">
        <f t="shared" ref="U13:U94" si="3">S13-0.72*K13</f>
        <v>65.8</v>
      </c>
      <c r="V13" s="869"/>
      <c r="W13" s="868">
        <f t="shared" ref="W13:W56" si="4">K13*560*720*16/1000000000</f>
        <v>0.225792</v>
      </c>
      <c r="X13" s="870">
        <v>0</v>
      </c>
      <c r="AB13" s="875" t="s">
        <v>105</v>
      </c>
      <c r="AC13" s="876" t="s">
        <v>101</v>
      </c>
      <c r="AD13" s="876">
        <v>147</v>
      </c>
      <c r="AE13" s="751">
        <f>AD13/AF13</f>
        <v>36.75</v>
      </c>
      <c r="AF13" s="751">
        <v>4</v>
      </c>
    </row>
    <row r="14" customHeight="1" spans="1:32">
      <c r="A14" s="775"/>
      <c r="B14" s="776"/>
      <c r="C14" s="777"/>
      <c r="D14" s="777"/>
      <c r="E14" s="777"/>
      <c r="F14" s="777"/>
      <c r="G14" s="782" t="s">
        <v>106</v>
      </c>
      <c r="H14" s="782" t="s">
        <v>107</v>
      </c>
      <c r="I14" s="840">
        <f>F12</f>
        <v>1</v>
      </c>
      <c r="J14" s="841"/>
      <c r="K14" s="837">
        <f>I14*J12</f>
        <v>35</v>
      </c>
      <c r="L14" s="838" t="s">
        <v>108</v>
      </c>
      <c r="M14" s="782" t="s">
        <v>109</v>
      </c>
      <c r="N14" s="782">
        <v>1</v>
      </c>
      <c r="O14" s="839" t="s">
        <v>110</v>
      </c>
      <c r="P14" s="839" t="s">
        <v>101</v>
      </c>
      <c r="Q14" s="864">
        <v>20</v>
      </c>
      <c r="R14" s="865">
        <f>K14*560*417/1000000/0.9</f>
        <v>9.08133333333333</v>
      </c>
      <c r="S14" s="866">
        <f>K14*((560+417)*2+40)/1000</f>
        <v>69.79</v>
      </c>
      <c r="T14" s="866">
        <f t="shared" si="2"/>
        <v>14.595</v>
      </c>
      <c r="U14" s="866">
        <f>S14-0.417*K14</f>
        <v>55.195</v>
      </c>
      <c r="V14" s="869"/>
      <c r="W14" s="868">
        <f>K14*560*417*16/1000000000</f>
        <v>0.1307712</v>
      </c>
      <c r="X14" s="756">
        <v>1</v>
      </c>
      <c r="Y14" s="751"/>
      <c r="Z14" s="751"/>
      <c r="AB14" s="875" t="s">
        <v>111</v>
      </c>
      <c r="AC14" s="876" t="s">
        <v>101</v>
      </c>
      <c r="AD14" s="876">
        <v>142</v>
      </c>
      <c r="AE14" s="751">
        <f t="shared" ref="AE14:AE28" si="5">AD14/AF14</f>
        <v>35.5</v>
      </c>
      <c r="AF14" s="751">
        <v>4</v>
      </c>
    </row>
    <row r="15" customHeight="1" spans="1:32">
      <c r="A15" s="775"/>
      <c r="B15" s="776"/>
      <c r="C15" s="777"/>
      <c r="D15" s="777"/>
      <c r="E15" s="777"/>
      <c r="F15" s="777"/>
      <c r="G15" s="782" t="s">
        <v>112</v>
      </c>
      <c r="H15" s="782" t="s">
        <v>113</v>
      </c>
      <c r="I15" s="840">
        <f>F12</f>
        <v>1</v>
      </c>
      <c r="J15" s="841"/>
      <c r="K15" s="837">
        <f>I15*J12</f>
        <v>35</v>
      </c>
      <c r="L15" s="838" t="s">
        <v>114</v>
      </c>
      <c r="M15" s="782" t="s">
        <v>115</v>
      </c>
      <c r="N15" s="782">
        <v>1</v>
      </c>
      <c r="O15" s="839"/>
      <c r="P15" s="839"/>
      <c r="Q15" s="864"/>
      <c r="R15" s="865">
        <f>K15*514*416/1000000/0.9</f>
        <v>8.31537777777778</v>
      </c>
      <c r="S15" s="866">
        <f>K15*((514+416)*2+40)/1000</f>
        <v>66.5</v>
      </c>
      <c r="T15" s="866">
        <f t="shared" si="2"/>
        <v>14.56</v>
      </c>
      <c r="U15" s="866">
        <f>S15-0.416*K15</f>
        <v>51.94</v>
      </c>
      <c r="V15" s="869"/>
      <c r="W15" s="868">
        <f>K15*514*416*16/1000000000</f>
        <v>0.11974144</v>
      </c>
      <c r="X15" s="756">
        <v>0</v>
      </c>
      <c r="Y15" s="751"/>
      <c r="Z15" s="751"/>
      <c r="AB15" s="875" t="s">
        <v>116</v>
      </c>
      <c r="AC15" s="876" t="s">
        <v>101</v>
      </c>
      <c r="AD15" s="876">
        <v>140</v>
      </c>
      <c r="AE15" s="751">
        <f t="shared" si="5"/>
        <v>35</v>
      </c>
      <c r="AF15" s="751">
        <v>4</v>
      </c>
    </row>
    <row r="16" customHeight="1" spans="1:32">
      <c r="A16" s="775"/>
      <c r="B16" s="776"/>
      <c r="C16" s="777"/>
      <c r="D16" s="777"/>
      <c r="E16" s="777"/>
      <c r="F16" s="777"/>
      <c r="G16" s="782" t="s">
        <v>117</v>
      </c>
      <c r="H16" s="782" t="s">
        <v>118</v>
      </c>
      <c r="I16" s="840">
        <f>F12</f>
        <v>1</v>
      </c>
      <c r="J16" s="841"/>
      <c r="K16" s="837">
        <f>I16*J12</f>
        <v>35</v>
      </c>
      <c r="L16" s="838" t="s">
        <v>119</v>
      </c>
      <c r="M16" s="782" t="s">
        <v>120</v>
      </c>
      <c r="N16" s="782">
        <v>1</v>
      </c>
      <c r="O16" s="839"/>
      <c r="P16" s="839"/>
      <c r="Q16" s="864"/>
      <c r="R16" s="865">
        <f>K16*708*428/1000000/0.9</f>
        <v>11.7842666666667</v>
      </c>
      <c r="S16" s="866"/>
      <c r="T16" s="866"/>
      <c r="U16" s="866"/>
      <c r="V16" s="869"/>
      <c r="W16" s="868">
        <f>K16*708*428*3/1000000000</f>
        <v>0.03181752</v>
      </c>
      <c r="X16" s="756">
        <v>1</v>
      </c>
      <c r="Y16" s="751"/>
      <c r="Z16" s="751"/>
      <c r="AB16" s="875" t="s">
        <v>121</v>
      </c>
      <c r="AC16" s="876" t="s">
        <v>101</v>
      </c>
      <c r="AD16" s="876">
        <v>136</v>
      </c>
      <c r="AE16" s="751">
        <f t="shared" si="5"/>
        <v>34</v>
      </c>
      <c r="AF16" s="751">
        <v>4</v>
      </c>
    </row>
    <row r="17" customHeight="1" spans="1:32">
      <c r="A17" s="775"/>
      <c r="B17" s="776"/>
      <c r="C17" s="780"/>
      <c r="D17" s="780"/>
      <c r="E17" s="780"/>
      <c r="F17" s="780"/>
      <c r="G17" s="783" t="s">
        <v>122</v>
      </c>
      <c r="H17" s="783" t="s">
        <v>123</v>
      </c>
      <c r="I17" s="842">
        <f>F12*2</f>
        <v>2</v>
      </c>
      <c r="J17" s="843"/>
      <c r="K17" s="844">
        <f>I17*J12</f>
        <v>70</v>
      </c>
      <c r="L17" s="838" t="s">
        <v>124</v>
      </c>
      <c r="M17" s="782" t="s">
        <v>125</v>
      </c>
      <c r="N17" s="782">
        <v>2</v>
      </c>
      <c r="O17" s="839"/>
      <c r="P17" s="839"/>
      <c r="Q17" s="864"/>
      <c r="R17" s="865">
        <f>K17*88*417/1000000/0.9</f>
        <v>2.85413333333333</v>
      </c>
      <c r="S17" s="866">
        <f>K17*((88+417)+10)/1000</f>
        <v>36.05</v>
      </c>
      <c r="T17" s="866">
        <f t="shared" si="2"/>
        <v>29.19</v>
      </c>
      <c r="U17" s="866">
        <f>S17-0.417*K17</f>
        <v>6.86</v>
      </c>
      <c r="V17" s="871"/>
      <c r="W17" s="868">
        <f>K17*88*417*16/1000000000</f>
        <v>0.04109952</v>
      </c>
      <c r="X17" s="756">
        <v>1</v>
      </c>
      <c r="Y17" s="751"/>
      <c r="Z17" s="751"/>
      <c r="AB17" s="875" t="s">
        <v>126</v>
      </c>
      <c r="AC17" s="876" t="s">
        <v>101</v>
      </c>
      <c r="AD17" s="876">
        <v>117</v>
      </c>
      <c r="AE17" s="751">
        <f t="shared" si="5"/>
        <v>29.25</v>
      </c>
      <c r="AF17" s="751">
        <v>4</v>
      </c>
    </row>
    <row r="18" customFormat="1" customHeight="1" spans="1:20">
      <c r="A18" s="775"/>
      <c r="B18" s="776"/>
      <c r="C18" s="784">
        <v>600</v>
      </c>
      <c r="D18" s="784">
        <v>560</v>
      </c>
      <c r="E18" s="784">
        <v>720</v>
      </c>
      <c r="F18" s="785">
        <v>1</v>
      </c>
      <c r="G18" s="779" t="s">
        <v>86</v>
      </c>
      <c r="H18" s="779" t="s">
        <v>87</v>
      </c>
      <c r="I18" s="834">
        <f>F18</f>
        <v>1</v>
      </c>
      <c r="J18" s="845" t="e">
        <f>I18*#REF!</f>
        <v>#REF!</v>
      </c>
      <c r="K18" s="833"/>
      <c r="L18" s="846"/>
      <c r="M18" s="846"/>
      <c r="N18" s="846"/>
      <c r="O18" s="846"/>
      <c r="P18" s="846"/>
      <c r="Q18" s="863" t="e">
        <f>J18*560*720/1000000/0.9</f>
        <v>#REF!</v>
      </c>
      <c r="R18" s="863"/>
      <c r="S18" s="863"/>
      <c r="T18" s="756">
        <v>1</v>
      </c>
    </row>
    <row r="19" customFormat="1" customHeight="1" spans="1:20">
      <c r="A19" s="775"/>
      <c r="B19" s="776"/>
      <c r="C19" s="786"/>
      <c r="D19" s="786"/>
      <c r="E19" s="786"/>
      <c r="F19" s="785"/>
      <c r="G19" s="779" t="s">
        <v>88</v>
      </c>
      <c r="H19" s="779" t="s">
        <v>89</v>
      </c>
      <c r="I19" s="834">
        <f>F18</f>
        <v>1</v>
      </c>
      <c r="J19" s="845" t="e">
        <f>I19*#REF!</f>
        <v>#REF!</v>
      </c>
      <c r="K19" s="833"/>
      <c r="L19" s="846"/>
      <c r="M19" s="846"/>
      <c r="N19" s="846"/>
      <c r="O19" s="846"/>
      <c r="P19" s="846"/>
      <c r="Q19" s="863" t="e">
        <f>J19*560*720/1000000/0.9</f>
        <v>#REF!</v>
      </c>
      <c r="R19" s="863"/>
      <c r="S19" s="863"/>
      <c r="T19" s="756">
        <v>1</v>
      </c>
    </row>
    <row r="20" customFormat="1" customHeight="1" spans="1:20">
      <c r="A20" s="775"/>
      <c r="B20" s="776"/>
      <c r="C20" s="786"/>
      <c r="D20" s="786"/>
      <c r="E20" s="786"/>
      <c r="F20" s="785"/>
      <c r="G20" s="779" t="s">
        <v>127</v>
      </c>
      <c r="H20" s="779" t="s">
        <v>128</v>
      </c>
      <c r="I20" s="834">
        <f>F18</f>
        <v>1</v>
      </c>
      <c r="J20" s="845" t="e">
        <f>I20*#REF!</f>
        <v>#REF!</v>
      </c>
      <c r="K20" s="833"/>
      <c r="L20" s="846"/>
      <c r="M20" s="846"/>
      <c r="N20" s="846"/>
      <c r="O20" s="846"/>
      <c r="P20" s="846"/>
      <c r="Q20" s="863" t="e">
        <f>J20*560*567/1000000/0.9</f>
        <v>#REF!</v>
      </c>
      <c r="R20" s="863"/>
      <c r="S20" s="863"/>
      <c r="T20" s="756">
        <v>0</v>
      </c>
    </row>
    <row r="21" customFormat="1" customHeight="1" spans="1:20">
      <c r="A21" s="775"/>
      <c r="B21" s="776"/>
      <c r="C21" s="786"/>
      <c r="D21" s="786"/>
      <c r="E21" s="786"/>
      <c r="F21" s="785"/>
      <c r="G21" s="779" t="s">
        <v>129</v>
      </c>
      <c r="H21" s="779" t="s">
        <v>130</v>
      </c>
      <c r="I21" s="834">
        <f>F18</f>
        <v>1</v>
      </c>
      <c r="J21" s="845" t="e">
        <f>I21*#REF!</f>
        <v>#REF!</v>
      </c>
      <c r="K21" s="833"/>
      <c r="L21" s="846"/>
      <c r="M21" s="846"/>
      <c r="N21" s="846"/>
      <c r="O21" s="846"/>
      <c r="P21" s="846"/>
      <c r="Q21" s="863" t="e">
        <f>J21*514*566/1000000/0.9</f>
        <v>#REF!</v>
      </c>
      <c r="R21" s="863"/>
      <c r="S21" s="863"/>
      <c r="T21" s="756">
        <v>0</v>
      </c>
    </row>
    <row r="22" customFormat="1" customHeight="1" spans="1:20">
      <c r="A22" s="775"/>
      <c r="B22" s="776"/>
      <c r="C22" s="786"/>
      <c r="D22" s="786"/>
      <c r="E22" s="786"/>
      <c r="F22" s="785"/>
      <c r="G22" s="779" t="s">
        <v>131</v>
      </c>
      <c r="H22" s="779" t="s">
        <v>132</v>
      </c>
      <c r="I22" s="834">
        <f>F18</f>
        <v>1</v>
      </c>
      <c r="J22" s="845" t="e">
        <f>I22*#REF!</f>
        <v>#REF!</v>
      </c>
      <c r="K22" s="833"/>
      <c r="L22" s="846"/>
      <c r="M22" s="846"/>
      <c r="N22" s="846"/>
      <c r="O22" s="846"/>
      <c r="P22" s="846"/>
      <c r="Q22" s="863" t="e">
        <f>J22*708*578/1000000/0.9</f>
        <v>#REF!</v>
      </c>
      <c r="R22" s="863"/>
      <c r="S22" s="863"/>
      <c r="T22" s="756">
        <v>0</v>
      </c>
    </row>
    <row r="23" customFormat="1" customHeight="1" spans="1:20">
      <c r="A23" s="787"/>
      <c r="B23" s="788"/>
      <c r="C23" s="789"/>
      <c r="D23" s="789"/>
      <c r="E23" s="789"/>
      <c r="F23" s="785"/>
      <c r="G23" s="779" t="s">
        <v>133</v>
      </c>
      <c r="H23" s="779" t="s">
        <v>134</v>
      </c>
      <c r="I23" s="834">
        <f>F18*2</f>
        <v>2</v>
      </c>
      <c r="J23" s="845" t="e">
        <f>I23*#REF!</f>
        <v>#REF!</v>
      </c>
      <c r="K23" s="833"/>
      <c r="L23" s="846"/>
      <c r="M23" s="846"/>
      <c r="N23" s="846"/>
      <c r="O23" s="846"/>
      <c r="P23" s="846"/>
      <c r="Q23" s="863" t="e">
        <f>J23*88*567/1000000/0.9</f>
        <v>#REF!</v>
      </c>
      <c r="R23" s="863" t="e">
        <f t="shared" ref="R23" si="6">J23*((88+417)+10)/1000</f>
        <v>#REF!</v>
      </c>
      <c r="S23" s="863" t="e">
        <f t="shared" ref="S23" si="7">J23*88*417*16/1000000000</f>
        <v>#REF!</v>
      </c>
      <c r="T23" s="756">
        <v>1</v>
      </c>
    </row>
    <row r="24" customHeight="1" spans="1:32">
      <c r="A24" s="790"/>
      <c r="B24" s="791" t="s">
        <v>135</v>
      </c>
      <c r="C24" s="772">
        <v>450</v>
      </c>
      <c r="D24" s="772">
        <v>560</v>
      </c>
      <c r="E24" s="772">
        <v>720</v>
      </c>
      <c r="F24" s="772">
        <v>1</v>
      </c>
      <c r="G24" s="781" t="s">
        <v>136</v>
      </c>
      <c r="H24" s="781" t="s">
        <v>137</v>
      </c>
      <c r="I24" s="835">
        <f>F24</f>
        <v>1</v>
      </c>
      <c r="J24" s="847">
        <v>25</v>
      </c>
      <c r="K24" s="837">
        <f>I24*J24</f>
        <v>25</v>
      </c>
      <c r="L24" s="838" t="s">
        <v>138</v>
      </c>
      <c r="M24" s="782" t="s">
        <v>139</v>
      </c>
      <c r="N24" s="782">
        <v>1</v>
      </c>
      <c r="R24" s="865">
        <f>K24*560*720/1000000/0.9</f>
        <v>11.2</v>
      </c>
      <c r="S24" s="866">
        <f t="shared" si="1"/>
        <v>65</v>
      </c>
      <c r="T24" s="866">
        <f t="shared" si="2"/>
        <v>18</v>
      </c>
      <c r="U24" s="866">
        <f>S24-0.72*K24</f>
        <v>47</v>
      </c>
      <c r="V24" s="867">
        <f>J24*13</f>
        <v>325</v>
      </c>
      <c r="W24" s="868">
        <f t="shared" si="4"/>
        <v>0.16128</v>
      </c>
      <c r="X24" s="756">
        <v>1</v>
      </c>
      <c r="Y24" s="751"/>
      <c r="Z24" s="751"/>
      <c r="AB24" s="875" t="s">
        <v>140</v>
      </c>
      <c r="AC24" s="876" t="s">
        <v>101</v>
      </c>
      <c r="AD24" s="876">
        <v>105</v>
      </c>
      <c r="AE24" s="751">
        <f t="shared" si="5"/>
        <v>26.25</v>
      </c>
      <c r="AF24" s="751">
        <v>4</v>
      </c>
    </row>
    <row r="25" customHeight="1" spans="1:32">
      <c r="A25" s="792"/>
      <c r="B25" s="793"/>
      <c r="C25" s="777"/>
      <c r="D25" s="777"/>
      <c r="E25" s="777"/>
      <c r="F25" s="777"/>
      <c r="G25" s="782" t="s">
        <v>141</v>
      </c>
      <c r="H25" s="782" t="s">
        <v>142</v>
      </c>
      <c r="I25" s="840">
        <f>F24</f>
        <v>1</v>
      </c>
      <c r="J25" s="841"/>
      <c r="K25" s="837">
        <f>I25*J24</f>
        <v>25</v>
      </c>
      <c r="L25" s="838" t="s">
        <v>143</v>
      </c>
      <c r="M25" s="782" t="s">
        <v>144</v>
      </c>
      <c r="N25" s="782">
        <v>1</v>
      </c>
      <c r="R25" s="865">
        <f>K25*560*720/1000000/0.9</f>
        <v>11.2</v>
      </c>
      <c r="S25" s="866">
        <f t="shared" si="1"/>
        <v>65</v>
      </c>
      <c r="T25" s="866">
        <f t="shared" si="2"/>
        <v>18</v>
      </c>
      <c r="U25" s="866">
        <f t="shared" si="3"/>
        <v>47</v>
      </c>
      <c r="V25" s="869"/>
      <c r="W25" s="868">
        <f t="shared" si="4"/>
        <v>0.16128</v>
      </c>
      <c r="X25" s="756">
        <v>1</v>
      </c>
      <c r="Y25" s="751"/>
      <c r="Z25" s="751"/>
      <c r="AB25" s="875" t="s">
        <v>145</v>
      </c>
      <c r="AC25" s="876" t="s">
        <v>101</v>
      </c>
      <c r="AD25" s="876">
        <v>98</v>
      </c>
      <c r="AE25" s="751">
        <f t="shared" si="5"/>
        <v>24.5</v>
      </c>
      <c r="AF25" s="751">
        <v>4</v>
      </c>
    </row>
    <row r="26" customHeight="1" spans="1:32">
      <c r="A26" s="792"/>
      <c r="B26" s="793"/>
      <c r="C26" s="777"/>
      <c r="D26" s="777"/>
      <c r="E26" s="777"/>
      <c r="F26" s="777"/>
      <c r="G26" s="782" t="s">
        <v>106</v>
      </c>
      <c r="H26" s="782" t="s">
        <v>107</v>
      </c>
      <c r="I26" s="840">
        <f>F24</f>
        <v>1</v>
      </c>
      <c r="J26" s="841"/>
      <c r="K26" s="837">
        <f>I26*J24</f>
        <v>25</v>
      </c>
      <c r="L26" s="838" t="s">
        <v>108</v>
      </c>
      <c r="M26" s="782" t="s">
        <v>109</v>
      </c>
      <c r="N26" s="782">
        <v>1</v>
      </c>
      <c r="R26" s="865">
        <f>K26*560*417/1000000/0.9</f>
        <v>6.48666666666667</v>
      </c>
      <c r="S26" s="866">
        <f>K26*((560+417)*2+40)/1000</f>
        <v>49.85</v>
      </c>
      <c r="T26" s="866">
        <f t="shared" si="2"/>
        <v>10.425</v>
      </c>
      <c r="U26" s="866">
        <f>S26-0.417*K26</f>
        <v>39.425</v>
      </c>
      <c r="V26" s="869"/>
      <c r="W26" s="868">
        <f>K26*560*417*16/1000000000</f>
        <v>0.093408</v>
      </c>
      <c r="X26" s="756">
        <v>1</v>
      </c>
      <c r="Y26" s="751"/>
      <c r="Z26" s="751"/>
      <c r="AB26" s="875" t="s">
        <v>100</v>
      </c>
      <c r="AC26" s="876" t="s">
        <v>101</v>
      </c>
      <c r="AD26" s="876">
        <v>97</v>
      </c>
      <c r="AE26" s="751">
        <f t="shared" si="5"/>
        <v>24.25</v>
      </c>
      <c r="AF26" s="751">
        <v>4</v>
      </c>
    </row>
    <row r="27" customHeight="1" spans="1:32">
      <c r="A27" s="792"/>
      <c r="B27" s="793"/>
      <c r="C27" s="777"/>
      <c r="D27" s="777"/>
      <c r="E27" s="777"/>
      <c r="F27" s="777"/>
      <c r="G27" s="782" t="s">
        <v>117</v>
      </c>
      <c r="H27" s="782" t="s">
        <v>118</v>
      </c>
      <c r="I27" s="840">
        <f>F24</f>
        <v>1</v>
      </c>
      <c r="J27" s="841"/>
      <c r="K27" s="837">
        <f>I27*J24</f>
        <v>25</v>
      </c>
      <c r="L27" s="838" t="s">
        <v>119</v>
      </c>
      <c r="M27" s="782" t="s">
        <v>120</v>
      </c>
      <c r="N27" s="782">
        <v>1</v>
      </c>
      <c r="R27" s="865">
        <f>K27*708*428/1000000/0.9</f>
        <v>8.41733333333333</v>
      </c>
      <c r="S27" s="866"/>
      <c r="T27" s="866"/>
      <c r="U27" s="866"/>
      <c r="V27" s="869"/>
      <c r="W27" s="868">
        <f>K27*560*428*3/1000000000</f>
        <v>0.017976</v>
      </c>
      <c r="X27" s="756">
        <v>1</v>
      </c>
      <c r="Y27" s="751"/>
      <c r="Z27" s="751"/>
      <c r="AB27" s="875" t="s">
        <v>104</v>
      </c>
      <c r="AC27" s="876" t="s">
        <v>101</v>
      </c>
      <c r="AD27" s="876">
        <v>97</v>
      </c>
      <c r="AE27" s="751">
        <f t="shared" si="5"/>
        <v>24.25</v>
      </c>
      <c r="AF27" s="751">
        <v>4</v>
      </c>
    </row>
    <row r="28" customHeight="1" spans="1:32">
      <c r="A28" s="792"/>
      <c r="B28" s="793"/>
      <c r="C28" s="780"/>
      <c r="D28" s="780"/>
      <c r="E28" s="780"/>
      <c r="F28" s="780"/>
      <c r="G28" s="783" t="s">
        <v>122</v>
      </c>
      <c r="H28" s="783" t="s">
        <v>123</v>
      </c>
      <c r="I28" s="842">
        <f>F24*3</f>
        <v>3</v>
      </c>
      <c r="J28" s="843"/>
      <c r="K28" s="844">
        <f>I28*J24</f>
        <v>75</v>
      </c>
      <c r="L28" s="838" t="s">
        <v>124</v>
      </c>
      <c r="M28" s="782" t="s">
        <v>125</v>
      </c>
      <c r="N28" s="782">
        <v>3</v>
      </c>
      <c r="R28" s="865">
        <f>K28*88*417/1000000/0.9</f>
        <v>3.058</v>
      </c>
      <c r="S28" s="866">
        <f>K28*((560+720)+10)/1000</f>
        <v>96.75</v>
      </c>
      <c r="T28" s="866">
        <f t="shared" si="2"/>
        <v>31.275</v>
      </c>
      <c r="U28" s="866">
        <f>S28-0.417*K28</f>
        <v>65.475</v>
      </c>
      <c r="V28" s="871"/>
      <c r="W28" s="868">
        <f t="shared" si="4"/>
        <v>0.48384</v>
      </c>
      <c r="X28" s="756">
        <v>1</v>
      </c>
      <c r="Y28" s="751"/>
      <c r="Z28" s="751"/>
      <c r="AB28" s="875" t="s">
        <v>110</v>
      </c>
      <c r="AC28" s="876" t="s">
        <v>101</v>
      </c>
      <c r="AD28" s="876">
        <v>80</v>
      </c>
      <c r="AE28" s="751">
        <f t="shared" si="5"/>
        <v>20</v>
      </c>
      <c r="AF28" s="751">
        <v>4</v>
      </c>
    </row>
    <row r="29" customHeight="1" spans="1:26">
      <c r="A29" s="792"/>
      <c r="B29" s="793"/>
      <c r="C29" s="777">
        <v>600</v>
      </c>
      <c r="D29" s="777">
        <v>560</v>
      </c>
      <c r="E29" s="777">
        <v>720</v>
      </c>
      <c r="F29" s="777">
        <v>1</v>
      </c>
      <c r="G29" s="794" t="s">
        <v>136</v>
      </c>
      <c r="H29" s="794" t="s">
        <v>137</v>
      </c>
      <c r="I29" s="848">
        <f>F29</f>
        <v>1</v>
      </c>
      <c r="J29" s="847">
        <v>25</v>
      </c>
      <c r="K29" s="837">
        <f>I29*J29</f>
        <v>25</v>
      </c>
      <c r="L29" s="838" t="s">
        <v>138</v>
      </c>
      <c r="M29" s="782" t="s">
        <v>139</v>
      </c>
      <c r="N29" s="782">
        <v>1</v>
      </c>
      <c r="R29" s="865">
        <f>K29*560*720/1000000/0.9</f>
        <v>11.2</v>
      </c>
      <c r="S29" s="866">
        <f t="shared" si="1"/>
        <v>65</v>
      </c>
      <c r="T29" s="866">
        <f t="shared" si="2"/>
        <v>18</v>
      </c>
      <c r="U29" s="866">
        <f t="shared" si="3"/>
        <v>47</v>
      </c>
      <c r="V29" s="867">
        <f>J29*13</f>
        <v>325</v>
      </c>
      <c r="W29" s="868">
        <f t="shared" si="4"/>
        <v>0.16128</v>
      </c>
      <c r="X29" s="756">
        <v>1</v>
      </c>
      <c r="Y29" s="751"/>
      <c r="Z29" s="751"/>
    </row>
    <row r="30" customHeight="1" spans="1:26">
      <c r="A30" s="792"/>
      <c r="B30" s="793"/>
      <c r="C30" s="777"/>
      <c r="D30" s="777"/>
      <c r="E30" s="777"/>
      <c r="F30" s="777"/>
      <c r="G30" s="782" t="s">
        <v>141</v>
      </c>
      <c r="H30" s="782" t="s">
        <v>142</v>
      </c>
      <c r="I30" s="840">
        <f>F29</f>
        <v>1</v>
      </c>
      <c r="J30" s="841"/>
      <c r="K30" s="837">
        <f>I30*J29</f>
        <v>25</v>
      </c>
      <c r="L30" s="838" t="s">
        <v>143</v>
      </c>
      <c r="M30" s="782" t="s">
        <v>144</v>
      </c>
      <c r="N30" s="782">
        <v>1</v>
      </c>
      <c r="R30" s="865">
        <f>K30*560*720/1000000/0.9</f>
        <v>11.2</v>
      </c>
      <c r="S30" s="866">
        <f t="shared" si="1"/>
        <v>65</v>
      </c>
      <c r="T30" s="866">
        <f t="shared" si="2"/>
        <v>18</v>
      </c>
      <c r="U30" s="866">
        <f t="shared" si="3"/>
        <v>47</v>
      </c>
      <c r="V30" s="869"/>
      <c r="W30" s="868">
        <f t="shared" si="4"/>
        <v>0.16128</v>
      </c>
      <c r="X30" s="756">
        <v>1</v>
      </c>
      <c r="Y30" s="751"/>
      <c r="Z30" s="751"/>
    </row>
    <row r="31" customHeight="1" spans="1:26">
      <c r="A31" s="792"/>
      <c r="B31" s="793"/>
      <c r="C31" s="777"/>
      <c r="D31" s="777"/>
      <c r="E31" s="777"/>
      <c r="F31" s="777"/>
      <c r="G31" s="782" t="s">
        <v>127</v>
      </c>
      <c r="H31" s="782" t="s">
        <v>128</v>
      </c>
      <c r="I31" s="840">
        <f>F29</f>
        <v>1</v>
      </c>
      <c r="J31" s="841"/>
      <c r="K31" s="837">
        <f>I31*J29</f>
        <v>25</v>
      </c>
      <c r="L31" s="838" t="s">
        <v>146</v>
      </c>
      <c r="M31" s="782" t="s">
        <v>147</v>
      </c>
      <c r="N31" s="782">
        <v>1</v>
      </c>
      <c r="R31" s="865">
        <f>K31*560*567/1000000/0.9</f>
        <v>8.82</v>
      </c>
      <c r="S31" s="866">
        <f>K31*((560+567)*2+40)/1000</f>
        <v>57.35</v>
      </c>
      <c r="T31" s="866">
        <f t="shared" si="2"/>
        <v>14.175</v>
      </c>
      <c r="U31" s="866">
        <f>S31-0.567*K31</f>
        <v>43.175</v>
      </c>
      <c r="V31" s="869"/>
      <c r="W31" s="868">
        <f>K31*560*567*16/1000000000</f>
        <v>0.127008</v>
      </c>
      <c r="X31" s="756">
        <v>0</v>
      </c>
      <c r="Y31" s="751"/>
      <c r="Z31" s="751"/>
    </row>
    <row r="32" customHeight="1" spans="1:26">
      <c r="A32" s="792"/>
      <c r="B32" s="793"/>
      <c r="C32" s="777"/>
      <c r="D32" s="777"/>
      <c r="E32" s="777"/>
      <c r="F32" s="777"/>
      <c r="G32" s="782" t="s">
        <v>131</v>
      </c>
      <c r="H32" s="782" t="s">
        <v>132</v>
      </c>
      <c r="I32" s="840">
        <f>F29</f>
        <v>1</v>
      </c>
      <c r="J32" s="841"/>
      <c r="K32" s="837">
        <f>I32*J29</f>
        <v>25</v>
      </c>
      <c r="L32" s="838" t="s">
        <v>148</v>
      </c>
      <c r="M32" s="782" t="s">
        <v>149</v>
      </c>
      <c r="N32" s="782">
        <v>1</v>
      </c>
      <c r="R32" s="865">
        <f>K32*708*578/1000000/0.9</f>
        <v>11.3673333333333</v>
      </c>
      <c r="S32" s="866"/>
      <c r="T32" s="866"/>
      <c r="U32" s="866"/>
      <c r="V32" s="869"/>
      <c r="W32" s="868">
        <f>K32*708*578*3/1000000000</f>
        <v>0.0306918</v>
      </c>
      <c r="X32" s="756">
        <v>0</v>
      </c>
      <c r="Y32" s="751"/>
      <c r="Z32" s="751"/>
    </row>
    <row r="33" customHeight="1" spans="1:26">
      <c r="A33" s="795"/>
      <c r="B33" s="796"/>
      <c r="C33" s="780"/>
      <c r="D33" s="780"/>
      <c r="E33" s="780"/>
      <c r="F33" s="780"/>
      <c r="G33" s="783" t="s">
        <v>133</v>
      </c>
      <c r="H33" s="783" t="s">
        <v>134</v>
      </c>
      <c r="I33" s="842">
        <f>F29*3</f>
        <v>3</v>
      </c>
      <c r="J33" s="843"/>
      <c r="K33" s="844">
        <f>I33*J29</f>
        <v>75</v>
      </c>
      <c r="L33" s="838" t="s">
        <v>150</v>
      </c>
      <c r="M33" s="782" t="s">
        <v>151</v>
      </c>
      <c r="N33" s="782">
        <v>3</v>
      </c>
      <c r="R33" s="865">
        <f>K33*88*567/1000000/0.9</f>
        <v>4.158</v>
      </c>
      <c r="S33" s="866">
        <f>K33*((88+567)+10)/1000</f>
        <v>49.875</v>
      </c>
      <c r="T33" s="866">
        <f t="shared" si="2"/>
        <v>49.875</v>
      </c>
      <c r="U33" s="866"/>
      <c r="V33" s="871"/>
      <c r="W33" s="868">
        <f t="shared" si="4"/>
        <v>0.48384</v>
      </c>
      <c r="X33" s="756">
        <v>1</v>
      </c>
      <c r="Y33" s="751"/>
      <c r="Z33" s="751"/>
    </row>
    <row r="34" customFormat="1" customHeight="1" spans="1:20">
      <c r="A34" s="790"/>
      <c r="B34" s="791" t="s">
        <v>152</v>
      </c>
      <c r="C34" s="772">
        <v>900</v>
      </c>
      <c r="D34" s="772">
        <v>560</v>
      </c>
      <c r="E34" s="772">
        <v>720</v>
      </c>
      <c r="F34" s="797">
        <v>1</v>
      </c>
      <c r="G34" s="774" t="s">
        <v>86</v>
      </c>
      <c r="H34" s="774" t="s">
        <v>87</v>
      </c>
      <c r="I34" s="831">
        <f>F34</f>
        <v>1</v>
      </c>
      <c r="J34" s="845" t="e">
        <f>I34*#REF!</f>
        <v>#REF!</v>
      </c>
      <c r="K34" s="833"/>
      <c r="L34" s="846"/>
      <c r="M34" s="846"/>
      <c r="N34" s="846"/>
      <c r="O34" s="846"/>
      <c r="P34" s="846"/>
      <c r="Q34" s="863" t="e">
        <f t="shared" ref="Q34:Q35" si="8">J34*560*720/1000000/0.9</f>
        <v>#REF!</v>
      </c>
      <c r="R34" s="863"/>
      <c r="S34" s="863"/>
      <c r="T34" s="756">
        <v>1</v>
      </c>
    </row>
    <row r="35" customFormat="1" customHeight="1" spans="1:20">
      <c r="A35" s="792"/>
      <c r="B35" s="793"/>
      <c r="C35" s="777"/>
      <c r="D35" s="777"/>
      <c r="E35" s="777"/>
      <c r="F35" s="785"/>
      <c r="G35" s="779" t="s">
        <v>88</v>
      </c>
      <c r="H35" s="779" t="s">
        <v>89</v>
      </c>
      <c r="I35" s="834">
        <f>F34</f>
        <v>1</v>
      </c>
      <c r="J35" s="845" t="e">
        <f>I35*#REF!</f>
        <v>#REF!</v>
      </c>
      <c r="K35" s="833"/>
      <c r="L35" s="846"/>
      <c r="M35" s="846"/>
      <c r="N35" s="846"/>
      <c r="O35" s="846"/>
      <c r="P35" s="846"/>
      <c r="Q35" s="863" t="e">
        <f t="shared" si="8"/>
        <v>#REF!</v>
      </c>
      <c r="R35" s="863"/>
      <c r="S35" s="863"/>
      <c r="T35" s="756">
        <v>1</v>
      </c>
    </row>
    <row r="36" customFormat="1" customHeight="1" spans="1:20">
      <c r="A36" s="792"/>
      <c r="B36" s="793"/>
      <c r="C36" s="777"/>
      <c r="D36" s="777"/>
      <c r="E36" s="777"/>
      <c r="F36" s="785"/>
      <c r="G36" s="779" t="s">
        <v>153</v>
      </c>
      <c r="H36" s="779" t="s">
        <v>154</v>
      </c>
      <c r="I36" s="834">
        <f>F34</f>
        <v>1</v>
      </c>
      <c r="J36" s="845" t="e">
        <f>I36*#REF!</f>
        <v>#REF!</v>
      </c>
      <c r="K36" s="833"/>
      <c r="L36" s="846"/>
      <c r="M36" s="846"/>
      <c r="N36" s="846"/>
      <c r="O36" s="846"/>
      <c r="P36" s="846"/>
      <c r="Q36" s="863" t="e">
        <f>J36*560*867/1000000/0.9</f>
        <v>#REF!</v>
      </c>
      <c r="R36" s="863"/>
      <c r="S36" s="863"/>
      <c r="T36" s="756">
        <v>1</v>
      </c>
    </row>
    <row r="37" customFormat="1" customHeight="1" spans="1:20">
      <c r="A37" s="792"/>
      <c r="B37" s="793"/>
      <c r="C37" s="777"/>
      <c r="D37" s="777"/>
      <c r="E37" s="777"/>
      <c r="F37" s="785"/>
      <c r="G37" s="779" t="s">
        <v>155</v>
      </c>
      <c r="H37" s="779" t="s">
        <v>156</v>
      </c>
      <c r="I37" s="834">
        <f>F34</f>
        <v>1</v>
      </c>
      <c r="J37" s="845" t="e">
        <f>I37*#REF!</f>
        <v>#REF!</v>
      </c>
      <c r="K37" s="833"/>
      <c r="L37" s="846"/>
      <c r="M37" s="846"/>
      <c r="N37" s="846"/>
      <c r="O37" s="846"/>
      <c r="P37" s="846"/>
      <c r="Q37" s="863" t="e">
        <f>J37*514*866/1000000/0.9</f>
        <v>#REF!</v>
      </c>
      <c r="R37" s="863"/>
      <c r="S37" s="863"/>
      <c r="T37" s="756">
        <v>0</v>
      </c>
    </row>
    <row r="38" customFormat="1" customHeight="1" spans="1:20">
      <c r="A38" s="792"/>
      <c r="B38" s="793"/>
      <c r="C38" s="777"/>
      <c r="D38" s="777"/>
      <c r="E38" s="777"/>
      <c r="F38" s="785"/>
      <c r="G38" s="779" t="s">
        <v>157</v>
      </c>
      <c r="H38" s="779" t="s">
        <v>158</v>
      </c>
      <c r="I38" s="834">
        <f>F34</f>
        <v>1</v>
      </c>
      <c r="J38" s="845" t="e">
        <f>I38*#REF!</f>
        <v>#REF!</v>
      </c>
      <c r="K38" s="833"/>
      <c r="L38" s="846"/>
      <c r="M38" s="846"/>
      <c r="N38" s="846"/>
      <c r="O38" s="846"/>
      <c r="P38" s="846"/>
      <c r="Q38" s="863" t="e">
        <f>J38*708*878/1000000/0.9</f>
        <v>#REF!</v>
      </c>
      <c r="R38" s="863"/>
      <c r="S38" s="863"/>
      <c r="T38" s="756">
        <v>1</v>
      </c>
    </row>
    <row r="39" customFormat="1" customHeight="1" spans="1:20">
      <c r="A39" s="795"/>
      <c r="B39" s="796"/>
      <c r="C39" s="780"/>
      <c r="D39" s="780"/>
      <c r="E39" s="780"/>
      <c r="F39" s="798"/>
      <c r="G39" s="799" t="s">
        <v>159</v>
      </c>
      <c r="H39" s="799" t="s">
        <v>160</v>
      </c>
      <c r="I39" s="849">
        <f>F34*2</f>
        <v>2</v>
      </c>
      <c r="J39" s="845" t="e">
        <f>I39*#REF!</f>
        <v>#REF!</v>
      </c>
      <c r="K39" s="833"/>
      <c r="L39" s="846"/>
      <c r="M39" s="846"/>
      <c r="N39" s="846"/>
      <c r="O39" s="846"/>
      <c r="P39" s="846"/>
      <c r="Q39" s="863" t="e">
        <f>J39*88*867/1000000/0.9</f>
        <v>#REF!</v>
      </c>
      <c r="R39" s="863"/>
      <c r="S39" s="863"/>
      <c r="T39" s="756">
        <v>1</v>
      </c>
    </row>
    <row r="40" customHeight="1" spans="1:26">
      <c r="A40" s="800"/>
      <c r="B40" s="801" t="s">
        <v>161</v>
      </c>
      <c r="C40" s="802">
        <v>900</v>
      </c>
      <c r="D40" s="802">
        <v>560</v>
      </c>
      <c r="E40" s="802">
        <v>720</v>
      </c>
      <c r="F40" s="802">
        <v>1</v>
      </c>
      <c r="G40" s="781" t="s">
        <v>162</v>
      </c>
      <c r="H40" s="781" t="s">
        <v>163</v>
      </c>
      <c r="I40" s="835">
        <f>F40</f>
        <v>1</v>
      </c>
      <c r="J40" s="847">
        <v>40</v>
      </c>
      <c r="K40" s="837">
        <f>I40*J40</f>
        <v>40</v>
      </c>
      <c r="L40" s="838" t="s">
        <v>164</v>
      </c>
      <c r="M40" s="782" t="s">
        <v>165</v>
      </c>
      <c r="N40" s="782">
        <v>1</v>
      </c>
      <c r="R40" s="865">
        <f>K40*560*720/1000000/0.9</f>
        <v>17.92</v>
      </c>
      <c r="S40" s="866">
        <f t="shared" si="1"/>
        <v>104</v>
      </c>
      <c r="T40" s="866">
        <f t="shared" si="2"/>
        <v>28.8</v>
      </c>
      <c r="U40" s="866">
        <f t="shared" si="3"/>
        <v>75.2</v>
      </c>
      <c r="V40" s="867">
        <f>J40*9</f>
        <v>360</v>
      </c>
      <c r="W40" s="868">
        <f t="shared" si="4"/>
        <v>0.258048</v>
      </c>
      <c r="X40" s="756">
        <v>0</v>
      </c>
      <c r="Y40" s="751"/>
      <c r="Z40" s="751"/>
    </row>
    <row r="41" customHeight="1" spans="1:26">
      <c r="A41" s="803"/>
      <c r="B41" s="804"/>
      <c r="C41" s="805"/>
      <c r="D41" s="805"/>
      <c r="E41" s="805"/>
      <c r="F41" s="805"/>
      <c r="G41" s="782" t="s">
        <v>166</v>
      </c>
      <c r="H41" s="782" t="s">
        <v>167</v>
      </c>
      <c r="I41" s="840">
        <f>F40</f>
        <v>1</v>
      </c>
      <c r="J41" s="841"/>
      <c r="K41" s="837">
        <f>I41*J40</f>
        <v>40</v>
      </c>
      <c r="L41" s="838" t="s">
        <v>168</v>
      </c>
      <c r="M41" s="782" t="s">
        <v>169</v>
      </c>
      <c r="N41" s="782">
        <v>1</v>
      </c>
      <c r="R41" s="865">
        <f>K41*560*720/1000000/0.9</f>
        <v>17.92</v>
      </c>
      <c r="S41" s="866">
        <f t="shared" si="1"/>
        <v>104</v>
      </c>
      <c r="T41" s="866">
        <f t="shared" si="2"/>
        <v>28.8</v>
      </c>
      <c r="U41" s="866">
        <f t="shared" si="3"/>
        <v>75.2</v>
      </c>
      <c r="V41" s="869"/>
      <c r="W41" s="868">
        <f t="shared" si="4"/>
        <v>0.258048</v>
      </c>
      <c r="X41" s="756">
        <v>0</v>
      </c>
      <c r="Y41" s="751"/>
      <c r="Z41" s="751"/>
    </row>
    <row r="42" customHeight="1" spans="1:26">
      <c r="A42" s="803"/>
      <c r="B42" s="804"/>
      <c r="C42" s="805"/>
      <c r="D42" s="805"/>
      <c r="E42" s="805"/>
      <c r="F42" s="805"/>
      <c r="G42" s="782" t="s">
        <v>170</v>
      </c>
      <c r="H42" s="782" t="s">
        <v>171</v>
      </c>
      <c r="I42" s="840">
        <f>F40</f>
        <v>1</v>
      </c>
      <c r="J42" s="841"/>
      <c r="K42" s="837">
        <f>I42*J40</f>
        <v>40</v>
      </c>
      <c r="L42" s="838" t="s">
        <v>172</v>
      </c>
      <c r="M42" s="782" t="s">
        <v>173</v>
      </c>
      <c r="N42" s="782">
        <v>1</v>
      </c>
      <c r="R42" s="865">
        <f>K42*558*867/1000000/0.9</f>
        <v>21.5016</v>
      </c>
      <c r="S42" s="866">
        <f>K42*((560+867)*2+40)/1000</f>
        <v>115.76</v>
      </c>
      <c r="T42" s="866">
        <f t="shared" si="2"/>
        <v>34.68</v>
      </c>
      <c r="U42" s="866">
        <f>S42-0.867*K42</f>
        <v>81.08</v>
      </c>
      <c r="V42" s="869"/>
      <c r="W42" s="868">
        <f>K42*558*867*16/1000000000</f>
        <v>0.30962304</v>
      </c>
      <c r="X42" s="756">
        <v>0</v>
      </c>
      <c r="Y42" s="751"/>
      <c r="Z42" s="751"/>
    </row>
    <row r="43" customHeight="1" spans="1:26">
      <c r="A43" s="803"/>
      <c r="B43" s="804"/>
      <c r="C43" s="805"/>
      <c r="D43" s="805"/>
      <c r="E43" s="805"/>
      <c r="F43" s="805"/>
      <c r="G43" s="782" t="s">
        <v>159</v>
      </c>
      <c r="H43" s="782" t="s">
        <v>160</v>
      </c>
      <c r="I43" s="840">
        <f>F40</f>
        <v>1</v>
      </c>
      <c r="J43" s="841"/>
      <c r="K43" s="837">
        <f>I43*J40</f>
        <v>40</v>
      </c>
      <c r="L43" s="838" t="s">
        <v>174</v>
      </c>
      <c r="M43" s="782" t="s">
        <v>175</v>
      </c>
      <c r="N43" s="782">
        <v>1</v>
      </c>
      <c r="R43" s="865">
        <f>K43*88*867/1000000/0.9</f>
        <v>3.39093333333333</v>
      </c>
      <c r="S43" s="866">
        <f>K43*((88+867)+10)/1000</f>
        <v>38.6</v>
      </c>
      <c r="T43" s="866">
        <f t="shared" si="2"/>
        <v>34.68</v>
      </c>
      <c r="U43" s="866">
        <f>S43-0.867*K43</f>
        <v>3.92</v>
      </c>
      <c r="V43" s="869"/>
      <c r="W43" s="868">
        <f>K43*88*867*16/1000000000</f>
        <v>0.04882944</v>
      </c>
      <c r="X43" s="756">
        <v>1</v>
      </c>
      <c r="Y43" s="751"/>
      <c r="Z43" s="751"/>
    </row>
    <row r="44" s="754" customFormat="1" ht="15.75" customHeight="1" spans="1:22">
      <c r="A44" s="806"/>
      <c r="B44" s="807"/>
      <c r="C44" s="808"/>
      <c r="D44" s="808"/>
      <c r="E44" s="808"/>
      <c r="F44" s="808"/>
      <c r="G44" s="809" t="s">
        <v>176</v>
      </c>
      <c r="H44" s="809" t="s">
        <v>177</v>
      </c>
      <c r="I44" s="840">
        <f>F40</f>
        <v>1</v>
      </c>
      <c r="J44" s="850"/>
      <c r="K44" s="851" t="s">
        <v>176</v>
      </c>
      <c r="L44" s="851" t="s">
        <v>177</v>
      </c>
      <c r="M44" s="851">
        <v>1</v>
      </c>
      <c r="N44" s="852"/>
      <c r="O44" s="852"/>
      <c r="P44" s="852"/>
      <c r="Q44" s="863"/>
      <c r="R44" s="863"/>
      <c r="S44" s="863">
        <f t="shared" ref="S44" si="9">J44*560*720*16/1000000000</f>
        <v>0</v>
      </c>
      <c r="T44" s="872">
        <v>0</v>
      </c>
      <c r="U44" s="873"/>
      <c r="V44" s="874"/>
    </row>
    <row r="45" customHeight="1" spans="1:26">
      <c r="A45" s="810"/>
      <c r="B45" s="811" t="s">
        <v>178</v>
      </c>
      <c r="C45" s="772">
        <v>600</v>
      </c>
      <c r="D45" s="772">
        <v>560</v>
      </c>
      <c r="E45" s="772">
        <v>720</v>
      </c>
      <c r="F45" s="772">
        <v>1</v>
      </c>
      <c r="G45" s="781" t="s">
        <v>179</v>
      </c>
      <c r="H45" s="781" t="s">
        <v>180</v>
      </c>
      <c r="I45" s="835">
        <f>F45</f>
        <v>1</v>
      </c>
      <c r="J45" s="847">
        <v>25</v>
      </c>
      <c r="K45" s="837">
        <f>I45*J45</f>
        <v>25</v>
      </c>
      <c r="L45" s="838" t="s">
        <v>181</v>
      </c>
      <c r="M45" s="782" t="s">
        <v>182</v>
      </c>
      <c r="N45" s="782">
        <v>1</v>
      </c>
      <c r="R45" s="865">
        <f>K45*560*720/1000000/0.9</f>
        <v>11.2</v>
      </c>
      <c r="S45" s="866">
        <f t="shared" si="1"/>
        <v>65</v>
      </c>
      <c r="T45" s="866">
        <f t="shared" si="2"/>
        <v>18</v>
      </c>
      <c r="U45" s="866">
        <f t="shared" si="3"/>
        <v>47</v>
      </c>
      <c r="V45" s="867">
        <f>J45*11</f>
        <v>275</v>
      </c>
      <c r="W45" s="868">
        <f t="shared" si="4"/>
        <v>0.16128</v>
      </c>
      <c r="X45" s="756">
        <v>0</v>
      </c>
      <c r="Y45" s="751"/>
      <c r="Z45" s="751"/>
    </row>
    <row r="46" customHeight="1" spans="1:26">
      <c r="A46" s="812"/>
      <c r="B46" s="813"/>
      <c r="C46" s="777"/>
      <c r="D46" s="777"/>
      <c r="E46" s="777"/>
      <c r="F46" s="777"/>
      <c r="G46" s="782" t="s">
        <v>183</v>
      </c>
      <c r="H46" s="782" t="s">
        <v>184</v>
      </c>
      <c r="I46" s="840">
        <f>F45</f>
        <v>1</v>
      </c>
      <c r="J46" s="841"/>
      <c r="K46" s="837">
        <f>I46*J45</f>
        <v>25</v>
      </c>
      <c r="L46" s="838" t="s">
        <v>185</v>
      </c>
      <c r="M46" s="782" t="s">
        <v>186</v>
      </c>
      <c r="N46" s="782">
        <v>1</v>
      </c>
      <c r="R46" s="865">
        <f>K46*560*720/1000000/0.9</f>
        <v>11.2</v>
      </c>
      <c r="S46" s="866">
        <f t="shared" si="1"/>
        <v>65</v>
      </c>
      <c r="T46" s="866">
        <f t="shared" si="2"/>
        <v>18</v>
      </c>
      <c r="U46" s="866">
        <f t="shared" si="3"/>
        <v>47</v>
      </c>
      <c r="V46" s="869"/>
      <c r="W46" s="868">
        <f t="shared" si="4"/>
        <v>0.16128</v>
      </c>
      <c r="X46" s="756">
        <v>0</v>
      </c>
      <c r="Y46" s="751"/>
      <c r="Z46" s="751"/>
    </row>
    <row r="47" customHeight="1" spans="1:26">
      <c r="A47" s="812"/>
      <c r="B47" s="813"/>
      <c r="C47" s="777"/>
      <c r="D47" s="777"/>
      <c r="E47" s="777"/>
      <c r="F47" s="777"/>
      <c r="G47" s="782" t="s">
        <v>187</v>
      </c>
      <c r="H47" s="782" t="s">
        <v>188</v>
      </c>
      <c r="I47" s="840">
        <f>F45</f>
        <v>1</v>
      </c>
      <c r="J47" s="841"/>
      <c r="K47" s="837">
        <f>I47*J45</f>
        <v>25</v>
      </c>
      <c r="L47" s="838" t="s">
        <v>189</v>
      </c>
      <c r="M47" s="782" t="s">
        <v>190</v>
      </c>
      <c r="N47" s="782">
        <v>1</v>
      </c>
      <c r="R47" s="865">
        <f>K47*520*567/1000000/0.9</f>
        <v>8.19</v>
      </c>
      <c r="S47" s="866">
        <f>K47*((520+567)*2+40)/1000</f>
        <v>55.35</v>
      </c>
      <c r="T47" s="866">
        <f t="shared" si="2"/>
        <v>14.175</v>
      </c>
      <c r="U47" s="866">
        <f>S47-0.567*K47</f>
        <v>41.175</v>
      </c>
      <c r="V47" s="869"/>
      <c r="W47" s="868">
        <f>K47*520*567*16/1000000000</f>
        <v>0.117936</v>
      </c>
      <c r="X47" s="756">
        <v>0</v>
      </c>
      <c r="Y47" s="751"/>
      <c r="Z47" s="751"/>
    </row>
    <row r="48" customHeight="1" spans="1:26">
      <c r="A48" s="812"/>
      <c r="B48" s="813"/>
      <c r="C48" s="777"/>
      <c r="D48" s="777"/>
      <c r="E48" s="777"/>
      <c r="F48" s="777"/>
      <c r="G48" s="782" t="s">
        <v>133</v>
      </c>
      <c r="H48" s="782" t="s">
        <v>134</v>
      </c>
      <c r="I48" s="840">
        <f>F45*2</f>
        <v>2</v>
      </c>
      <c r="J48" s="841"/>
      <c r="K48" s="837">
        <f>I48*J45</f>
        <v>50</v>
      </c>
      <c r="L48" s="838" t="s">
        <v>150</v>
      </c>
      <c r="M48" s="782" t="s">
        <v>151</v>
      </c>
      <c r="N48" s="782">
        <v>2</v>
      </c>
      <c r="R48" s="865">
        <f>K48*88*567/1000000/0.9</f>
        <v>2.772</v>
      </c>
      <c r="S48" s="866">
        <f>K48*((88+567)+10)/1000</f>
        <v>33.25</v>
      </c>
      <c r="T48" s="866">
        <f t="shared" si="2"/>
        <v>28.35</v>
      </c>
      <c r="U48" s="866">
        <f>S48-0.567*K48</f>
        <v>4.9</v>
      </c>
      <c r="V48" s="869"/>
      <c r="W48" s="868">
        <f>K48*88*567*16/1000000000</f>
        <v>0.0399168</v>
      </c>
      <c r="X48" s="756">
        <v>1</v>
      </c>
      <c r="Y48" s="751"/>
      <c r="Z48" s="751"/>
    </row>
    <row r="49" customHeight="1" spans="1:26">
      <c r="A49" s="814"/>
      <c r="B49" s="815"/>
      <c r="C49" s="780"/>
      <c r="D49" s="780"/>
      <c r="E49" s="780"/>
      <c r="F49" s="780"/>
      <c r="G49" s="783" t="s">
        <v>191</v>
      </c>
      <c r="H49" s="783" t="s">
        <v>192</v>
      </c>
      <c r="I49" s="842">
        <f>F45</f>
        <v>1</v>
      </c>
      <c r="J49" s="843"/>
      <c r="K49" s="844">
        <f>I49*J45</f>
        <v>25</v>
      </c>
      <c r="L49" s="838" t="s">
        <v>193</v>
      </c>
      <c r="M49" s="782" t="s">
        <v>194</v>
      </c>
      <c r="N49" s="782">
        <v>1</v>
      </c>
      <c r="R49" s="865">
        <f>K49*520*567/1000000/0.9</f>
        <v>8.19</v>
      </c>
      <c r="S49" s="866">
        <f>K49*((520+567)*2+40)/1000</f>
        <v>55.35</v>
      </c>
      <c r="T49" s="866">
        <f t="shared" si="2"/>
        <v>14.175</v>
      </c>
      <c r="U49" s="866">
        <f>S49-0.567*K49</f>
        <v>41.175</v>
      </c>
      <c r="V49" s="871"/>
      <c r="W49" s="868">
        <f>K49*520*567*16/1000000000</f>
        <v>0.117936</v>
      </c>
      <c r="X49" s="756">
        <v>0</v>
      </c>
      <c r="Y49" s="751"/>
      <c r="Z49" s="751"/>
    </row>
    <row r="50" customHeight="1" spans="1:26">
      <c r="A50" s="816"/>
      <c r="B50" s="817" t="s">
        <v>195</v>
      </c>
      <c r="C50" s="772">
        <v>150</v>
      </c>
      <c r="D50" s="772">
        <v>560</v>
      </c>
      <c r="E50" s="772">
        <v>720</v>
      </c>
      <c r="F50" s="772">
        <v>1</v>
      </c>
      <c r="G50" s="774" t="s">
        <v>86</v>
      </c>
      <c r="H50" s="781" t="s">
        <v>196</v>
      </c>
      <c r="I50" s="835">
        <f>F50</f>
        <v>1</v>
      </c>
      <c r="J50" s="847">
        <v>25</v>
      </c>
      <c r="K50" s="837">
        <f>I50*J50</f>
        <v>25</v>
      </c>
      <c r="L50" s="838" t="s">
        <v>197</v>
      </c>
      <c r="M50" s="782" t="s">
        <v>198</v>
      </c>
      <c r="N50" s="782">
        <v>1</v>
      </c>
      <c r="R50" s="865">
        <f>K50*560*720/1000000/0.9</f>
        <v>11.2</v>
      </c>
      <c r="S50" s="866">
        <f t="shared" si="1"/>
        <v>65</v>
      </c>
      <c r="T50" s="866">
        <f t="shared" si="2"/>
        <v>18</v>
      </c>
      <c r="U50" s="866">
        <f t="shared" si="3"/>
        <v>47</v>
      </c>
      <c r="V50" s="867">
        <f>J50*11</f>
        <v>275</v>
      </c>
      <c r="W50" s="868">
        <f t="shared" si="4"/>
        <v>0.16128</v>
      </c>
      <c r="X50" s="756">
        <v>0</v>
      </c>
      <c r="Y50" s="751"/>
      <c r="Z50" s="751"/>
    </row>
    <row r="51" customHeight="1" spans="1:26">
      <c r="A51" s="818"/>
      <c r="B51" s="819"/>
      <c r="C51" s="777"/>
      <c r="D51" s="777"/>
      <c r="E51" s="777"/>
      <c r="F51" s="777"/>
      <c r="G51" s="774" t="s">
        <v>86</v>
      </c>
      <c r="H51" s="782" t="s">
        <v>199</v>
      </c>
      <c r="I51" s="840">
        <f>F50</f>
        <v>1</v>
      </c>
      <c r="J51" s="841"/>
      <c r="K51" s="837">
        <f>I51*J50</f>
        <v>25</v>
      </c>
      <c r="L51" s="838" t="s">
        <v>200</v>
      </c>
      <c r="M51" s="782" t="s">
        <v>201</v>
      </c>
      <c r="N51" s="782">
        <v>1</v>
      </c>
      <c r="R51" s="865">
        <f>K51*560*720/1000000/0.9</f>
        <v>11.2</v>
      </c>
      <c r="S51" s="866">
        <f t="shared" si="1"/>
        <v>65</v>
      </c>
      <c r="T51" s="866">
        <f t="shared" si="2"/>
        <v>18</v>
      </c>
      <c r="U51" s="866">
        <f t="shared" si="3"/>
        <v>47</v>
      </c>
      <c r="V51" s="869"/>
      <c r="W51" s="868">
        <f t="shared" si="4"/>
        <v>0.16128</v>
      </c>
      <c r="X51" s="756">
        <v>0</v>
      </c>
      <c r="Y51" s="751"/>
      <c r="Z51" s="751"/>
    </row>
    <row r="52" customHeight="1" spans="1:26">
      <c r="A52" s="818"/>
      <c r="B52" s="819"/>
      <c r="C52" s="777"/>
      <c r="D52" s="777"/>
      <c r="E52" s="777"/>
      <c r="F52" s="777"/>
      <c r="G52" s="782" t="s">
        <v>202</v>
      </c>
      <c r="H52" s="782" t="s">
        <v>203</v>
      </c>
      <c r="I52" s="840">
        <f>F50</f>
        <v>1</v>
      </c>
      <c r="J52" s="841"/>
      <c r="K52" s="837">
        <f>I52*J50</f>
        <v>25</v>
      </c>
      <c r="L52" s="838" t="s">
        <v>204</v>
      </c>
      <c r="M52" s="782" t="s">
        <v>205</v>
      </c>
      <c r="N52" s="782">
        <v>1</v>
      </c>
      <c r="R52" s="865">
        <f>K52*560*117/1000000/0.9</f>
        <v>1.82</v>
      </c>
      <c r="S52" s="866">
        <f>K52*((560+117)*2+40)/1000</f>
        <v>34.85</v>
      </c>
      <c r="T52" s="866">
        <f t="shared" si="2"/>
        <v>2.925</v>
      </c>
      <c r="U52" s="866">
        <f>S52-0.117*K52</f>
        <v>31.925</v>
      </c>
      <c r="V52" s="869"/>
      <c r="W52" s="868">
        <f>K52*708*117*16/1000000000</f>
        <v>0.0331344</v>
      </c>
      <c r="X52" s="756">
        <v>0</v>
      </c>
      <c r="Y52" s="751"/>
      <c r="Z52" s="751"/>
    </row>
    <row r="53" customHeight="1" spans="1:26">
      <c r="A53" s="818"/>
      <c r="B53" s="819"/>
      <c r="C53" s="777"/>
      <c r="D53" s="777"/>
      <c r="E53" s="777"/>
      <c r="F53" s="777"/>
      <c r="G53" s="782" t="s">
        <v>206</v>
      </c>
      <c r="H53" s="782" t="s">
        <v>207</v>
      </c>
      <c r="I53" s="840">
        <f>F50</f>
        <v>1</v>
      </c>
      <c r="J53" s="841"/>
      <c r="K53" s="837">
        <f>I53*J50</f>
        <v>25</v>
      </c>
      <c r="L53" s="838" t="s">
        <v>208</v>
      </c>
      <c r="M53" s="782" t="s">
        <v>209</v>
      </c>
      <c r="N53" s="782">
        <v>1</v>
      </c>
      <c r="R53" s="865">
        <f>K53*708*128/1000000/0.9</f>
        <v>2.51733333333333</v>
      </c>
      <c r="S53" s="866"/>
      <c r="T53" s="866"/>
      <c r="U53" s="866"/>
      <c r="V53" s="869"/>
      <c r="W53" s="868">
        <f>K53*708*128*3/1000000000</f>
        <v>0.0067968</v>
      </c>
      <c r="X53" s="756">
        <v>0</v>
      </c>
      <c r="Y53" s="751"/>
      <c r="Z53" s="751"/>
    </row>
    <row r="54" customHeight="1" spans="1:26">
      <c r="A54" s="818"/>
      <c r="B54" s="819"/>
      <c r="C54" s="780"/>
      <c r="D54" s="780"/>
      <c r="E54" s="780"/>
      <c r="F54" s="780"/>
      <c r="G54" s="783" t="s">
        <v>210</v>
      </c>
      <c r="H54" s="783" t="s">
        <v>211</v>
      </c>
      <c r="I54" s="842">
        <f>F50*2</f>
        <v>2</v>
      </c>
      <c r="J54" s="843"/>
      <c r="K54" s="844">
        <f>I54*J50</f>
        <v>50</v>
      </c>
      <c r="L54" s="838" t="s">
        <v>212</v>
      </c>
      <c r="M54" s="782" t="s">
        <v>213</v>
      </c>
      <c r="N54" s="782">
        <v>2</v>
      </c>
      <c r="R54" s="865">
        <f>K54*88*117/1000000/0.9</f>
        <v>0.572</v>
      </c>
      <c r="S54" s="866">
        <f>K54*((88+117)+10)/1000</f>
        <v>10.75</v>
      </c>
      <c r="T54" s="866">
        <f t="shared" si="2"/>
        <v>10.75</v>
      </c>
      <c r="U54" s="866"/>
      <c r="V54" s="871"/>
      <c r="W54" s="868">
        <f>K54*88*117*16/1000000000</f>
        <v>0.0082368</v>
      </c>
      <c r="X54" s="756">
        <v>0</v>
      </c>
      <c r="Y54" s="751"/>
      <c r="Z54" s="751"/>
    </row>
    <row r="55" customHeight="1" spans="1:26">
      <c r="A55" s="818"/>
      <c r="B55" s="819"/>
      <c r="C55" s="777">
        <v>300</v>
      </c>
      <c r="D55" s="777">
        <v>560</v>
      </c>
      <c r="E55" s="777">
        <v>720</v>
      </c>
      <c r="F55" s="777">
        <v>1</v>
      </c>
      <c r="G55" s="774" t="s">
        <v>86</v>
      </c>
      <c r="H55" s="794" t="s">
        <v>196</v>
      </c>
      <c r="I55" s="848">
        <f>F55</f>
        <v>1</v>
      </c>
      <c r="J55" s="847">
        <v>20</v>
      </c>
      <c r="K55" s="837">
        <f>I55*J55</f>
        <v>20</v>
      </c>
      <c r="L55" s="838" t="s">
        <v>197</v>
      </c>
      <c r="M55" s="782" t="s">
        <v>198</v>
      </c>
      <c r="N55" s="782">
        <v>1</v>
      </c>
      <c r="R55" s="865">
        <f>K55*560*720/1000000/0.9</f>
        <v>8.96</v>
      </c>
      <c r="S55" s="866">
        <f t="shared" si="1"/>
        <v>52</v>
      </c>
      <c r="T55" s="866">
        <f t="shared" si="2"/>
        <v>14.4</v>
      </c>
      <c r="U55" s="866">
        <f t="shared" si="3"/>
        <v>37.6</v>
      </c>
      <c r="V55" s="867">
        <f>J55*11</f>
        <v>220</v>
      </c>
      <c r="W55" s="868">
        <f t="shared" si="4"/>
        <v>0.129024</v>
      </c>
      <c r="X55" s="756">
        <v>1</v>
      </c>
      <c r="Y55" s="751"/>
      <c r="Z55" s="751"/>
    </row>
    <row r="56" customHeight="1" spans="1:26">
      <c r="A56" s="818"/>
      <c r="B56" s="819"/>
      <c r="C56" s="777"/>
      <c r="D56" s="777"/>
      <c r="E56" s="777"/>
      <c r="F56" s="777"/>
      <c r="G56" s="774" t="s">
        <v>86</v>
      </c>
      <c r="H56" s="782" t="s">
        <v>199</v>
      </c>
      <c r="I56" s="840">
        <f>F55</f>
        <v>1</v>
      </c>
      <c r="J56" s="841"/>
      <c r="K56" s="837">
        <f>I56*J55</f>
        <v>20</v>
      </c>
      <c r="L56" s="838" t="s">
        <v>200</v>
      </c>
      <c r="M56" s="782" t="s">
        <v>201</v>
      </c>
      <c r="N56" s="782">
        <v>1</v>
      </c>
      <c r="R56" s="865">
        <f>K56*560*720/1000000/0.9</f>
        <v>8.96</v>
      </c>
      <c r="S56" s="866">
        <f t="shared" si="1"/>
        <v>52</v>
      </c>
      <c r="T56" s="866">
        <f t="shared" si="2"/>
        <v>14.4</v>
      </c>
      <c r="U56" s="866">
        <f t="shared" si="3"/>
        <v>37.6</v>
      </c>
      <c r="V56" s="869"/>
      <c r="W56" s="868">
        <f t="shared" si="4"/>
        <v>0.129024</v>
      </c>
      <c r="X56" s="756">
        <v>1</v>
      </c>
      <c r="Y56" s="751"/>
      <c r="Z56" s="751"/>
    </row>
    <row r="57" customHeight="1" spans="1:26">
      <c r="A57" s="818"/>
      <c r="B57" s="819"/>
      <c r="C57" s="777"/>
      <c r="D57" s="777"/>
      <c r="E57" s="777"/>
      <c r="F57" s="777"/>
      <c r="G57" s="782" t="s">
        <v>90</v>
      </c>
      <c r="H57" s="782" t="s">
        <v>91</v>
      </c>
      <c r="I57" s="840">
        <f>F55</f>
        <v>1</v>
      </c>
      <c r="J57" s="841"/>
      <c r="K57" s="837">
        <f>I57*J55</f>
        <v>20</v>
      </c>
      <c r="L57" s="838" t="s">
        <v>214</v>
      </c>
      <c r="M57" s="782" t="s">
        <v>215</v>
      </c>
      <c r="N57" s="782">
        <v>1</v>
      </c>
      <c r="R57" s="865">
        <f>K57*560*267/1000000/0.9</f>
        <v>3.32266666666667</v>
      </c>
      <c r="S57" s="866">
        <f>K57*((560+267)*2+40)/1000</f>
        <v>33.88</v>
      </c>
      <c r="T57" s="866">
        <f t="shared" si="2"/>
        <v>5.34</v>
      </c>
      <c r="U57" s="866">
        <f>S57-0.267*K57</f>
        <v>28.54</v>
      </c>
      <c r="V57" s="869"/>
      <c r="W57" s="868">
        <f>K57*560*267*16/1000000000</f>
        <v>0.0478464</v>
      </c>
      <c r="X57" s="756">
        <v>0</v>
      </c>
      <c r="Y57" s="751"/>
      <c r="Z57" s="751"/>
    </row>
    <row r="58" customHeight="1" spans="1:26">
      <c r="A58" s="818"/>
      <c r="B58" s="819"/>
      <c r="C58" s="777"/>
      <c r="D58" s="777"/>
      <c r="E58" s="777"/>
      <c r="F58" s="777"/>
      <c r="G58" s="782" t="s">
        <v>94</v>
      </c>
      <c r="H58" s="782" t="s">
        <v>95</v>
      </c>
      <c r="I58" s="840">
        <f>F55</f>
        <v>1</v>
      </c>
      <c r="J58" s="841"/>
      <c r="K58" s="837">
        <f>I58*J55</f>
        <v>20</v>
      </c>
      <c r="L58" s="838" t="s">
        <v>216</v>
      </c>
      <c r="M58" s="782" t="s">
        <v>217</v>
      </c>
      <c r="N58" s="782">
        <v>1</v>
      </c>
      <c r="R58" s="865">
        <f>K58*708*278/1000000/0.9</f>
        <v>4.37386666666667</v>
      </c>
      <c r="S58" s="866"/>
      <c r="T58" s="866"/>
      <c r="U58" s="866"/>
      <c r="V58" s="869"/>
      <c r="W58" s="868">
        <f>K58*708*278*3/1000000000</f>
        <v>0.01180944</v>
      </c>
      <c r="X58" s="756">
        <v>0</v>
      </c>
      <c r="Y58" s="751"/>
      <c r="Z58" s="751"/>
    </row>
    <row r="59" customHeight="1" spans="1:26">
      <c r="A59" s="818"/>
      <c r="B59" s="819"/>
      <c r="C59" s="780"/>
      <c r="D59" s="780"/>
      <c r="E59" s="780"/>
      <c r="F59" s="780"/>
      <c r="G59" s="783" t="s">
        <v>96</v>
      </c>
      <c r="H59" s="783" t="s">
        <v>97</v>
      </c>
      <c r="I59" s="842">
        <f>F55*2</f>
        <v>2</v>
      </c>
      <c r="J59" s="843"/>
      <c r="K59" s="844">
        <f>I59*J55</f>
        <v>40</v>
      </c>
      <c r="L59" s="838" t="s">
        <v>218</v>
      </c>
      <c r="M59" s="782" t="s">
        <v>219</v>
      </c>
      <c r="N59" s="782">
        <v>2</v>
      </c>
      <c r="R59" s="865">
        <f>K59*88*267/1000000/0.9</f>
        <v>1.04426666666667</v>
      </c>
      <c r="S59" s="866">
        <f>K59*((560+720)+10)/1000</f>
        <v>51.6</v>
      </c>
      <c r="T59" s="866">
        <f t="shared" si="2"/>
        <v>10.68</v>
      </c>
      <c r="U59" s="866">
        <f>S59-0.267*K59</f>
        <v>40.92</v>
      </c>
      <c r="V59" s="871"/>
      <c r="W59" s="868">
        <f>K59*88*267*16/1000000000</f>
        <v>0.01503744</v>
      </c>
      <c r="X59" s="756">
        <v>0</v>
      </c>
      <c r="Y59" s="751"/>
      <c r="Z59" s="751"/>
    </row>
    <row r="60" customFormat="1" customHeight="1" spans="1:19">
      <c r="A60" s="818"/>
      <c r="B60" s="819"/>
      <c r="C60" s="772">
        <v>450</v>
      </c>
      <c r="D60" s="772">
        <v>560</v>
      </c>
      <c r="E60" s="772">
        <v>720</v>
      </c>
      <c r="F60" s="785">
        <v>1</v>
      </c>
      <c r="G60" s="774" t="s">
        <v>86</v>
      </c>
      <c r="H60" s="779" t="s">
        <v>196</v>
      </c>
      <c r="I60" s="834">
        <f>F60</f>
        <v>1</v>
      </c>
      <c r="J60" s="853" t="e">
        <f>I60*#REF!</f>
        <v>#REF!</v>
      </c>
      <c r="K60" s="854">
        <v>1</v>
      </c>
      <c r="Q60" s="863" t="e">
        <f t="shared" ref="Q60:Q64" si="10">J60*300*720/1000000/0.9</f>
        <v>#REF!</v>
      </c>
      <c r="R60" s="863"/>
      <c r="S60" s="863"/>
    </row>
    <row r="61" customFormat="1" customHeight="1" spans="1:19">
      <c r="A61" s="818"/>
      <c r="B61" s="819"/>
      <c r="C61" s="777"/>
      <c r="D61" s="777"/>
      <c r="E61" s="777"/>
      <c r="F61" s="785"/>
      <c r="G61" s="774" t="s">
        <v>86</v>
      </c>
      <c r="H61" s="779" t="s">
        <v>199</v>
      </c>
      <c r="I61" s="834">
        <f>F60</f>
        <v>1</v>
      </c>
      <c r="J61" s="853" t="e">
        <f>I61*#REF!</f>
        <v>#REF!</v>
      </c>
      <c r="K61" s="854">
        <v>1</v>
      </c>
      <c r="Q61" s="863" t="e">
        <f t="shared" si="10"/>
        <v>#REF!</v>
      </c>
      <c r="R61" s="863"/>
      <c r="S61" s="863"/>
    </row>
    <row r="62" customFormat="1" customHeight="1" spans="1:19">
      <c r="A62" s="818"/>
      <c r="B62" s="819"/>
      <c r="C62" s="777"/>
      <c r="D62" s="777"/>
      <c r="E62" s="777"/>
      <c r="F62" s="785"/>
      <c r="G62" s="779" t="s">
        <v>106</v>
      </c>
      <c r="H62" s="779" t="s">
        <v>107</v>
      </c>
      <c r="I62" s="834">
        <f>F60</f>
        <v>1</v>
      </c>
      <c r="J62" s="853" t="e">
        <f>I62*#REF!</f>
        <v>#REF!</v>
      </c>
      <c r="K62" s="854">
        <v>1</v>
      </c>
      <c r="Q62" s="863" t="e">
        <f t="shared" si="10"/>
        <v>#REF!</v>
      </c>
      <c r="R62" s="863"/>
      <c r="S62" s="863"/>
    </row>
    <row r="63" customFormat="1" customHeight="1" spans="1:19">
      <c r="A63" s="818"/>
      <c r="B63" s="819"/>
      <c r="C63" s="777"/>
      <c r="D63" s="777"/>
      <c r="E63" s="777"/>
      <c r="F63" s="785"/>
      <c r="G63" s="779" t="s">
        <v>117</v>
      </c>
      <c r="H63" s="779" t="s">
        <v>118</v>
      </c>
      <c r="I63" s="834">
        <f>F60</f>
        <v>1</v>
      </c>
      <c r="J63" s="853" t="e">
        <f>I63*#REF!</f>
        <v>#REF!</v>
      </c>
      <c r="K63" s="854">
        <v>1</v>
      </c>
      <c r="Q63" s="863" t="e">
        <f t="shared" si="10"/>
        <v>#REF!</v>
      </c>
      <c r="R63" s="863"/>
      <c r="S63" s="863"/>
    </row>
    <row r="64" customFormat="1" customHeight="1" spans="1:19">
      <c r="A64" s="820"/>
      <c r="B64" s="821"/>
      <c r="C64" s="780"/>
      <c r="D64" s="780"/>
      <c r="E64" s="780"/>
      <c r="F64" s="798"/>
      <c r="G64" s="799" t="s">
        <v>122</v>
      </c>
      <c r="H64" s="799" t="s">
        <v>123</v>
      </c>
      <c r="I64" s="849">
        <f>F60*2</f>
        <v>2</v>
      </c>
      <c r="J64" s="853" t="e">
        <f>I64*#REF!</f>
        <v>#REF!</v>
      </c>
      <c r="K64" s="854">
        <v>2</v>
      </c>
      <c r="Q64" s="863" t="e">
        <f t="shared" si="10"/>
        <v>#REF!</v>
      </c>
      <c r="R64" s="863"/>
      <c r="S64" s="863"/>
    </row>
    <row r="65" customHeight="1" spans="1:26">
      <c r="A65" s="790"/>
      <c r="B65" s="791" t="s">
        <v>220</v>
      </c>
      <c r="C65" s="772">
        <v>450</v>
      </c>
      <c r="D65" s="772">
        <v>300</v>
      </c>
      <c r="E65" s="772">
        <v>720</v>
      </c>
      <c r="F65" s="772">
        <v>1</v>
      </c>
      <c r="G65" s="781" t="s">
        <v>221</v>
      </c>
      <c r="H65" s="781" t="s">
        <v>222</v>
      </c>
      <c r="I65" s="835">
        <f>F65</f>
        <v>1</v>
      </c>
      <c r="J65" s="847">
        <v>35</v>
      </c>
      <c r="K65" s="837">
        <f>I65*J65</f>
        <v>35</v>
      </c>
      <c r="L65" s="838" t="s">
        <v>223</v>
      </c>
      <c r="M65" s="782" t="s">
        <v>224</v>
      </c>
      <c r="N65" s="782">
        <v>1</v>
      </c>
      <c r="R65" s="865">
        <f>K65*300*720/1000000/0.9</f>
        <v>8.4</v>
      </c>
      <c r="S65" s="866">
        <f>K65*((300+720)*2+40)/1000</f>
        <v>72.8</v>
      </c>
      <c r="T65" s="866">
        <f t="shared" si="2"/>
        <v>25.2</v>
      </c>
      <c r="U65" s="866">
        <f t="shared" si="3"/>
        <v>47.6</v>
      </c>
      <c r="V65" s="867">
        <f>J65*11</f>
        <v>385</v>
      </c>
      <c r="W65" s="868">
        <f>K65*300*720*16/1000000000</f>
        <v>0.12096</v>
      </c>
      <c r="X65" s="756">
        <v>1</v>
      </c>
      <c r="Y65" s="751"/>
      <c r="Z65" s="751"/>
    </row>
    <row r="66" customHeight="1" spans="1:26">
      <c r="A66" s="792"/>
      <c r="B66" s="793"/>
      <c r="C66" s="877"/>
      <c r="D66" s="877"/>
      <c r="E66" s="877"/>
      <c r="F66" s="877"/>
      <c r="G66" s="782" t="s">
        <v>225</v>
      </c>
      <c r="H66" s="782" t="s">
        <v>226</v>
      </c>
      <c r="I66" s="840">
        <f>F65</f>
        <v>1</v>
      </c>
      <c r="J66" s="841"/>
      <c r="K66" s="837">
        <f>I66*J65</f>
        <v>35</v>
      </c>
      <c r="L66" s="838" t="s">
        <v>227</v>
      </c>
      <c r="M66" s="782" t="s">
        <v>228</v>
      </c>
      <c r="N66" s="782">
        <v>1</v>
      </c>
      <c r="R66" s="865">
        <f>K66*300*720/1000000/0.9</f>
        <v>8.4</v>
      </c>
      <c r="S66" s="866">
        <f>K66*((300+720)*2+40)/1000</f>
        <v>72.8</v>
      </c>
      <c r="T66" s="866">
        <f t="shared" si="2"/>
        <v>25.2</v>
      </c>
      <c r="U66" s="866">
        <f t="shared" si="3"/>
        <v>47.6</v>
      </c>
      <c r="V66" s="869"/>
      <c r="W66" s="868">
        <f>K66*300*720*16/1000000000</f>
        <v>0.12096</v>
      </c>
      <c r="X66" s="756">
        <v>1</v>
      </c>
      <c r="Y66" s="751"/>
      <c r="Z66" s="751"/>
    </row>
    <row r="67" customHeight="1" spans="1:26">
      <c r="A67" s="792"/>
      <c r="B67" s="793"/>
      <c r="C67" s="877"/>
      <c r="D67" s="877"/>
      <c r="E67" s="877"/>
      <c r="F67" s="877"/>
      <c r="G67" s="782" t="s">
        <v>229</v>
      </c>
      <c r="H67" s="782" t="s">
        <v>230</v>
      </c>
      <c r="I67" s="840">
        <f>F65</f>
        <v>1</v>
      </c>
      <c r="J67" s="841"/>
      <c r="K67" s="837">
        <f>I67*J65</f>
        <v>35</v>
      </c>
      <c r="L67" s="838" t="s">
        <v>231</v>
      </c>
      <c r="M67" s="782" t="s">
        <v>232</v>
      </c>
      <c r="N67" s="782">
        <v>1</v>
      </c>
      <c r="R67" s="865">
        <f>K67*300*417/1000000/0.9</f>
        <v>4.865</v>
      </c>
      <c r="S67" s="866">
        <f>K67*((300+417)*2+40)/1000</f>
        <v>51.59</v>
      </c>
      <c r="T67" s="866">
        <f t="shared" si="2"/>
        <v>14.595</v>
      </c>
      <c r="U67" s="866">
        <f>S67-0.417*K67</f>
        <v>36.995</v>
      </c>
      <c r="V67" s="869"/>
      <c r="W67" s="868">
        <f>K67*300*417*16/1000000000</f>
        <v>0.070056</v>
      </c>
      <c r="X67" s="756">
        <v>0</v>
      </c>
      <c r="Y67" s="751"/>
      <c r="Z67" s="751"/>
    </row>
    <row r="68" customHeight="1" spans="1:26">
      <c r="A68" s="792"/>
      <c r="B68" s="793"/>
      <c r="C68" s="877"/>
      <c r="D68" s="877"/>
      <c r="E68" s="877"/>
      <c r="F68" s="877"/>
      <c r="G68" s="782" t="s">
        <v>233</v>
      </c>
      <c r="H68" s="782" t="s">
        <v>234</v>
      </c>
      <c r="I68" s="840">
        <f>F65</f>
        <v>1</v>
      </c>
      <c r="J68" s="841"/>
      <c r="K68" s="837">
        <f>I68*J65</f>
        <v>35</v>
      </c>
      <c r="L68" s="838" t="s">
        <v>235</v>
      </c>
      <c r="M68" s="782" t="s">
        <v>236</v>
      </c>
      <c r="N68" s="782">
        <v>1</v>
      </c>
      <c r="R68" s="865">
        <f>K68*277*417/1000000/0.9</f>
        <v>4.49201666666667</v>
      </c>
      <c r="S68" s="866">
        <f>K68*((277+417)*2+40)/1000</f>
        <v>49.98</v>
      </c>
      <c r="T68" s="866">
        <f t="shared" si="2"/>
        <v>14.595</v>
      </c>
      <c r="U68" s="866">
        <f>S68-0.417*K68</f>
        <v>35.385</v>
      </c>
      <c r="V68" s="869"/>
      <c r="W68" s="868">
        <f>K68*277*417*16/1000000000</f>
        <v>0.06468504</v>
      </c>
      <c r="X68" s="756">
        <v>0</v>
      </c>
      <c r="Y68" s="751"/>
      <c r="Z68" s="751"/>
    </row>
    <row r="69" customHeight="1" spans="1:26">
      <c r="A69" s="792"/>
      <c r="B69" s="793"/>
      <c r="C69" s="877"/>
      <c r="D69" s="877"/>
      <c r="E69" s="877"/>
      <c r="F69" s="877"/>
      <c r="G69" s="782" t="s">
        <v>237</v>
      </c>
      <c r="H69" s="782" t="s">
        <v>238</v>
      </c>
      <c r="I69" s="840">
        <f>F65</f>
        <v>1</v>
      </c>
      <c r="J69" s="841"/>
      <c r="K69" s="837">
        <f>I69*J65</f>
        <v>35</v>
      </c>
      <c r="L69" s="838" t="s">
        <v>239</v>
      </c>
      <c r="M69" s="782" t="s">
        <v>240</v>
      </c>
      <c r="N69" s="782">
        <v>1</v>
      </c>
      <c r="R69" s="865">
        <f>K69*254*416/1000000/0.9</f>
        <v>4.10915555555556</v>
      </c>
      <c r="S69" s="866">
        <f>K69*((254+416)*2+40)/1000</f>
        <v>48.3</v>
      </c>
      <c r="T69" s="866">
        <f t="shared" si="2"/>
        <v>14.56</v>
      </c>
      <c r="U69" s="866">
        <f>S69-0.416*K69</f>
        <v>33.74</v>
      </c>
      <c r="V69" s="869"/>
      <c r="W69" s="868">
        <f>K69*254*416*16/1000000000</f>
        <v>0.05917184</v>
      </c>
      <c r="X69" s="756">
        <v>0</v>
      </c>
      <c r="Y69" s="751"/>
      <c r="Z69" s="751"/>
    </row>
    <row r="70" customHeight="1" spans="1:26">
      <c r="A70" s="792"/>
      <c r="B70" s="793"/>
      <c r="C70" s="877"/>
      <c r="D70" s="877"/>
      <c r="E70" s="877"/>
      <c r="F70" s="877"/>
      <c r="G70" s="782" t="s">
        <v>241</v>
      </c>
      <c r="H70" s="782" t="s">
        <v>242</v>
      </c>
      <c r="I70" s="840">
        <f>F65</f>
        <v>1</v>
      </c>
      <c r="J70" s="841"/>
      <c r="K70" s="837">
        <f>I70*J65</f>
        <v>35</v>
      </c>
      <c r="L70" s="838" t="s">
        <v>243</v>
      </c>
      <c r="M70" s="782" t="s">
        <v>244</v>
      </c>
      <c r="N70" s="782">
        <v>1</v>
      </c>
      <c r="R70" s="865">
        <f>K70*708*428/1000000/0.9</f>
        <v>11.7842666666667</v>
      </c>
      <c r="S70" s="866"/>
      <c r="T70" s="866"/>
      <c r="U70" s="866"/>
      <c r="V70" s="869"/>
      <c r="W70" s="868">
        <f>K70*708*428*3/1000000000</f>
        <v>0.03181752</v>
      </c>
      <c r="X70" s="756">
        <v>0</v>
      </c>
      <c r="Y70" s="751"/>
      <c r="Z70" s="751"/>
    </row>
    <row r="71" customHeight="1" spans="1:26">
      <c r="A71" s="792"/>
      <c r="B71" s="793"/>
      <c r="C71" s="878"/>
      <c r="D71" s="878"/>
      <c r="E71" s="878"/>
      <c r="F71" s="878"/>
      <c r="G71" s="783" t="s">
        <v>122</v>
      </c>
      <c r="H71" s="783" t="s">
        <v>123</v>
      </c>
      <c r="I71" s="842">
        <f>F65</f>
        <v>1</v>
      </c>
      <c r="J71" s="843"/>
      <c r="K71" s="844">
        <f>I71*J65</f>
        <v>35</v>
      </c>
      <c r="L71" s="838" t="s">
        <v>124</v>
      </c>
      <c r="M71" s="782" t="s">
        <v>125</v>
      </c>
      <c r="N71" s="782">
        <v>1</v>
      </c>
      <c r="R71" s="865">
        <f>K71*88*417/1000000/0.9</f>
        <v>1.42706666666667</v>
      </c>
      <c r="S71" s="866">
        <f>K71*((88+417)+10)/1000</f>
        <v>18.025</v>
      </c>
      <c r="T71" s="866">
        <f t="shared" si="2"/>
        <v>18.025</v>
      </c>
      <c r="U71" s="866"/>
      <c r="V71" s="871"/>
      <c r="W71" s="868">
        <f>K71*88*417*16/1000000000</f>
        <v>0.02054976</v>
      </c>
      <c r="X71" s="756">
        <v>1</v>
      </c>
      <c r="Y71" s="751"/>
      <c r="Z71" s="751"/>
    </row>
    <row r="72" customHeight="1" spans="1:26">
      <c r="A72" s="792"/>
      <c r="B72" s="793"/>
      <c r="C72" s="777">
        <v>600</v>
      </c>
      <c r="D72" s="777">
        <v>300</v>
      </c>
      <c r="E72" s="777">
        <v>720</v>
      </c>
      <c r="F72" s="777">
        <v>1</v>
      </c>
      <c r="G72" s="794" t="s">
        <v>221</v>
      </c>
      <c r="H72" s="794" t="s">
        <v>222</v>
      </c>
      <c r="I72" s="848">
        <f>F72</f>
        <v>1</v>
      </c>
      <c r="J72" s="847">
        <v>30</v>
      </c>
      <c r="K72" s="837">
        <f>I72*J72</f>
        <v>30</v>
      </c>
      <c r="L72" s="838" t="s">
        <v>223</v>
      </c>
      <c r="M72" s="782" t="s">
        <v>224</v>
      </c>
      <c r="N72" s="782">
        <v>1</v>
      </c>
      <c r="R72" s="865">
        <f>K72*300*720/1000000/0.9</f>
        <v>7.2</v>
      </c>
      <c r="S72" s="866">
        <f>K72*((300+720)*2+40)/1000</f>
        <v>62.4</v>
      </c>
      <c r="T72" s="866">
        <f t="shared" si="2"/>
        <v>21.6</v>
      </c>
      <c r="U72" s="866">
        <f t="shared" si="3"/>
        <v>40.8</v>
      </c>
      <c r="V72" s="867">
        <f>J72*11</f>
        <v>330</v>
      </c>
      <c r="W72" s="868">
        <f>K72*300*720*16/1000000000</f>
        <v>0.10368</v>
      </c>
      <c r="X72" s="756">
        <v>1</v>
      </c>
      <c r="Y72" s="751"/>
      <c r="Z72" s="751"/>
    </row>
    <row r="73" customHeight="1" spans="1:26">
      <c r="A73" s="792"/>
      <c r="B73" s="793"/>
      <c r="C73" s="777"/>
      <c r="D73" s="777"/>
      <c r="E73" s="777"/>
      <c r="F73" s="777"/>
      <c r="G73" s="782" t="s">
        <v>225</v>
      </c>
      <c r="H73" s="782" t="s">
        <v>226</v>
      </c>
      <c r="I73" s="840">
        <f>F72</f>
        <v>1</v>
      </c>
      <c r="J73" s="841"/>
      <c r="K73" s="837">
        <f>I73*J72</f>
        <v>30</v>
      </c>
      <c r="L73" s="838" t="s">
        <v>227</v>
      </c>
      <c r="M73" s="782" t="s">
        <v>228</v>
      </c>
      <c r="N73" s="782">
        <v>1</v>
      </c>
      <c r="R73" s="865">
        <f>K73*300*720/1000000/0.9</f>
        <v>7.2</v>
      </c>
      <c r="S73" s="866">
        <f>K73*((300+720)*2+40)/1000</f>
        <v>62.4</v>
      </c>
      <c r="T73" s="866">
        <f t="shared" si="2"/>
        <v>21.6</v>
      </c>
      <c r="U73" s="866">
        <f t="shared" si="3"/>
        <v>40.8</v>
      </c>
      <c r="V73" s="869"/>
      <c r="W73" s="868">
        <f>K73*300*720*16/1000000000</f>
        <v>0.10368</v>
      </c>
      <c r="X73" s="756">
        <v>1</v>
      </c>
      <c r="Y73" s="751"/>
      <c r="Z73" s="751"/>
    </row>
    <row r="74" customHeight="1" spans="1:26">
      <c r="A74" s="792"/>
      <c r="B74" s="793"/>
      <c r="C74" s="777"/>
      <c r="D74" s="777"/>
      <c r="E74" s="777"/>
      <c r="F74" s="777"/>
      <c r="G74" s="782" t="s">
        <v>245</v>
      </c>
      <c r="H74" s="782" t="s">
        <v>246</v>
      </c>
      <c r="I74" s="840">
        <f>F72</f>
        <v>1</v>
      </c>
      <c r="J74" s="841"/>
      <c r="K74" s="837">
        <f>I74*J72</f>
        <v>30</v>
      </c>
      <c r="L74" s="838" t="s">
        <v>247</v>
      </c>
      <c r="M74" s="782" t="s">
        <v>248</v>
      </c>
      <c r="N74" s="782">
        <v>1</v>
      </c>
      <c r="R74" s="865">
        <f>K74*300*720/1000000/0.9</f>
        <v>7.2</v>
      </c>
      <c r="S74" s="866">
        <f>K74*((300+720)*2+40)/1000</f>
        <v>62.4</v>
      </c>
      <c r="T74" s="866">
        <f t="shared" si="2"/>
        <v>17.01</v>
      </c>
      <c r="U74" s="866">
        <f>S74-0.567*K74</f>
        <v>45.39</v>
      </c>
      <c r="V74" s="869"/>
      <c r="W74" s="868">
        <f>K74*300*720*16/1000000000</f>
        <v>0.10368</v>
      </c>
      <c r="X74" s="756">
        <v>0</v>
      </c>
      <c r="Y74" s="751"/>
      <c r="Z74" s="751"/>
    </row>
    <row r="75" customHeight="1" spans="1:26">
      <c r="A75" s="792"/>
      <c r="B75" s="793"/>
      <c r="C75" s="777"/>
      <c r="D75" s="777"/>
      <c r="E75" s="777"/>
      <c r="F75" s="777"/>
      <c r="G75" s="782" t="s">
        <v>249</v>
      </c>
      <c r="H75" s="782" t="s">
        <v>250</v>
      </c>
      <c r="I75" s="840">
        <f>F72</f>
        <v>1</v>
      </c>
      <c r="J75" s="841"/>
      <c r="K75" s="837">
        <f>I75*J72</f>
        <v>30</v>
      </c>
      <c r="L75" s="838" t="s">
        <v>251</v>
      </c>
      <c r="M75" s="782" t="s">
        <v>252</v>
      </c>
      <c r="N75" s="782">
        <v>1</v>
      </c>
      <c r="R75" s="865">
        <f>K75*277*567/1000000/0.9</f>
        <v>5.2353</v>
      </c>
      <c r="S75" s="866">
        <f>K75*((277+567)*2+40)/1000</f>
        <v>51.84</v>
      </c>
      <c r="T75" s="866">
        <f t="shared" si="2"/>
        <v>17.01</v>
      </c>
      <c r="U75" s="866">
        <f>S75-0.567*K75</f>
        <v>34.83</v>
      </c>
      <c r="V75" s="869"/>
      <c r="W75" s="868">
        <f>K75*277*567*16/1000000000</f>
        <v>0.07538832</v>
      </c>
      <c r="X75" s="756">
        <v>0</v>
      </c>
      <c r="Y75" s="751"/>
      <c r="Z75" s="751"/>
    </row>
    <row r="76" customHeight="1" spans="1:26">
      <c r="A76" s="792"/>
      <c r="B76" s="793"/>
      <c r="C76" s="777"/>
      <c r="D76" s="777"/>
      <c r="E76" s="777"/>
      <c r="F76" s="777"/>
      <c r="G76" s="782" t="s">
        <v>253</v>
      </c>
      <c r="H76" s="782" t="s">
        <v>254</v>
      </c>
      <c r="I76" s="840">
        <f>F72</f>
        <v>1</v>
      </c>
      <c r="J76" s="841"/>
      <c r="K76" s="837">
        <f>I76*J72</f>
        <v>30</v>
      </c>
      <c r="L76" s="838" t="s">
        <v>255</v>
      </c>
      <c r="M76" s="782" t="s">
        <v>256</v>
      </c>
      <c r="N76" s="782">
        <v>1</v>
      </c>
      <c r="R76" s="865">
        <f>K76*254*566/1000000/0.9</f>
        <v>4.79213333333333</v>
      </c>
      <c r="S76" s="866">
        <f>K76*((254+566)*2+40)/1000</f>
        <v>50.4</v>
      </c>
      <c r="T76" s="866">
        <f t="shared" si="2"/>
        <v>16.98</v>
      </c>
      <c r="U76" s="866">
        <f>S76-0.566*K76</f>
        <v>33.42</v>
      </c>
      <c r="V76" s="869"/>
      <c r="W76" s="868">
        <f>K76*254*566*16/1000000000</f>
        <v>0.06900672</v>
      </c>
      <c r="X76" s="756">
        <v>0</v>
      </c>
      <c r="Y76" s="751"/>
      <c r="Z76" s="751"/>
    </row>
    <row r="77" customHeight="1" spans="1:26">
      <c r="A77" s="792"/>
      <c r="B77" s="793"/>
      <c r="C77" s="777"/>
      <c r="D77" s="777"/>
      <c r="E77" s="777"/>
      <c r="F77" s="777"/>
      <c r="G77" s="782" t="s">
        <v>257</v>
      </c>
      <c r="H77" s="782" t="s">
        <v>258</v>
      </c>
      <c r="I77" s="840">
        <f>F72</f>
        <v>1</v>
      </c>
      <c r="J77" s="841"/>
      <c r="K77" s="837">
        <f>I77*J72</f>
        <v>30</v>
      </c>
      <c r="L77" s="838" t="s">
        <v>259</v>
      </c>
      <c r="M77" s="782" t="s">
        <v>260</v>
      </c>
      <c r="N77" s="782">
        <v>1</v>
      </c>
      <c r="R77" s="865">
        <f>K77*708*566/1000000/0.9</f>
        <v>13.3576</v>
      </c>
      <c r="S77" s="866"/>
      <c r="T77" s="866"/>
      <c r="U77" s="866"/>
      <c r="V77" s="869"/>
      <c r="W77" s="868">
        <f>K77*708*578*3/1000000000</f>
        <v>0.03683016</v>
      </c>
      <c r="X77" s="756">
        <v>0</v>
      </c>
      <c r="Y77" s="751"/>
      <c r="Z77" s="751"/>
    </row>
    <row r="78" customHeight="1" spans="1:26">
      <c r="A78" s="795"/>
      <c r="B78" s="796"/>
      <c r="C78" s="780"/>
      <c r="D78" s="780"/>
      <c r="E78" s="780"/>
      <c r="F78" s="780"/>
      <c r="G78" s="783" t="s">
        <v>133</v>
      </c>
      <c r="H78" s="783" t="s">
        <v>134</v>
      </c>
      <c r="I78" s="842">
        <f>F72</f>
        <v>1</v>
      </c>
      <c r="J78" s="843"/>
      <c r="K78" s="844">
        <f>I78*J72</f>
        <v>30</v>
      </c>
      <c r="L78" s="838" t="s">
        <v>150</v>
      </c>
      <c r="M78" s="782" t="s">
        <v>151</v>
      </c>
      <c r="N78" s="782">
        <v>1</v>
      </c>
      <c r="R78" s="865">
        <f>K78*88*567/1000000/0.9</f>
        <v>1.6632</v>
      </c>
      <c r="S78" s="866">
        <f>K78*((560+720)+10)/1000</f>
        <v>38.7</v>
      </c>
      <c r="T78" s="866">
        <f t="shared" si="2"/>
        <v>17.01</v>
      </c>
      <c r="U78" s="866">
        <f>S78-0.567*K78</f>
        <v>21.69</v>
      </c>
      <c r="V78" s="871"/>
      <c r="W78" s="868">
        <f>K78*88*567*16/1000000000</f>
        <v>0.02395008</v>
      </c>
      <c r="X78" s="756">
        <v>1</v>
      </c>
      <c r="Y78" s="751"/>
      <c r="Z78" s="751"/>
    </row>
    <row r="79" customHeight="1" spans="1:26">
      <c r="A79" s="790"/>
      <c r="B79" s="791" t="s">
        <v>261</v>
      </c>
      <c r="C79" s="772">
        <v>450</v>
      </c>
      <c r="D79" s="772">
        <v>300</v>
      </c>
      <c r="E79" s="772">
        <v>720</v>
      </c>
      <c r="F79" s="772">
        <v>1</v>
      </c>
      <c r="G79" s="781" t="s">
        <v>221</v>
      </c>
      <c r="H79" s="781" t="s">
        <v>222</v>
      </c>
      <c r="I79" s="835">
        <f>F79</f>
        <v>1</v>
      </c>
      <c r="J79" s="847">
        <v>35</v>
      </c>
      <c r="K79" s="837">
        <f>I79*J79</f>
        <v>35</v>
      </c>
      <c r="L79" s="838" t="s">
        <v>223</v>
      </c>
      <c r="M79" s="782" t="s">
        <v>224</v>
      </c>
      <c r="N79" s="782">
        <v>1</v>
      </c>
      <c r="R79" s="865">
        <f>K79*300*720/1000000/0.9</f>
        <v>8.4</v>
      </c>
      <c r="S79" s="866">
        <f>K79*((300+720)*2+40)/1000</f>
        <v>72.8</v>
      </c>
      <c r="T79" s="866">
        <f t="shared" ref="T79:T83" si="11">S79-U79</f>
        <v>25.2</v>
      </c>
      <c r="U79" s="866">
        <f t="shared" ref="U79:U80" si="12">S79-0.72*K79</f>
        <v>47.6</v>
      </c>
      <c r="V79" s="867">
        <f>J79*11</f>
        <v>385</v>
      </c>
      <c r="W79" s="868">
        <f>K79*300*720*16/1000000000</f>
        <v>0.12096</v>
      </c>
      <c r="X79" s="756">
        <v>1</v>
      </c>
      <c r="Y79" s="751"/>
      <c r="Z79" s="751"/>
    </row>
    <row r="80" customHeight="1" spans="1:26">
      <c r="A80" s="792"/>
      <c r="B80" s="793"/>
      <c r="C80" s="877"/>
      <c r="D80" s="877"/>
      <c r="E80" s="877"/>
      <c r="F80" s="877"/>
      <c r="G80" s="782" t="s">
        <v>225</v>
      </c>
      <c r="H80" s="782" t="s">
        <v>226</v>
      </c>
      <c r="I80" s="840">
        <f>F79</f>
        <v>1</v>
      </c>
      <c r="J80" s="841"/>
      <c r="K80" s="837">
        <f>I80*J79</f>
        <v>35</v>
      </c>
      <c r="L80" s="838" t="s">
        <v>227</v>
      </c>
      <c r="M80" s="782" t="s">
        <v>228</v>
      </c>
      <c r="N80" s="782">
        <v>1</v>
      </c>
      <c r="R80" s="865">
        <f>K80*300*720/1000000/0.9</f>
        <v>8.4</v>
      </c>
      <c r="S80" s="866">
        <f>K80*((300+720)*2+40)/1000</f>
        <v>72.8</v>
      </c>
      <c r="T80" s="866">
        <f t="shared" si="11"/>
        <v>25.2</v>
      </c>
      <c r="U80" s="866">
        <f t="shared" si="12"/>
        <v>47.6</v>
      </c>
      <c r="V80" s="869"/>
      <c r="W80" s="868">
        <f>K80*300*720*16/1000000000</f>
        <v>0.12096</v>
      </c>
      <c r="X80" s="756">
        <v>1</v>
      </c>
      <c r="Y80" s="751"/>
      <c r="Z80" s="751"/>
    </row>
    <row r="81" customHeight="1" spans="1:26">
      <c r="A81" s="792"/>
      <c r="B81" s="793"/>
      <c r="C81" s="877"/>
      <c r="D81" s="877"/>
      <c r="E81" s="877"/>
      <c r="F81" s="877"/>
      <c r="G81" s="782" t="s">
        <v>229</v>
      </c>
      <c r="H81" s="782" t="s">
        <v>230</v>
      </c>
      <c r="I81" s="840">
        <f>F79</f>
        <v>1</v>
      </c>
      <c r="J81" s="841"/>
      <c r="K81" s="837">
        <f>I81*J79</f>
        <v>35</v>
      </c>
      <c r="L81" s="838" t="s">
        <v>231</v>
      </c>
      <c r="M81" s="782" t="s">
        <v>232</v>
      </c>
      <c r="N81" s="782">
        <v>1</v>
      </c>
      <c r="R81" s="865">
        <f>K81*300*417/1000000/0.9</f>
        <v>4.865</v>
      </c>
      <c r="S81" s="866">
        <f>K81*((300+417)*2+40)/1000</f>
        <v>51.59</v>
      </c>
      <c r="T81" s="866">
        <f t="shared" si="11"/>
        <v>14.595</v>
      </c>
      <c r="U81" s="866">
        <f>S81-0.417*K81</f>
        <v>36.995</v>
      </c>
      <c r="V81" s="869"/>
      <c r="W81" s="868">
        <f>K81*300*417*16/1000000000</f>
        <v>0.070056</v>
      </c>
      <c r="X81" s="756">
        <v>0</v>
      </c>
      <c r="Y81" s="751"/>
      <c r="Z81" s="751"/>
    </row>
    <row r="82" customHeight="1" spans="1:26">
      <c r="A82" s="792"/>
      <c r="B82" s="793"/>
      <c r="C82" s="877"/>
      <c r="D82" s="877"/>
      <c r="E82" s="877"/>
      <c r="F82" s="877"/>
      <c r="G82" s="782" t="s">
        <v>233</v>
      </c>
      <c r="H82" s="782" t="s">
        <v>234</v>
      </c>
      <c r="I82" s="840">
        <f>F79</f>
        <v>1</v>
      </c>
      <c r="J82" s="841"/>
      <c r="K82" s="837">
        <f>I82*J79</f>
        <v>35</v>
      </c>
      <c r="L82" s="838" t="s">
        <v>235</v>
      </c>
      <c r="M82" s="782" t="s">
        <v>236</v>
      </c>
      <c r="N82" s="782">
        <v>1</v>
      </c>
      <c r="R82" s="865">
        <f>K82*277*417/1000000/0.9</f>
        <v>4.49201666666667</v>
      </c>
      <c r="S82" s="866">
        <f>K82*((277+417)*2+40)/1000</f>
        <v>49.98</v>
      </c>
      <c r="T82" s="866">
        <f t="shared" si="11"/>
        <v>14.595</v>
      </c>
      <c r="U82" s="866">
        <f>S82-0.417*K82</f>
        <v>35.385</v>
      </c>
      <c r="V82" s="869"/>
      <c r="W82" s="868">
        <f>K82*277*417*16/1000000000</f>
        <v>0.06468504</v>
      </c>
      <c r="X82" s="756">
        <v>0</v>
      </c>
      <c r="Y82" s="751"/>
      <c r="Z82" s="751"/>
    </row>
    <row r="83" customHeight="1" spans="1:26">
      <c r="A83" s="792"/>
      <c r="B83" s="793"/>
      <c r="C83" s="877"/>
      <c r="D83" s="877"/>
      <c r="E83" s="877"/>
      <c r="F83" s="877"/>
      <c r="G83" s="809" t="s">
        <v>262</v>
      </c>
      <c r="H83" s="809" t="s">
        <v>263</v>
      </c>
      <c r="I83" s="840">
        <f>F79</f>
        <v>1</v>
      </c>
      <c r="J83" s="841"/>
      <c r="K83" s="837">
        <f>I83*J79</f>
        <v>35</v>
      </c>
      <c r="L83" s="838" t="s">
        <v>239</v>
      </c>
      <c r="M83" s="782" t="s">
        <v>240</v>
      </c>
      <c r="N83" s="782">
        <v>1</v>
      </c>
      <c r="R83" s="865">
        <f>K83*254*416/1000000/0.9</f>
        <v>4.10915555555556</v>
      </c>
      <c r="S83" s="866">
        <f>K83*((254+416)*2+40)/1000</f>
        <v>48.3</v>
      </c>
      <c r="T83" s="866">
        <f t="shared" si="11"/>
        <v>14.56</v>
      </c>
      <c r="U83" s="866">
        <f>S83-0.416*K83</f>
        <v>33.74</v>
      </c>
      <c r="V83" s="869"/>
      <c r="W83" s="868">
        <f>K83*254*416*16/1000000000</f>
        <v>0.05917184</v>
      </c>
      <c r="X83" s="756">
        <v>0</v>
      </c>
      <c r="Y83" s="751"/>
      <c r="Z83" s="751"/>
    </row>
    <row r="84" customHeight="1" spans="1:26">
      <c r="A84" s="792"/>
      <c r="B84" s="793"/>
      <c r="C84" s="877"/>
      <c r="D84" s="877"/>
      <c r="E84" s="877"/>
      <c r="F84" s="877"/>
      <c r="G84" s="782" t="s">
        <v>241</v>
      </c>
      <c r="H84" s="782" t="s">
        <v>242</v>
      </c>
      <c r="I84" s="840">
        <f>F79</f>
        <v>1</v>
      </c>
      <c r="J84" s="841"/>
      <c r="K84" s="837">
        <f>I84*J79</f>
        <v>35</v>
      </c>
      <c r="L84" s="838" t="s">
        <v>243</v>
      </c>
      <c r="M84" s="782" t="s">
        <v>244</v>
      </c>
      <c r="N84" s="782">
        <v>1</v>
      </c>
      <c r="R84" s="865">
        <f>K84*708*428/1000000/0.9</f>
        <v>11.7842666666667</v>
      </c>
      <c r="S84" s="866"/>
      <c r="T84" s="866"/>
      <c r="U84" s="866"/>
      <c r="V84" s="869"/>
      <c r="W84" s="868">
        <f>K84*708*428*3/1000000000</f>
        <v>0.03181752</v>
      </c>
      <c r="X84" s="756">
        <v>0</v>
      </c>
      <c r="Y84" s="751"/>
      <c r="Z84" s="751"/>
    </row>
    <row r="85" customHeight="1" spans="1:26">
      <c r="A85" s="792"/>
      <c r="B85" s="793"/>
      <c r="C85" s="878"/>
      <c r="D85" s="878"/>
      <c r="E85" s="878"/>
      <c r="F85" s="878"/>
      <c r="G85" s="783" t="s">
        <v>122</v>
      </c>
      <c r="H85" s="783" t="s">
        <v>123</v>
      </c>
      <c r="I85" s="842">
        <f>F79</f>
        <v>1</v>
      </c>
      <c r="J85" s="843"/>
      <c r="K85" s="844">
        <f>I85*J79</f>
        <v>35</v>
      </c>
      <c r="L85" s="838" t="s">
        <v>124</v>
      </c>
      <c r="M85" s="782" t="s">
        <v>125</v>
      </c>
      <c r="N85" s="782">
        <v>1</v>
      </c>
      <c r="R85" s="865">
        <f>K85*88*417/1000000/0.9</f>
        <v>1.42706666666667</v>
      </c>
      <c r="S85" s="866">
        <f>K85*((88+417)+10)/1000</f>
        <v>18.025</v>
      </c>
      <c r="T85" s="866">
        <f t="shared" ref="T85:T90" si="13">S85-U85</f>
        <v>18.025</v>
      </c>
      <c r="U85" s="866"/>
      <c r="V85" s="871"/>
      <c r="W85" s="868">
        <f>K85*88*417*16/1000000000</f>
        <v>0.02054976</v>
      </c>
      <c r="X85" s="756">
        <v>1</v>
      </c>
      <c r="Y85" s="751"/>
      <c r="Z85" s="751"/>
    </row>
    <row r="86" customHeight="1" spans="1:26">
      <c r="A86" s="792"/>
      <c r="B86" s="793"/>
      <c r="C86" s="777">
        <v>600</v>
      </c>
      <c r="D86" s="777">
        <v>300</v>
      </c>
      <c r="E86" s="777">
        <v>720</v>
      </c>
      <c r="F86" s="777">
        <v>1</v>
      </c>
      <c r="G86" s="794" t="s">
        <v>221</v>
      </c>
      <c r="H86" s="794" t="s">
        <v>222</v>
      </c>
      <c r="I86" s="848">
        <f>F86</f>
        <v>1</v>
      </c>
      <c r="J86" s="847">
        <v>30</v>
      </c>
      <c r="K86" s="837">
        <f>I86*J86</f>
        <v>30</v>
      </c>
      <c r="L86" s="838" t="s">
        <v>223</v>
      </c>
      <c r="M86" s="782" t="s">
        <v>224</v>
      </c>
      <c r="N86" s="782">
        <v>1</v>
      </c>
      <c r="R86" s="865">
        <f>K86*300*720/1000000/0.9</f>
        <v>7.2</v>
      </c>
      <c r="S86" s="866">
        <f>K86*((300+720)*2+40)/1000</f>
        <v>62.4</v>
      </c>
      <c r="T86" s="866">
        <f t="shared" si="13"/>
        <v>21.6</v>
      </c>
      <c r="U86" s="866">
        <f t="shared" ref="U86:U87" si="14">S86-0.72*K86</f>
        <v>40.8</v>
      </c>
      <c r="V86" s="867">
        <f>J86*11</f>
        <v>330</v>
      </c>
      <c r="W86" s="868">
        <f>K86*300*720*16/1000000000</f>
        <v>0.10368</v>
      </c>
      <c r="X86" s="756">
        <v>1</v>
      </c>
      <c r="Y86" s="751"/>
      <c r="Z86" s="751"/>
    </row>
    <row r="87" customHeight="1" spans="1:26">
      <c r="A87" s="792"/>
      <c r="B87" s="793"/>
      <c r="C87" s="777"/>
      <c r="D87" s="777"/>
      <c r="E87" s="777"/>
      <c r="F87" s="777"/>
      <c r="G87" s="782" t="s">
        <v>225</v>
      </c>
      <c r="H87" s="782" t="s">
        <v>226</v>
      </c>
      <c r="I87" s="840">
        <f>F86</f>
        <v>1</v>
      </c>
      <c r="J87" s="841"/>
      <c r="K87" s="837">
        <f>I87*J86</f>
        <v>30</v>
      </c>
      <c r="L87" s="838" t="s">
        <v>227</v>
      </c>
      <c r="M87" s="782" t="s">
        <v>228</v>
      </c>
      <c r="N87" s="782">
        <v>1</v>
      </c>
      <c r="R87" s="865">
        <f>K87*300*720/1000000/0.9</f>
        <v>7.2</v>
      </c>
      <c r="S87" s="866">
        <f>K87*((300+720)*2+40)/1000</f>
        <v>62.4</v>
      </c>
      <c r="T87" s="866">
        <f t="shared" si="13"/>
        <v>21.6</v>
      </c>
      <c r="U87" s="866">
        <f t="shared" si="14"/>
        <v>40.8</v>
      </c>
      <c r="V87" s="869"/>
      <c r="W87" s="868">
        <f>K87*300*720*16/1000000000</f>
        <v>0.10368</v>
      </c>
      <c r="X87" s="756">
        <v>1</v>
      </c>
      <c r="Y87" s="751"/>
      <c r="Z87" s="751"/>
    </row>
    <row r="88" customHeight="1" spans="1:26">
      <c r="A88" s="792"/>
      <c r="B88" s="793"/>
      <c r="C88" s="777"/>
      <c r="D88" s="777"/>
      <c r="E88" s="777"/>
      <c r="F88" s="777"/>
      <c r="G88" s="782" t="s">
        <v>245</v>
      </c>
      <c r="H88" s="782" t="s">
        <v>246</v>
      </c>
      <c r="I88" s="840">
        <f>F86</f>
        <v>1</v>
      </c>
      <c r="J88" s="841"/>
      <c r="K88" s="837">
        <f>I88*J86</f>
        <v>30</v>
      </c>
      <c r="L88" s="838" t="s">
        <v>247</v>
      </c>
      <c r="M88" s="782" t="s">
        <v>248</v>
      </c>
      <c r="N88" s="782">
        <v>1</v>
      </c>
      <c r="R88" s="865">
        <f>K88*300*720/1000000/0.9</f>
        <v>7.2</v>
      </c>
      <c r="S88" s="866">
        <f>K88*((300+720)*2+40)/1000</f>
        <v>62.4</v>
      </c>
      <c r="T88" s="866">
        <f t="shared" si="13"/>
        <v>17.01</v>
      </c>
      <c r="U88" s="866">
        <f>S88-0.567*K88</f>
        <v>45.39</v>
      </c>
      <c r="V88" s="869"/>
      <c r="W88" s="868">
        <f>K88*300*720*16/1000000000</f>
        <v>0.10368</v>
      </c>
      <c r="X88" s="756">
        <v>0</v>
      </c>
      <c r="Y88" s="751"/>
      <c r="Z88" s="751"/>
    </row>
    <row r="89" customHeight="1" spans="1:26">
      <c r="A89" s="792"/>
      <c r="B89" s="793"/>
      <c r="C89" s="777"/>
      <c r="D89" s="777"/>
      <c r="E89" s="777"/>
      <c r="F89" s="777"/>
      <c r="G89" s="782" t="s">
        <v>249</v>
      </c>
      <c r="H89" s="782" t="s">
        <v>250</v>
      </c>
      <c r="I89" s="840">
        <f>F86</f>
        <v>1</v>
      </c>
      <c r="J89" s="841"/>
      <c r="K89" s="837">
        <f>I89*J86</f>
        <v>30</v>
      </c>
      <c r="L89" s="838" t="s">
        <v>251</v>
      </c>
      <c r="M89" s="782" t="s">
        <v>252</v>
      </c>
      <c r="N89" s="782">
        <v>1</v>
      </c>
      <c r="R89" s="865">
        <f>K89*277*567/1000000/0.9</f>
        <v>5.2353</v>
      </c>
      <c r="S89" s="866">
        <f>K89*((277+567)*2+40)/1000</f>
        <v>51.84</v>
      </c>
      <c r="T89" s="866">
        <f t="shared" si="13"/>
        <v>17.01</v>
      </c>
      <c r="U89" s="866">
        <f>S89-0.567*K89</f>
        <v>34.83</v>
      </c>
      <c r="V89" s="869"/>
      <c r="W89" s="868">
        <f>K89*277*567*16/1000000000</f>
        <v>0.07538832</v>
      </c>
      <c r="X89" s="756">
        <v>0</v>
      </c>
      <c r="Y89" s="751"/>
      <c r="Z89" s="751"/>
    </row>
    <row r="90" customHeight="1" spans="1:26">
      <c r="A90" s="792"/>
      <c r="B90" s="793"/>
      <c r="C90" s="777"/>
      <c r="D90" s="777"/>
      <c r="E90" s="777"/>
      <c r="F90" s="777"/>
      <c r="G90" s="809" t="s">
        <v>264</v>
      </c>
      <c r="H90" s="809" t="s">
        <v>265</v>
      </c>
      <c r="I90" s="840">
        <f>F86</f>
        <v>1</v>
      </c>
      <c r="J90" s="841"/>
      <c r="K90" s="837">
        <f>I90*J86</f>
        <v>30</v>
      </c>
      <c r="L90" s="838" t="s">
        <v>255</v>
      </c>
      <c r="M90" s="782" t="s">
        <v>256</v>
      </c>
      <c r="N90" s="782">
        <v>1</v>
      </c>
      <c r="R90" s="865">
        <f>K90*254*566/1000000/0.9</f>
        <v>4.79213333333333</v>
      </c>
      <c r="S90" s="866">
        <f>K90*((254+566)*2+40)/1000</f>
        <v>50.4</v>
      </c>
      <c r="T90" s="866">
        <f t="shared" si="13"/>
        <v>16.98</v>
      </c>
      <c r="U90" s="866">
        <f>S90-0.566*K90</f>
        <v>33.42</v>
      </c>
      <c r="V90" s="869"/>
      <c r="W90" s="868">
        <f>K90*254*566*16/1000000000</f>
        <v>0.06900672</v>
      </c>
      <c r="X90" s="756">
        <v>0</v>
      </c>
      <c r="Y90" s="751"/>
      <c r="Z90" s="751"/>
    </row>
    <row r="91" customHeight="1" spans="1:26">
      <c r="A91" s="792"/>
      <c r="B91" s="793"/>
      <c r="C91" s="777"/>
      <c r="D91" s="777"/>
      <c r="E91" s="777"/>
      <c r="F91" s="777"/>
      <c r="G91" s="782" t="s">
        <v>257</v>
      </c>
      <c r="H91" s="782" t="s">
        <v>258</v>
      </c>
      <c r="I91" s="840">
        <f>F86</f>
        <v>1</v>
      </c>
      <c r="J91" s="841"/>
      <c r="K91" s="837">
        <f>I91*J86</f>
        <v>30</v>
      </c>
      <c r="L91" s="838" t="s">
        <v>259</v>
      </c>
      <c r="M91" s="782" t="s">
        <v>260</v>
      </c>
      <c r="N91" s="782">
        <v>1</v>
      </c>
      <c r="R91" s="865">
        <f>K91*708*566/1000000/0.9</f>
        <v>13.3576</v>
      </c>
      <c r="S91" s="866"/>
      <c r="T91" s="866"/>
      <c r="U91" s="866"/>
      <c r="V91" s="869"/>
      <c r="W91" s="868">
        <f>K91*708*578*3/1000000000</f>
        <v>0.03683016</v>
      </c>
      <c r="X91" s="756">
        <v>0</v>
      </c>
      <c r="Y91" s="751"/>
      <c r="Z91" s="751"/>
    </row>
    <row r="92" customHeight="1" spans="1:26">
      <c r="A92" s="795"/>
      <c r="B92" s="796"/>
      <c r="C92" s="780"/>
      <c r="D92" s="780"/>
      <c r="E92" s="780"/>
      <c r="F92" s="780"/>
      <c r="G92" s="783" t="s">
        <v>133</v>
      </c>
      <c r="H92" s="783" t="s">
        <v>134</v>
      </c>
      <c r="I92" s="842">
        <f>F86</f>
        <v>1</v>
      </c>
      <c r="J92" s="843"/>
      <c r="K92" s="844">
        <f>I92*J86</f>
        <v>30</v>
      </c>
      <c r="L92" s="838" t="s">
        <v>150</v>
      </c>
      <c r="M92" s="782" t="s">
        <v>151</v>
      </c>
      <c r="N92" s="782">
        <v>1</v>
      </c>
      <c r="R92" s="865">
        <f>K92*88*567/1000000/0.9</f>
        <v>1.6632</v>
      </c>
      <c r="S92" s="866">
        <f>K92*((560+720)+10)/1000</f>
        <v>38.7</v>
      </c>
      <c r="T92" s="866">
        <f t="shared" ref="T92" si="15">S92-U92</f>
        <v>17.01</v>
      </c>
      <c r="U92" s="866">
        <f>S92-0.567*K92</f>
        <v>21.69</v>
      </c>
      <c r="V92" s="871"/>
      <c r="W92" s="868">
        <f>K92*88*567*16/1000000000</f>
        <v>0.02395008</v>
      </c>
      <c r="X92" s="756">
        <v>1</v>
      </c>
      <c r="Y92" s="751"/>
      <c r="Z92" s="751"/>
    </row>
    <row r="93" customHeight="1" spans="1:26">
      <c r="A93" s="790"/>
      <c r="B93" s="791" t="s">
        <v>266</v>
      </c>
      <c r="C93" s="772">
        <v>900</v>
      </c>
      <c r="D93" s="772">
        <v>300</v>
      </c>
      <c r="E93" s="772">
        <v>720</v>
      </c>
      <c r="F93" s="772">
        <v>1</v>
      </c>
      <c r="G93" s="781" t="s">
        <v>221</v>
      </c>
      <c r="H93" s="781" t="s">
        <v>222</v>
      </c>
      <c r="I93" s="835">
        <f>F93</f>
        <v>1</v>
      </c>
      <c r="J93" s="847">
        <v>40</v>
      </c>
      <c r="K93" s="837">
        <f>I93*J93</f>
        <v>40</v>
      </c>
      <c r="L93" s="838" t="s">
        <v>223</v>
      </c>
      <c r="M93" s="782" t="s">
        <v>224</v>
      </c>
      <c r="N93" s="782">
        <v>1</v>
      </c>
      <c r="R93" s="865">
        <f>K93*300*720/1000000/0.9</f>
        <v>9.6</v>
      </c>
      <c r="S93" s="866">
        <f>K93*((300+720)*2+40)/1000</f>
        <v>83.2</v>
      </c>
      <c r="T93" s="866">
        <f t="shared" si="2"/>
        <v>28.8</v>
      </c>
      <c r="U93" s="866">
        <f t="shared" si="3"/>
        <v>54.4</v>
      </c>
      <c r="V93" s="867">
        <f>J93*11</f>
        <v>440</v>
      </c>
      <c r="W93" s="868">
        <f>K93*300*720*16/1000000000</f>
        <v>0.13824</v>
      </c>
      <c r="X93" s="756">
        <v>1</v>
      </c>
      <c r="Y93" s="751"/>
      <c r="Z93" s="751"/>
    </row>
    <row r="94" customHeight="1" spans="1:26">
      <c r="A94" s="792"/>
      <c r="B94" s="793"/>
      <c r="C94" s="777"/>
      <c r="D94" s="777"/>
      <c r="E94" s="777"/>
      <c r="F94" s="777"/>
      <c r="G94" s="782" t="s">
        <v>225</v>
      </c>
      <c r="H94" s="782" t="s">
        <v>226</v>
      </c>
      <c r="I94" s="840">
        <f>F93</f>
        <v>1</v>
      </c>
      <c r="J94" s="841"/>
      <c r="K94" s="837">
        <f>I94*J93</f>
        <v>40</v>
      </c>
      <c r="L94" s="838" t="s">
        <v>227</v>
      </c>
      <c r="M94" s="782" t="s">
        <v>228</v>
      </c>
      <c r="N94" s="782">
        <v>1</v>
      </c>
      <c r="R94" s="865">
        <f>K94*300*720/1000000/0.9</f>
        <v>9.6</v>
      </c>
      <c r="S94" s="866">
        <f>K94*((300+720)*2+40)/1000</f>
        <v>83.2</v>
      </c>
      <c r="T94" s="866">
        <f t="shared" si="2"/>
        <v>28.8</v>
      </c>
      <c r="U94" s="866">
        <f t="shared" si="3"/>
        <v>54.4</v>
      </c>
      <c r="V94" s="869"/>
      <c r="W94" s="868">
        <f>K94*300*720*16/1000000000</f>
        <v>0.13824</v>
      </c>
      <c r="X94" s="756">
        <v>1</v>
      </c>
      <c r="Y94" s="751"/>
      <c r="Z94" s="751"/>
    </row>
    <row r="95" customHeight="1" spans="1:26">
      <c r="A95" s="792"/>
      <c r="B95" s="793"/>
      <c r="C95" s="777"/>
      <c r="D95" s="777"/>
      <c r="E95" s="777"/>
      <c r="F95" s="777"/>
      <c r="G95" s="782" t="s">
        <v>267</v>
      </c>
      <c r="H95" s="782" t="s">
        <v>268</v>
      </c>
      <c r="I95" s="840">
        <f>F93</f>
        <v>1</v>
      </c>
      <c r="J95" s="841"/>
      <c r="K95" s="837">
        <f>I95*J93</f>
        <v>40</v>
      </c>
      <c r="L95" s="838" t="s">
        <v>269</v>
      </c>
      <c r="M95" s="782" t="s">
        <v>270</v>
      </c>
      <c r="N95" s="782">
        <v>1</v>
      </c>
      <c r="R95" s="865">
        <f>K95*300*867/1000000/0.9</f>
        <v>11.56</v>
      </c>
      <c r="S95" s="866">
        <f>K95*((300+867)*2+40)/1000</f>
        <v>94.96</v>
      </c>
      <c r="T95" s="866">
        <f t="shared" si="2"/>
        <v>34.68</v>
      </c>
      <c r="U95" s="866">
        <f>S95-0.867*K95</f>
        <v>60.28</v>
      </c>
      <c r="V95" s="869"/>
      <c r="W95" s="868">
        <f>K95*300*867*16/1000000000</f>
        <v>0.166464</v>
      </c>
      <c r="X95" s="756">
        <v>1</v>
      </c>
      <c r="Y95" s="751"/>
      <c r="Z95" s="751"/>
    </row>
    <row r="96" customHeight="1" spans="1:26">
      <c r="A96" s="792"/>
      <c r="B96" s="793"/>
      <c r="C96" s="777"/>
      <c r="D96" s="777"/>
      <c r="E96" s="777"/>
      <c r="F96" s="777"/>
      <c r="G96" s="782" t="s">
        <v>271</v>
      </c>
      <c r="H96" s="782" t="s">
        <v>272</v>
      </c>
      <c r="I96" s="840">
        <f>F93</f>
        <v>1</v>
      </c>
      <c r="J96" s="841"/>
      <c r="K96" s="837">
        <f>I96*J93</f>
        <v>40</v>
      </c>
      <c r="L96" s="838" t="s">
        <v>273</v>
      </c>
      <c r="M96" s="782" t="s">
        <v>274</v>
      </c>
      <c r="N96" s="782">
        <v>1</v>
      </c>
      <c r="R96" s="865">
        <f>K96*277*867/1000000/0.9</f>
        <v>10.6737333333333</v>
      </c>
      <c r="S96" s="866">
        <f>K96*((277+867)*2+40)/1000</f>
        <v>93.12</v>
      </c>
      <c r="T96" s="866">
        <f t="shared" si="2"/>
        <v>34.68</v>
      </c>
      <c r="U96" s="866">
        <f>S96-0.867*K96</f>
        <v>58.44</v>
      </c>
      <c r="V96" s="869"/>
      <c r="W96" s="868">
        <f>K96*277*867*16/1000000000</f>
        <v>0.15370176</v>
      </c>
      <c r="X96" s="756">
        <v>0</v>
      </c>
      <c r="Y96" s="751"/>
      <c r="Z96" s="751"/>
    </row>
    <row r="97" customHeight="1" spans="1:26">
      <c r="A97" s="792"/>
      <c r="B97" s="793"/>
      <c r="C97" s="777"/>
      <c r="D97" s="777"/>
      <c r="E97" s="777"/>
      <c r="F97" s="777"/>
      <c r="G97" s="782" t="s">
        <v>275</v>
      </c>
      <c r="H97" s="782" t="s">
        <v>276</v>
      </c>
      <c r="I97" s="840">
        <f>F93</f>
        <v>1</v>
      </c>
      <c r="J97" s="841"/>
      <c r="K97" s="837">
        <f>I97*J93</f>
        <v>40</v>
      </c>
      <c r="L97" s="838" t="s">
        <v>277</v>
      </c>
      <c r="M97" s="782" t="s">
        <v>278</v>
      </c>
      <c r="N97" s="782">
        <v>1</v>
      </c>
      <c r="R97" s="865">
        <f>K97*254*866/1000000/0.9</f>
        <v>9.77617777777778</v>
      </c>
      <c r="S97" s="866">
        <f>K97*((254+866)*2+40)/1000</f>
        <v>91.2</v>
      </c>
      <c r="T97" s="866">
        <f t="shared" si="2"/>
        <v>34.64</v>
      </c>
      <c r="U97" s="866">
        <f>S97-0.866*K97</f>
        <v>56.56</v>
      </c>
      <c r="V97" s="869"/>
      <c r="W97" s="868">
        <f>K97*254*866*16/1000000000</f>
        <v>0.14077696</v>
      </c>
      <c r="X97" s="756">
        <v>0</v>
      </c>
      <c r="Y97" s="751"/>
      <c r="Z97" s="751"/>
    </row>
    <row r="98" customHeight="1" spans="1:26">
      <c r="A98" s="792"/>
      <c r="B98" s="793"/>
      <c r="C98" s="777"/>
      <c r="D98" s="777"/>
      <c r="E98" s="777"/>
      <c r="F98" s="777"/>
      <c r="G98" s="782" t="s">
        <v>279</v>
      </c>
      <c r="H98" s="782" t="s">
        <v>280</v>
      </c>
      <c r="I98" s="840">
        <f>F93</f>
        <v>1</v>
      </c>
      <c r="J98" s="841"/>
      <c r="K98" s="837">
        <f>I98*J93</f>
        <v>40</v>
      </c>
      <c r="L98" s="838" t="s">
        <v>281</v>
      </c>
      <c r="M98" s="782" t="s">
        <v>282</v>
      </c>
      <c r="N98" s="782">
        <v>1</v>
      </c>
      <c r="R98" s="865">
        <f>K98*708*878/1000000/0.9</f>
        <v>27.6277333333333</v>
      </c>
      <c r="S98" s="866"/>
      <c r="T98" s="866"/>
      <c r="U98" s="866"/>
      <c r="V98" s="869"/>
      <c r="W98" s="868">
        <f>K98*708*878*3/1000000000</f>
        <v>0.07459488</v>
      </c>
      <c r="X98" s="756">
        <v>0</v>
      </c>
      <c r="Y98" s="751"/>
      <c r="Z98" s="751"/>
    </row>
    <row r="99" customHeight="1" spans="1:26">
      <c r="A99" s="795"/>
      <c r="B99" s="796"/>
      <c r="C99" s="780"/>
      <c r="D99" s="780"/>
      <c r="E99" s="780"/>
      <c r="F99" s="780"/>
      <c r="G99" s="783" t="s">
        <v>283</v>
      </c>
      <c r="H99" s="783" t="s">
        <v>284</v>
      </c>
      <c r="I99" s="842">
        <f>F93</f>
        <v>1</v>
      </c>
      <c r="J99" s="841"/>
      <c r="K99" s="879">
        <f>I99*J93</f>
        <v>40</v>
      </c>
      <c r="L99" s="880" t="s">
        <v>285</v>
      </c>
      <c r="M99" s="881" t="s">
        <v>286</v>
      </c>
      <c r="N99" s="881">
        <v>1</v>
      </c>
      <c r="R99" s="865">
        <f>K99*88*867/1000000/0.9</f>
        <v>3.39093333333333</v>
      </c>
      <c r="S99" s="866">
        <f>K99*((88+867)+10)/1000</f>
        <v>38.6</v>
      </c>
      <c r="T99" s="866">
        <f t="shared" si="2"/>
        <v>34.64</v>
      </c>
      <c r="U99" s="866">
        <f t="shared" ref="U99" si="16">S99-0.866*K99</f>
        <v>3.96</v>
      </c>
      <c r="V99" s="871"/>
      <c r="W99" s="868">
        <f>K99*88*867*16/1000000000</f>
        <v>0.04882944</v>
      </c>
      <c r="X99" s="756">
        <v>1</v>
      </c>
      <c r="Y99" s="751"/>
      <c r="Z99" s="751"/>
    </row>
    <row r="100" customHeight="1" spans="1:26">
      <c r="A100" s="790"/>
      <c r="B100" s="791" t="s">
        <v>287</v>
      </c>
      <c r="C100" s="772">
        <v>900</v>
      </c>
      <c r="D100" s="772">
        <v>300</v>
      </c>
      <c r="E100" s="772">
        <v>720</v>
      </c>
      <c r="F100" s="772">
        <v>1</v>
      </c>
      <c r="G100" s="781" t="s">
        <v>221</v>
      </c>
      <c r="H100" s="781" t="s">
        <v>222</v>
      </c>
      <c r="I100" s="835">
        <f>F100</f>
        <v>1</v>
      </c>
      <c r="J100" s="847">
        <v>40</v>
      </c>
      <c r="K100" s="837">
        <f>I100*J100</f>
        <v>40</v>
      </c>
      <c r="L100" s="838" t="s">
        <v>223</v>
      </c>
      <c r="M100" s="782" t="s">
        <v>224</v>
      </c>
      <c r="N100" s="782">
        <v>1</v>
      </c>
      <c r="R100" s="865">
        <f>K100*300*720/1000000/0.9</f>
        <v>9.6</v>
      </c>
      <c r="S100" s="866">
        <f>K100*((300+720)*2+40)/1000</f>
        <v>83.2</v>
      </c>
      <c r="T100" s="866">
        <f t="shared" ref="T100:T104" si="17">S100-U100</f>
        <v>28.8</v>
      </c>
      <c r="U100" s="866">
        <f t="shared" ref="U100:U101" si="18">S100-0.72*K100</f>
        <v>54.4</v>
      </c>
      <c r="V100" s="867">
        <f>J100*11</f>
        <v>440</v>
      </c>
      <c r="W100" s="868">
        <f>K100*300*720*16/1000000000</f>
        <v>0.13824</v>
      </c>
      <c r="X100" s="756">
        <v>1</v>
      </c>
      <c r="Y100" s="751"/>
      <c r="Z100" s="751"/>
    </row>
    <row r="101" customHeight="1" spans="1:26">
      <c r="A101" s="792"/>
      <c r="B101" s="793"/>
      <c r="C101" s="777"/>
      <c r="D101" s="777"/>
      <c r="E101" s="777"/>
      <c r="F101" s="777"/>
      <c r="G101" s="782" t="s">
        <v>225</v>
      </c>
      <c r="H101" s="782" t="s">
        <v>226</v>
      </c>
      <c r="I101" s="840">
        <f>F100</f>
        <v>1</v>
      </c>
      <c r="J101" s="841"/>
      <c r="K101" s="837">
        <f>I101*J100</f>
        <v>40</v>
      </c>
      <c r="L101" s="838" t="s">
        <v>227</v>
      </c>
      <c r="M101" s="782" t="s">
        <v>228</v>
      </c>
      <c r="N101" s="782">
        <v>1</v>
      </c>
      <c r="R101" s="865">
        <f>K101*300*720/1000000/0.9</f>
        <v>9.6</v>
      </c>
      <c r="S101" s="866">
        <f>K101*((300+720)*2+40)/1000</f>
        <v>83.2</v>
      </c>
      <c r="T101" s="866">
        <f t="shared" si="17"/>
        <v>28.8</v>
      </c>
      <c r="U101" s="866">
        <f t="shared" si="18"/>
        <v>54.4</v>
      </c>
      <c r="V101" s="869"/>
      <c r="W101" s="868">
        <f>K101*300*720*16/1000000000</f>
        <v>0.13824</v>
      </c>
      <c r="X101" s="756">
        <v>1</v>
      </c>
      <c r="Y101" s="751"/>
      <c r="Z101" s="751"/>
    </row>
    <row r="102" customHeight="1" spans="1:26">
      <c r="A102" s="792"/>
      <c r="B102" s="793"/>
      <c r="C102" s="777"/>
      <c r="D102" s="777"/>
      <c r="E102" s="777"/>
      <c r="F102" s="777"/>
      <c r="G102" s="782" t="s">
        <v>267</v>
      </c>
      <c r="H102" s="782" t="s">
        <v>268</v>
      </c>
      <c r="I102" s="840">
        <f>F100</f>
        <v>1</v>
      </c>
      <c r="J102" s="841"/>
      <c r="K102" s="837">
        <f>I102*J100</f>
        <v>40</v>
      </c>
      <c r="L102" s="838" t="s">
        <v>269</v>
      </c>
      <c r="M102" s="782" t="s">
        <v>270</v>
      </c>
      <c r="N102" s="782">
        <v>1</v>
      </c>
      <c r="R102" s="865">
        <f>K102*300*867/1000000/0.9</f>
        <v>11.56</v>
      </c>
      <c r="S102" s="866">
        <f>K102*((300+867)*2+40)/1000</f>
        <v>94.96</v>
      </c>
      <c r="T102" s="866">
        <f t="shared" si="17"/>
        <v>34.68</v>
      </c>
      <c r="U102" s="866">
        <f>S102-0.867*K102</f>
        <v>60.28</v>
      </c>
      <c r="V102" s="869"/>
      <c r="W102" s="868">
        <f>K102*300*867*16/1000000000</f>
        <v>0.166464</v>
      </c>
      <c r="X102" s="756">
        <v>1</v>
      </c>
      <c r="Y102" s="751"/>
      <c r="Z102" s="751"/>
    </row>
    <row r="103" customHeight="1" spans="1:26">
      <c r="A103" s="792"/>
      <c r="B103" s="793"/>
      <c r="C103" s="777"/>
      <c r="D103" s="777"/>
      <c r="E103" s="777"/>
      <c r="F103" s="777"/>
      <c r="G103" s="782" t="s">
        <v>271</v>
      </c>
      <c r="H103" s="782" t="s">
        <v>272</v>
      </c>
      <c r="I103" s="840">
        <f>F100</f>
        <v>1</v>
      </c>
      <c r="J103" s="841"/>
      <c r="K103" s="837">
        <f>I103*J100</f>
        <v>40</v>
      </c>
      <c r="L103" s="838" t="s">
        <v>273</v>
      </c>
      <c r="M103" s="782" t="s">
        <v>274</v>
      </c>
      <c r="N103" s="782">
        <v>1</v>
      </c>
      <c r="R103" s="865">
        <f>K103*277*867/1000000/0.9</f>
        <v>10.6737333333333</v>
      </c>
      <c r="S103" s="866">
        <f>K103*((277+867)*2+40)/1000</f>
        <v>93.12</v>
      </c>
      <c r="T103" s="866">
        <f t="shared" si="17"/>
        <v>34.68</v>
      </c>
      <c r="U103" s="866">
        <f>S103-0.867*K103</f>
        <v>58.44</v>
      </c>
      <c r="V103" s="869"/>
      <c r="W103" s="868">
        <f>K103*277*867*16/1000000000</f>
        <v>0.15370176</v>
      </c>
      <c r="X103" s="756">
        <v>0</v>
      </c>
      <c r="Y103" s="751"/>
      <c r="Z103" s="751"/>
    </row>
    <row r="104" customHeight="1" spans="1:26">
      <c r="A104" s="792"/>
      <c r="B104" s="793"/>
      <c r="C104" s="777"/>
      <c r="D104" s="777"/>
      <c r="E104" s="777"/>
      <c r="F104" s="777"/>
      <c r="G104" s="809" t="s">
        <v>288</v>
      </c>
      <c r="H104" s="809" t="s">
        <v>289</v>
      </c>
      <c r="I104" s="840">
        <f>F100</f>
        <v>1</v>
      </c>
      <c r="J104" s="841"/>
      <c r="K104" s="837">
        <f>I104*J100</f>
        <v>40</v>
      </c>
      <c r="L104" s="838" t="s">
        <v>277</v>
      </c>
      <c r="M104" s="782" t="s">
        <v>278</v>
      </c>
      <c r="N104" s="782">
        <v>1</v>
      </c>
      <c r="R104" s="865">
        <f>K104*254*866/1000000/0.9</f>
        <v>9.77617777777778</v>
      </c>
      <c r="S104" s="866">
        <f>K104*((254+866)*2+40)/1000</f>
        <v>91.2</v>
      </c>
      <c r="T104" s="866">
        <f t="shared" si="17"/>
        <v>34.64</v>
      </c>
      <c r="U104" s="866">
        <f>S104-0.866*K104</f>
        <v>56.56</v>
      </c>
      <c r="V104" s="869"/>
      <c r="W104" s="868">
        <f>K104*254*866*16/1000000000</f>
        <v>0.14077696</v>
      </c>
      <c r="X104" s="756">
        <v>0</v>
      </c>
      <c r="Y104" s="751"/>
      <c r="Z104" s="751"/>
    </row>
    <row r="105" customHeight="1" spans="1:26">
      <c r="A105" s="792"/>
      <c r="B105" s="793"/>
      <c r="C105" s="777"/>
      <c r="D105" s="777"/>
      <c r="E105" s="777"/>
      <c r="F105" s="777"/>
      <c r="G105" s="782" t="s">
        <v>279</v>
      </c>
      <c r="H105" s="782" t="s">
        <v>280</v>
      </c>
      <c r="I105" s="840">
        <f>F100</f>
        <v>1</v>
      </c>
      <c r="J105" s="841"/>
      <c r="K105" s="837">
        <f>I105*J100</f>
        <v>40</v>
      </c>
      <c r="L105" s="838" t="s">
        <v>281</v>
      </c>
      <c r="M105" s="782" t="s">
        <v>282</v>
      </c>
      <c r="N105" s="782">
        <v>1</v>
      </c>
      <c r="R105" s="865">
        <f>K105*708*878/1000000/0.9</f>
        <v>27.6277333333333</v>
      </c>
      <c r="S105" s="866"/>
      <c r="T105" s="866"/>
      <c r="U105" s="866"/>
      <c r="V105" s="869"/>
      <c r="W105" s="868">
        <f>K105*708*878*3/1000000000</f>
        <v>0.07459488</v>
      </c>
      <c r="X105" s="756">
        <v>0</v>
      </c>
      <c r="Y105" s="751"/>
      <c r="Z105" s="751"/>
    </row>
    <row r="106" customHeight="1" spans="1:26">
      <c r="A106" s="795"/>
      <c r="B106" s="796"/>
      <c r="C106" s="780"/>
      <c r="D106" s="780"/>
      <c r="E106" s="780"/>
      <c r="F106" s="780"/>
      <c r="G106" s="783" t="s">
        <v>283</v>
      </c>
      <c r="H106" s="783" t="s">
        <v>284</v>
      </c>
      <c r="I106" s="842">
        <f>F100</f>
        <v>1</v>
      </c>
      <c r="J106" s="841"/>
      <c r="K106" s="879">
        <f>I106*J100</f>
        <v>40</v>
      </c>
      <c r="L106" s="880" t="s">
        <v>285</v>
      </c>
      <c r="M106" s="881" t="s">
        <v>286</v>
      </c>
      <c r="N106" s="881">
        <v>1</v>
      </c>
      <c r="R106" s="865">
        <f>K106*88*867/1000000/0.9</f>
        <v>3.39093333333333</v>
      </c>
      <c r="S106" s="866">
        <f>K106*((88+867)+10)/1000</f>
        <v>38.6</v>
      </c>
      <c r="T106" s="866">
        <f t="shared" ref="T106" si="19">S106-U106</f>
        <v>34.64</v>
      </c>
      <c r="U106" s="866">
        <f t="shared" ref="U106" si="20">S106-0.866*K106</f>
        <v>3.96</v>
      </c>
      <c r="V106" s="871"/>
      <c r="W106" s="868">
        <f>K106*88*867*16/1000000000</f>
        <v>0.04882944</v>
      </c>
      <c r="X106" s="756">
        <v>1</v>
      </c>
      <c r="Y106" s="751"/>
      <c r="Z106" s="751"/>
    </row>
    <row r="107" customFormat="1" customHeight="1" spans="1:19">
      <c r="A107" s="790"/>
      <c r="B107" s="791" t="s">
        <v>290</v>
      </c>
      <c r="C107" s="772">
        <v>900</v>
      </c>
      <c r="D107" s="772">
        <v>300</v>
      </c>
      <c r="E107" s="772">
        <v>720</v>
      </c>
      <c r="F107" s="797">
        <v>1</v>
      </c>
      <c r="G107" s="774" t="s">
        <v>291</v>
      </c>
      <c r="H107" s="774" t="s">
        <v>292</v>
      </c>
      <c r="I107" s="831">
        <f>F107</f>
        <v>1</v>
      </c>
      <c r="J107" s="882" t="e">
        <f>I107*#REF!</f>
        <v>#REF!</v>
      </c>
      <c r="K107" s="833"/>
      <c r="L107" s="846"/>
      <c r="M107" s="846"/>
      <c r="N107" s="846"/>
      <c r="O107" s="846"/>
      <c r="P107" s="846"/>
      <c r="Q107" s="863" t="e">
        <f>J107*300*720/1000000/0.9</f>
        <v>#REF!</v>
      </c>
      <c r="R107" s="846"/>
      <c r="S107" s="846"/>
    </row>
    <row r="108" customFormat="1" customHeight="1" spans="1:19">
      <c r="A108" s="792"/>
      <c r="B108" s="793"/>
      <c r="C108" s="777"/>
      <c r="D108" s="777"/>
      <c r="E108" s="777"/>
      <c r="F108" s="785"/>
      <c r="G108" s="779" t="s">
        <v>293</v>
      </c>
      <c r="H108" s="779" t="s">
        <v>294</v>
      </c>
      <c r="I108" s="834">
        <f>F107</f>
        <v>1</v>
      </c>
      <c r="J108" s="882" t="e">
        <f>I108*#REF!</f>
        <v>#REF!</v>
      </c>
      <c r="K108" s="833"/>
      <c r="L108" s="846"/>
      <c r="M108" s="846"/>
      <c r="N108" s="846"/>
      <c r="O108" s="846"/>
      <c r="P108" s="846"/>
      <c r="Q108" s="863" t="e">
        <f>J108*300*720/1000000/0.9</f>
        <v>#REF!</v>
      </c>
      <c r="R108" s="846"/>
      <c r="S108" s="846"/>
    </row>
    <row r="109" customFormat="1" customHeight="1" spans="1:19">
      <c r="A109" s="792"/>
      <c r="B109" s="793"/>
      <c r="C109" s="777"/>
      <c r="D109" s="777"/>
      <c r="E109" s="777"/>
      <c r="F109" s="785"/>
      <c r="G109" s="779" t="s">
        <v>267</v>
      </c>
      <c r="H109" s="779" t="s">
        <v>268</v>
      </c>
      <c r="I109" s="834">
        <f>F107</f>
        <v>1</v>
      </c>
      <c r="J109" s="882" t="e">
        <f>I107*#REF!</f>
        <v>#REF!</v>
      </c>
      <c r="K109" s="833"/>
      <c r="L109" s="846"/>
      <c r="M109" s="846"/>
      <c r="N109" s="846"/>
      <c r="O109" s="846"/>
      <c r="P109" s="846"/>
      <c r="Q109" s="863" t="e">
        <f>J109*300*867/1000000/0.9</f>
        <v>#REF!</v>
      </c>
      <c r="R109" s="846"/>
      <c r="S109" s="846"/>
    </row>
    <row r="110" customFormat="1" customHeight="1" spans="1:19">
      <c r="A110" s="792"/>
      <c r="B110" s="793"/>
      <c r="C110" s="777"/>
      <c r="D110" s="777"/>
      <c r="E110" s="777"/>
      <c r="F110" s="785"/>
      <c r="G110" s="779" t="s">
        <v>295</v>
      </c>
      <c r="H110" s="779" t="s">
        <v>296</v>
      </c>
      <c r="I110" s="834">
        <f>F107*2</f>
        <v>2</v>
      </c>
      <c r="J110" s="882" t="e">
        <f>I110*#REF!</f>
        <v>#REF!</v>
      </c>
      <c r="K110" s="833"/>
      <c r="L110" s="846"/>
      <c r="M110" s="846"/>
      <c r="N110" s="846"/>
      <c r="O110" s="846"/>
      <c r="P110" s="846"/>
      <c r="Q110" s="863" t="e">
        <f>J110*277*867/1000000/0.9</f>
        <v>#REF!</v>
      </c>
      <c r="R110" s="846"/>
      <c r="S110" s="846"/>
    </row>
    <row r="111" customFormat="1" customHeight="1" spans="1:19">
      <c r="A111" s="792"/>
      <c r="B111" s="793"/>
      <c r="C111" s="777"/>
      <c r="D111" s="777"/>
      <c r="E111" s="777"/>
      <c r="F111" s="785"/>
      <c r="G111" s="779" t="s">
        <v>279</v>
      </c>
      <c r="H111" s="779" t="s">
        <v>280</v>
      </c>
      <c r="I111" s="834">
        <f>F107</f>
        <v>1</v>
      </c>
      <c r="J111" s="882" t="e">
        <f>I111*#REF!</f>
        <v>#REF!</v>
      </c>
      <c r="K111" s="833"/>
      <c r="L111" s="846"/>
      <c r="M111" s="846"/>
      <c r="N111" s="846"/>
      <c r="O111" s="846"/>
      <c r="P111" s="846"/>
      <c r="Q111" s="863" t="e">
        <f>J111*708*878/1000000/0.9</f>
        <v>#REF!</v>
      </c>
      <c r="R111" s="846"/>
      <c r="S111" s="846"/>
    </row>
    <row r="112" customFormat="1" customHeight="1" spans="1:19">
      <c r="A112" s="795"/>
      <c r="B112" s="796"/>
      <c r="C112" s="780"/>
      <c r="D112" s="780"/>
      <c r="E112" s="780"/>
      <c r="F112" s="798"/>
      <c r="G112" s="799" t="s">
        <v>283</v>
      </c>
      <c r="H112" s="799" t="s">
        <v>284</v>
      </c>
      <c r="I112" s="849">
        <f>F107</f>
        <v>1</v>
      </c>
      <c r="J112" s="882" t="e">
        <f>I112*#REF!</f>
        <v>#REF!</v>
      </c>
      <c r="K112" s="833"/>
      <c r="L112" s="846"/>
      <c r="M112" s="846"/>
      <c r="N112" s="846"/>
      <c r="O112" s="846"/>
      <c r="P112" s="846"/>
      <c r="Q112" s="863" t="e">
        <f>J112*88*867/1000000/0.9</f>
        <v>#REF!</v>
      </c>
      <c r="R112" s="846"/>
      <c r="S112" s="846"/>
    </row>
    <row r="115" customHeight="1" spans="2:7">
      <c r="B115" s="755" t="s">
        <v>297</v>
      </c>
      <c r="G115" s="755" t="s">
        <v>298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47"/>
  <sheetViews>
    <sheetView view="pageBreakPreview" zoomScale="115" zoomScaleNormal="115" zoomScaleSheetLayoutView="115" workbookViewId="0">
      <selection activeCell="D12" sqref="D12"/>
    </sheetView>
  </sheetViews>
  <sheetFormatPr defaultColWidth="9" defaultRowHeight="20.1" customHeight="1"/>
  <cols>
    <col min="1" max="1" width="9" style="727"/>
    <col min="2" max="2" width="10.75" style="728" customWidth="1"/>
    <col min="3" max="3" width="13.125" style="728" customWidth="1"/>
    <col min="4" max="4" width="11" style="727" customWidth="1"/>
    <col min="5" max="5" width="8.125" style="727" customWidth="1"/>
    <col min="6" max="6" width="7.625" style="727" customWidth="1"/>
    <col min="7" max="7" width="8.25" style="727" customWidth="1"/>
    <col min="8" max="8" width="9.5" style="727" customWidth="1"/>
    <col min="9" max="9" width="6.25" style="727" customWidth="1"/>
    <col min="10" max="10" width="6.625" style="727" customWidth="1"/>
    <col min="11" max="16384" width="9" style="727"/>
  </cols>
  <sheetData>
    <row r="1" customHeight="1" spans="1:10">
      <c r="A1" s="729" t="s">
        <v>299</v>
      </c>
      <c r="B1" s="729"/>
      <c r="C1" s="729"/>
      <c r="D1" s="729"/>
      <c r="E1" s="729"/>
      <c r="F1" s="729"/>
      <c r="G1" s="729"/>
      <c r="H1" s="729"/>
      <c r="I1" s="729"/>
      <c r="J1" s="729"/>
    </row>
    <row r="2" customHeight="1" spans="1:10">
      <c r="A2" s="730" t="s">
        <v>3</v>
      </c>
      <c r="B2" s="731">
        <f>免漆门板单!B2</f>
        <v>0</v>
      </c>
      <c r="C2" s="731"/>
      <c r="D2" s="731" t="s">
        <v>59</v>
      </c>
      <c r="E2" s="731" t="str">
        <f>免漆门板单!K2</f>
        <v>S400321599d-11-28-1
</v>
      </c>
      <c r="F2" s="731"/>
      <c r="G2" s="731"/>
      <c r="H2" s="731" t="s">
        <v>300</v>
      </c>
      <c r="I2" s="748">
        <f>[5]柜体!$I$2</f>
        <v>0</v>
      </c>
      <c r="J2" s="748"/>
    </row>
    <row r="3" customHeight="1" spans="1:10">
      <c r="A3" s="731" t="s">
        <v>301</v>
      </c>
      <c r="B3" s="731" t="str">
        <f>免漆门板单!G3</f>
        <v>简爱II</v>
      </c>
      <c r="C3" s="731"/>
      <c r="D3" s="731" t="s">
        <v>302</v>
      </c>
      <c r="E3" s="731" t="str">
        <f>免漆门板单!B4</f>
        <v>M07艺术胡桃(横纹)</v>
      </c>
      <c r="F3" s="731"/>
      <c r="G3" s="731"/>
      <c r="H3" s="731" t="s">
        <v>6</v>
      </c>
      <c r="I3" s="748">
        <f>免漆门板单!K3</f>
        <v>0</v>
      </c>
      <c r="J3" s="748"/>
    </row>
    <row r="4" customHeight="1" spans="1:10">
      <c r="A4" s="731" t="s">
        <v>4</v>
      </c>
      <c r="B4" s="731">
        <f>免漆门板单!D2</f>
        <v>0</v>
      </c>
      <c r="C4" s="731"/>
      <c r="D4" s="732" t="s">
        <v>303</v>
      </c>
      <c r="E4" s="732">
        <f>免漆门板单!M2</f>
        <v>0</v>
      </c>
      <c r="F4" s="732"/>
      <c r="G4" s="732"/>
      <c r="H4" s="731" t="s">
        <v>7</v>
      </c>
      <c r="I4" s="748">
        <f>[5]柜体!$I$4</f>
        <v>0</v>
      </c>
      <c r="J4" s="748"/>
    </row>
    <row r="5" customHeight="1" spans="1:10">
      <c r="A5" s="731" t="s">
        <v>9</v>
      </c>
      <c r="B5" s="731" t="s">
        <v>10</v>
      </c>
      <c r="C5" s="731" t="s">
        <v>304</v>
      </c>
      <c r="D5" s="731" t="s">
        <v>305</v>
      </c>
      <c r="E5" s="731" t="s">
        <v>12</v>
      </c>
      <c r="F5" s="731" t="s">
        <v>306</v>
      </c>
      <c r="G5" s="731" t="s">
        <v>307</v>
      </c>
      <c r="H5" s="731" t="s">
        <v>308</v>
      </c>
      <c r="I5" s="731" t="s">
        <v>309</v>
      </c>
      <c r="J5" s="731"/>
    </row>
    <row r="6" customHeight="1" spans="1:10">
      <c r="A6" s="731" t="s">
        <v>310</v>
      </c>
      <c r="B6" s="731"/>
      <c r="C6" s="731"/>
      <c r="D6" s="731" t="s">
        <v>311</v>
      </c>
      <c r="E6" s="731"/>
      <c r="F6" s="731"/>
      <c r="G6" s="731"/>
      <c r="H6" s="731" t="s">
        <v>312</v>
      </c>
      <c r="I6" s="731"/>
      <c r="J6" s="731"/>
    </row>
    <row r="7" customHeight="1" spans="1:10">
      <c r="A7" s="731" t="s">
        <v>23</v>
      </c>
      <c r="B7" s="731" t="s">
        <v>313</v>
      </c>
      <c r="C7" s="731" t="s">
        <v>24</v>
      </c>
      <c r="D7" s="731" t="s">
        <v>25</v>
      </c>
      <c r="E7" s="731" t="s">
        <v>314</v>
      </c>
      <c r="F7" s="731" t="s">
        <v>300</v>
      </c>
      <c r="G7" s="731" t="s">
        <v>26</v>
      </c>
      <c r="H7" s="731" t="s">
        <v>28</v>
      </c>
      <c r="I7" s="731" t="s">
        <v>29</v>
      </c>
      <c r="J7" s="731" t="s">
        <v>30</v>
      </c>
    </row>
    <row r="8" customHeight="1" spans="1:10">
      <c r="A8" s="731">
        <v>1</v>
      </c>
      <c r="B8" s="10" t="s">
        <v>315</v>
      </c>
      <c r="C8" s="10" t="s">
        <v>316</v>
      </c>
      <c r="D8" s="731"/>
      <c r="E8" s="731" t="s">
        <v>317</v>
      </c>
      <c r="F8" s="731"/>
      <c r="G8" s="731"/>
      <c r="H8" s="731"/>
      <c r="I8" s="731"/>
      <c r="J8" s="749"/>
    </row>
    <row r="9" customHeight="1" spans="1:10">
      <c r="A9" s="731">
        <v>2</v>
      </c>
      <c r="B9" s="10"/>
      <c r="C9" s="10" t="s">
        <v>318</v>
      </c>
      <c r="D9" s="731"/>
      <c r="E9" s="731" t="s">
        <v>317</v>
      </c>
      <c r="F9" s="731"/>
      <c r="G9" s="731"/>
      <c r="H9" s="731"/>
      <c r="I9" s="731"/>
      <c r="J9" s="749"/>
    </row>
    <row r="10" customHeight="1" spans="1:10">
      <c r="A10" s="731">
        <v>3</v>
      </c>
      <c r="B10" s="10"/>
      <c r="C10" s="733" t="s">
        <v>319</v>
      </c>
      <c r="D10" s="731"/>
      <c r="E10" s="731" t="s">
        <v>317</v>
      </c>
      <c r="F10" s="731"/>
      <c r="G10" s="731"/>
      <c r="H10" s="731"/>
      <c r="I10" s="731"/>
      <c r="J10" s="749"/>
    </row>
    <row r="11" customHeight="1" spans="1:10">
      <c r="A11" s="731">
        <v>4</v>
      </c>
      <c r="B11" s="10" t="s">
        <v>320</v>
      </c>
      <c r="C11" s="10" t="s">
        <v>316</v>
      </c>
      <c r="D11" s="731"/>
      <c r="E11" s="731" t="s">
        <v>317</v>
      </c>
      <c r="F11" s="731"/>
      <c r="G11" s="731"/>
      <c r="H11" s="731"/>
      <c r="I11" s="731"/>
      <c r="J11" s="749"/>
    </row>
    <row r="12" customHeight="1" spans="1:10">
      <c r="A12" s="731">
        <v>5</v>
      </c>
      <c r="B12" s="10"/>
      <c r="C12" s="10" t="s">
        <v>318</v>
      </c>
      <c r="D12" s="731"/>
      <c r="E12" s="731" t="s">
        <v>317</v>
      </c>
      <c r="F12" s="731"/>
      <c r="G12" s="731"/>
      <c r="H12" s="731"/>
      <c r="I12" s="731"/>
      <c r="J12" s="749"/>
    </row>
    <row r="13" customHeight="1" spans="1:10">
      <c r="A13" s="731">
        <v>6</v>
      </c>
      <c r="B13" s="10"/>
      <c r="C13" s="733" t="s">
        <v>321</v>
      </c>
      <c r="D13" s="731"/>
      <c r="E13" s="731" t="s">
        <v>317</v>
      </c>
      <c r="F13" s="731"/>
      <c r="G13" s="731"/>
      <c r="H13" s="731"/>
      <c r="I13" s="731"/>
      <c r="J13" s="749"/>
    </row>
    <row r="14" customHeight="1" spans="1:10">
      <c r="A14" s="731">
        <v>7</v>
      </c>
      <c r="B14" s="734" t="s">
        <v>322</v>
      </c>
      <c r="C14" s="735" t="s">
        <v>323</v>
      </c>
      <c r="D14" s="736"/>
      <c r="E14" s="736" t="s">
        <v>317</v>
      </c>
      <c r="F14" s="731"/>
      <c r="G14" s="731"/>
      <c r="H14" s="731"/>
      <c r="I14" s="731"/>
      <c r="J14" s="749"/>
    </row>
    <row r="15" customHeight="1" spans="1:10">
      <c r="A15" s="731">
        <v>8</v>
      </c>
      <c r="B15" s="10" t="s">
        <v>324</v>
      </c>
      <c r="C15" s="10" t="s">
        <v>325</v>
      </c>
      <c r="D15" s="731">
        <f>免漆门板单!I3</f>
        <v>14</v>
      </c>
      <c r="E15" s="731" t="s">
        <v>317</v>
      </c>
      <c r="F15" s="731"/>
      <c r="G15" s="731"/>
      <c r="H15" s="731"/>
      <c r="I15" s="731"/>
      <c r="J15" s="749"/>
    </row>
    <row r="16" customHeight="1" spans="1:10">
      <c r="A16" s="731">
        <v>9</v>
      </c>
      <c r="B16" s="10"/>
      <c r="C16" s="10" t="s">
        <v>326</v>
      </c>
      <c r="D16" s="731">
        <f>免漆门板单!I3</f>
        <v>14</v>
      </c>
      <c r="E16" s="731" t="s">
        <v>317</v>
      </c>
      <c r="F16" s="731"/>
      <c r="G16" s="731"/>
      <c r="H16" s="731"/>
      <c r="I16" s="731"/>
      <c r="J16" s="749"/>
    </row>
    <row r="17" customHeight="1" spans="1:10">
      <c r="A17" s="731">
        <v>10</v>
      </c>
      <c r="B17" s="10" t="s">
        <v>327</v>
      </c>
      <c r="C17" s="10" t="s">
        <v>328</v>
      </c>
      <c r="D17" s="731"/>
      <c r="E17" s="731" t="s">
        <v>317</v>
      </c>
      <c r="F17" s="731"/>
      <c r="G17" s="731"/>
      <c r="H17" s="731"/>
      <c r="I17" s="731"/>
      <c r="J17" s="749"/>
    </row>
    <row r="18" customHeight="1" spans="1:10">
      <c r="A18" s="731">
        <v>11</v>
      </c>
      <c r="B18" s="10"/>
      <c r="C18" s="10" t="s">
        <v>329</v>
      </c>
      <c r="D18" s="731"/>
      <c r="E18" s="731" t="s">
        <v>317</v>
      </c>
      <c r="F18" s="731"/>
      <c r="G18" s="731"/>
      <c r="H18" s="731"/>
      <c r="I18" s="731"/>
      <c r="J18" s="749"/>
    </row>
    <row r="19" customHeight="1" spans="1:10">
      <c r="A19" s="731">
        <v>12</v>
      </c>
      <c r="B19" s="10"/>
      <c r="C19" s="10" t="s">
        <v>330</v>
      </c>
      <c r="D19" s="731"/>
      <c r="E19" s="731" t="s">
        <v>317</v>
      </c>
      <c r="F19" s="731"/>
      <c r="G19" s="731"/>
      <c r="H19" s="731"/>
      <c r="I19" s="731"/>
      <c r="J19" s="749"/>
    </row>
    <row r="20" customHeight="1" spans="1:10">
      <c r="A20" s="731">
        <v>13</v>
      </c>
      <c r="B20" s="10"/>
      <c r="C20" s="10" t="s">
        <v>331</v>
      </c>
      <c r="D20" s="731"/>
      <c r="E20" s="731" t="s">
        <v>317</v>
      </c>
      <c r="F20" s="731"/>
      <c r="G20" s="731"/>
      <c r="H20" s="731"/>
      <c r="I20" s="731"/>
      <c r="J20" s="749"/>
    </row>
    <row r="21" customHeight="1" spans="1:10">
      <c r="A21" s="731">
        <v>14</v>
      </c>
      <c r="B21" s="10" t="s">
        <v>332</v>
      </c>
      <c r="C21" s="10" t="s">
        <v>333</v>
      </c>
      <c r="D21" s="731"/>
      <c r="E21" s="731" t="s">
        <v>334</v>
      </c>
      <c r="F21" s="731"/>
      <c r="G21" s="731"/>
      <c r="H21" s="731"/>
      <c r="I21" s="731"/>
      <c r="J21" s="749"/>
    </row>
    <row r="22" customHeight="1" spans="1:10">
      <c r="A22" s="731">
        <v>15</v>
      </c>
      <c r="B22" s="10"/>
      <c r="C22" s="10" t="s">
        <v>335</v>
      </c>
      <c r="D22" s="731"/>
      <c r="E22" s="731" t="s">
        <v>336</v>
      </c>
      <c r="F22" s="731"/>
      <c r="G22" s="731"/>
      <c r="H22" s="731"/>
      <c r="I22" s="731"/>
      <c r="J22" s="749"/>
    </row>
    <row r="23" customHeight="1" spans="1:10">
      <c r="A23" s="731">
        <v>16</v>
      </c>
      <c r="B23" s="10"/>
      <c r="C23" s="46" t="s">
        <v>337</v>
      </c>
      <c r="D23" s="731"/>
      <c r="E23" s="731" t="s">
        <v>338</v>
      </c>
      <c r="F23" s="731"/>
      <c r="G23" s="731"/>
      <c r="H23" s="731"/>
      <c r="I23" s="731"/>
      <c r="J23" s="749"/>
    </row>
    <row r="24" customHeight="1" spans="1:10">
      <c r="A24" s="731">
        <v>17</v>
      </c>
      <c r="B24" s="732" t="s">
        <v>339</v>
      </c>
      <c r="C24" s="737" t="s">
        <v>340</v>
      </c>
      <c r="D24" s="731"/>
      <c r="E24" s="731" t="s">
        <v>336</v>
      </c>
      <c r="F24" s="731"/>
      <c r="G24" s="731"/>
      <c r="H24" s="731"/>
      <c r="I24" s="731"/>
      <c r="J24" s="749"/>
    </row>
    <row r="25" customHeight="1" spans="1:10">
      <c r="A25" s="731">
        <v>18</v>
      </c>
      <c r="B25" s="732"/>
      <c r="C25" s="737" t="s">
        <v>341</v>
      </c>
      <c r="D25" s="731"/>
      <c r="E25" s="731" t="s">
        <v>336</v>
      </c>
      <c r="F25" s="731"/>
      <c r="G25" s="731"/>
      <c r="H25" s="731"/>
      <c r="I25" s="731"/>
      <c r="J25" s="749"/>
    </row>
    <row r="26" customHeight="1" spans="1:10">
      <c r="A26" s="731">
        <v>19</v>
      </c>
      <c r="B26" s="738" t="s">
        <v>342</v>
      </c>
      <c r="C26" s="737" t="s">
        <v>343</v>
      </c>
      <c r="D26" s="731"/>
      <c r="E26" s="731" t="s">
        <v>336</v>
      </c>
      <c r="F26" s="731"/>
      <c r="G26" s="731"/>
      <c r="H26" s="731"/>
      <c r="I26" s="731"/>
      <c r="J26" s="749"/>
    </row>
    <row r="27" customHeight="1" spans="1:10">
      <c r="A27" s="731">
        <v>20</v>
      </c>
      <c r="B27" s="739"/>
      <c r="C27" s="737" t="s">
        <v>344</v>
      </c>
      <c r="D27" s="731"/>
      <c r="E27" s="731" t="s">
        <v>336</v>
      </c>
      <c r="F27" s="731"/>
      <c r="G27" s="731"/>
      <c r="H27" s="731"/>
      <c r="I27" s="731"/>
      <c r="J27" s="749"/>
    </row>
    <row r="28" customHeight="1" spans="1:10">
      <c r="A28" s="731">
        <v>21</v>
      </c>
      <c r="B28" s="733" t="s">
        <v>345</v>
      </c>
      <c r="C28" s="737" t="s">
        <v>346</v>
      </c>
      <c r="D28" s="731">
        <f>免漆门板单!I3</f>
        <v>14</v>
      </c>
      <c r="E28" s="731" t="s">
        <v>317</v>
      </c>
      <c r="F28" s="731"/>
      <c r="G28" s="731"/>
      <c r="H28" s="731"/>
      <c r="I28" s="731"/>
      <c r="J28" s="749"/>
    </row>
    <row r="29" customHeight="1" spans="1:10">
      <c r="A29" s="740"/>
      <c r="B29" s="740"/>
      <c r="C29" s="741"/>
      <c r="D29" s="740"/>
      <c r="E29" s="740"/>
      <c r="F29" s="740"/>
      <c r="G29" s="740"/>
      <c r="H29" s="740"/>
      <c r="I29" s="740"/>
      <c r="J29" s="750"/>
    </row>
    <row r="30" customHeight="1" spans="1:10">
      <c r="A30" s="740"/>
      <c r="B30" s="740"/>
      <c r="C30" s="742"/>
      <c r="D30" s="740"/>
      <c r="E30" s="740"/>
      <c r="F30" s="740"/>
      <c r="G30" s="740"/>
      <c r="H30" s="740"/>
      <c r="I30" s="740"/>
      <c r="J30" s="750"/>
    </row>
    <row r="31" customHeight="1" spans="1:10">
      <c r="A31" s="740"/>
      <c r="B31" s="740"/>
      <c r="C31" s="743"/>
      <c r="D31" s="740"/>
      <c r="E31" s="740"/>
      <c r="F31" s="740"/>
      <c r="G31" s="740"/>
      <c r="H31" s="740"/>
      <c r="I31" s="740"/>
      <c r="J31" s="750"/>
    </row>
    <row r="32" customHeight="1" spans="1:10">
      <c r="A32" s="740"/>
      <c r="B32" s="740"/>
      <c r="C32" s="743"/>
      <c r="D32" s="740"/>
      <c r="E32" s="740"/>
      <c r="F32" s="740"/>
      <c r="G32" s="740"/>
      <c r="H32" s="740"/>
      <c r="I32" s="740"/>
      <c r="J32" s="750"/>
    </row>
    <row r="33" customHeight="1" spans="1:10">
      <c r="A33" s="740"/>
      <c r="B33" s="740"/>
      <c r="C33" s="740"/>
      <c r="D33" s="740"/>
      <c r="E33" s="740"/>
      <c r="F33" s="740"/>
      <c r="G33" s="740"/>
      <c r="H33" s="740"/>
      <c r="I33" s="740"/>
      <c r="J33" s="750"/>
    </row>
    <row r="34" customHeight="1" spans="1:10">
      <c r="A34" s="740"/>
      <c r="B34" s="740"/>
      <c r="C34" s="740"/>
      <c r="D34" s="740"/>
      <c r="E34" s="740"/>
      <c r="F34" s="740"/>
      <c r="G34" s="740"/>
      <c r="H34" s="740"/>
      <c r="I34" s="740"/>
      <c r="J34" s="750"/>
    </row>
    <row r="35" customHeight="1" spans="1:10">
      <c r="A35" s="740"/>
      <c r="B35" s="740"/>
      <c r="C35" s="740"/>
      <c r="D35" s="740"/>
      <c r="E35" s="740"/>
      <c r="F35" s="740"/>
      <c r="G35" s="740"/>
      <c r="H35" s="740"/>
      <c r="I35" s="740"/>
      <c r="J35" s="750"/>
    </row>
    <row r="36" customHeight="1" spans="1:10">
      <c r="A36" s="740"/>
      <c r="B36" s="740"/>
      <c r="C36" s="740"/>
      <c r="D36" s="740"/>
      <c r="E36" s="740"/>
      <c r="F36" s="740"/>
      <c r="G36" s="740"/>
      <c r="H36" s="740"/>
      <c r="I36" s="740"/>
      <c r="J36" s="750"/>
    </row>
    <row r="37" customHeight="1" spans="1:10">
      <c r="A37" s="740"/>
      <c r="B37" s="740"/>
      <c r="C37" s="741"/>
      <c r="D37" s="740"/>
      <c r="E37" s="740"/>
      <c r="F37" s="740"/>
      <c r="G37" s="740"/>
      <c r="H37" s="740"/>
      <c r="I37" s="740"/>
      <c r="J37" s="750"/>
    </row>
    <row r="38" customHeight="1" spans="1:10">
      <c r="A38" s="740"/>
      <c r="B38" s="740"/>
      <c r="C38" s="741"/>
      <c r="D38" s="740"/>
      <c r="E38" s="740"/>
      <c r="F38" s="740"/>
      <c r="G38" s="740"/>
      <c r="H38" s="740"/>
      <c r="I38" s="740"/>
      <c r="J38" s="750"/>
    </row>
    <row r="39" customHeight="1" spans="1:10">
      <c r="A39" s="740"/>
      <c r="B39" s="740"/>
      <c r="C39" s="744"/>
      <c r="D39" s="740"/>
      <c r="E39" s="740"/>
      <c r="F39" s="740"/>
      <c r="G39" s="740"/>
      <c r="H39" s="740"/>
      <c r="I39" s="740"/>
      <c r="J39" s="750"/>
    </row>
    <row r="40" customHeight="1" spans="1:10">
      <c r="A40" s="740"/>
      <c r="B40" s="740"/>
      <c r="C40" s="740"/>
      <c r="D40" s="740"/>
      <c r="E40" s="740"/>
      <c r="F40" s="740"/>
      <c r="G40" s="740"/>
      <c r="H40" s="740"/>
      <c r="I40" s="740"/>
      <c r="J40" s="750"/>
    </row>
    <row r="41" customHeight="1" spans="1:10">
      <c r="A41" s="740"/>
      <c r="B41" s="740"/>
      <c r="C41" s="740"/>
      <c r="D41" s="740"/>
      <c r="E41" s="740"/>
      <c r="F41" s="740"/>
      <c r="G41" s="740"/>
      <c r="H41" s="740"/>
      <c r="I41" s="740"/>
      <c r="J41" s="750"/>
    </row>
    <row r="42" customHeight="1" spans="1:10">
      <c r="A42" s="740"/>
      <c r="B42" s="740"/>
      <c r="C42" s="745"/>
      <c r="D42" s="740"/>
      <c r="E42" s="740"/>
      <c r="F42" s="740"/>
      <c r="G42" s="740"/>
      <c r="H42" s="740"/>
      <c r="I42" s="740"/>
      <c r="J42" s="750"/>
    </row>
    <row r="43" customHeight="1" spans="1:10">
      <c r="A43" s="740"/>
      <c r="B43" s="740"/>
      <c r="C43" s="745"/>
      <c r="D43" s="740"/>
      <c r="E43" s="740"/>
      <c r="F43" s="740"/>
      <c r="G43" s="740"/>
      <c r="H43" s="740"/>
      <c r="I43" s="740"/>
      <c r="J43" s="750"/>
    </row>
    <row r="44" customHeight="1" spans="1:10">
      <c r="A44" s="740"/>
      <c r="B44" s="740"/>
      <c r="C44" s="740"/>
      <c r="D44" s="740"/>
      <c r="E44" s="740"/>
      <c r="F44" s="740"/>
      <c r="G44" s="740"/>
      <c r="H44" s="740"/>
      <c r="I44" s="740"/>
      <c r="J44" s="750"/>
    </row>
    <row r="45" customHeight="1" spans="1:10">
      <c r="A45" s="740"/>
      <c r="B45" s="740"/>
      <c r="C45" s="740"/>
      <c r="D45" s="740"/>
      <c r="E45" s="740"/>
      <c r="F45" s="740"/>
      <c r="G45" s="740"/>
      <c r="H45" s="740"/>
      <c r="I45" s="740"/>
      <c r="J45" s="750"/>
    </row>
    <row r="46" customHeight="1" spans="1:10">
      <c r="A46" s="740"/>
      <c r="B46" s="740"/>
      <c r="C46" s="740"/>
      <c r="D46" s="740"/>
      <c r="E46" s="740"/>
      <c r="F46" s="740"/>
      <c r="G46" s="740"/>
      <c r="H46" s="740"/>
      <c r="I46" s="740"/>
      <c r="J46" s="750"/>
    </row>
    <row r="47" customHeight="1" spans="1:10">
      <c r="A47" s="746"/>
      <c r="B47" s="747"/>
      <c r="C47" s="747"/>
      <c r="D47" s="746"/>
      <c r="E47" s="746"/>
      <c r="F47" s="746"/>
      <c r="G47" s="746"/>
      <c r="H47" s="746"/>
      <c r="I47" s="746"/>
      <c r="J47" s="746"/>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629166666666667" bottom="0.235416666666667" header="0.235416666666667" footer="0.235416666666667"/>
  <pageSetup paperSize="9" scale="94" orientation="portrait"/>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G107"/>
  <sheetViews>
    <sheetView showGridLines="0" tabSelected="1" view="pageBreakPreview" zoomScaleNormal="100" zoomScaleSheetLayoutView="100" workbookViewId="0">
      <selection activeCell="A7" sqref="A7"/>
    </sheetView>
  </sheetViews>
  <sheetFormatPr defaultColWidth="9" defaultRowHeight="16.5"/>
  <cols>
    <col min="1" max="1" width="8.75" style="658" customWidth="1"/>
    <col min="2" max="2" width="10.75" style="658" customWidth="1"/>
    <col min="3" max="4" width="6.875" style="658" customWidth="1"/>
    <col min="5" max="5" width="9" style="659" customWidth="1"/>
    <col min="6" max="6" width="9.875" style="660" customWidth="1"/>
    <col min="7" max="7" width="9.25" style="658" customWidth="1"/>
    <col min="8" max="8" width="9.625" style="658" customWidth="1"/>
    <col min="9" max="9" width="13.375" style="658" customWidth="1"/>
    <col min="10" max="10" width="10.375" style="658" customWidth="1"/>
    <col min="11" max="11" width="12" style="658" customWidth="1"/>
    <col min="12" max="12" width="11.875" style="658" customWidth="1"/>
    <col min="13" max="13" width="12" style="658" customWidth="1"/>
    <col min="14" max="14" width="15" style="658" customWidth="1"/>
    <col min="15" max="15" width="9" style="658"/>
    <col min="16" max="16" width="13.5" style="658" customWidth="1"/>
    <col min="17" max="17" width="10.75" style="658" customWidth="1"/>
    <col min="18" max="18" width="12.5" style="658" customWidth="1"/>
    <col min="19" max="19" width="11.5" style="661" customWidth="1"/>
    <col min="20" max="21" width="12.125" style="658" customWidth="1"/>
    <col min="22" max="22" width="9.625" style="658" customWidth="1"/>
    <col min="23" max="23" width="12.75" style="658" customWidth="1"/>
    <col min="24" max="24" width="15.5" style="658" customWidth="1"/>
    <col min="25" max="25" width="11.25" style="658" customWidth="1"/>
    <col min="26" max="27" width="9" style="658" customWidth="1"/>
    <col min="28" max="28" width="43" style="658" customWidth="1"/>
    <col min="29" max="29" width="36.125" style="658" customWidth="1"/>
    <col min="30" max="30" width="9.625" style="658" customWidth="1"/>
    <col min="31" max="31" width="44.125" style="658" customWidth="1"/>
    <col min="32" max="32" width="23.375" style="658" customWidth="1"/>
    <col min="33" max="16384" width="9" style="658"/>
  </cols>
  <sheetData>
    <row r="1" ht="18" spans="1:13">
      <c r="A1" s="662" t="s">
        <v>347</v>
      </c>
      <c r="B1" s="663"/>
      <c r="C1" s="663"/>
      <c r="D1" s="663"/>
      <c r="E1" s="663"/>
      <c r="F1" s="663"/>
      <c r="G1" s="663"/>
      <c r="H1" s="663"/>
      <c r="I1" s="663"/>
      <c r="J1" s="663"/>
      <c r="K1" s="663"/>
      <c r="L1" s="663"/>
      <c r="M1" s="704"/>
    </row>
    <row r="2" ht="18" customHeight="1" spans="1:13">
      <c r="A2" s="664" t="s">
        <v>3</v>
      </c>
      <c r="B2" s="664">
        <f>[5]下料单!$C$2</f>
        <v>0</v>
      </c>
      <c r="C2" s="664" t="s">
        <v>4</v>
      </c>
      <c r="D2" s="665">
        <f>[5]下料单!$S$2</f>
        <v>0</v>
      </c>
      <c r="E2" s="664" t="s">
        <v>348</v>
      </c>
      <c r="F2" s="664" t="s">
        <v>308</v>
      </c>
      <c r="G2" s="664" t="s">
        <v>349</v>
      </c>
      <c r="H2" s="664" t="s">
        <v>350</v>
      </c>
      <c r="I2" s="664" t="s">
        <v>351</v>
      </c>
      <c r="J2" s="664" t="s">
        <v>59</v>
      </c>
      <c r="K2" s="664" t="str">
        <f>[5]下料单!$H$2</f>
        <v>S400321599d-11-28-1
</v>
      </c>
      <c r="L2" s="705" t="s">
        <v>352</v>
      </c>
      <c r="M2" s="664">
        <f>[5]下料单!$N$2</f>
        <v>0</v>
      </c>
    </row>
    <row r="3" ht="19.5" customHeight="1" spans="1:20">
      <c r="A3" s="664" t="s">
        <v>353</v>
      </c>
      <c r="B3" s="666" t="s">
        <v>354</v>
      </c>
      <c r="C3" s="666" t="s">
        <v>355</v>
      </c>
      <c r="D3" s="666" t="s">
        <v>306</v>
      </c>
      <c r="E3" s="666" t="str">
        <f>VLOOKUP(B4,AC:AH,2,0)</f>
        <v>横纹</v>
      </c>
      <c r="F3" s="666" t="s">
        <v>356</v>
      </c>
      <c r="G3" s="666" t="str">
        <f>[5]下料单!$AB$2</f>
        <v>简爱II</v>
      </c>
      <c r="H3" s="666" t="s">
        <v>357</v>
      </c>
      <c r="I3" s="706">
        <f>SUM(D7:D43)</f>
        <v>14</v>
      </c>
      <c r="J3" s="666" t="s">
        <v>6</v>
      </c>
      <c r="K3" s="707">
        <f>[5]外地!$G$3</f>
        <v>0</v>
      </c>
      <c r="L3" s="666" t="s">
        <v>7</v>
      </c>
      <c r="M3" s="686"/>
      <c r="R3" s="658" t="s">
        <v>37</v>
      </c>
      <c r="S3" s="721" t="s">
        <v>358</v>
      </c>
      <c r="T3" s="722"/>
    </row>
    <row r="4" ht="19.5" customHeight="1" spans="1:18">
      <c r="A4" s="667" t="s">
        <v>359</v>
      </c>
      <c r="B4" s="668" t="s">
        <v>360</v>
      </c>
      <c r="C4" s="669"/>
      <c r="D4" s="669"/>
      <c r="E4" s="669"/>
      <c r="F4" s="669"/>
      <c r="G4" s="669"/>
      <c r="H4" s="669"/>
      <c r="I4" s="669"/>
      <c r="J4" s="669"/>
      <c r="K4" s="669"/>
      <c r="L4" s="669"/>
      <c r="M4" s="708"/>
      <c r="R4" s="658" t="s">
        <v>351</v>
      </c>
    </row>
    <row r="5" ht="18" customHeight="1" spans="1:33">
      <c r="A5" s="667" t="s">
        <v>361</v>
      </c>
      <c r="B5" s="670"/>
      <c r="C5" s="671" t="s">
        <v>362</v>
      </c>
      <c r="D5" s="671"/>
      <c r="E5" s="670"/>
      <c r="F5" s="671"/>
      <c r="G5" s="671" t="s">
        <v>363</v>
      </c>
      <c r="H5" s="672"/>
      <c r="I5" s="709"/>
      <c r="J5" s="709" t="s">
        <v>30</v>
      </c>
      <c r="K5" s="710" t="s">
        <v>364</v>
      </c>
      <c r="L5" s="710"/>
      <c r="M5" s="710"/>
      <c r="N5" s="658">
        <f>VLOOKUP(B4,AC:AG,5,0)</f>
        <v>2</v>
      </c>
      <c r="AB5" s="658" t="str">
        <f t="shared" ref="AB5:AB31" si="0">AC5&amp;"+"&amp;AF5</f>
        <v>M01-01触感浅橡(横纹)+浅橡PVC封边条2.0*22</v>
      </c>
      <c r="AC5" s="658" t="s">
        <v>365</v>
      </c>
      <c r="AD5" s="658" t="s">
        <v>366</v>
      </c>
      <c r="AE5" s="658" t="s">
        <v>367</v>
      </c>
      <c r="AF5" s="658" t="s">
        <v>368</v>
      </c>
      <c r="AG5" s="658">
        <v>2</v>
      </c>
    </row>
    <row r="6" ht="35.25" customHeight="1" spans="1:33">
      <c r="A6" s="664" t="s">
        <v>369</v>
      </c>
      <c r="B6" s="673" t="s">
        <v>370</v>
      </c>
      <c r="C6" s="673" t="s">
        <v>371</v>
      </c>
      <c r="D6" s="673" t="s">
        <v>83</v>
      </c>
      <c r="E6" s="673" t="s">
        <v>372</v>
      </c>
      <c r="F6" s="673" t="s">
        <v>373</v>
      </c>
      <c r="G6" s="673" t="s">
        <v>370</v>
      </c>
      <c r="H6" s="673" t="s">
        <v>371</v>
      </c>
      <c r="I6" s="673" t="s">
        <v>83</v>
      </c>
      <c r="J6" s="664" t="s">
        <v>374</v>
      </c>
      <c r="K6" s="664" t="s">
        <v>375</v>
      </c>
      <c r="L6" s="664"/>
      <c r="M6" s="664"/>
      <c r="N6" s="711" t="s">
        <v>376</v>
      </c>
      <c r="O6" s="664" t="s">
        <v>37</v>
      </c>
      <c r="P6" s="711" t="s">
        <v>377</v>
      </c>
      <c r="Q6" s="664" t="s">
        <v>378</v>
      </c>
      <c r="R6" s="664" t="s">
        <v>379</v>
      </c>
      <c r="S6" s="723" t="s">
        <v>380</v>
      </c>
      <c r="T6" s="711" t="s">
        <v>381</v>
      </c>
      <c r="U6" s="711" t="s">
        <v>382</v>
      </c>
      <c r="V6" s="724" t="s">
        <v>383</v>
      </c>
      <c r="AB6" s="658" t="str">
        <f t="shared" si="0"/>
        <v>M03-01触感红樱桃(横纹)+红樱桃PVC封边条2.0*22</v>
      </c>
      <c r="AC6" s="659" t="s">
        <v>384</v>
      </c>
      <c r="AD6" s="658" t="s">
        <v>366</v>
      </c>
      <c r="AE6" s="658" t="s">
        <v>385</v>
      </c>
      <c r="AF6" s="658" t="s">
        <v>386</v>
      </c>
      <c r="AG6" s="658">
        <v>2</v>
      </c>
    </row>
    <row r="7" ht="17.1" customHeight="1" spans="1:33">
      <c r="A7" s="674" t="s">
        <v>387</v>
      </c>
      <c r="B7" s="675"/>
      <c r="C7" s="676"/>
      <c r="D7" s="676"/>
      <c r="E7" s="664" t="s">
        <v>388</v>
      </c>
      <c r="F7" s="664">
        <v>18</v>
      </c>
      <c r="G7" s="664">
        <f t="shared" ref="G7:G26" si="1">IF($E$3="横纹",C7-$T$48,IF($E$3="竖纹",B7-3,IF($E$3="纯色",B7-3)))</f>
        <v>-36.5</v>
      </c>
      <c r="H7" s="664">
        <f t="shared" ref="H7:H26" si="2">IF($E$3="横纹",B7-3,IF($E$3="竖纹",C7-$T$48,IF($E$3="纯色",C7-$T$48)))</f>
        <v>-3</v>
      </c>
      <c r="I7" s="664">
        <f t="shared" ref="I7:I26" si="3">D7</f>
        <v>0</v>
      </c>
      <c r="J7" s="712" t="str">
        <f t="shared" ref="J7:J26" si="4">IF(OR(AND($I$2="T型铝封边",B7&lt;80),AND($I$2="T型铝封边",C7&lt;80)),$R$4,"")</f>
        <v/>
      </c>
      <c r="K7" s="712"/>
      <c r="L7" s="664"/>
      <c r="M7" s="664"/>
      <c r="N7" s="658">
        <f>IF(AND($B$3="外置拉手",$I$2="2.0*22同色PVC"),(B7+C7+120)*2*I7/1000,0)</f>
        <v>0</v>
      </c>
      <c r="O7" s="658">
        <f t="shared" ref="O7:O26" si="5">IF(AND($I$2="T型铝封边",J7=""),(B7+C7+120)*2*I7/1000,0)</f>
        <v>0</v>
      </c>
      <c r="P7" s="658">
        <f t="shared" ref="P7:P26" si="6">IF(AND($I$2="T型铝封边",J7="2.0*22同色PVC"),(B7+C7+120)*2*I7/1000,0)</f>
        <v>0</v>
      </c>
      <c r="Q7" s="658">
        <f>(B7+C7)*D7*2/0.9/1000</f>
        <v>0</v>
      </c>
      <c r="R7" s="658">
        <f>B7*C7*D7/1000000</f>
        <v>0</v>
      </c>
      <c r="S7" s="661">
        <f>B7*C7*D7/1000000/1.22/2.44</f>
        <v>0</v>
      </c>
      <c r="T7" s="658">
        <f t="shared" ref="T7:T26" si="7">IF($B$3&lt;&gt;"外置拉手",((B7+C7*2)+180)*I7/1000,0)</f>
        <v>0</v>
      </c>
      <c r="U7" s="719">
        <f t="shared" ref="U7:U26" si="8">IF($B$3&lt;&gt;"外置拉手",B7*D7/0.9/1000,0)</f>
        <v>0</v>
      </c>
      <c r="V7" s="658">
        <f>IF(OR(AND(B7&lt;100,B3="外置拉手"),AND(C7&lt;100,B3="外置拉手")),D7*0.2,0)+IF(OR(AND(B7&lt;100,B3="通长铝拉手"),AND(C7&lt;100,B3="通长铝拉手")),D7*0.1,0)</f>
        <v>0</v>
      </c>
      <c r="AB7" s="658" t="str">
        <f t="shared" si="0"/>
        <v>M06-01触感深橡(横纹)+深橡PVC封边条2.0*22</v>
      </c>
      <c r="AC7" s="659" t="s">
        <v>389</v>
      </c>
      <c r="AD7" s="658" t="s">
        <v>366</v>
      </c>
      <c r="AE7" s="658" t="s">
        <v>390</v>
      </c>
      <c r="AF7" s="658" t="s">
        <v>391</v>
      </c>
      <c r="AG7" s="658">
        <v>2</v>
      </c>
    </row>
    <row r="8" ht="17.1" customHeight="1" spans="1:33">
      <c r="A8" s="674" t="s">
        <v>387</v>
      </c>
      <c r="B8" s="675"/>
      <c r="C8" s="676"/>
      <c r="D8" s="676"/>
      <c r="E8" s="664" t="s">
        <v>388</v>
      </c>
      <c r="F8" s="664">
        <v>18</v>
      </c>
      <c r="G8" s="664">
        <f t="shared" si="1"/>
        <v>-36.5</v>
      </c>
      <c r="H8" s="664">
        <f t="shared" si="2"/>
        <v>-3</v>
      </c>
      <c r="I8" s="664">
        <f t="shared" si="3"/>
        <v>0</v>
      </c>
      <c r="J8" s="712" t="str">
        <f t="shared" si="4"/>
        <v/>
      </c>
      <c r="K8" s="712"/>
      <c r="L8" s="664"/>
      <c r="M8" s="664"/>
      <c r="N8" s="658">
        <f t="shared" ref="N8:N26" si="9">IF(AND($B$3="外置拉手",$I$2=$R$4),(B8+C8+120)*2*I8/1000,0)</f>
        <v>0</v>
      </c>
      <c r="O8" s="658">
        <f t="shared" si="5"/>
        <v>0</v>
      </c>
      <c r="P8" s="658">
        <f t="shared" si="6"/>
        <v>0</v>
      </c>
      <c r="Q8" s="658">
        <f t="shared" ref="Q8:Q43" si="10">(B8+C8)*D8*2/0.9/1000</f>
        <v>0</v>
      </c>
      <c r="R8" s="658">
        <f t="shared" ref="R8:R43" si="11">B8*C8*D8/1000000</f>
        <v>0</v>
      </c>
      <c r="S8" s="661">
        <f t="shared" ref="S8:S43" si="12">B8*C8*D8/1000000/1.22/2.44</f>
        <v>0</v>
      </c>
      <c r="T8" s="658">
        <f t="shared" si="7"/>
        <v>0</v>
      </c>
      <c r="U8" s="719">
        <f t="shared" si="8"/>
        <v>0</v>
      </c>
      <c r="V8" s="658">
        <f t="shared" ref="V8:V26" si="13">IF(OR(AND(B8&lt;100,C5="外置拉手"),AND(C8&lt;100,C5="外置拉手")),D8*0.2,0)+IF(OR(AND(B8&lt;100,C5="通长铝拉手"),AND(C8&lt;100,C5="通长铝拉手")),D8*0.1,0)</f>
        <v>0</v>
      </c>
      <c r="AB8" s="658" t="str">
        <f t="shared" si="0"/>
        <v>M07艺术胡桃(横纹)+艺术胡桃PVC封边条2.0*22</v>
      </c>
      <c r="AC8" s="659" t="s">
        <v>360</v>
      </c>
      <c r="AD8" s="658" t="s">
        <v>366</v>
      </c>
      <c r="AE8" s="658" t="s">
        <v>392</v>
      </c>
      <c r="AF8" s="658" t="s">
        <v>393</v>
      </c>
      <c r="AG8" s="658">
        <v>2</v>
      </c>
    </row>
    <row r="9" ht="17.1" customHeight="1" spans="1:29">
      <c r="A9" s="665"/>
      <c r="B9" s="664"/>
      <c r="C9" s="664"/>
      <c r="D9" s="664"/>
      <c r="E9" s="664"/>
      <c r="F9" s="664"/>
      <c r="G9" s="664">
        <f t="shared" si="1"/>
        <v>-36.5</v>
      </c>
      <c r="H9" s="664">
        <f t="shared" si="2"/>
        <v>-3</v>
      </c>
      <c r="I9" s="664">
        <f t="shared" si="3"/>
        <v>0</v>
      </c>
      <c r="J9" s="712" t="str">
        <f t="shared" si="4"/>
        <v/>
      </c>
      <c r="K9" s="712"/>
      <c r="L9" s="664"/>
      <c r="M9" s="664"/>
      <c r="N9" s="658">
        <f t="shared" si="9"/>
        <v>0</v>
      </c>
      <c r="O9" s="658">
        <f t="shared" si="5"/>
        <v>0</v>
      </c>
      <c r="P9" s="658">
        <f t="shared" si="6"/>
        <v>0</v>
      </c>
      <c r="Q9" s="658">
        <f t="shared" si="10"/>
        <v>0</v>
      </c>
      <c r="R9" s="658">
        <f t="shared" si="11"/>
        <v>0</v>
      </c>
      <c r="S9" s="661">
        <f t="shared" si="12"/>
        <v>0</v>
      </c>
      <c r="T9" s="658">
        <f t="shared" si="7"/>
        <v>0</v>
      </c>
      <c r="U9" s="719">
        <f t="shared" si="8"/>
        <v>0</v>
      </c>
      <c r="V9" s="658">
        <f t="shared" si="13"/>
        <v>0</v>
      </c>
      <c r="AC9" s="659"/>
    </row>
    <row r="10" ht="17.1" customHeight="1" spans="1:33">
      <c r="A10" s="665"/>
      <c r="B10" s="664"/>
      <c r="C10" s="664"/>
      <c r="D10" s="664"/>
      <c r="E10" s="664"/>
      <c r="F10" s="664"/>
      <c r="G10" s="664">
        <f t="shared" si="1"/>
        <v>-36.5</v>
      </c>
      <c r="H10" s="664">
        <f t="shared" si="2"/>
        <v>-3</v>
      </c>
      <c r="I10" s="664">
        <f t="shared" si="3"/>
        <v>0</v>
      </c>
      <c r="J10" s="712" t="str">
        <f t="shared" si="4"/>
        <v/>
      </c>
      <c r="K10" s="712"/>
      <c r="L10" s="664"/>
      <c r="M10" s="664"/>
      <c r="N10" s="658">
        <f t="shared" si="9"/>
        <v>0</v>
      </c>
      <c r="O10" s="658">
        <f t="shared" si="5"/>
        <v>0</v>
      </c>
      <c r="P10" s="658">
        <f t="shared" si="6"/>
        <v>0</v>
      </c>
      <c r="Q10" s="658">
        <f t="shared" si="10"/>
        <v>0</v>
      </c>
      <c r="R10" s="658">
        <f t="shared" si="11"/>
        <v>0</v>
      </c>
      <c r="S10" s="661">
        <f t="shared" si="12"/>
        <v>0</v>
      </c>
      <c r="T10" s="658">
        <f t="shared" si="7"/>
        <v>0</v>
      </c>
      <c r="U10" s="719">
        <f t="shared" si="8"/>
        <v>0</v>
      </c>
      <c r="V10" s="658">
        <f t="shared" si="13"/>
        <v>0</v>
      </c>
      <c r="AB10" s="658" t="str">
        <f t="shared" si="0"/>
        <v>M54白漆木(横纹)+白漆木PVC封边条2.0*22</v>
      </c>
      <c r="AC10" s="659" t="s">
        <v>394</v>
      </c>
      <c r="AD10" s="658" t="s">
        <v>366</v>
      </c>
      <c r="AE10" s="658" t="s">
        <v>395</v>
      </c>
      <c r="AF10" s="658" t="s">
        <v>396</v>
      </c>
      <c r="AG10" s="658">
        <v>2</v>
      </c>
    </row>
    <row r="11" ht="17.1" customHeight="1" spans="1:33">
      <c r="A11" s="665"/>
      <c r="B11" s="664"/>
      <c r="C11" s="664"/>
      <c r="D11" s="664"/>
      <c r="E11" s="664"/>
      <c r="F11" s="664"/>
      <c r="G11" s="664">
        <f t="shared" si="1"/>
        <v>-36.5</v>
      </c>
      <c r="H11" s="664">
        <f t="shared" si="2"/>
        <v>-3</v>
      </c>
      <c r="I11" s="664">
        <f t="shared" si="3"/>
        <v>0</v>
      </c>
      <c r="J11" s="712" t="str">
        <f t="shared" si="4"/>
        <v/>
      </c>
      <c r="K11" s="712"/>
      <c r="L11" s="664"/>
      <c r="M11" s="664"/>
      <c r="N11" s="658">
        <f t="shared" si="9"/>
        <v>0</v>
      </c>
      <c r="O11" s="658">
        <f t="shared" si="5"/>
        <v>0</v>
      </c>
      <c r="P11" s="658">
        <f t="shared" si="6"/>
        <v>0</v>
      </c>
      <c r="Q11" s="658">
        <f t="shared" si="10"/>
        <v>0</v>
      </c>
      <c r="R11" s="658">
        <f t="shared" si="11"/>
        <v>0</v>
      </c>
      <c r="S11" s="661">
        <f t="shared" si="12"/>
        <v>0</v>
      </c>
      <c r="T11" s="658">
        <f t="shared" si="7"/>
        <v>0</v>
      </c>
      <c r="U11" s="719">
        <f t="shared" si="8"/>
        <v>0</v>
      </c>
      <c r="V11" s="658">
        <f t="shared" si="13"/>
        <v>0</v>
      </c>
      <c r="AB11" s="658" t="str">
        <f t="shared" si="0"/>
        <v>M55腊木(横纹)+腊木PVC封边条2.0*22</v>
      </c>
      <c r="AC11" s="659" t="s">
        <v>397</v>
      </c>
      <c r="AD11" s="658" t="s">
        <v>366</v>
      </c>
      <c r="AE11" s="658" t="s">
        <v>398</v>
      </c>
      <c r="AF11" s="658" t="s">
        <v>399</v>
      </c>
      <c r="AG11" s="658">
        <v>2</v>
      </c>
    </row>
    <row r="12" ht="17.1" customHeight="1" spans="1:33">
      <c r="A12" s="665"/>
      <c r="B12" s="664"/>
      <c r="C12" s="664"/>
      <c r="D12" s="664"/>
      <c r="E12" s="664"/>
      <c r="F12" s="664"/>
      <c r="G12" s="664">
        <f t="shared" si="1"/>
        <v>-36.5</v>
      </c>
      <c r="H12" s="664">
        <f t="shared" si="2"/>
        <v>-3</v>
      </c>
      <c r="I12" s="664">
        <f t="shared" si="3"/>
        <v>0</v>
      </c>
      <c r="J12" s="712" t="str">
        <f t="shared" si="4"/>
        <v/>
      </c>
      <c r="K12" s="712"/>
      <c r="L12" s="664"/>
      <c r="M12" s="664"/>
      <c r="N12" s="658">
        <f t="shared" si="9"/>
        <v>0</v>
      </c>
      <c r="O12" s="658">
        <f t="shared" si="5"/>
        <v>0</v>
      </c>
      <c r="P12" s="658">
        <f t="shared" si="6"/>
        <v>0</v>
      </c>
      <c r="Q12" s="658">
        <f t="shared" si="10"/>
        <v>0</v>
      </c>
      <c r="R12" s="658">
        <f t="shared" si="11"/>
        <v>0</v>
      </c>
      <c r="S12" s="661">
        <f t="shared" si="12"/>
        <v>0</v>
      </c>
      <c r="T12" s="658">
        <f t="shared" si="7"/>
        <v>0</v>
      </c>
      <c r="U12" s="719">
        <f t="shared" si="8"/>
        <v>0</v>
      </c>
      <c r="V12" s="658">
        <f t="shared" si="13"/>
        <v>0</v>
      </c>
      <c r="AB12" s="658" t="str">
        <f t="shared" si="0"/>
        <v>M28白蜡木(横纹)+白蜡木PVC封边条2.0*22</v>
      </c>
      <c r="AC12" s="659" t="s">
        <v>400</v>
      </c>
      <c r="AD12" s="658" t="s">
        <v>366</v>
      </c>
      <c r="AE12" s="658" t="s">
        <v>401</v>
      </c>
      <c r="AF12" s="658" t="s">
        <v>402</v>
      </c>
      <c r="AG12" s="658">
        <v>2</v>
      </c>
    </row>
    <row r="13" ht="17.1" customHeight="1" spans="1:33">
      <c r="A13" s="665"/>
      <c r="B13" s="664"/>
      <c r="C13" s="664"/>
      <c r="D13" s="664"/>
      <c r="E13" s="664"/>
      <c r="F13" s="664"/>
      <c r="G13" s="664">
        <f t="shared" si="1"/>
        <v>-36.5</v>
      </c>
      <c r="H13" s="664">
        <f t="shared" si="2"/>
        <v>-3</v>
      </c>
      <c r="I13" s="664">
        <f t="shared" si="3"/>
        <v>0</v>
      </c>
      <c r="J13" s="712" t="str">
        <f t="shared" si="4"/>
        <v/>
      </c>
      <c r="K13" s="712"/>
      <c r="L13" s="664"/>
      <c r="M13" s="664"/>
      <c r="N13" s="658">
        <f t="shared" si="9"/>
        <v>0</v>
      </c>
      <c r="O13" s="658">
        <f t="shared" si="5"/>
        <v>0</v>
      </c>
      <c r="P13" s="658">
        <f t="shared" si="6"/>
        <v>0</v>
      </c>
      <c r="Q13" s="658">
        <f t="shared" si="10"/>
        <v>0</v>
      </c>
      <c r="R13" s="658">
        <f t="shared" si="11"/>
        <v>0</v>
      </c>
      <c r="S13" s="661">
        <f t="shared" si="12"/>
        <v>0</v>
      </c>
      <c r="T13" s="658">
        <f t="shared" si="7"/>
        <v>0</v>
      </c>
      <c r="U13" s="719">
        <f t="shared" si="8"/>
        <v>0</v>
      </c>
      <c r="V13" s="658">
        <f t="shared" si="13"/>
        <v>0</v>
      </c>
      <c r="AB13" s="658" t="str">
        <f t="shared" si="0"/>
        <v>M29-深胡桃(横纹)+深胡桃PVC封边条2.0*22</v>
      </c>
      <c r="AC13" s="659" t="s">
        <v>403</v>
      </c>
      <c r="AD13" s="658" t="s">
        <v>366</v>
      </c>
      <c r="AE13" s="658" t="s">
        <v>404</v>
      </c>
      <c r="AF13" s="658" t="s">
        <v>405</v>
      </c>
      <c r="AG13" s="658">
        <v>2</v>
      </c>
    </row>
    <row r="14" ht="17.1" customHeight="1" spans="1:33">
      <c r="A14" s="665"/>
      <c r="B14" s="664"/>
      <c r="C14" s="664"/>
      <c r="D14" s="664"/>
      <c r="E14" s="664"/>
      <c r="F14" s="664"/>
      <c r="G14" s="664">
        <f t="shared" si="1"/>
        <v>-36.5</v>
      </c>
      <c r="H14" s="664">
        <f t="shared" si="2"/>
        <v>-3</v>
      </c>
      <c r="I14" s="664">
        <f t="shared" si="3"/>
        <v>0</v>
      </c>
      <c r="J14" s="712" t="str">
        <f t="shared" si="4"/>
        <v/>
      </c>
      <c r="K14" s="712"/>
      <c r="L14" s="664"/>
      <c r="M14" s="664"/>
      <c r="N14" s="658">
        <f t="shared" si="9"/>
        <v>0</v>
      </c>
      <c r="O14" s="658">
        <f t="shared" si="5"/>
        <v>0</v>
      </c>
      <c r="P14" s="658">
        <f t="shared" si="6"/>
        <v>0</v>
      </c>
      <c r="Q14" s="658">
        <f t="shared" si="10"/>
        <v>0</v>
      </c>
      <c r="R14" s="658">
        <f t="shared" si="11"/>
        <v>0</v>
      </c>
      <c r="S14" s="661">
        <f t="shared" si="12"/>
        <v>0</v>
      </c>
      <c r="T14" s="658">
        <f t="shared" si="7"/>
        <v>0</v>
      </c>
      <c r="U14" s="719">
        <f t="shared" si="8"/>
        <v>0</v>
      </c>
      <c r="V14" s="658">
        <f t="shared" si="13"/>
        <v>0</v>
      </c>
      <c r="AB14" s="658" t="str">
        <f t="shared" si="0"/>
        <v>M30柚木(横纹)+柚木PVC封边条2.0*22</v>
      </c>
      <c r="AC14" s="659" t="s">
        <v>406</v>
      </c>
      <c r="AD14" s="658" t="s">
        <v>366</v>
      </c>
      <c r="AE14" s="658" t="s">
        <v>407</v>
      </c>
      <c r="AF14" s="658" t="s">
        <v>408</v>
      </c>
      <c r="AG14" s="658">
        <v>2</v>
      </c>
    </row>
    <row r="15" ht="17.1" customHeight="1" spans="1:33">
      <c r="A15" s="665"/>
      <c r="B15" s="664"/>
      <c r="C15" s="664"/>
      <c r="D15" s="664"/>
      <c r="E15" s="664"/>
      <c r="F15" s="664"/>
      <c r="G15" s="664">
        <f t="shared" si="1"/>
        <v>-36.5</v>
      </c>
      <c r="H15" s="664">
        <f t="shared" si="2"/>
        <v>-3</v>
      </c>
      <c r="I15" s="664">
        <f t="shared" si="3"/>
        <v>0</v>
      </c>
      <c r="J15" s="712" t="str">
        <f t="shared" si="4"/>
        <v/>
      </c>
      <c r="K15" s="712"/>
      <c r="L15" s="664"/>
      <c r="M15" s="664"/>
      <c r="N15" s="658">
        <f t="shared" si="9"/>
        <v>0</v>
      </c>
      <c r="O15" s="658">
        <f t="shared" si="5"/>
        <v>0</v>
      </c>
      <c r="P15" s="658">
        <f t="shared" si="6"/>
        <v>0</v>
      </c>
      <c r="Q15" s="658">
        <f t="shared" si="10"/>
        <v>0</v>
      </c>
      <c r="R15" s="658">
        <f t="shared" si="11"/>
        <v>0</v>
      </c>
      <c r="S15" s="661">
        <f t="shared" si="12"/>
        <v>0</v>
      </c>
      <c r="T15" s="658">
        <f t="shared" si="7"/>
        <v>0</v>
      </c>
      <c r="U15" s="719">
        <f t="shared" si="8"/>
        <v>0</v>
      </c>
      <c r="V15" s="658">
        <f t="shared" si="13"/>
        <v>0</v>
      </c>
      <c r="AB15" s="658" t="str">
        <f t="shared" si="0"/>
        <v>M01-2浮雕浅橡(横纹)+浅橡浮雕PVC封边条2.0*22</v>
      </c>
      <c r="AC15" s="659" t="s">
        <v>409</v>
      </c>
      <c r="AD15" s="658" t="s">
        <v>366</v>
      </c>
      <c r="AE15" s="658" t="s">
        <v>410</v>
      </c>
      <c r="AF15" s="658" t="s">
        <v>411</v>
      </c>
      <c r="AG15" s="658">
        <v>2</v>
      </c>
    </row>
    <row r="16" ht="17.1" customHeight="1" spans="1:33">
      <c r="A16" s="665"/>
      <c r="B16" s="664"/>
      <c r="C16" s="664"/>
      <c r="D16" s="664"/>
      <c r="E16" s="664"/>
      <c r="F16" s="664"/>
      <c r="G16" s="664">
        <f t="shared" si="1"/>
        <v>-36.5</v>
      </c>
      <c r="H16" s="664">
        <f t="shared" si="2"/>
        <v>-3</v>
      </c>
      <c r="I16" s="664">
        <f t="shared" si="3"/>
        <v>0</v>
      </c>
      <c r="J16" s="712" t="str">
        <f t="shared" si="4"/>
        <v/>
      </c>
      <c r="K16" s="712"/>
      <c r="L16" s="664"/>
      <c r="M16" s="664"/>
      <c r="N16" s="658">
        <f t="shared" si="9"/>
        <v>0</v>
      </c>
      <c r="O16" s="658">
        <f t="shared" si="5"/>
        <v>0</v>
      </c>
      <c r="P16" s="658">
        <f t="shared" si="6"/>
        <v>0</v>
      </c>
      <c r="Q16" s="658">
        <f t="shared" si="10"/>
        <v>0</v>
      </c>
      <c r="R16" s="658">
        <f t="shared" si="11"/>
        <v>0</v>
      </c>
      <c r="S16" s="661">
        <f t="shared" si="12"/>
        <v>0</v>
      </c>
      <c r="T16" s="658">
        <f t="shared" si="7"/>
        <v>0</v>
      </c>
      <c r="U16" s="719">
        <f t="shared" si="8"/>
        <v>0</v>
      </c>
      <c r="V16" s="658">
        <f t="shared" si="13"/>
        <v>0</v>
      </c>
      <c r="AB16" s="658" t="str">
        <f t="shared" si="0"/>
        <v>M57横纹锯齿(横纹)+横纹锯齿PVC封边条2.0*22</v>
      </c>
      <c r="AC16" s="658" t="s">
        <v>412</v>
      </c>
      <c r="AD16" s="658" t="s">
        <v>366</v>
      </c>
      <c r="AE16" s="658" t="s">
        <v>413</v>
      </c>
      <c r="AF16" s="658" t="s">
        <v>414</v>
      </c>
      <c r="AG16" s="658">
        <v>2</v>
      </c>
    </row>
    <row r="17" ht="17.1" customHeight="1" spans="1:33">
      <c r="A17" s="665"/>
      <c r="B17" s="664"/>
      <c r="C17" s="664"/>
      <c r="D17" s="664"/>
      <c r="E17" s="664"/>
      <c r="F17" s="664"/>
      <c r="G17" s="664">
        <f t="shared" si="1"/>
        <v>-36.5</v>
      </c>
      <c r="H17" s="664">
        <f t="shared" si="2"/>
        <v>-3</v>
      </c>
      <c r="I17" s="664">
        <f t="shared" si="3"/>
        <v>0</v>
      </c>
      <c r="J17" s="712" t="str">
        <f t="shared" si="4"/>
        <v/>
      </c>
      <c r="K17" s="712"/>
      <c r="L17" s="664"/>
      <c r="M17" s="664"/>
      <c r="N17" s="658">
        <f t="shared" si="9"/>
        <v>0</v>
      </c>
      <c r="O17" s="658">
        <f t="shared" si="5"/>
        <v>0</v>
      </c>
      <c r="P17" s="658">
        <f t="shared" si="6"/>
        <v>0</v>
      </c>
      <c r="Q17" s="658">
        <f t="shared" si="10"/>
        <v>0</v>
      </c>
      <c r="R17" s="659">
        <f t="shared" si="11"/>
        <v>0</v>
      </c>
      <c r="S17" s="661">
        <f t="shared" si="12"/>
        <v>0</v>
      </c>
      <c r="T17" s="658">
        <f t="shared" si="7"/>
        <v>0</v>
      </c>
      <c r="U17" s="719">
        <f t="shared" si="8"/>
        <v>0</v>
      </c>
      <c r="V17" s="658">
        <f t="shared" si="13"/>
        <v>0</v>
      </c>
      <c r="AB17" s="658" t="str">
        <f t="shared" si="0"/>
        <v>M56锯纹橡木(横纹)+锯纹橡木PVC封边条2.0*22</v>
      </c>
      <c r="AC17" s="659" t="s">
        <v>415</v>
      </c>
      <c r="AD17" s="658" t="s">
        <v>366</v>
      </c>
      <c r="AE17" s="658" t="s">
        <v>416</v>
      </c>
      <c r="AF17" s="658" t="s">
        <v>417</v>
      </c>
      <c r="AG17" s="658">
        <v>2</v>
      </c>
    </row>
    <row r="18" ht="17.1" customHeight="1" spans="1:33">
      <c r="A18" s="665"/>
      <c r="B18" s="664"/>
      <c r="C18" s="664"/>
      <c r="D18" s="664"/>
      <c r="E18" s="664"/>
      <c r="F18" s="664"/>
      <c r="G18" s="664">
        <f t="shared" si="1"/>
        <v>-36.5</v>
      </c>
      <c r="H18" s="664">
        <f t="shared" si="2"/>
        <v>-3</v>
      </c>
      <c r="I18" s="664">
        <f t="shared" si="3"/>
        <v>0</v>
      </c>
      <c r="J18" s="712" t="str">
        <f t="shared" si="4"/>
        <v/>
      </c>
      <c r="K18" s="712"/>
      <c r="L18" s="664"/>
      <c r="M18" s="664"/>
      <c r="N18" s="658">
        <f t="shared" si="9"/>
        <v>0</v>
      </c>
      <c r="O18" s="658">
        <f t="shared" si="5"/>
        <v>0</v>
      </c>
      <c r="P18" s="658">
        <f t="shared" si="6"/>
        <v>0</v>
      </c>
      <c r="Q18" s="658">
        <f t="shared" si="10"/>
        <v>0</v>
      </c>
      <c r="R18" s="659">
        <f t="shared" si="11"/>
        <v>0</v>
      </c>
      <c r="S18" s="661">
        <f t="shared" si="12"/>
        <v>0</v>
      </c>
      <c r="T18" s="658">
        <f t="shared" si="7"/>
        <v>0</v>
      </c>
      <c r="U18" s="719">
        <f t="shared" si="8"/>
        <v>0</v>
      </c>
      <c r="V18" s="658">
        <f t="shared" si="13"/>
        <v>0</v>
      </c>
      <c r="AB18" s="658" t="str">
        <f t="shared" si="0"/>
        <v>M45黑檀高光(横纹)+黑檀高光PVC封边条2.0*22</v>
      </c>
      <c r="AC18" s="659" t="s">
        <v>418</v>
      </c>
      <c r="AD18" s="658" t="s">
        <v>366</v>
      </c>
      <c r="AE18" s="658" t="s">
        <v>419</v>
      </c>
      <c r="AF18" s="658" t="s">
        <v>420</v>
      </c>
      <c r="AG18" s="658">
        <v>2</v>
      </c>
    </row>
    <row r="19" ht="17.1" customHeight="1" spans="1:22">
      <c r="A19" s="665"/>
      <c r="B19" s="664"/>
      <c r="C19" s="664"/>
      <c r="D19" s="664"/>
      <c r="E19" s="664"/>
      <c r="F19" s="664"/>
      <c r="G19" s="664">
        <f t="shared" si="1"/>
        <v>-36.5</v>
      </c>
      <c r="H19" s="664">
        <f t="shared" si="2"/>
        <v>-3</v>
      </c>
      <c r="I19" s="664">
        <f t="shared" si="3"/>
        <v>0</v>
      </c>
      <c r="J19" s="712" t="str">
        <f t="shared" si="4"/>
        <v/>
      </c>
      <c r="K19" s="712"/>
      <c r="L19" s="664"/>
      <c r="M19" s="664"/>
      <c r="N19" s="658">
        <f t="shared" si="9"/>
        <v>0</v>
      </c>
      <c r="O19" s="658">
        <f t="shared" si="5"/>
        <v>0</v>
      </c>
      <c r="P19" s="658">
        <f t="shared" si="6"/>
        <v>0</v>
      </c>
      <c r="Q19" s="658">
        <f t="shared" si="10"/>
        <v>0</v>
      </c>
      <c r="R19" s="659">
        <f t="shared" si="11"/>
        <v>0</v>
      </c>
      <c r="S19" s="661">
        <f t="shared" si="12"/>
        <v>0</v>
      </c>
      <c r="T19" s="658">
        <f t="shared" si="7"/>
        <v>0</v>
      </c>
      <c r="U19" s="719">
        <f t="shared" si="8"/>
        <v>0</v>
      </c>
      <c r="V19" s="658">
        <f t="shared" si="13"/>
        <v>0</v>
      </c>
    </row>
    <row r="20" ht="17.1" customHeight="1" spans="1:22">
      <c r="A20" s="665"/>
      <c r="B20" s="664"/>
      <c r="C20" s="664"/>
      <c r="D20" s="664"/>
      <c r="E20" s="664"/>
      <c r="F20" s="664"/>
      <c r="G20" s="664">
        <f t="shared" si="1"/>
        <v>-36.5</v>
      </c>
      <c r="H20" s="664">
        <f t="shared" si="2"/>
        <v>-3</v>
      </c>
      <c r="I20" s="664">
        <f t="shared" si="3"/>
        <v>0</v>
      </c>
      <c r="J20" s="712" t="str">
        <f t="shared" si="4"/>
        <v/>
      </c>
      <c r="K20" s="712"/>
      <c r="L20" s="664"/>
      <c r="M20" s="664"/>
      <c r="N20" s="658">
        <f t="shared" si="9"/>
        <v>0</v>
      </c>
      <c r="O20" s="658">
        <f t="shared" si="5"/>
        <v>0</v>
      </c>
      <c r="P20" s="658">
        <f t="shared" si="6"/>
        <v>0</v>
      </c>
      <c r="Q20" s="658">
        <f t="shared" si="10"/>
        <v>0</v>
      </c>
      <c r="R20" s="659">
        <f t="shared" si="11"/>
        <v>0</v>
      </c>
      <c r="S20" s="661">
        <f t="shared" si="12"/>
        <v>0</v>
      </c>
      <c r="T20" s="658">
        <f t="shared" si="7"/>
        <v>0</v>
      </c>
      <c r="U20" s="719">
        <f t="shared" si="8"/>
        <v>0</v>
      </c>
      <c r="V20" s="658">
        <f t="shared" si="13"/>
        <v>0</v>
      </c>
    </row>
    <row r="21" ht="17.1" customHeight="1" spans="1:33">
      <c r="A21" s="665"/>
      <c r="B21" s="664"/>
      <c r="C21" s="664"/>
      <c r="D21" s="664"/>
      <c r="E21" s="664"/>
      <c r="F21" s="664"/>
      <c r="G21" s="664">
        <f t="shared" si="1"/>
        <v>-36.5</v>
      </c>
      <c r="H21" s="664">
        <f t="shared" si="2"/>
        <v>-3</v>
      </c>
      <c r="I21" s="664">
        <f t="shared" si="3"/>
        <v>0</v>
      </c>
      <c r="J21" s="712" t="str">
        <f t="shared" si="4"/>
        <v/>
      </c>
      <c r="K21" s="712"/>
      <c r="L21" s="664"/>
      <c r="M21" s="664"/>
      <c r="N21" s="658">
        <f t="shared" si="9"/>
        <v>0</v>
      </c>
      <c r="O21" s="658">
        <f t="shared" si="5"/>
        <v>0</v>
      </c>
      <c r="P21" s="658">
        <f t="shared" si="6"/>
        <v>0</v>
      </c>
      <c r="Q21" s="658">
        <f t="shared" si="10"/>
        <v>0</v>
      </c>
      <c r="R21" s="659">
        <f t="shared" si="11"/>
        <v>0</v>
      </c>
      <c r="S21" s="661">
        <f t="shared" si="12"/>
        <v>0</v>
      </c>
      <c r="T21" s="658">
        <f t="shared" si="7"/>
        <v>0</v>
      </c>
      <c r="U21" s="719">
        <f t="shared" si="8"/>
        <v>0</v>
      </c>
      <c r="V21" s="658">
        <f t="shared" si="13"/>
        <v>0</v>
      </c>
      <c r="AB21" s="658" t="str">
        <f t="shared" si="0"/>
        <v>M01-01触感浅橡(竖纹)+浅橡PVC封边条2.0*22</v>
      </c>
      <c r="AC21" s="658" t="s">
        <v>421</v>
      </c>
      <c r="AD21" s="658" t="s">
        <v>422</v>
      </c>
      <c r="AE21" s="658" t="s">
        <v>367</v>
      </c>
      <c r="AF21" s="658" t="s">
        <v>368</v>
      </c>
      <c r="AG21" s="658">
        <v>1</v>
      </c>
    </row>
    <row r="22" ht="17.1" customHeight="1" spans="1:33">
      <c r="A22" s="665"/>
      <c r="B22" s="664"/>
      <c r="C22" s="664"/>
      <c r="D22" s="664"/>
      <c r="E22" s="664"/>
      <c r="F22" s="664"/>
      <c r="G22" s="664">
        <f t="shared" si="1"/>
        <v>-36.5</v>
      </c>
      <c r="H22" s="664">
        <f t="shared" si="2"/>
        <v>-3</v>
      </c>
      <c r="I22" s="664">
        <f t="shared" si="3"/>
        <v>0</v>
      </c>
      <c r="J22" s="712" t="str">
        <f t="shared" si="4"/>
        <v/>
      </c>
      <c r="K22" s="712"/>
      <c r="L22" s="664"/>
      <c r="M22" s="664"/>
      <c r="N22" s="658">
        <f t="shared" si="9"/>
        <v>0</v>
      </c>
      <c r="O22" s="658">
        <f t="shared" si="5"/>
        <v>0</v>
      </c>
      <c r="P22" s="658">
        <f t="shared" si="6"/>
        <v>0</v>
      </c>
      <c r="Q22" s="658">
        <f t="shared" si="10"/>
        <v>0</v>
      </c>
      <c r="R22" s="658">
        <f t="shared" si="11"/>
        <v>0</v>
      </c>
      <c r="S22" s="661">
        <f t="shared" si="12"/>
        <v>0</v>
      </c>
      <c r="T22" s="658">
        <f t="shared" si="7"/>
        <v>0</v>
      </c>
      <c r="U22" s="719">
        <f t="shared" si="8"/>
        <v>0</v>
      </c>
      <c r="V22" s="658">
        <f t="shared" si="13"/>
        <v>0</v>
      </c>
      <c r="AB22" s="658" t="str">
        <f t="shared" si="0"/>
        <v>M03-01触感红樱桃(竖纹)+红樱桃PVC封边条2.0*22</v>
      </c>
      <c r="AC22" s="659" t="s">
        <v>423</v>
      </c>
      <c r="AD22" s="658" t="s">
        <v>422</v>
      </c>
      <c r="AE22" s="658" t="s">
        <v>385</v>
      </c>
      <c r="AF22" s="658" t="s">
        <v>386</v>
      </c>
      <c r="AG22" s="658">
        <v>1</v>
      </c>
    </row>
    <row r="23" ht="17.1" customHeight="1" spans="1:33">
      <c r="A23" s="665"/>
      <c r="B23" s="664"/>
      <c r="C23" s="664"/>
      <c r="D23" s="664"/>
      <c r="E23" s="664"/>
      <c r="F23" s="664"/>
      <c r="G23" s="664">
        <f t="shared" si="1"/>
        <v>-36.5</v>
      </c>
      <c r="H23" s="664">
        <f t="shared" si="2"/>
        <v>-3</v>
      </c>
      <c r="I23" s="664">
        <f t="shared" si="3"/>
        <v>0</v>
      </c>
      <c r="J23" s="712" t="str">
        <f t="shared" si="4"/>
        <v/>
      </c>
      <c r="K23" s="712"/>
      <c r="L23" s="664"/>
      <c r="M23" s="664"/>
      <c r="N23" s="658">
        <f t="shared" si="9"/>
        <v>0</v>
      </c>
      <c r="O23" s="658">
        <f t="shared" si="5"/>
        <v>0</v>
      </c>
      <c r="P23" s="658">
        <f t="shared" si="6"/>
        <v>0</v>
      </c>
      <c r="Q23" s="658">
        <f t="shared" si="10"/>
        <v>0</v>
      </c>
      <c r="R23" s="658">
        <f t="shared" si="11"/>
        <v>0</v>
      </c>
      <c r="S23" s="661">
        <f t="shared" si="12"/>
        <v>0</v>
      </c>
      <c r="T23" s="658">
        <f t="shared" si="7"/>
        <v>0</v>
      </c>
      <c r="U23" s="719">
        <f t="shared" si="8"/>
        <v>0</v>
      </c>
      <c r="V23" s="658">
        <f t="shared" si="13"/>
        <v>0</v>
      </c>
      <c r="AB23" s="658" t="str">
        <f t="shared" si="0"/>
        <v>M06-01触感深橡(竖纹)+深橡PVC封边条2.0*22</v>
      </c>
      <c r="AC23" s="659" t="s">
        <v>424</v>
      </c>
      <c r="AD23" s="658" t="s">
        <v>422</v>
      </c>
      <c r="AE23" s="658" t="s">
        <v>390</v>
      </c>
      <c r="AF23" s="658" t="s">
        <v>391</v>
      </c>
      <c r="AG23" s="658">
        <v>1</v>
      </c>
    </row>
    <row r="24" ht="17.1" customHeight="1" spans="1:33">
      <c r="A24" s="677"/>
      <c r="B24" s="664"/>
      <c r="C24" s="664"/>
      <c r="D24" s="664"/>
      <c r="E24" s="664"/>
      <c r="F24" s="664"/>
      <c r="G24" s="664">
        <f t="shared" si="1"/>
        <v>-36.5</v>
      </c>
      <c r="H24" s="664">
        <f t="shared" si="2"/>
        <v>-3</v>
      </c>
      <c r="I24" s="664">
        <f t="shared" si="3"/>
        <v>0</v>
      </c>
      <c r="J24" s="712" t="str">
        <f t="shared" si="4"/>
        <v/>
      </c>
      <c r="K24" s="712"/>
      <c r="L24" s="664"/>
      <c r="M24" s="664"/>
      <c r="N24" s="658">
        <f t="shared" si="9"/>
        <v>0</v>
      </c>
      <c r="O24" s="658">
        <f t="shared" si="5"/>
        <v>0</v>
      </c>
      <c r="P24" s="658">
        <f t="shared" si="6"/>
        <v>0</v>
      </c>
      <c r="Q24" s="658">
        <f t="shared" si="10"/>
        <v>0</v>
      </c>
      <c r="R24" s="658">
        <f t="shared" si="11"/>
        <v>0</v>
      </c>
      <c r="S24" s="661">
        <f t="shared" si="12"/>
        <v>0</v>
      </c>
      <c r="T24" s="658">
        <f t="shared" si="7"/>
        <v>0</v>
      </c>
      <c r="U24" s="719">
        <f t="shared" si="8"/>
        <v>0</v>
      </c>
      <c r="V24" s="658">
        <f t="shared" si="13"/>
        <v>0</v>
      </c>
      <c r="AB24" s="658" t="str">
        <f t="shared" si="0"/>
        <v>M07艺术胡桃(竖纹)+艺术胡桃PVC封边条2.0*22</v>
      </c>
      <c r="AC24" s="659" t="s">
        <v>425</v>
      </c>
      <c r="AD24" s="658" t="s">
        <v>422</v>
      </c>
      <c r="AE24" s="658" t="s">
        <v>426</v>
      </c>
      <c r="AF24" s="658" t="s">
        <v>393</v>
      </c>
      <c r="AG24" s="658">
        <v>1</v>
      </c>
    </row>
    <row r="25" ht="17.1" customHeight="1" spans="1:29">
      <c r="A25" s="677"/>
      <c r="B25" s="664"/>
      <c r="C25" s="664"/>
      <c r="D25" s="664"/>
      <c r="E25" s="664"/>
      <c r="F25" s="664"/>
      <c r="G25" s="664">
        <f t="shared" si="1"/>
        <v>-36.5</v>
      </c>
      <c r="H25" s="664">
        <f t="shared" si="2"/>
        <v>-3</v>
      </c>
      <c r="I25" s="664">
        <f t="shared" si="3"/>
        <v>0</v>
      </c>
      <c r="J25" s="712" t="str">
        <f t="shared" si="4"/>
        <v/>
      </c>
      <c r="K25" s="712"/>
      <c r="L25" s="664"/>
      <c r="M25" s="664"/>
      <c r="N25" s="658">
        <f t="shared" si="9"/>
        <v>0</v>
      </c>
      <c r="O25" s="658">
        <f t="shared" si="5"/>
        <v>0</v>
      </c>
      <c r="P25" s="658">
        <f t="shared" si="6"/>
        <v>0</v>
      </c>
      <c r="Q25" s="658">
        <f t="shared" ref="Q25" si="14">(B25+C25)*D25*2/0.9/1000</f>
        <v>0</v>
      </c>
      <c r="R25" s="658">
        <f t="shared" ref="R25" si="15">B25*C25*D25/1000000</f>
        <v>0</v>
      </c>
      <c r="S25" s="661">
        <f t="shared" si="12"/>
        <v>0</v>
      </c>
      <c r="T25" s="658">
        <f t="shared" si="7"/>
        <v>0</v>
      </c>
      <c r="U25" s="719">
        <f t="shared" si="8"/>
        <v>0</v>
      </c>
      <c r="V25" s="658">
        <f t="shared" si="13"/>
        <v>0</v>
      </c>
      <c r="AC25" s="659"/>
    </row>
    <row r="26" ht="17.1" customHeight="1" spans="1:33">
      <c r="A26" s="678"/>
      <c r="B26" s="666"/>
      <c r="C26" s="666"/>
      <c r="D26" s="666"/>
      <c r="E26" s="666"/>
      <c r="F26" s="666"/>
      <c r="G26" s="666">
        <f t="shared" si="1"/>
        <v>-36.5</v>
      </c>
      <c r="H26" s="666">
        <f t="shared" si="2"/>
        <v>-3</v>
      </c>
      <c r="I26" s="666">
        <f t="shared" si="3"/>
        <v>0</v>
      </c>
      <c r="J26" s="713" t="str">
        <f t="shared" si="4"/>
        <v/>
      </c>
      <c r="K26" s="713"/>
      <c r="L26" s="666"/>
      <c r="M26" s="666"/>
      <c r="N26" s="658">
        <f t="shared" si="9"/>
        <v>0</v>
      </c>
      <c r="O26" s="658">
        <f t="shared" si="5"/>
        <v>0</v>
      </c>
      <c r="P26" s="658">
        <f t="shared" si="6"/>
        <v>0</v>
      </c>
      <c r="Q26" s="658">
        <f t="shared" si="10"/>
        <v>0</v>
      </c>
      <c r="R26" s="658">
        <f t="shared" si="11"/>
        <v>0</v>
      </c>
      <c r="S26" s="661">
        <f t="shared" si="12"/>
        <v>0</v>
      </c>
      <c r="T26" s="658">
        <f t="shared" si="7"/>
        <v>0</v>
      </c>
      <c r="U26" s="719">
        <f t="shared" si="8"/>
        <v>0</v>
      </c>
      <c r="V26" s="658">
        <f t="shared" si="13"/>
        <v>0</v>
      </c>
      <c r="AB26" s="658" t="str">
        <f t="shared" si="0"/>
        <v>M54白漆木(竖纹)+白漆木PVC封边条2.0*22</v>
      </c>
      <c r="AC26" s="659" t="s">
        <v>427</v>
      </c>
      <c r="AD26" s="658" t="s">
        <v>422</v>
      </c>
      <c r="AE26" s="658" t="s">
        <v>395</v>
      </c>
      <c r="AF26" s="658" t="s">
        <v>396</v>
      </c>
      <c r="AG26" s="658">
        <v>1</v>
      </c>
    </row>
    <row r="27" ht="17.1" customHeight="1" spans="1:33">
      <c r="A27" s="679" t="s">
        <v>428</v>
      </c>
      <c r="B27" s="680"/>
      <c r="C27" s="680"/>
      <c r="D27" s="680"/>
      <c r="E27" s="681"/>
      <c r="F27" s="681"/>
      <c r="G27" s="680"/>
      <c r="H27" s="680"/>
      <c r="I27" s="680"/>
      <c r="J27" s="680"/>
      <c r="K27" s="680"/>
      <c r="L27" s="680"/>
      <c r="M27" s="714"/>
      <c r="S27" s="661">
        <f t="shared" si="12"/>
        <v>0</v>
      </c>
      <c r="U27" s="719"/>
      <c r="AB27" s="658" t="str">
        <f t="shared" si="0"/>
        <v>M55腊木(竖纹)+腊木PVC封边条2.0*22</v>
      </c>
      <c r="AC27" s="659" t="s">
        <v>429</v>
      </c>
      <c r="AD27" s="658" t="s">
        <v>422</v>
      </c>
      <c r="AE27" s="658" t="s">
        <v>398</v>
      </c>
      <c r="AF27" s="658" t="s">
        <v>399</v>
      </c>
      <c r="AG27" s="658">
        <v>1</v>
      </c>
    </row>
    <row r="28" ht="17.1" customHeight="1" spans="1:33">
      <c r="A28" s="674" t="s">
        <v>387</v>
      </c>
      <c r="B28" s="682">
        <v>160</v>
      </c>
      <c r="C28" s="683">
        <v>800</v>
      </c>
      <c r="D28" s="683">
        <v>2</v>
      </c>
      <c r="E28" s="684" t="s">
        <v>430</v>
      </c>
      <c r="F28" s="673">
        <v>18</v>
      </c>
      <c r="G28" s="673">
        <f t="shared" ref="G28:G37" si="16">IF($E$3="横纹",C28-3,IF($E$3="竖纹",B28-3,IF($E$3="纯色",B28-3)))</f>
        <v>797</v>
      </c>
      <c r="H28" s="673">
        <f t="shared" ref="H28:H37" si="17">IF($E$3="横纹",B28-3,IF($E$3="竖纹",C28-3,IF($E$3="纯色",C28-3)))</f>
        <v>157</v>
      </c>
      <c r="I28" s="673">
        <f t="shared" ref="I28:I37" si="18">D28</f>
        <v>2</v>
      </c>
      <c r="J28" s="715" t="str">
        <f t="shared" ref="J28:J37" si="19">IF(OR(AND($I$2="T型铝封边",B28&lt;80),AND($I$2="T型铝封边",C28&lt;80)),$R$4,"")</f>
        <v/>
      </c>
      <c r="K28" s="715"/>
      <c r="L28" s="673"/>
      <c r="M28" s="673"/>
      <c r="N28" s="658">
        <f t="shared" ref="N28:N37" si="20">IF(AND($B$3="外置拉手",$I$2=$R$4),(B28+C28+120)*2*I28/1000,0)</f>
        <v>0</v>
      </c>
      <c r="O28" s="658">
        <f t="shared" ref="O28:O37" si="21">IF(AND($I$2="T型铝封边",J28=""),(B28+C28+120)*2*I28/1000,0)</f>
        <v>0</v>
      </c>
      <c r="P28" s="658">
        <f t="shared" ref="P28:P37" si="22">IF(AND($I$2="T型铝封边",J28="2.0*22同色PVC"),(B28+C28+120)*2*I28/1000,0)</f>
        <v>0</v>
      </c>
      <c r="Q28" s="658">
        <f t="shared" si="10"/>
        <v>4.26666666666667</v>
      </c>
      <c r="R28" s="658">
        <f t="shared" si="11"/>
        <v>0.256</v>
      </c>
      <c r="S28" s="661">
        <f t="shared" si="12"/>
        <v>0.0859983875302338</v>
      </c>
      <c r="T28" s="658">
        <f t="shared" ref="T28:T37" si="23">IF($B$3&lt;&gt;"外置拉手",(B28+C28+120)*2*I28/1000,0)</f>
        <v>4.32</v>
      </c>
      <c r="U28" s="719"/>
      <c r="V28" s="658">
        <f>IF(B28&lt;100,D28*0.2)+IF(C28&lt;100,D28*0.2)</f>
        <v>0</v>
      </c>
      <c r="AB28" s="658" t="str">
        <f t="shared" si="0"/>
        <v>M28白蜡木(竖纹)+白蜡木PVC封边条2.0*22</v>
      </c>
      <c r="AC28" s="659" t="s">
        <v>431</v>
      </c>
      <c r="AD28" s="658" t="s">
        <v>422</v>
      </c>
      <c r="AE28" s="658" t="s">
        <v>401</v>
      </c>
      <c r="AF28" s="658" t="s">
        <v>402</v>
      </c>
      <c r="AG28" s="658">
        <v>1</v>
      </c>
    </row>
    <row r="29" ht="17.1" customHeight="1" spans="1:33">
      <c r="A29" s="674" t="s">
        <v>387</v>
      </c>
      <c r="B29" s="682">
        <f>220-37</f>
        <v>183</v>
      </c>
      <c r="C29" s="683">
        <v>159</v>
      </c>
      <c r="D29" s="683">
        <v>2</v>
      </c>
      <c r="E29" s="684" t="s">
        <v>432</v>
      </c>
      <c r="F29" s="673">
        <v>18</v>
      </c>
      <c r="G29" s="664">
        <f t="shared" si="16"/>
        <v>156</v>
      </c>
      <c r="H29" s="664">
        <f t="shared" si="17"/>
        <v>180</v>
      </c>
      <c r="I29" s="664">
        <f t="shared" si="18"/>
        <v>2</v>
      </c>
      <c r="J29" s="712" t="str">
        <f t="shared" si="19"/>
        <v/>
      </c>
      <c r="K29" s="712"/>
      <c r="L29" s="664"/>
      <c r="M29" s="664"/>
      <c r="N29" s="658">
        <f t="shared" si="20"/>
        <v>0</v>
      </c>
      <c r="O29" s="658">
        <f t="shared" si="21"/>
        <v>0</v>
      </c>
      <c r="P29" s="658">
        <f t="shared" si="22"/>
        <v>0</v>
      </c>
      <c r="Q29" s="658">
        <f t="shared" si="10"/>
        <v>1.52</v>
      </c>
      <c r="R29" s="658">
        <f t="shared" si="11"/>
        <v>0.058194</v>
      </c>
      <c r="S29" s="661">
        <f t="shared" si="12"/>
        <v>0.0195491803278689</v>
      </c>
      <c r="T29" s="658">
        <f t="shared" si="23"/>
        <v>1.848</v>
      </c>
      <c r="U29" s="719"/>
      <c r="V29" s="658">
        <f t="shared" ref="V29:V37" si="24">IF(B29&lt;100,D29*0.2)+IF(C29&lt;100,D29*0.2)</f>
        <v>0</v>
      </c>
      <c r="AB29" s="658" t="str">
        <f t="shared" si="0"/>
        <v>M29-深胡桃(竖纹)+深胡桃PVC封边条2.0*22</v>
      </c>
      <c r="AC29" s="659" t="s">
        <v>433</v>
      </c>
      <c r="AD29" s="658" t="s">
        <v>422</v>
      </c>
      <c r="AE29" s="658" t="s">
        <v>404</v>
      </c>
      <c r="AF29" s="658" t="s">
        <v>405</v>
      </c>
      <c r="AG29" s="658">
        <v>1</v>
      </c>
    </row>
    <row r="30" ht="17.1" customHeight="1" spans="1:33">
      <c r="A30" s="674" t="s">
        <v>387</v>
      </c>
      <c r="B30" s="682">
        <f>220-37</f>
        <v>183</v>
      </c>
      <c r="C30" s="683">
        <f>160-20</f>
        <v>140</v>
      </c>
      <c r="D30" s="683">
        <v>2</v>
      </c>
      <c r="E30" s="684" t="s">
        <v>434</v>
      </c>
      <c r="F30" s="673">
        <v>18</v>
      </c>
      <c r="G30" s="664">
        <f t="shared" si="16"/>
        <v>137</v>
      </c>
      <c r="H30" s="664">
        <f t="shared" si="17"/>
        <v>180</v>
      </c>
      <c r="I30" s="664">
        <f t="shared" si="18"/>
        <v>2</v>
      </c>
      <c r="J30" s="712" t="str">
        <f t="shared" si="19"/>
        <v/>
      </c>
      <c r="K30" s="712"/>
      <c r="L30" s="664"/>
      <c r="M30" s="664"/>
      <c r="N30" s="658">
        <f t="shared" si="20"/>
        <v>0</v>
      </c>
      <c r="O30" s="658">
        <f t="shared" si="21"/>
        <v>0</v>
      </c>
      <c r="P30" s="658">
        <f t="shared" si="22"/>
        <v>0</v>
      </c>
      <c r="Q30" s="658">
        <f t="shared" si="10"/>
        <v>1.43555555555556</v>
      </c>
      <c r="R30" s="658">
        <f t="shared" si="11"/>
        <v>0.05124</v>
      </c>
      <c r="S30" s="661">
        <f t="shared" si="12"/>
        <v>0.0172131147540984</v>
      </c>
      <c r="T30" s="658">
        <f t="shared" si="23"/>
        <v>1.772</v>
      </c>
      <c r="U30" s="719"/>
      <c r="V30" s="658">
        <f t="shared" si="24"/>
        <v>0</v>
      </c>
      <c r="AB30" s="658" t="str">
        <f t="shared" si="0"/>
        <v>M30柚木(竖纹)+柚木PVC封边条2.0*22</v>
      </c>
      <c r="AC30" s="659" t="s">
        <v>435</v>
      </c>
      <c r="AD30" s="658" t="s">
        <v>422</v>
      </c>
      <c r="AE30" s="658" t="s">
        <v>407</v>
      </c>
      <c r="AF30" s="658" t="s">
        <v>408</v>
      </c>
      <c r="AG30" s="658">
        <v>1</v>
      </c>
    </row>
    <row r="31" ht="17.1" customHeight="1" spans="1:33">
      <c r="A31" s="674" t="s">
        <v>387</v>
      </c>
      <c r="B31" s="682">
        <f>220-37</f>
        <v>183</v>
      </c>
      <c r="C31" s="683">
        <f>800-37</f>
        <v>763</v>
      </c>
      <c r="D31" s="683">
        <v>1</v>
      </c>
      <c r="E31" s="685" t="s">
        <v>436</v>
      </c>
      <c r="F31" s="673">
        <v>18</v>
      </c>
      <c r="G31" s="664">
        <f t="shared" si="16"/>
        <v>760</v>
      </c>
      <c r="H31" s="664">
        <f t="shared" si="17"/>
        <v>180</v>
      </c>
      <c r="I31" s="664">
        <f t="shared" si="18"/>
        <v>1</v>
      </c>
      <c r="J31" s="712" t="str">
        <f t="shared" si="19"/>
        <v/>
      </c>
      <c r="K31" s="712"/>
      <c r="L31" s="664"/>
      <c r="M31" s="664"/>
      <c r="N31" s="658">
        <f t="shared" si="20"/>
        <v>0</v>
      </c>
      <c r="O31" s="658">
        <f t="shared" si="21"/>
        <v>0</v>
      </c>
      <c r="P31" s="658">
        <f t="shared" si="22"/>
        <v>0</v>
      </c>
      <c r="Q31" s="658">
        <f t="shared" si="10"/>
        <v>2.10222222222222</v>
      </c>
      <c r="R31" s="658">
        <f t="shared" si="11"/>
        <v>0.139629</v>
      </c>
      <c r="S31" s="661">
        <f t="shared" si="12"/>
        <v>0.046905737704918</v>
      </c>
      <c r="T31" s="658">
        <f t="shared" si="23"/>
        <v>2.132</v>
      </c>
      <c r="U31" s="719"/>
      <c r="V31" s="658">
        <f t="shared" si="24"/>
        <v>0</v>
      </c>
      <c r="AB31" s="658" t="str">
        <f t="shared" si="0"/>
        <v>M01-2浮雕浅橡(竖纹)+浅橡浮雕PVC封边条2.0*22</v>
      </c>
      <c r="AC31" s="659" t="s">
        <v>437</v>
      </c>
      <c r="AD31" s="658" t="s">
        <v>422</v>
      </c>
      <c r="AE31" s="658" t="s">
        <v>410</v>
      </c>
      <c r="AF31" s="658" t="s">
        <v>411</v>
      </c>
      <c r="AG31" s="658">
        <v>1</v>
      </c>
    </row>
    <row r="32" ht="17.1" customHeight="1" spans="1:33">
      <c r="A32" s="674" t="s">
        <v>387</v>
      </c>
      <c r="B32" s="682">
        <v>160</v>
      </c>
      <c r="C32" s="683">
        <v>800</v>
      </c>
      <c r="D32" s="683">
        <v>1</v>
      </c>
      <c r="E32" s="685"/>
      <c r="F32" s="673">
        <v>18</v>
      </c>
      <c r="G32" s="664">
        <f t="shared" si="16"/>
        <v>797</v>
      </c>
      <c r="H32" s="664">
        <f t="shared" si="17"/>
        <v>157</v>
      </c>
      <c r="I32" s="664">
        <f t="shared" si="18"/>
        <v>1</v>
      </c>
      <c r="J32" s="712" t="str">
        <f t="shared" si="19"/>
        <v/>
      </c>
      <c r="K32" s="712"/>
      <c r="L32" s="664"/>
      <c r="M32" s="664"/>
      <c r="N32" s="658">
        <f t="shared" si="20"/>
        <v>0</v>
      </c>
      <c r="O32" s="658">
        <f t="shared" si="21"/>
        <v>0</v>
      </c>
      <c r="P32" s="658">
        <f t="shared" si="22"/>
        <v>0</v>
      </c>
      <c r="Q32" s="658">
        <f t="shared" si="10"/>
        <v>2.13333333333333</v>
      </c>
      <c r="R32" s="658">
        <f t="shared" si="11"/>
        <v>0.128</v>
      </c>
      <c r="S32" s="661">
        <f t="shared" si="12"/>
        <v>0.0429991937651169</v>
      </c>
      <c r="T32" s="658">
        <f t="shared" si="23"/>
        <v>2.16</v>
      </c>
      <c r="U32" s="719"/>
      <c r="V32" s="658">
        <f t="shared" si="24"/>
        <v>0</v>
      </c>
      <c r="AB32" s="658" t="str">
        <f t="shared" ref="AB32" si="25">AC32&amp;"+"&amp;AF32</f>
        <v>M57横纹锯齿(竖纹)+横纹锯齿PVC封边条2.0*22</v>
      </c>
      <c r="AC32" s="658" t="s">
        <v>438</v>
      </c>
      <c r="AD32" s="658" t="s">
        <v>422</v>
      </c>
      <c r="AE32" s="658" t="s">
        <v>413</v>
      </c>
      <c r="AF32" s="658" t="s">
        <v>414</v>
      </c>
      <c r="AG32" s="658">
        <v>1</v>
      </c>
    </row>
    <row r="33" ht="17.1" customHeight="1" spans="1:33">
      <c r="A33" s="674" t="s">
        <v>387</v>
      </c>
      <c r="B33" s="682">
        <v>580</v>
      </c>
      <c r="C33" s="683">
        <v>570</v>
      </c>
      <c r="D33" s="683">
        <v>1</v>
      </c>
      <c r="E33" s="685"/>
      <c r="F33" s="673">
        <v>18</v>
      </c>
      <c r="G33" s="664">
        <f t="shared" si="16"/>
        <v>567</v>
      </c>
      <c r="H33" s="664">
        <f t="shared" si="17"/>
        <v>577</v>
      </c>
      <c r="I33" s="664">
        <f t="shared" si="18"/>
        <v>1</v>
      </c>
      <c r="J33" s="712" t="str">
        <f t="shared" si="19"/>
        <v/>
      </c>
      <c r="K33" s="712"/>
      <c r="L33" s="664"/>
      <c r="M33" s="664"/>
      <c r="N33" s="658">
        <f t="shared" si="20"/>
        <v>0</v>
      </c>
      <c r="O33" s="658">
        <f t="shared" si="21"/>
        <v>0</v>
      </c>
      <c r="P33" s="658">
        <f t="shared" si="22"/>
        <v>0</v>
      </c>
      <c r="Q33" s="658">
        <f t="shared" si="10"/>
        <v>2.55555555555556</v>
      </c>
      <c r="R33" s="658">
        <f t="shared" si="11"/>
        <v>0.3306</v>
      </c>
      <c r="S33" s="661">
        <f t="shared" si="12"/>
        <v>0.111058855146466</v>
      </c>
      <c r="T33" s="658">
        <f t="shared" si="23"/>
        <v>2.54</v>
      </c>
      <c r="U33" s="719"/>
      <c r="V33" s="658">
        <f t="shared" si="24"/>
        <v>0</v>
      </c>
      <c r="AB33" s="658" t="str">
        <f t="shared" ref="AB33:AB42" si="26">AC33&amp;"+"&amp;AF33</f>
        <v>M56锯纹橡木(竖纹)+锯纹橡木PVC封边条2.0*22</v>
      </c>
      <c r="AC33" s="659" t="s">
        <v>439</v>
      </c>
      <c r="AD33" s="658" t="s">
        <v>422</v>
      </c>
      <c r="AE33" s="658" t="s">
        <v>416</v>
      </c>
      <c r="AF33" s="658" t="s">
        <v>417</v>
      </c>
      <c r="AG33" s="658">
        <v>1</v>
      </c>
    </row>
    <row r="34" ht="17.1" customHeight="1" spans="1:33">
      <c r="A34" s="674" t="s">
        <v>387</v>
      </c>
      <c r="B34" s="682">
        <v>580</v>
      </c>
      <c r="C34" s="683">
        <v>570</v>
      </c>
      <c r="D34" s="683">
        <v>1</v>
      </c>
      <c r="E34" s="685"/>
      <c r="F34" s="673">
        <v>18</v>
      </c>
      <c r="G34" s="664">
        <f t="shared" si="16"/>
        <v>567</v>
      </c>
      <c r="H34" s="664">
        <f t="shared" si="17"/>
        <v>577</v>
      </c>
      <c r="I34" s="664">
        <f t="shared" si="18"/>
        <v>1</v>
      </c>
      <c r="J34" s="712" t="str">
        <f t="shared" si="19"/>
        <v/>
      </c>
      <c r="K34" s="712"/>
      <c r="L34" s="664"/>
      <c r="M34" s="664"/>
      <c r="N34" s="658">
        <f t="shared" si="20"/>
        <v>0</v>
      </c>
      <c r="O34" s="658">
        <f t="shared" si="21"/>
        <v>0</v>
      </c>
      <c r="P34" s="658">
        <f t="shared" si="22"/>
        <v>0</v>
      </c>
      <c r="Q34" s="658">
        <f t="shared" si="10"/>
        <v>2.55555555555556</v>
      </c>
      <c r="R34" s="658">
        <f t="shared" si="11"/>
        <v>0.3306</v>
      </c>
      <c r="S34" s="661">
        <f t="shared" si="12"/>
        <v>0.111058855146466</v>
      </c>
      <c r="T34" s="658">
        <f t="shared" si="23"/>
        <v>2.54</v>
      </c>
      <c r="U34" s="719"/>
      <c r="V34" s="658">
        <f t="shared" si="24"/>
        <v>0</v>
      </c>
      <c r="AB34" s="658" t="str">
        <f t="shared" si="26"/>
        <v>M45黑檀高光(竖纹)+黑檀高光PVC封边条2.0*22</v>
      </c>
      <c r="AC34" s="659" t="s">
        <v>440</v>
      </c>
      <c r="AD34" s="658" t="s">
        <v>422</v>
      </c>
      <c r="AE34" s="658" t="s">
        <v>419</v>
      </c>
      <c r="AF34" s="658" t="s">
        <v>420</v>
      </c>
      <c r="AG34" s="658">
        <v>1</v>
      </c>
    </row>
    <row r="35" ht="17.1" customHeight="1" spans="1:33">
      <c r="A35" s="674" t="s">
        <v>387</v>
      </c>
      <c r="B35" s="682">
        <v>160</v>
      </c>
      <c r="C35" s="683">
        <v>250</v>
      </c>
      <c r="D35" s="683">
        <v>2</v>
      </c>
      <c r="E35" s="685" t="s">
        <v>430</v>
      </c>
      <c r="F35" s="673">
        <v>18</v>
      </c>
      <c r="G35" s="664">
        <f t="shared" si="16"/>
        <v>247</v>
      </c>
      <c r="H35" s="664">
        <f t="shared" si="17"/>
        <v>157</v>
      </c>
      <c r="I35" s="664">
        <f t="shared" si="18"/>
        <v>2</v>
      </c>
      <c r="J35" s="712" t="str">
        <f t="shared" si="19"/>
        <v/>
      </c>
      <c r="K35" s="712"/>
      <c r="L35" s="664"/>
      <c r="M35" s="664"/>
      <c r="N35" s="658">
        <f t="shared" si="20"/>
        <v>0</v>
      </c>
      <c r="O35" s="658">
        <f t="shared" si="21"/>
        <v>0</v>
      </c>
      <c r="P35" s="658">
        <f t="shared" si="22"/>
        <v>0</v>
      </c>
      <c r="Q35" s="658">
        <f t="shared" si="10"/>
        <v>1.82222222222222</v>
      </c>
      <c r="R35" s="658">
        <f t="shared" si="11"/>
        <v>0.08</v>
      </c>
      <c r="S35" s="661">
        <f t="shared" si="12"/>
        <v>0.0268744961031981</v>
      </c>
      <c r="T35" s="658">
        <f t="shared" si="23"/>
        <v>2.12</v>
      </c>
      <c r="U35" s="719"/>
      <c r="V35" s="658">
        <f t="shared" si="24"/>
        <v>0</v>
      </c>
      <c r="AB35" s="658" t="str">
        <f t="shared" si="26"/>
        <v>M51柠檬黄+柠檬黄PVC封边条2.0*22</v>
      </c>
      <c r="AC35" s="659" t="s">
        <v>441</v>
      </c>
      <c r="AD35" s="658" t="s">
        <v>442</v>
      </c>
      <c r="AE35" s="658" t="s">
        <v>443</v>
      </c>
      <c r="AF35" s="658" t="s">
        <v>444</v>
      </c>
      <c r="AG35" s="658">
        <v>1</v>
      </c>
    </row>
    <row r="36" ht="17.1" customHeight="1" spans="1:33">
      <c r="A36" s="674" t="s">
        <v>387</v>
      </c>
      <c r="B36" s="682">
        <v>1000</v>
      </c>
      <c r="C36" s="683">
        <v>249</v>
      </c>
      <c r="D36" s="683">
        <v>2</v>
      </c>
      <c r="E36" s="685" t="s">
        <v>445</v>
      </c>
      <c r="F36" s="673">
        <v>18</v>
      </c>
      <c r="G36" s="664">
        <f t="shared" si="16"/>
        <v>246</v>
      </c>
      <c r="H36" s="664">
        <f t="shared" si="17"/>
        <v>997</v>
      </c>
      <c r="I36" s="664">
        <f t="shared" si="18"/>
        <v>2</v>
      </c>
      <c r="J36" s="712" t="str">
        <f t="shared" si="19"/>
        <v/>
      </c>
      <c r="K36" s="712"/>
      <c r="L36" s="664"/>
      <c r="M36" s="664"/>
      <c r="N36" s="658">
        <f t="shared" si="20"/>
        <v>0</v>
      </c>
      <c r="O36" s="658">
        <f t="shared" si="21"/>
        <v>0</v>
      </c>
      <c r="P36" s="658">
        <f t="shared" si="22"/>
        <v>0</v>
      </c>
      <c r="Q36" s="658">
        <f t="shared" ref="Q36:Q37" si="27">(B36+C36)*D36*2/0.9/1000</f>
        <v>5.55111111111111</v>
      </c>
      <c r="R36" s="658">
        <f t="shared" ref="R36:R37" si="28">B36*C36*D36/1000000</f>
        <v>0.498</v>
      </c>
      <c r="S36" s="661">
        <f t="shared" si="12"/>
        <v>0.167293738242408</v>
      </c>
      <c r="T36" s="658">
        <f t="shared" si="23"/>
        <v>5.476</v>
      </c>
      <c r="U36" s="719"/>
      <c r="V36" s="658">
        <f t="shared" si="24"/>
        <v>0</v>
      </c>
      <c r="AB36" s="658" t="str">
        <f t="shared" si="26"/>
        <v>M50柠檬绿+柠檬绿PVC封边条2.0*22</v>
      </c>
      <c r="AC36" s="659" t="s">
        <v>446</v>
      </c>
      <c r="AD36" s="658" t="s">
        <v>442</v>
      </c>
      <c r="AE36" s="658" t="s">
        <v>447</v>
      </c>
      <c r="AF36" s="658" t="s">
        <v>448</v>
      </c>
      <c r="AG36" s="658">
        <v>1</v>
      </c>
    </row>
    <row r="37" ht="17.1" customHeight="1" spans="1:33">
      <c r="A37" s="686"/>
      <c r="B37" s="666"/>
      <c r="C37" s="666"/>
      <c r="D37" s="666"/>
      <c r="E37" s="666"/>
      <c r="F37" s="666"/>
      <c r="G37" s="666">
        <f t="shared" si="16"/>
        <v>-3</v>
      </c>
      <c r="H37" s="666">
        <f t="shared" si="17"/>
        <v>-3</v>
      </c>
      <c r="I37" s="666">
        <f t="shared" si="18"/>
        <v>0</v>
      </c>
      <c r="J37" s="713" t="str">
        <f t="shared" si="19"/>
        <v/>
      </c>
      <c r="K37" s="713"/>
      <c r="L37" s="666"/>
      <c r="M37" s="666"/>
      <c r="N37" s="658">
        <f t="shared" si="20"/>
        <v>0</v>
      </c>
      <c r="O37" s="658">
        <f t="shared" si="21"/>
        <v>0</v>
      </c>
      <c r="P37" s="658">
        <f t="shared" si="22"/>
        <v>0</v>
      </c>
      <c r="Q37" s="658">
        <f t="shared" si="27"/>
        <v>0</v>
      </c>
      <c r="R37" s="658">
        <f t="shared" si="28"/>
        <v>0</v>
      </c>
      <c r="S37" s="661">
        <f t="shared" si="12"/>
        <v>0</v>
      </c>
      <c r="T37" s="658">
        <f t="shared" si="23"/>
        <v>0</v>
      </c>
      <c r="U37" s="719"/>
      <c r="V37" s="658">
        <f t="shared" si="24"/>
        <v>0</v>
      </c>
      <c r="AB37" s="658" t="str">
        <f t="shared" si="26"/>
        <v>M13荷花白+荷花白PVC封边条2.0*22</v>
      </c>
      <c r="AC37" s="659" t="s">
        <v>449</v>
      </c>
      <c r="AD37" s="658" t="s">
        <v>442</v>
      </c>
      <c r="AE37" s="658" t="s">
        <v>450</v>
      </c>
      <c r="AF37" s="658" t="s">
        <v>451</v>
      </c>
      <c r="AG37" s="658">
        <v>1</v>
      </c>
    </row>
    <row r="38" ht="17.1" customHeight="1" spans="1:33">
      <c r="A38" s="687" t="s">
        <v>452</v>
      </c>
      <c r="B38" s="688"/>
      <c r="C38" s="688"/>
      <c r="D38" s="688"/>
      <c r="E38" s="681"/>
      <c r="F38" s="681"/>
      <c r="G38" s="688"/>
      <c r="H38" s="688"/>
      <c r="I38" s="688"/>
      <c r="J38" s="688"/>
      <c r="K38" s="688"/>
      <c r="L38" s="688"/>
      <c r="M38" s="716"/>
      <c r="S38" s="661">
        <f t="shared" si="12"/>
        <v>0</v>
      </c>
      <c r="U38" s="719"/>
      <c r="AB38" s="658" t="str">
        <f t="shared" si="26"/>
        <v>M42纯白高光+纯白高光PVC封边条2.0*22</v>
      </c>
      <c r="AC38" s="659" t="s">
        <v>453</v>
      </c>
      <c r="AD38" s="658" t="s">
        <v>442</v>
      </c>
      <c r="AE38" s="658" t="s">
        <v>454</v>
      </c>
      <c r="AF38" s="658" t="s">
        <v>455</v>
      </c>
      <c r="AG38" s="658">
        <v>1</v>
      </c>
    </row>
    <row r="39" ht="17.1" customHeight="1" spans="1:33">
      <c r="A39" s="689"/>
      <c r="B39" s="673"/>
      <c r="C39" s="673"/>
      <c r="D39" s="673"/>
      <c r="E39" s="673"/>
      <c r="F39" s="673"/>
      <c r="G39" s="673">
        <f>B39-3</f>
        <v>-3</v>
      </c>
      <c r="H39" s="673">
        <f>C39-$T$48</f>
        <v>-36.5</v>
      </c>
      <c r="I39" s="673">
        <f>D39</f>
        <v>0</v>
      </c>
      <c r="J39" s="715" t="str">
        <f>IF(OR(AND($I$2="T型铝封边",B39&lt;80),AND($I$2="T型铝封边",C39&lt;80)),$R$4,"")</f>
        <v/>
      </c>
      <c r="K39" s="715"/>
      <c r="L39" s="673"/>
      <c r="M39" s="673"/>
      <c r="N39" s="717">
        <f>IF(AND($B$3="外置拉手",$I$2=$R$4),(B39+C39+120)*2*I39/1000,0)</f>
        <v>0</v>
      </c>
      <c r="O39" s="717">
        <f>IF(AND($I$2="T型铝封边",J39=""),(B39+C39+120)*2*I39/1000,0)</f>
        <v>0</v>
      </c>
      <c r="P39" s="717">
        <f>IF(AND($I$2="T型铝封边",J39="2.0*22同色PVC"),(B39+C39+120)*2*I39/1000,0)</f>
        <v>0</v>
      </c>
      <c r="Q39" s="717">
        <f t="shared" si="10"/>
        <v>0</v>
      </c>
      <c r="R39" s="717">
        <f t="shared" si="11"/>
        <v>0</v>
      </c>
      <c r="S39" s="661">
        <f t="shared" si="12"/>
        <v>0</v>
      </c>
      <c r="T39" s="717">
        <f>IF($B$3&lt;&gt;"外置拉手",((B39+C39*2)+180)*I39/1000,0)</f>
        <v>0</v>
      </c>
      <c r="U39" s="719">
        <f>IF($B$3&lt;&gt;"外置拉手",B39*D39/0.9/1000,0)</f>
        <v>0</v>
      </c>
      <c r="V39" s="658">
        <f t="shared" ref="V39:V43" si="29">IF(OR(AND(B39&lt;100,C36="外置拉手"),AND(C39&lt;100,C36="外置拉手")),D39*0.2,0)+IF(OR(AND(B39&lt;100,C36="通长铝拉手"),AND(C39&lt;100,C36="通长铝拉手")),D39*0.1,0)</f>
        <v>0</v>
      </c>
      <c r="AB39" s="658" t="str">
        <f t="shared" si="26"/>
        <v>M16触感铁灰+铁灰PVC封边条2.0*22</v>
      </c>
      <c r="AC39" s="659" t="s">
        <v>456</v>
      </c>
      <c r="AD39" s="658" t="s">
        <v>442</v>
      </c>
      <c r="AE39" s="658" t="s">
        <v>457</v>
      </c>
      <c r="AF39" s="658" t="s">
        <v>458</v>
      </c>
      <c r="AG39" s="658">
        <v>1</v>
      </c>
    </row>
    <row r="40" ht="17.1" customHeight="1" spans="1:33">
      <c r="A40" s="665"/>
      <c r="B40" s="664"/>
      <c r="C40" s="664"/>
      <c r="D40" s="664"/>
      <c r="E40" s="664"/>
      <c r="F40" s="664"/>
      <c r="G40" s="664">
        <f>B40-3</f>
        <v>-3</v>
      </c>
      <c r="H40" s="664">
        <f>C40-$T$48</f>
        <v>-36.5</v>
      </c>
      <c r="I40" s="664">
        <f>D40</f>
        <v>0</v>
      </c>
      <c r="J40" s="712" t="str">
        <f>IF(OR(AND($I$2="T型铝封边",B40&lt;80),AND($I$2="T型铝封边",C40&lt;80)),$R$4,"")</f>
        <v/>
      </c>
      <c r="K40" s="712"/>
      <c r="L40" s="664"/>
      <c r="M40" s="664"/>
      <c r="N40" s="717">
        <f>IF(AND($B$3="外置拉手",$I$2=$R$4),(B40+C40+120)*2*I40/1000,0)</f>
        <v>0</v>
      </c>
      <c r="O40" s="717">
        <f>IF(AND($I$2="T型铝封边",J40=""),(B40+C40+120)*2*I40/1000,0)</f>
        <v>0</v>
      </c>
      <c r="P40" s="717">
        <f>IF(AND($I$2="T型铝封边",J40="2.0*22同色PVC"),(B40+C40+120)*2*I40/1000,0)</f>
        <v>0</v>
      </c>
      <c r="Q40" s="717">
        <f t="shared" si="10"/>
        <v>0</v>
      </c>
      <c r="R40" s="717">
        <f t="shared" si="11"/>
        <v>0</v>
      </c>
      <c r="S40" s="661">
        <f t="shared" si="12"/>
        <v>0</v>
      </c>
      <c r="T40" s="717">
        <f>IF($B$3&lt;&gt;"外置拉手",((B40+C40*2)+180)*I40/1000,0)</f>
        <v>0</v>
      </c>
      <c r="U40" s="719">
        <f>IF($B$3&lt;&gt;"外置拉手",B40*D40/0.9/1000,0)</f>
        <v>0</v>
      </c>
      <c r="V40" s="658">
        <f t="shared" si="29"/>
        <v>0</v>
      </c>
      <c r="AB40" s="658" t="str">
        <f t="shared" si="26"/>
        <v>M11暖白+暖白PVC封边条2.0*22</v>
      </c>
      <c r="AC40" s="659" t="s">
        <v>459</v>
      </c>
      <c r="AD40" s="658" t="s">
        <v>442</v>
      </c>
      <c r="AE40" s="658" t="s">
        <v>460</v>
      </c>
      <c r="AF40" s="658" t="s">
        <v>461</v>
      </c>
      <c r="AG40" s="658">
        <v>1</v>
      </c>
    </row>
    <row r="41" ht="17.1" customHeight="1" spans="1:33">
      <c r="A41" s="665"/>
      <c r="B41" s="664"/>
      <c r="C41" s="664"/>
      <c r="D41" s="664"/>
      <c r="E41" s="664"/>
      <c r="F41" s="664"/>
      <c r="G41" s="664">
        <f>B41-3</f>
        <v>-3</v>
      </c>
      <c r="H41" s="664">
        <f>C41-$T$48</f>
        <v>-36.5</v>
      </c>
      <c r="I41" s="664">
        <f>D41</f>
        <v>0</v>
      </c>
      <c r="J41" s="712" t="str">
        <f>IF(OR(AND($I$2="T型铝封边",B41&lt;80),AND($I$2="T型铝封边",C41&lt;80)),$R$4,"")</f>
        <v/>
      </c>
      <c r="K41" s="712"/>
      <c r="L41" s="664"/>
      <c r="M41" s="664"/>
      <c r="N41" s="717">
        <f>IF(AND($B$3="外置拉手",$I$2=$R$4),(B41+C41+120)*2*I41/1000,0)</f>
        <v>0</v>
      </c>
      <c r="O41" s="717">
        <f>IF(AND($I$2="T型铝封边",J41=""),(B41+C41+120)*2*I41/1000,0)</f>
        <v>0</v>
      </c>
      <c r="P41" s="717">
        <f>IF(AND($I$2="T型铝封边",J41="2.0*22同色PVC"),(B41+C41+120)*2*I41/1000,0)</f>
        <v>0</v>
      </c>
      <c r="Q41" s="717">
        <f t="shared" si="10"/>
        <v>0</v>
      </c>
      <c r="R41" s="717">
        <f t="shared" si="11"/>
        <v>0</v>
      </c>
      <c r="S41" s="661">
        <f t="shared" si="12"/>
        <v>0</v>
      </c>
      <c r="T41" s="717">
        <f>IF($B$3&lt;&gt;"外置拉手",((B41+C41*2)+180)*I41/1000,0)</f>
        <v>0</v>
      </c>
      <c r="U41" s="719">
        <f>IF($B$3&lt;&gt;"外置拉手",B41*D41/0.9/1000,0)</f>
        <v>0</v>
      </c>
      <c r="V41" s="658">
        <f t="shared" si="29"/>
        <v>0</v>
      </c>
      <c r="AB41" s="658" t="str">
        <f t="shared" si="26"/>
        <v>M12米黄+米黄麻PVC封边条2.0*22</v>
      </c>
      <c r="AC41" s="659" t="s">
        <v>462</v>
      </c>
      <c r="AD41" s="658" t="s">
        <v>442</v>
      </c>
      <c r="AE41" s="658" t="s">
        <v>463</v>
      </c>
      <c r="AF41" s="658" t="s">
        <v>464</v>
      </c>
      <c r="AG41" s="658">
        <v>1</v>
      </c>
    </row>
    <row r="42" ht="17.1" customHeight="1" spans="1:33">
      <c r="A42" s="665"/>
      <c r="B42" s="664"/>
      <c r="C42" s="664"/>
      <c r="D42" s="664"/>
      <c r="E42" s="664"/>
      <c r="F42" s="664"/>
      <c r="G42" s="664">
        <f>B42-3</f>
        <v>-3</v>
      </c>
      <c r="H42" s="664">
        <f>C42-$T$48</f>
        <v>-36.5</v>
      </c>
      <c r="I42" s="664">
        <f>D42</f>
        <v>0</v>
      </c>
      <c r="J42" s="712" t="str">
        <f>IF(OR(AND($I$2="T型铝封边",B42&lt;80),AND($I$2="T型铝封边",C42&lt;80)),$R$4,"")</f>
        <v/>
      </c>
      <c r="K42" s="712"/>
      <c r="L42" s="664"/>
      <c r="M42" s="664"/>
      <c r="N42" s="717">
        <f>IF(AND($B$3="外置拉手",$I$2=$R$4),(B42+C42+120)*2*I42/1000,0)</f>
        <v>0</v>
      </c>
      <c r="O42" s="717">
        <f>IF(AND($I$2="T型铝封边",J42=""),(B42+C42+120)*2*I42/1000,0)</f>
        <v>0</v>
      </c>
      <c r="P42" s="717">
        <f>IF(AND($I$2="T型铝封边",J42="2.0*22同色PVC"),(B42+C42+120)*2*I42/1000,0)</f>
        <v>0</v>
      </c>
      <c r="Q42" s="717">
        <f t="shared" si="10"/>
        <v>0</v>
      </c>
      <c r="R42" s="717">
        <f t="shared" si="11"/>
        <v>0</v>
      </c>
      <c r="S42" s="661">
        <f t="shared" si="12"/>
        <v>0</v>
      </c>
      <c r="T42" s="717">
        <f>IF($B$3&lt;&gt;"外置拉手",((B42+C42*2)+180)*I42/1000,0)</f>
        <v>0</v>
      </c>
      <c r="U42" s="719">
        <f>IF($B$3&lt;&gt;"外置拉手",B42*D42/0.9/1000,0)</f>
        <v>0</v>
      </c>
      <c r="V42" s="658">
        <f t="shared" si="29"/>
        <v>0</v>
      </c>
      <c r="AB42" s="658" t="str">
        <f t="shared" si="26"/>
        <v>M44卡布奇诺高光+卡布奇诺高光PVC封边条2.0*22</v>
      </c>
      <c r="AC42" s="659" t="s">
        <v>465</v>
      </c>
      <c r="AD42" s="658" t="s">
        <v>442</v>
      </c>
      <c r="AE42" s="658" t="s">
        <v>466</v>
      </c>
      <c r="AF42" s="658" t="s">
        <v>467</v>
      </c>
      <c r="AG42" s="658">
        <v>1</v>
      </c>
    </row>
    <row r="43" ht="17.1" customHeight="1" spans="1:29">
      <c r="A43" s="665"/>
      <c r="B43" s="664"/>
      <c r="C43" s="664"/>
      <c r="D43" s="664"/>
      <c r="E43" s="664"/>
      <c r="F43" s="664"/>
      <c r="G43" s="664">
        <f>B43-3</f>
        <v>-3</v>
      </c>
      <c r="H43" s="664">
        <f>C43-$T$48</f>
        <v>-36.5</v>
      </c>
      <c r="I43" s="664">
        <f>D43</f>
        <v>0</v>
      </c>
      <c r="J43" s="712" t="str">
        <f>IF(OR(AND($I$2="T型铝封边",B43&lt;80),AND($I$2="T型铝封边",C43&lt;80)),$R$4,"")</f>
        <v/>
      </c>
      <c r="K43" s="712"/>
      <c r="L43" s="664"/>
      <c r="M43" s="664"/>
      <c r="N43" s="717">
        <f>IF(AND($B$3="外置拉手",$I$2=$R$4),(B43+C43+120)*2*I43/1000,0)</f>
        <v>0</v>
      </c>
      <c r="O43" s="717">
        <f>IF(AND($I$2="T型铝封边",J43=""),(B43+C43+120)*2*I43/1000,0)</f>
        <v>0</v>
      </c>
      <c r="P43" s="717">
        <f>IF(AND($I$2="T型铝封边",J43="2.0*22同色PVC"),(B43+C43+120)*2*I43/1000,0)</f>
        <v>0</v>
      </c>
      <c r="Q43" s="717">
        <f t="shared" si="10"/>
        <v>0</v>
      </c>
      <c r="R43" s="717">
        <f t="shared" si="11"/>
        <v>0</v>
      </c>
      <c r="S43" s="661">
        <f t="shared" si="12"/>
        <v>0</v>
      </c>
      <c r="T43" s="717">
        <f>IF($B$3&lt;&gt;"外置拉手",((B43+C43*2)+180)*I43/1000,0)</f>
        <v>0</v>
      </c>
      <c r="U43" s="719">
        <f>IF($B$3&lt;&gt;"外置拉手",B43*D43/0.9/1000,0)</f>
        <v>0</v>
      </c>
      <c r="V43" s="658">
        <f t="shared" si="29"/>
        <v>0</v>
      </c>
      <c r="AC43" s="659"/>
    </row>
    <row r="44" ht="19.5" customHeight="1" spans="1:29">
      <c r="A44" s="690" t="s">
        <v>468</v>
      </c>
      <c r="B44" s="690"/>
      <c r="C44" s="690"/>
      <c r="D44" s="690"/>
      <c r="E44" s="690"/>
      <c r="F44" s="690"/>
      <c r="G44" s="690"/>
      <c r="H44" s="690"/>
      <c r="I44" s="690"/>
      <c r="J44" s="690"/>
      <c r="K44" s="690"/>
      <c r="L44" s="690"/>
      <c r="M44" s="690"/>
      <c r="N44" s="718">
        <f t="shared" ref="N44:V44" si="30">SUM(N7:N43)</f>
        <v>0</v>
      </c>
      <c r="O44" s="718">
        <f t="shared" si="30"/>
        <v>0</v>
      </c>
      <c r="P44" s="718">
        <f t="shared" si="30"/>
        <v>0</v>
      </c>
      <c r="Q44" s="718">
        <f t="shared" si="30"/>
        <v>23.9422222222222</v>
      </c>
      <c r="R44" s="718">
        <f t="shared" si="30"/>
        <v>1.872263</v>
      </c>
      <c r="S44" s="725">
        <f t="shared" si="30"/>
        <v>0.628951558720774</v>
      </c>
      <c r="T44" s="718">
        <f t="shared" si="30"/>
        <v>24.908</v>
      </c>
      <c r="U44" s="718">
        <f t="shared" si="30"/>
        <v>0</v>
      </c>
      <c r="V44" s="726">
        <f t="shared" si="30"/>
        <v>0</v>
      </c>
      <c r="W44" s="718"/>
      <c r="AC44" s="659"/>
    </row>
    <row r="45" ht="50.25" customHeight="1" spans="1:29">
      <c r="A45" s="691"/>
      <c r="B45" s="692" t="s">
        <v>364</v>
      </c>
      <c r="C45" s="692"/>
      <c r="D45" s="692"/>
      <c r="E45" s="692"/>
      <c r="F45" s="692"/>
      <c r="G45" s="690"/>
      <c r="H45" s="690"/>
      <c r="I45" s="690"/>
      <c r="J45" s="690"/>
      <c r="K45" s="719"/>
      <c r="L45" s="719"/>
      <c r="M45" s="719"/>
      <c r="N45" s="720" t="s">
        <v>469</v>
      </c>
      <c r="O45" s="719"/>
      <c r="P45" s="719"/>
      <c r="AC45" s="659"/>
    </row>
    <row r="46" ht="21" customHeight="1" spans="1:16">
      <c r="A46" s="692" t="s">
        <v>470</v>
      </c>
      <c r="B46" s="692"/>
      <c r="C46" s="692"/>
      <c r="D46" s="692"/>
      <c r="E46" s="692"/>
      <c r="F46" s="692"/>
      <c r="G46" s="690"/>
      <c r="H46" s="690"/>
      <c r="I46" s="690"/>
      <c r="J46" s="690"/>
      <c r="K46" s="690"/>
      <c r="L46" s="690"/>
      <c r="M46" s="690"/>
      <c r="N46" s="719">
        <f>$N$44+P44+$T$44+$V$44</f>
        <v>24.908</v>
      </c>
      <c r="O46" s="719"/>
      <c r="P46" s="719"/>
    </row>
    <row r="47" ht="18" customHeight="1" spans="1:22">
      <c r="A47" s="693"/>
      <c r="B47" s="694"/>
      <c r="F47" s="695"/>
      <c r="G47" s="695"/>
      <c r="H47" s="690"/>
      <c r="I47" s="690"/>
      <c r="J47" s="690"/>
      <c r="T47" s="699" t="s">
        <v>471</v>
      </c>
      <c r="U47" s="699" t="s">
        <v>353</v>
      </c>
      <c r="V47" s="699" t="s">
        <v>472</v>
      </c>
    </row>
    <row r="48" ht="18" customHeight="1" spans="1:22">
      <c r="A48" s="696" t="s">
        <v>473</v>
      </c>
      <c r="B48" s="690"/>
      <c r="C48" s="690"/>
      <c r="D48" s="690"/>
      <c r="E48" s="697"/>
      <c r="F48" s="695"/>
      <c r="G48" s="695"/>
      <c r="H48" s="690"/>
      <c r="I48" s="690"/>
      <c r="J48" s="690"/>
      <c r="Q48" s="658">
        <v>1</v>
      </c>
      <c r="R48" s="658" t="s">
        <v>474</v>
      </c>
      <c r="S48" s="661">
        <f>$S$44/0.85</f>
        <v>0.739943010259734</v>
      </c>
      <c r="T48" s="658">
        <f>VLOOKUP(B3,U48:V53,2,FALSE)</f>
        <v>36.5</v>
      </c>
      <c r="U48" s="658" t="s">
        <v>475</v>
      </c>
      <c r="V48" s="658">
        <f>1.5+1.5</f>
        <v>3</v>
      </c>
    </row>
    <row r="49" spans="1:22">
      <c r="A49" s="693"/>
      <c r="B49" s="698"/>
      <c r="C49" s="698"/>
      <c r="D49" s="690"/>
      <c r="E49" s="697"/>
      <c r="F49" s="695"/>
      <c r="G49" s="695"/>
      <c r="H49" s="690"/>
      <c r="I49" s="690"/>
      <c r="J49" s="690"/>
      <c r="Q49" s="658">
        <v>2</v>
      </c>
      <c r="R49" s="658" t="s">
        <v>366</v>
      </c>
      <c r="S49" s="661">
        <f>$S$44/0.6</f>
        <v>1.04825259786796</v>
      </c>
      <c r="U49" s="658" t="s">
        <v>354</v>
      </c>
      <c r="V49" s="658">
        <f>1.5+35</f>
        <v>36.5</v>
      </c>
    </row>
    <row r="50" spans="1:22">
      <c r="A50" s="699" t="s">
        <v>476</v>
      </c>
      <c r="B50" s="700" t="s">
        <v>477</v>
      </c>
      <c r="C50" s="699"/>
      <c r="D50" s="699"/>
      <c r="E50" s="699"/>
      <c r="F50" s="699"/>
      <c r="G50" s="699"/>
      <c r="H50" s="701"/>
      <c r="I50" s="701"/>
      <c r="J50" s="701"/>
      <c r="K50" s="701"/>
      <c r="L50" s="701"/>
      <c r="M50" s="701"/>
      <c r="N50" s="701"/>
      <c r="O50" s="659"/>
      <c r="P50" s="659"/>
      <c r="U50" s="658" t="s">
        <v>478</v>
      </c>
      <c r="V50" s="658">
        <f>1.5+3</f>
        <v>4.5</v>
      </c>
    </row>
    <row r="51" spans="2:23">
      <c r="B51" s="702"/>
      <c r="C51" s="702"/>
      <c r="E51" s="702"/>
      <c r="F51" s="702"/>
      <c r="H51" s="702"/>
      <c r="I51" s="702"/>
      <c r="J51" s="659"/>
      <c r="K51" s="702"/>
      <c r="L51" s="702"/>
      <c r="M51" s="702"/>
      <c r="N51" s="702"/>
      <c r="O51" s="702"/>
      <c r="P51" s="702"/>
      <c r="U51" s="658" t="s">
        <v>479</v>
      </c>
      <c r="V51" s="658">
        <f>1.5+32</f>
        <v>33.5</v>
      </c>
      <c r="W51" s="719"/>
    </row>
    <row r="52" spans="6:7">
      <c r="F52" s="703"/>
      <c r="G52" s="703"/>
    </row>
    <row r="53" spans="6:7">
      <c r="F53" s="703"/>
      <c r="G53" s="703"/>
    </row>
    <row r="54" spans="6:7">
      <c r="F54" s="703"/>
      <c r="G54" s="703"/>
    </row>
    <row r="55" spans="6:7">
      <c r="F55" s="703"/>
      <c r="G55" s="703"/>
    </row>
    <row r="56" spans="6:7">
      <c r="F56" s="703"/>
      <c r="G56" s="703"/>
    </row>
    <row r="57" spans="6:7">
      <c r="F57" s="703"/>
      <c r="G57" s="703"/>
    </row>
    <row r="58" spans="6:7">
      <c r="F58" s="703"/>
      <c r="G58" s="703"/>
    </row>
    <row r="59" spans="6:7">
      <c r="F59" s="703"/>
      <c r="G59" s="703"/>
    </row>
    <row r="60" spans="6:7">
      <c r="F60" s="703"/>
      <c r="G60" s="703"/>
    </row>
    <row r="61" spans="6:7">
      <c r="F61" s="703"/>
      <c r="G61" s="703"/>
    </row>
    <row r="62" spans="6:7">
      <c r="F62" s="703"/>
      <c r="G62" s="703"/>
    </row>
    <row r="63" spans="6:7">
      <c r="F63" s="703"/>
      <c r="G63" s="703"/>
    </row>
    <row r="64" spans="6:7">
      <c r="F64" s="703"/>
      <c r="G64" s="703"/>
    </row>
    <row r="65" spans="6:7">
      <c r="F65" s="703"/>
      <c r="G65" s="703"/>
    </row>
    <row r="66" spans="6:7">
      <c r="F66" s="703"/>
      <c r="G66" s="703"/>
    </row>
    <row r="67" spans="6:7">
      <c r="F67" s="703"/>
      <c r="G67" s="703"/>
    </row>
    <row r="68" spans="6:7">
      <c r="F68" s="703"/>
      <c r="G68" s="703"/>
    </row>
    <row r="69" spans="6:7">
      <c r="F69" s="703"/>
      <c r="G69" s="703"/>
    </row>
    <row r="70" spans="6:7">
      <c r="F70" s="703"/>
      <c r="G70" s="703"/>
    </row>
    <row r="71" spans="6:7">
      <c r="F71" s="703"/>
      <c r="G71" s="703"/>
    </row>
    <row r="72" spans="6:7">
      <c r="F72" s="703"/>
      <c r="G72" s="703"/>
    </row>
    <row r="73" spans="6:7">
      <c r="F73" s="703"/>
      <c r="G73" s="703"/>
    </row>
    <row r="74" spans="6:7">
      <c r="F74" s="703"/>
      <c r="G74" s="703"/>
    </row>
    <row r="75" spans="6:7">
      <c r="F75" s="703"/>
      <c r="G75" s="703"/>
    </row>
    <row r="76" spans="6:7">
      <c r="F76" s="703"/>
      <c r="G76" s="703"/>
    </row>
    <row r="77" spans="6:7">
      <c r="F77" s="703"/>
      <c r="G77" s="703"/>
    </row>
    <row r="78" spans="6:7">
      <c r="F78" s="703"/>
      <c r="G78" s="703"/>
    </row>
    <row r="79" spans="6:7">
      <c r="F79" s="703"/>
      <c r="G79" s="703"/>
    </row>
    <row r="80" spans="6:7">
      <c r="F80" s="703"/>
      <c r="G80" s="703"/>
    </row>
    <row r="81" spans="6:7">
      <c r="F81" s="703"/>
      <c r="G81" s="703"/>
    </row>
    <row r="82" spans="6:7">
      <c r="F82" s="703"/>
      <c r="G82" s="703"/>
    </row>
    <row r="83" spans="6:7">
      <c r="F83" s="703"/>
      <c r="G83" s="703"/>
    </row>
    <row r="84" spans="6:7">
      <c r="F84" s="703"/>
      <c r="G84" s="703"/>
    </row>
    <row r="85" spans="6:7">
      <c r="F85" s="703"/>
      <c r="G85" s="703"/>
    </row>
    <row r="86" spans="6:7">
      <c r="F86" s="703"/>
      <c r="G86" s="703"/>
    </row>
    <row r="87" spans="6:7">
      <c r="F87" s="703"/>
      <c r="G87" s="703"/>
    </row>
    <row r="88" spans="6:7">
      <c r="F88" s="703"/>
      <c r="G88" s="703"/>
    </row>
    <row r="89" spans="6:7">
      <c r="F89" s="703"/>
      <c r="G89" s="703"/>
    </row>
    <row r="90" spans="6:7">
      <c r="F90" s="703"/>
      <c r="G90" s="703"/>
    </row>
    <row r="91" spans="6:7">
      <c r="F91" s="703"/>
      <c r="G91" s="703"/>
    </row>
    <row r="92" spans="6:7">
      <c r="F92" s="703"/>
      <c r="G92" s="703"/>
    </row>
    <row r="93" spans="6:7">
      <c r="F93" s="703"/>
      <c r="G93" s="703"/>
    </row>
    <row r="94" spans="6:7">
      <c r="F94" s="703"/>
      <c r="G94" s="703"/>
    </row>
    <row r="95" spans="6:7">
      <c r="F95" s="703"/>
      <c r="G95" s="703"/>
    </row>
    <row r="96" spans="6:7">
      <c r="F96" s="703"/>
      <c r="G96" s="703"/>
    </row>
    <row r="97" spans="6:7">
      <c r="F97" s="703"/>
      <c r="G97" s="703"/>
    </row>
    <row r="98" spans="6:7">
      <c r="F98" s="703"/>
      <c r="G98" s="703"/>
    </row>
    <row r="99" spans="6:7">
      <c r="F99" s="703"/>
      <c r="G99" s="703"/>
    </row>
    <row r="100" spans="6:7">
      <c r="F100" s="703"/>
      <c r="G100" s="703"/>
    </row>
    <row r="101" spans="6:7">
      <c r="F101" s="703"/>
      <c r="G101" s="703"/>
    </row>
    <row r="102" spans="6:7">
      <c r="F102" s="703"/>
      <c r="G102" s="703"/>
    </row>
    <row r="103" spans="6:7">
      <c r="F103" s="703"/>
      <c r="G103" s="703"/>
    </row>
    <row r="104" spans="6:7">
      <c r="F104" s="703"/>
      <c r="G104" s="703"/>
    </row>
    <row r="105" spans="6:7">
      <c r="F105" s="703"/>
      <c r="G105" s="703"/>
    </row>
    <row r="106" spans="6:7">
      <c r="F106" s="703"/>
      <c r="G106" s="703"/>
    </row>
    <row r="107" spans="6:7">
      <c r="F107" s="703"/>
      <c r="G107" s="703"/>
    </row>
  </sheetData>
  <mergeCells count="1">
    <mergeCell ref="A1:M1"/>
  </mergeCells>
  <dataValidations count="4">
    <dataValidation type="list" allowBlank="1" showInputMessage="1" showErrorMessage="1" sqref="I2 I4">
      <formula1>$R$3:$R$4</formula1>
    </dataValidation>
    <dataValidation type="list" allowBlank="1" showInputMessage="1" showErrorMessage="1" sqref="B3">
      <formula1>$U$48:$U$51</formula1>
    </dataValidation>
    <dataValidation type="list" allowBlank="1" showInputMessage="1" showErrorMessage="1" sqref="B4 D4">
      <formula1>$AC$5:$AC$45</formula1>
    </dataValidation>
    <dataValidation type="list" allowBlank="1" showInputMessage="1" showErrorMessage="1" sqref="Q4">
      <formula1>$Q$6:$Q$13</formula1>
    </dataValidation>
  </dataValidations>
  <printOptions horizontalCentered="1"/>
  <pageMargins left="0.393055555555556" right="0.393055555555556" top="0.393055555555556" bottom="0.393055555555556" header="0.511805555555556" footer="0.393055555555556"/>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X28"/>
  <sheetViews>
    <sheetView view="pageBreakPreview" zoomScaleNormal="115" zoomScaleSheetLayoutView="100" topLeftCell="A4" workbookViewId="0">
      <selection activeCell="A22" sqref="A22"/>
    </sheetView>
  </sheetViews>
  <sheetFormatPr defaultColWidth="9" defaultRowHeight="20.1" customHeight="1"/>
  <cols>
    <col min="1" max="1" width="6.125" style="612" customWidth="1"/>
    <col min="2" max="2" width="10.125" style="612" customWidth="1"/>
    <col min="3" max="3" width="41.75" style="612" customWidth="1"/>
    <col min="4" max="4" width="18.125" style="612" customWidth="1"/>
    <col min="5" max="5" width="15.375" style="612" customWidth="1"/>
    <col min="6" max="6" width="7.5" style="612" customWidth="1"/>
    <col min="7" max="7" width="2.125" style="613" customWidth="1"/>
    <col min="8" max="8" width="19.5" style="613" customWidth="1"/>
    <col min="9" max="9" width="13.25" style="613" customWidth="1"/>
    <col min="10" max="10" width="17.125" style="613" customWidth="1"/>
    <col min="11" max="11" width="5.25" style="614" customWidth="1"/>
    <col min="12" max="12" width="4.875" style="614" customWidth="1"/>
    <col min="13" max="13" width="9.25" style="614" customWidth="1"/>
    <col min="14" max="14" width="9.5" style="613" customWidth="1"/>
    <col min="15" max="15" width="9.875" style="613" customWidth="1"/>
    <col min="16" max="17" width="10" style="613" customWidth="1"/>
    <col min="18" max="18" width="6.625" style="613" customWidth="1"/>
    <col min="19" max="19" width="6.5" style="613" customWidth="1"/>
    <col min="20" max="20" width="9" style="613"/>
    <col min="21" max="21" width="8.5" style="613" customWidth="1"/>
    <col min="22" max="22" width="6.375" style="613" customWidth="1"/>
    <col min="23" max="23" width="5.75" style="613" customWidth="1"/>
    <col min="24" max="24" width="12.625" style="613" customWidth="1"/>
    <col min="25" max="25" width="8.375" style="614" customWidth="1"/>
    <col min="26" max="26" width="24.875" style="613" customWidth="1"/>
    <col min="27" max="27" width="9" style="613"/>
    <col min="28" max="28" width="37.5" style="613" customWidth="1"/>
    <col min="29" max="16384" width="9" style="613"/>
  </cols>
  <sheetData>
    <row r="1" customHeight="1" spans="1:10">
      <c r="A1" s="615" t="str">
        <f>H1&amp;J1</f>
        <v>领料单——简爱II</v>
      </c>
      <c r="B1" s="615"/>
      <c r="C1" s="615"/>
      <c r="D1" s="615"/>
      <c r="E1" s="615"/>
      <c r="F1" s="615"/>
      <c r="G1" s="616"/>
      <c r="H1" s="617" t="s">
        <v>480</v>
      </c>
      <c r="I1" s="644"/>
      <c r="J1" s="645" t="str">
        <f>免漆门板单!G3</f>
        <v>简爱II</v>
      </c>
    </row>
    <row r="2" customHeight="1" spans="1:10">
      <c r="A2" s="618"/>
      <c r="B2" s="619" t="s">
        <v>3</v>
      </c>
      <c r="C2" s="619">
        <f>免漆门板单!B2</f>
        <v>0</v>
      </c>
      <c r="D2" s="620" t="s">
        <v>4</v>
      </c>
      <c r="E2" s="619">
        <f>免漆门板单!D2</f>
        <v>0</v>
      </c>
      <c r="F2" s="618"/>
      <c r="H2" s="621" t="s">
        <v>481</v>
      </c>
      <c r="I2" s="646"/>
      <c r="J2" s="647" t="s">
        <v>482</v>
      </c>
    </row>
    <row r="3" customHeight="1" spans="1:20">
      <c r="A3" s="618"/>
      <c r="B3" s="619" t="s">
        <v>59</v>
      </c>
      <c r="C3" s="619" t="str">
        <f>免漆门板单!K2</f>
        <v>S400321599d-11-28-1
</v>
      </c>
      <c r="D3" s="620" t="s">
        <v>352</v>
      </c>
      <c r="E3" s="619">
        <f>免漆门板单!M2</f>
        <v>0</v>
      </c>
      <c r="F3" s="618"/>
      <c r="H3" s="622"/>
      <c r="I3" s="648"/>
      <c r="J3" s="649"/>
      <c r="K3" s="650"/>
      <c r="L3" s="612"/>
      <c r="M3" s="612"/>
      <c r="N3" s="612"/>
      <c r="O3" s="612"/>
      <c r="P3" s="612"/>
      <c r="Q3" s="612"/>
      <c r="R3" s="612"/>
      <c r="S3" s="612"/>
      <c r="T3" s="655"/>
    </row>
    <row r="4" customHeight="1" spans="1:20">
      <c r="A4" s="619" t="s">
        <v>483</v>
      </c>
      <c r="B4" s="619" t="s">
        <v>23</v>
      </c>
      <c r="C4" s="619" t="s">
        <v>66</v>
      </c>
      <c r="D4" s="619" t="s">
        <v>83</v>
      </c>
      <c r="E4" s="623" t="s">
        <v>314</v>
      </c>
      <c r="F4" s="619" t="s">
        <v>484</v>
      </c>
      <c r="G4" s="624"/>
      <c r="H4" s="622"/>
      <c r="I4" s="648"/>
      <c r="J4" s="649"/>
      <c r="K4" s="651"/>
      <c r="L4" s="652"/>
      <c r="M4" s="652"/>
      <c r="N4" s="652"/>
      <c r="O4" s="612"/>
      <c r="P4" s="612"/>
      <c r="Q4" s="612"/>
      <c r="R4" s="612"/>
      <c r="S4" s="612"/>
      <c r="T4" s="656"/>
    </row>
    <row r="5" ht="31.5" customHeight="1" spans="1:10">
      <c r="A5" s="625" t="s">
        <v>388</v>
      </c>
      <c r="B5" s="619">
        <v>1</v>
      </c>
      <c r="C5" s="623" t="str">
        <f>VLOOKUP(免漆门板单!B4,免漆门板单!AC:AH,3,FALSE)</f>
        <v>艺术胡桃横纹双贴三聚氰胺E0级刨花板18*1220*2440</v>
      </c>
      <c r="D5" s="626">
        <f>IF(免漆门板单!N5=1,免漆门板单!S48,IF(免漆门板单!N5=2,免漆门板单!S49,IF(免漆门板单!N5=3,免漆门板单!S50)))</f>
        <v>1.04825259786796</v>
      </c>
      <c r="E5" s="619" t="s">
        <v>485</v>
      </c>
      <c r="F5" s="625"/>
      <c r="G5" s="627"/>
      <c r="H5" s="628"/>
      <c r="I5" s="630"/>
      <c r="J5" s="628"/>
    </row>
    <row r="6" customHeight="1" spans="1:10">
      <c r="A6" s="625" t="s">
        <v>32</v>
      </c>
      <c r="B6" s="619">
        <v>2</v>
      </c>
      <c r="C6" s="629" t="str">
        <f>VLOOKUP(免漆门板单!B4,免漆门板单!AC:AH,4,FALSE)</f>
        <v>艺术胡桃PVC封边条2.0*22</v>
      </c>
      <c r="D6" s="626">
        <f>免漆门板单!$N$46</f>
        <v>24.908</v>
      </c>
      <c r="E6" s="619" t="s">
        <v>486</v>
      </c>
      <c r="F6" s="618"/>
      <c r="H6" s="630"/>
      <c r="I6" s="653"/>
      <c r="J6" s="630"/>
    </row>
    <row r="7" customHeight="1" spans="1:10">
      <c r="A7" s="625"/>
      <c r="B7" s="619">
        <v>3</v>
      </c>
      <c r="C7" s="619" t="s">
        <v>487</v>
      </c>
      <c r="D7" s="631">
        <f>D6*4.1</f>
        <v>102.1228</v>
      </c>
      <c r="E7" s="619" t="s">
        <v>488</v>
      </c>
      <c r="F7" s="619"/>
      <c r="G7" s="624"/>
      <c r="H7" s="630"/>
      <c r="I7" s="630"/>
      <c r="J7" s="630"/>
    </row>
    <row r="8" customHeight="1" spans="1:10">
      <c r="A8" s="625"/>
      <c r="B8" s="619">
        <v>4</v>
      </c>
      <c r="C8" s="629" t="s">
        <v>489</v>
      </c>
      <c r="D8" s="626">
        <f>免漆门板单!$O$44</f>
        <v>0</v>
      </c>
      <c r="E8" s="619" t="s">
        <v>486</v>
      </c>
      <c r="F8" s="618"/>
      <c r="H8" s="630"/>
      <c r="I8" s="630"/>
      <c r="J8" s="630"/>
    </row>
    <row r="9" customHeight="1" spans="1:10">
      <c r="A9" s="625" t="s">
        <v>490</v>
      </c>
      <c r="B9" s="619">
        <v>5</v>
      </c>
      <c r="C9" s="632" t="str">
        <f>IF(免漆门板单!B3="LC-003拉手",免漆料单!H9,0)</f>
        <v>铝拉手（氧化铝XY-156）LC-003（3米/支）</v>
      </c>
      <c r="D9" s="633">
        <f>免漆门板单!U44</f>
        <v>0</v>
      </c>
      <c r="E9" s="619" t="s">
        <v>486</v>
      </c>
      <c r="F9" s="618"/>
      <c r="H9" s="630" t="s">
        <v>491</v>
      </c>
      <c r="I9" s="630"/>
      <c r="J9" s="630"/>
    </row>
    <row r="10" customHeight="1" spans="1:10">
      <c r="A10" s="625"/>
      <c r="B10" s="619">
        <v>6</v>
      </c>
      <c r="C10" s="619" t="s">
        <v>492</v>
      </c>
      <c r="D10" s="634">
        <f>(D8+D9)/12</f>
        <v>0</v>
      </c>
      <c r="E10" s="619" t="s">
        <v>493</v>
      </c>
      <c r="F10" s="635"/>
      <c r="G10" s="636"/>
      <c r="H10" s="630"/>
      <c r="I10" s="630"/>
      <c r="J10" s="630"/>
    </row>
    <row r="11" customHeight="1" spans="1:10">
      <c r="A11" s="625" t="s">
        <v>494</v>
      </c>
      <c r="B11" s="619">
        <v>7</v>
      </c>
      <c r="C11" s="619"/>
      <c r="D11" s="619"/>
      <c r="E11" s="619"/>
      <c r="F11" s="619"/>
      <c r="G11" s="637"/>
      <c r="H11" s="630"/>
      <c r="I11" s="630"/>
      <c r="J11" s="630"/>
    </row>
    <row r="12" customHeight="1" spans="1:24">
      <c r="A12" s="625"/>
      <c r="B12" s="619">
        <v>8</v>
      </c>
      <c r="C12" s="619"/>
      <c r="D12" s="619"/>
      <c r="E12" s="619"/>
      <c r="F12" s="619"/>
      <c r="G12" s="637"/>
      <c r="H12" s="630"/>
      <c r="I12" s="630"/>
      <c r="J12" s="630"/>
      <c r="M12" s="637"/>
      <c r="N12" s="637"/>
      <c r="O12" s="637"/>
      <c r="P12" s="637"/>
      <c r="Q12" s="637"/>
      <c r="R12" s="643"/>
      <c r="S12" s="657"/>
      <c r="T12" s="643"/>
      <c r="U12" s="637"/>
      <c r="V12" s="637"/>
      <c r="W12" s="637"/>
      <c r="X12" s="637"/>
    </row>
    <row r="13" customHeight="1" spans="1:24">
      <c r="A13" s="625"/>
      <c r="B13" s="619">
        <v>9</v>
      </c>
      <c r="C13" s="619"/>
      <c r="D13" s="619"/>
      <c r="E13" s="619"/>
      <c r="F13" s="619"/>
      <c r="G13" s="637"/>
      <c r="H13" s="630"/>
      <c r="I13" s="630"/>
      <c r="J13" s="630"/>
      <c r="M13" s="637"/>
      <c r="N13" s="637"/>
      <c r="O13" s="637"/>
      <c r="P13" s="637"/>
      <c r="Q13" s="624"/>
      <c r="R13" s="643"/>
      <c r="S13" s="657"/>
      <c r="T13" s="643"/>
      <c r="U13" s="637"/>
      <c r="V13" s="637"/>
      <c r="W13" s="637"/>
      <c r="X13" s="637"/>
    </row>
    <row r="14" customHeight="1" spans="1:24">
      <c r="A14" s="625"/>
      <c r="B14" s="619">
        <v>10</v>
      </c>
      <c r="C14" s="619"/>
      <c r="D14" s="619"/>
      <c r="E14" s="619"/>
      <c r="F14" s="619"/>
      <c r="G14" s="637"/>
      <c r="H14" s="630"/>
      <c r="I14" s="630"/>
      <c r="J14" s="630"/>
      <c r="M14" s="637"/>
      <c r="N14" s="637"/>
      <c r="O14" s="654"/>
      <c r="P14" s="654"/>
      <c r="Q14" s="654"/>
      <c r="R14" s="643"/>
      <c r="S14" s="657"/>
      <c r="T14" s="657"/>
      <c r="U14" s="657"/>
      <c r="V14" s="657"/>
      <c r="W14" s="637"/>
      <c r="X14" s="637"/>
    </row>
    <row r="15" customHeight="1" spans="1:10">
      <c r="A15" s="625"/>
      <c r="B15" s="619">
        <v>11</v>
      </c>
      <c r="C15" s="619"/>
      <c r="D15" s="619"/>
      <c r="E15" s="619"/>
      <c r="F15" s="619"/>
      <c r="G15" s="637"/>
      <c r="H15" s="630"/>
      <c r="I15" s="630"/>
      <c r="J15" s="630"/>
    </row>
    <row r="16" customHeight="1" spans="1:10">
      <c r="A16" s="625"/>
      <c r="B16" s="619">
        <v>12</v>
      </c>
      <c r="C16" s="619"/>
      <c r="D16" s="619"/>
      <c r="E16" s="619"/>
      <c r="F16" s="619"/>
      <c r="G16" s="637"/>
      <c r="H16" s="630"/>
      <c r="I16" s="630"/>
      <c r="J16" s="630"/>
    </row>
    <row r="17" customHeight="1" spans="1:10">
      <c r="A17" s="625"/>
      <c r="B17" s="619">
        <v>13</v>
      </c>
      <c r="C17" s="619"/>
      <c r="D17" s="619"/>
      <c r="E17" s="619"/>
      <c r="F17" s="619"/>
      <c r="G17" s="637"/>
      <c r="H17" s="630"/>
      <c r="I17" s="630"/>
      <c r="J17" s="630"/>
    </row>
    <row r="18" customHeight="1" spans="1:10">
      <c r="A18" s="625"/>
      <c r="B18" s="619">
        <v>14</v>
      </c>
      <c r="C18" s="619"/>
      <c r="D18" s="619"/>
      <c r="E18" s="619"/>
      <c r="F18" s="619"/>
      <c r="G18" s="637"/>
      <c r="H18" s="630"/>
      <c r="I18" s="630"/>
      <c r="J18" s="630"/>
    </row>
    <row r="19" customHeight="1" spans="1:10">
      <c r="A19" s="625"/>
      <c r="B19" s="619">
        <v>15</v>
      </c>
      <c r="C19" s="619"/>
      <c r="D19" s="619"/>
      <c r="E19" s="619"/>
      <c r="F19" s="619"/>
      <c r="G19" s="637"/>
      <c r="H19" s="630"/>
      <c r="I19" s="630"/>
      <c r="J19" s="630"/>
    </row>
    <row r="20" customHeight="1" spans="1:10">
      <c r="A20" s="625"/>
      <c r="B20" s="619">
        <v>16</v>
      </c>
      <c r="C20" s="619"/>
      <c r="D20" s="619"/>
      <c r="E20" s="619"/>
      <c r="F20" s="619"/>
      <c r="G20" s="637"/>
      <c r="H20" s="630"/>
      <c r="I20" s="630"/>
      <c r="J20" s="630"/>
    </row>
    <row r="21" customHeight="1" spans="1:10">
      <c r="A21" s="625"/>
      <c r="B21" s="619">
        <v>17</v>
      </c>
      <c r="C21" s="619"/>
      <c r="D21" s="619"/>
      <c r="E21" s="619"/>
      <c r="F21" s="619"/>
      <c r="G21" s="637"/>
      <c r="H21" s="630"/>
      <c r="I21" s="630"/>
      <c r="J21" s="630"/>
    </row>
    <row r="22" customHeight="1" spans="1:10">
      <c r="A22" s="638" t="s">
        <v>468</v>
      </c>
      <c r="B22" s="637"/>
      <c r="C22" s="637"/>
      <c r="D22" s="637"/>
      <c r="E22" s="637"/>
      <c r="F22" s="637"/>
      <c r="G22" s="637"/>
      <c r="H22" s="630"/>
      <c r="I22" s="630"/>
      <c r="J22" s="630"/>
    </row>
    <row r="23" customHeight="1" spans="1:10">
      <c r="A23" s="639" t="s">
        <v>495</v>
      </c>
      <c r="B23" s="639"/>
      <c r="C23" s="639"/>
      <c r="D23" s="639" t="s">
        <v>496</v>
      </c>
      <c r="E23" s="639"/>
      <c r="F23" s="639"/>
      <c r="G23" s="640"/>
      <c r="H23" s="630"/>
      <c r="I23" s="630"/>
      <c r="J23" s="630"/>
    </row>
    <row r="24" customHeight="1" spans="1:10">
      <c r="A24" s="641"/>
      <c r="B24" s="641"/>
      <c r="C24" s="639"/>
      <c r="H24" s="630"/>
      <c r="I24" s="630"/>
      <c r="J24" s="630"/>
    </row>
    <row r="25" customHeight="1" spans="1:10">
      <c r="A25" s="641" t="s">
        <v>497</v>
      </c>
      <c r="B25" s="641"/>
      <c r="C25" s="639"/>
      <c r="D25" s="612" t="s">
        <v>498</v>
      </c>
      <c r="H25" s="630"/>
      <c r="I25" s="630"/>
      <c r="J25" s="630"/>
    </row>
    <row r="26" customHeight="1" spans="1:10">
      <c r="A26" s="641"/>
      <c r="B26" s="641"/>
      <c r="C26" s="639"/>
      <c r="H26" s="630"/>
      <c r="I26" s="630"/>
      <c r="J26" s="630"/>
    </row>
    <row r="27" customHeight="1" spans="1:10">
      <c r="A27" s="642"/>
      <c r="B27" s="642"/>
      <c r="C27" s="642"/>
      <c r="D27" s="642"/>
      <c r="E27" s="642"/>
      <c r="F27" s="642"/>
      <c r="G27" s="643"/>
      <c r="H27" s="630"/>
      <c r="I27" s="630"/>
      <c r="J27" s="630"/>
    </row>
    <row r="28" customHeight="1" spans="8:10">
      <c r="H28" s="630"/>
      <c r="I28" s="630"/>
      <c r="J28" s="630"/>
    </row>
  </sheetData>
  <mergeCells count="17">
    <mergeCell ref="A1:F1"/>
    <mergeCell ref="H1:I1"/>
    <mergeCell ref="H2:I2"/>
    <mergeCell ref="L3:N3"/>
    <mergeCell ref="O3:P3"/>
    <mergeCell ref="Q3:R3"/>
    <mergeCell ref="L4:N4"/>
    <mergeCell ref="O4:P4"/>
    <mergeCell ref="Q4:R4"/>
    <mergeCell ref="M12:N12"/>
    <mergeCell ref="O12:Q12"/>
    <mergeCell ref="U12:V12"/>
    <mergeCell ref="W12:X12"/>
    <mergeCell ref="M14:N14"/>
    <mergeCell ref="O14:Q14"/>
    <mergeCell ref="T14:V14"/>
    <mergeCell ref="W14:X14"/>
  </mergeCells>
  <pageMargins left="0.0777777777777778" right="0.0777777777777778" top="0.590277777777778" bottom="0.984027777777778" header="0.511805555555556" footer="0.511805555555556"/>
  <pageSetup paperSize="9" scale="95"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603" t="s">
        <v>499</v>
      </c>
      <c r="B1" s="603"/>
      <c r="C1" s="603"/>
      <c r="D1" s="603"/>
      <c r="E1" s="603"/>
      <c r="F1" s="603"/>
      <c r="G1" s="603"/>
      <c r="H1" s="603"/>
      <c r="I1" s="610" t="e">
        <f>+#REF!</f>
        <v>#REF!</v>
      </c>
    </row>
    <row r="2" customHeight="1" spans="1:9">
      <c r="A2" s="604" t="s">
        <v>500</v>
      </c>
      <c r="B2" s="605" t="e">
        <f>+#REF!</f>
        <v>#REF!</v>
      </c>
      <c r="C2" s="605"/>
      <c r="D2" s="604" t="s">
        <v>501</v>
      </c>
      <c r="E2" s="605" t="e">
        <f>+#REF!</f>
        <v>#REF!</v>
      </c>
      <c r="F2" s="605"/>
      <c r="G2" s="604"/>
      <c r="H2" s="606" t="s">
        <v>502</v>
      </c>
      <c r="I2" s="608" t="e">
        <f>+#REF!</f>
        <v>#REF!</v>
      </c>
    </row>
    <row r="3" customHeight="1" spans="1:9">
      <c r="A3" s="604" t="s">
        <v>3</v>
      </c>
      <c r="B3" s="604" t="e">
        <f>#REF!</f>
        <v>#REF!</v>
      </c>
      <c r="C3" s="604"/>
      <c r="D3" s="604" t="s">
        <v>59</v>
      </c>
      <c r="E3" s="604" t="e">
        <f>#REF!</f>
        <v>#REF!</v>
      </c>
      <c r="F3" s="604"/>
      <c r="G3" s="604" t="s">
        <v>300</v>
      </c>
      <c r="H3" s="607"/>
      <c r="I3" s="604"/>
    </row>
    <row r="4" customHeight="1" spans="1:9">
      <c r="A4" s="604" t="s">
        <v>301</v>
      </c>
      <c r="B4" s="608" t="e">
        <f>+#REF!</f>
        <v>#REF!</v>
      </c>
      <c r="C4" s="608"/>
      <c r="D4" s="604" t="s">
        <v>302</v>
      </c>
      <c r="E4" s="606">
        <f>'免漆门板单 (2)'!C6:I6</f>
        <v>0</v>
      </c>
      <c r="F4" s="606"/>
      <c r="G4" s="604" t="s">
        <v>6</v>
      </c>
      <c r="H4" s="604"/>
      <c r="I4" s="604"/>
    </row>
    <row r="5" customHeight="1" spans="1:9">
      <c r="A5" s="604" t="s">
        <v>4</v>
      </c>
      <c r="B5" s="604" t="e">
        <f>#REF!</f>
        <v>#REF!</v>
      </c>
      <c r="C5" s="604"/>
      <c r="D5" s="604" t="str">
        <f>[6]下料单!M2</f>
        <v>版本型录号</v>
      </c>
      <c r="E5" s="604" t="e">
        <f>#REF!</f>
        <v>#REF!</v>
      </c>
      <c r="F5" s="604"/>
      <c r="G5" s="604" t="s">
        <v>7</v>
      </c>
      <c r="H5" s="607" t="e">
        <f>#REF!</f>
        <v>#REF!</v>
      </c>
      <c r="I5" s="607"/>
    </row>
    <row r="6" customHeight="1" spans="1:9">
      <c r="A6" s="604" t="s">
        <v>9</v>
      </c>
      <c r="B6" s="604" t="s">
        <v>10</v>
      </c>
      <c r="C6" s="604" t="s">
        <v>304</v>
      </c>
      <c r="D6" s="604" t="s">
        <v>305</v>
      </c>
      <c r="E6" s="604" t="s">
        <v>12</v>
      </c>
      <c r="F6" s="604" t="s">
        <v>306</v>
      </c>
      <c r="G6" s="604" t="s">
        <v>307</v>
      </c>
      <c r="H6" s="609"/>
      <c r="I6" s="611"/>
    </row>
    <row r="7" customHeight="1" spans="1:9">
      <c r="A7" s="341" t="s">
        <v>23</v>
      </c>
      <c r="B7" s="341" t="s">
        <v>24</v>
      </c>
      <c r="C7" s="341" t="s">
        <v>25</v>
      </c>
      <c r="D7" s="339" t="s">
        <v>300</v>
      </c>
      <c r="E7" s="339" t="s">
        <v>26</v>
      </c>
      <c r="F7" s="341" t="s">
        <v>28</v>
      </c>
      <c r="G7" s="341" t="s">
        <v>29</v>
      </c>
      <c r="H7" s="341" t="s">
        <v>30</v>
      </c>
      <c r="I7" s="341"/>
    </row>
    <row r="8" customHeight="1" spans="1:9">
      <c r="A8" s="341">
        <v>1</v>
      </c>
      <c r="B8" s="341" t="s">
        <v>31</v>
      </c>
      <c r="C8" s="342" t="str">
        <f>'免漆门板单 (2)'!K4</f>
        <v>0块</v>
      </c>
      <c r="D8" s="341"/>
      <c r="E8" s="341"/>
      <c r="F8" s="341"/>
      <c r="G8" s="341"/>
      <c r="H8" s="339"/>
      <c r="I8" s="339"/>
    </row>
    <row r="9" customHeight="1" spans="1:9">
      <c r="A9" s="341">
        <v>2</v>
      </c>
      <c r="B9" s="341" t="s">
        <v>503</v>
      </c>
      <c r="C9" s="342"/>
      <c r="D9" s="341"/>
      <c r="E9" s="341"/>
      <c r="F9" s="341"/>
      <c r="G9" s="341"/>
      <c r="H9" s="339"/>
      <c r="I9" s="339"/>
    </row>
    <row r="10" customHeight="1" spans="1:9">
      <c r="A10" s="341">
        <v>3</v>
      </c>
      <c r="B10" s="341" t="s">
        <v>504</v>
      </c>
      <c r="C10" s="342"/>
      <c r="D10" s="341"/>
      <c r="E10" s="341"/>
      <c r="F10" s="341"/>
      <c r="G10" s="341"/>
      <c r="H10" s="339"/>
      <c r="I10" s="339"/>
    </row>
    <row r="11" customHeight="1" spans="1:9">
      <c r="A11" s="341">
        <v>4</v>
      </c>
      <c r="B11" s="341" t="s">
        <v>505</v>
      </c>
      <c r="C11" s="342"/>
      <c r="D11" s="341"/>
      <c r="E11" s="341"/>
      <c r="F11" s="341"/>
      <c r="G11" s="341"/>
      <c r="H11" s="339"/>
      <c r="I11" s="339"/>
    </row>
    <row r="12" customHeight="1" spans="1:9">
      <c r="A12" s="341">
        <v>5</v>
      </c>
      <c r="B12" s="341" t="s">
        <v>506</v>
      </c>
      <c r="C12" s="342"/>
      <c r="D12" s="341"/>
      <c r="E12" s="341"/>
      <c r="F12" s="341"/>
      <c r="G12" s="341"/>
      <c r="H12" s="339"/>
      <c r="I12" s="339"/>
    </row>
    <row r="13" customHeight="1" spans="1:9">
      <c r="A13" s="341">
        <v>6</v>
      </c>
      <c r="B13" s="341" t="s">
        <v>507</v>
      </c>
      <c r="C13" s="342"/>
      <c r="D13" s="341"/>
      <c r="E13" s="341"/>
      <c r="F13" s="341"/>
      <c r="G13" s="341"/>
      <c r="H13" s="339"/>
      <c r="I13" s="339"/>
    </row>
    <row r="14" customHeight="1" spans="1:9">
      <c r="A14" s="341">
        <v>7</v>
      </c>
      <c r="B14" s="341" t="s">
        <v>508</v>
      </c>
      <c r="C14" s="342"/>
      <c r="D14" s="341"/>
      <c r="E14" s="341"/>
      <c r="F14" s="341"/>
      <c r="G14" s="341"/>
      <c r="H14" s="339"/>
      <c r="I14" s="339"/>
    </row>
    <row r="15" customHeight="1" spans="1:9">
      <c r="A15" s="341">
        <v>8</v>
      </c>
      <c r="B15" s="341" t="s">
        <v>509</v>
      </c>
      <c r="C15" s="342"/>
      <c r="D15" s="341"/>
      <c r="E15" s="341"/>
      <c r="F15" s="341"/>
      <c r="G15" s="341"/>
      <c r="H15" s="339"/>
      <c r="I15" s="339"/>
    </row>
    <row r="16" customHeight="1" spans="1:9">
      <c r="A16" s="341">
        <v>9</v>
      </c>
      <c r="B16" s="341" t="s">
        <v>510</v>
      </c>
      <c r="C16" s="342"/>
      <c r="D16" s="341"/>
      <c r="E16" s="342"/>
      <c r="F16" s="341"/>
      <c r="G16" s="341"/>
      <c r="H16" s="339"/>
      <c r="I16" s="339"/>
    </row>
    <row r="17" customHeight="1" spans="1:9">
      <c r="A17" s="341">
        <v>10</v>
      </c>
      <c r="B17" s="341" t="s">
        <v>511</v>
      </c>
      <c r="C17" s="342"/>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t="str">
        <f>C8</f>
        <v>0块</v>
      </c>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512</v>
      </c>
      <c r="C22" s="342"/>
      <c r="D22" s="341"/>
      <c r="E22" s="341"/>
      <c r="F22" s="341"/>
      <c r="G22" s="341"/>
      <c r="H22" s="339"/>
      <c r="I22" s="339"/>
    </row>
    <row r="23" customHeight="1" spans="1:9">
      <c r="A23" s="341">
        <v>16</v>
      </c>
      <c r="B23" s="341" t="s">
        <v>513</v>
      </c>
      <c r="C23" s="342"/>
      <c r="D23" s="341"/>
      <c r="E23" s="341"/>
      <c r="F23" s="341"/>
      <c r="G23" s="341"/>
      <c r="H23" s="339"/>
      <c r="I23" s="339"/>
    </row>
    <row r="24" customHeight="1" spans="1:9">
      <c r="A24" s="341">
        <v>17</v>
      </c>
      <c r="B24" s="341" t="s">
        <v>514</v>
      </c>
      <c r="C24" s="342"/>
      <c r="D24" s="341"/>
      <c r="E24" s="341"/>
      <c r="F24" s="341"/>
      <c r="G24" s="341"/>
      <c r="H24" s="339"/>
      <c r="I24" s="339"/>
    </row>
    <row r="25" customHeight="1" spans="1:9">
      <c r="A25" s="341">
        <v>18</v>
      </c>
      <c r="B25" s="341" t="s">
        <v>515</v>
      </c>
      <c r="C25" s="342"/>
      <c r="D25" s="341"/>
      <c r="E25" s="341"/>
      <c r="F25" s="341"/>
      <c r="G25" s="341"/>
      <c r="H25" s="339"/>
      <c r="I25" s="339"/>
    </row>
    <row r="26" customHeight="1" spans="1:9">
      <c r="A26" s="341">
        <v>19</v>
      </c>
      <c r="B26" s="341" t="s">
        <v>516</v>
      </c>
      <c r="C26" s="342"/>
      <c r="D26" s="341"/>
      <c r="E26" s="341"/>
      <c r="F26" s="341"/>
      <c r="G26" s="341"/>
      <c r="H26" s="339"/>
      <c r="I26" s="339"/>
    </row>
    <row r="27" customHeight="1" spans="1:9">
      <c r="A27" s="341">
        <v>20</v>
      </c>
      <c r="B27" s="341" t="s">
        <v>517</v>
      </c>
      <c r="C27" s="342"/>
      <c r="D27" s="341"/>
      <c r="E27" s="341"/>
      <c r="F27" s="341"/>
      <c r="G27" s="341"/>
      <c r="H27" s="339"/>
      <c r="I27" s="339"/>
    </row>
    <row r="28" customHeight="1" spans="1:9">
      <c r="A28" s="341">
        <v>21</v>
      </c>
      <c r="B28" s="341" t="s">
        <v>518</v>
      </c>
      <c r="C28" s="342"/>
      <c r="D28" s="341"/>
      <c r="E28" s="341"/>
      <c r="F28" s="341"/>
      <c r="G28" s="341"/>
      <c r="H28" s="339"/>
      <c r="I28" s="339"/>
    </row>
    <row r="29" customHeight="1" spans="1:9">
      <c r="A29" s="341">
        <v>22</v>
      </c>
      <c r="B29" s="341" t="s">
        <v>519</v>
      </c>
      <c r="C29" s="342"/>
      <c r="D29" s="341"/>
      <c r="E29" s="341"/>
      <c r="F29" s="341"/>
      <c r="G29" s="341"/>
      <c r="H29" s="339"/>
      <c r="I29" s="339"/>
    </row>
    <row r="30" customHeight="1" spans="1:9">
      <c r="A30" s="341">
        <v>23</v>
      </c>
      <c r="B30" s="341" t="s">
        <v>520</v>
      </c>
      <c r="C30" s="342"/>
      <c r="D30" s="341"/>
      <c r="E30" s="341"/>
      <c r="F30" s="341"/>
      <c r="G30" s="341"/>
      <c r="H30" s="339"/>
      <c r="I30" s="339"/>
    </row>
    <row r="31" customHeight="1" spans="1:9">
      <c r="A31" s="341">
        <v>24</v>
      </c>
      <c r="B31" s="341" t="s">
        <v>521</v>
      </c>
      <c r="C31" s="342"/>
      <c r="D31" s="341"/>
      <c r="E31" s="341"/>
      <c r="F31" s="341"/>
      <c r="G31" s="341"/>
      <c r="H31" s="339"/>
      <c r="I31" s="339"/>
    </row>
    <row r="32" customHeight="1" spans="1:9">
      <c r="A32" s="341">
        <v>25</v>
      </c>
      <c r="B32" s="341" t="s">
        <v>522</v>
      </c>
      <c r="C32" s="342"/>
      <c r="D32" s="341"/>
      <c r="E32" s="341"/>
      <c r="F32" s="341"/>
      <c r="G32" s="341"/>
      <c r="H32" s="339"/>
      <c r="I32" s="339"/>
    </row>
    <row r="33" customHeight="1" spans="1:9">
      <c r="A33" s="341">
        <v>26</v>
      </c>
      <c r="B33" s="341" t="s">
        <v>523</v>
      </c>
      <c r="C33" s="341"/>
      <c r="D33" s="341"/>
      <c r="E33" s="341"/>
      <c r="F33" s="341"/>
      <c r="G33" s="341"/>
      <c r="H33" s="339"/>
      <c r="I33" s="339"/>
    </row>
    <row r="34" customHeight="1" spans="1:9">
      <c r="A34" s="341">
        <v>27</v>
      </c>
      <c r="B34" s="341" t="s">
        <v>524</v>
      </c>
      <c r="C34" s="341"/>
      <c r="D34" s="341"/>
      <c r="E34" s="341"/>
      <c r="F34" s="341"/>
      <c r="G34" s="341"/>
      <c r="H34" s="339"/>
      <c r="I34" s="339"/>
    </row>
    <row r="35" customHeight="1" spans="1:9">
      <c r="A35" s="341">
        <v>28</v>
      </c>
      <c r="B35" s="341" t="s">
        <v>525</v>
      </c>
      <c r="C35" s="341"/>
      <c r="D35" s="341"/>
      <c r="E35" s="341"/>
      <c r="F35" s="341"/>
      <c r="G35" s="341"/>
      <c r="H35" s="339"/>
      <c r="I35" s="339"/>
    </row>
    <row r="36" customHeight="1" spans="1:9">
      <c r="A36" s="341">
        <v>29</v>
      </c>
      <c r="B36" s="341" t="s">
        <v>526</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527</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528</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529</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6"/>
      <c r="D47" s="345"/>
      <c r="E47" s="346" t="s">
        <v>530</v>
      </c>
      <c r="F47" s="343"/>
      <c r="G47" s="343"/>
      <c r="H47" s="343"/>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A5:K8"/>
    </sheetView>
  </sheetViews>
  <sheetFormatPr defaultColWidth="9" defaultRowHeight="14.25"/>
  <cols>
    <col min="1" max="1" width="8.125" style="524" customWidth="1"/>
    <col min="2" max="2" width="6.25" style="524" customWidth="1"/>
    <col min="3" max="3" width="6.375" style="524" customWidth="1"/>
    <col min="4" max="4" width="5.375" style="524" customWidth="1"/>
    <col min="5" max="5" width="5.875" style="525" customWidth="1"/>
    <col min="6" max="6" width="5.75" style="526" customWidth="1"/>
    <col min="7" max="7" width="5.25" style="524" customWidth="1"/>
    <col min="8" max="8" width="5.625" style="524" customWidth="1"/>
    <col min="9" max="9" width="7.875" style="524" customWidth="1"/>
    <col min="10" max="10" width="9" style="524"/>
    <col min="11" max="11" width="12.25" style="524" customWidth="1"/>
    <col min="12" max="16" width="9" style="524"/>
    <col min="17" max="17" width="9" style="524" customWidth="1"/>
    <col min="18" max="18" width="15.5" style="524" customWidth="1"/>
    <col min="19" max="19" width="11.25" style="524" customWidth="1"/>
    <col min="20" max="21" width="9" style="524" customWidth="1"/>
    <col min="22" max="22" width="43" style="524" customWidth="1"/>
    <col min="23" max="23" width="36.125" style="524" customWidth="1"/>
    <col min="24" max="24" width="39.625" style="524" customWidth="1"/>
    <col min="25" max="25" width="23.375" style="524" customWidth="1"/>
    <col min="26" max="16384" width="9" style="524"/>
  </cols>
  <sheetData>
    <row r="1" ht="12.95" customHeight="1" spans="1:6">
      <c r="A1" s="527"/>
      <c r="B1" s="527"/>
      <c r="C1" s="527"/>
      <c r="D1" s="527"/>
      <c r="E1" s="528"/>
      <c r="F1" s="529"/>
    </row>
    <row r="2" ht="12.95" customHeight="1" spans="1:11">
      <c r="A2" s="530"/>
      <c r="B2" s="530"/>
      <c r="C2" s="530"/>
      <c r="D2" s="530"/>
      <c r="E2" s="528"/>
      <c r="F2" s="531" t="s">
        <v>531</v>
      </c>
      <c r="G2" s="531"/>
      <c r="H2" s="531"/>
      <c r="I2" s="531"/>
      <c r="J2" s="531"/>
      <c r="K2" s="531"/>
    </row>
    <row r="3" ht="18.75" spans="1:12">
      <c r="A3" s="532" t="s">
        <v>532</v>
      </c>
      <c r="B3" s="532"/>
      <c r="C3" s="532"/>
      <c r="D3" s="532"/>
      <c r="E3" s="532"/>
      <c r="F3" s="532"/>
      <c r="G3" s="532"/>
      <c r="H3" s="532"/>
      <c r="I3" s="532"/>
      <c r="J3" s="532"/>
      <c r="K3" s="532"/>
      <c r="L3" s="524">
        <f>VLOOKUP(C6,V:Z,5,0)</f>
        <v>0</v>
      </c>
    </row>
    <row r="4" ht="18" customHeight="1" spans="1:11">
      <c r="A4" s="533" t="s">
        <v>533</v>
      </c>
      <c r="B4" s="533"/>
      <c r="C4" s="534" t="e">
        <f>#REF!</f>
        <v>#REF!</v>
      </c>
      <c r="D4" s="534"/>
      <c r="E4" s="534"/>
      <c r="F4" s="535" t="s">
        <v>352</v>
      </c>
      <c r="G4" s="535"/>
      <c r="H4" s="534" t="e">
        <f>#REF!</f>
        <v>#REF!</v>
      </c>
      <c r="I4" s="534"/>
      <c r="J4" s="533" t="s">
        <v>534</v>
      </c>
      <c r="K4" s="583" t="str">
        <f>SUM(D10:D37)&amp;"块"</f>
        <v>0块</v>
      </c>
    </row>
    <row r="5" ht="19.5" customHeight="1" spans="1:19">
      <c r="A5" s="535" t="s">
        <v>535</v>
      </c>
      <c r="B5" s="535"/>
      <c r="C5" s="536" t="e">
        <f>#REF!</f>
        <v>#REF!</v>
      </c>
      <c r="D5" s="536"/>
      <c r="E5" s="536"/>
      <c r="F5" s="535" t="s">
        <v>57</v>
      </c>
      <c r="G5" s="535"/>
      <c r="H5" s="537"/>
      <c r="I5" s="584"/>
      <c r="J5" s="533" t="s">
        <v>536</v>
      </c>
      <c r="K5" s="585" t="e">
        <f>#REF!</f>
        <v>#REF!</v>
      </c>
      <c r="R5" s="524" t="s">
        <v>537</v>
      </c>
      <c r="S5" s="524" t="s">
        <v>37</v>
      </c>
    </row>
    <row r="6" ht="19.5" customHeight="1" spans="1:20">
      <c r="A6" s="535" t="s">
        <v>538</v>
      </c>
      <c r="B6" s="535"/>
      <c r="C6" s="538" t="s">
        <v>539</v>
      </c>
      <c r="D6" s="538"/>
      <c r="E6" s="538"/>
      <c r="F6" s="538"/>
      <c r="G6" s="538"/>
      <c r="H6" s="538"/>
      <c r="I6" s="538"/>
      <c r="J6" s="533" t="s">
        <v>356</v>
      </c>
      <c r="K6" s="586" t="e">
        <f>#REF!</f>
        <v>#REF!</v>
      </c>
      <c r="R6" s="524" t="s">
        <v>540</v>
      </c>
      <c r="S6" s="524" t="s">
        <v>541</v>
      </c>
      <c r="T6" s="524" t="s">
        <v>542</v>
      </c>
    </row>
    <row r="7" customHeight="1" spans="1:20">
      <c r="A7" s="535"/>
      <c r="B7" s="535"/>
      <c r="C7" s="539"/>
      <c r="D7" s="539"/>
      <c r="E7" s="540"/>
      <c r="F7" s="541"/>
      <c r="G7" s="535"/>
      <c r="H7" s="535"/>
      <c r="K7" s="587"/>
      <c r="R7" s="524" t="s">
        <v>543</v>
      </c>
      <c r="S7" s="524" t="s">
        <v>541</v>
      </c>
      <c r="T7" s="524">
        <v>3</v>
      </c>
    </row>
    <row r="8" ht="18" customHeight="1" spans="1:20">
      <c r="A8" s="542" t="s">
        <v>361</v>
      </c>
      <c r="B8" s="543" t="s">
        <v>362</v>
      </c>
      <c r="C8" s="543"/>
      <c r="D8" s="543"/>
      <c r="E8" s="543" t="s">
        <v>363</v>
      </c>
      <c r="F8" s="543"/>
      <c r="G8" s="543"/>
      <c r="H8" s="544" t="s">
        <v>364</v>
      </c>
      <c r="I8" s="588"/>
      <c r="J8" s="588"/>
      <c r="K8" s="589"/>
      <c r="R8" s="524" t="s">
        <v>544</v>
      </c>
      <c r="S8" s="524" t="s">
        <v>541</v>
      </c>
      <c r="T8" s="524">
        <v>1</v>
      </c>
    </row>
    <row r="9" ht="22.5" customHeight="1" spans="1:26">
      <c r="A9" s="545" t="s">
        <v>369</v>
      </c>
      <c r="B9" s="546" t="s">
        <v>370</v>
      </c>
      <c r="C9" s="546" t="s">
        <v>371</v>
      </c>
      <c r="D9" s="546" t="s">
        <v>83</v>
      </c>
      <c r="E9" s="547" t="s">
        <v>370</v>
      </c>
      <c r="F9" s="548" t="s">
        <v>371</v>
      </c>
      <c r="G9" s="546" t="s">
        <v>83</v>
      </c>
      <c r="H9" s="549" t="s">
        <v>545</v>
      </c>
      <c r="I9" s="590"/>
      <c r="J9" s="549" t="s">
        <v>30</v>
      </c>
      <c r="K9" s="591"/>
      <c r="L9" s="592" t="s">
        <v>350</v>
      </c>
      <c r="M9" s="592" t="s">
        <v>378</v>
      </c>
      <c r="N9" s="592" t="s">
        <v>379</v>
      </c>
      <c r="O9" s="593" t="s">
        <v>546</v>
      </c>
      <c r="R9" s="524" t="s">
        <v>547</v>
      </c>
      <c r="S9" s="524" t="s">
        <v>37</v>
      </c>
      <c r="V9" s="524" t="str">
        <f t="shared" ref="V9:V22" si="0">W9&amp;"+"&amp;Y9</f>
        <v>M01-01触感浅橡(横纹）+2.0*22浅橡PVC</v>
      </c>
      <c r="W9" s="524" t="s">
        <v>548</v>
      </c>
      <c r="X9" s="524" t="s">
        <v>549</v>
      </c>
      <c r="Y9" s="524" t="s">
        <v>550</v>
      </c>
      <c r="Z9" s="524">
        <v>2</v>
      </c>
    </row>
    <row r="10" ht="17.1" customHeight="1" spans="1:26">
      <c r="A10" s="550"/>
      <c r="B10" s="551"/>
      <c r="C10" s="551"/>
      <c r="D10" s="552"/>
      <c r="E10" s="553">
        <f>C10-3</f>
        <v>-3</v>
      </c>
      <c r="F10" s="554">
        <f>B10-3</f>
        <v>-3</v>
      </c>
      <c r="G10" s="552">
        <f>D10</f>
        <v>0</v>
      </c>
      <c r="H10" s="549"/>
      <c r="I10" s="590"/>
      <c r="J10" s="594"/>
      <c r="K10" s="595"/>
      <c r="L10" s="524">
        <f>(B10+C10+80)*2*G10/1000</f>
        <v>0</v>
      </c>
      <c r="M10" s="524">
        <f>(B10+C10)*D10*2/0.9/1000</f>
        <v>0</v>
      </c>
      <c r="N10" s="524">
        <f t="shared" ref="N10:N37" si="1">B10*C10*D10/1000000</f>
        <v>0</v>
      </c>
      <c r="O10" s="524">
        <f>B10*C10*D10/1000000/2.88/0.85</f>
        <v>0</v>
      </c>
      <c r="Q10" s="524">
        <f>B10*C10*D10/1000000/2.88</f>
        <v>0</v>
      </c>
      <c r="V10" s="524" t="str">
        <f t="shared" si="0"/>
        <v>M03-01触感红樱桃(横纹）+2.0*22红樱桃橡PVC</v>
      </c>
      <c r="W10" s="524" t="s">
        <v>551</v>
      </c>
      <c r="X10" s="524" t="s">
        <v>552</v>
      </c>
      <c r="Y10" s="524" t="s">
        <v>553</v>
      </c>
      <c r="Z10" s="524">
        <v>3</v>
      </c>
    </row>
    <row r="11" ht="17.1" customHeight="1" spans="1:26">
      <c r="A11" s="550"/>
      <c r="B11" s="551"/>
      <c r="C11" s="551"/>
      <c r="D11" s="552"/>
      <c r="E11" s="553">
        <f t="shared" ref="E11:E36" si="2">C11-3</f>
        <v>-3</v>
      </c>
      <c r="F11" s="554">
        <f t="shared" ref="F11:F36" si="3">B11-3</f>
        <v>-3</v>
      </c>
      <c r="G11" s="552">
        <f t="shared" ref="G11:G36" si="4">D11</f>
        <v>0</v>
      </c>
      <c r="H11" s="549"/>
      <c r="I11" s="590"/>
      <c r="J11" s="594"/>
      <c r="K11" s="595"/>
      <c r="L11" s="524">
        <f t="shared" ref="L11:L37" si="5">(B11+C11+80)*2*G11/1000</f>
        <v>0</v>
      </c>
      <c r="M11" s="524">
        <f t="shared" ref="M11:M37" si="6">(B11+C11)*D11*2/0.9/1000</f>
        <v>0</v>
      </c>
      <c r="N11" s="524">
        <f t="shared" si="1"/>
        <v>0</v>
      </c>
      <c r="O11" s="524">
        <f t="shared" ref="O11:O37" si="7">B11*C11*D11/1000000/2.88/0.85</f>
        <v>0</v>
      </c>
      <c r="Q11" s="524">
        <f t="shared" ref="Q11:Q36" si="8">B11*C11*D11/1000000/2.88</f>
        <v>0</v>
      </c>
      <c r="V11" s="524" t="str">
        <f t="shared" si="0"/>
        <v>M06-01触感深橡(横纹）+2.0*22深橡PVC</v>
      </c>
      <c r="W11" s="524" t="s">
        <v>554</v>
      </c>
      <c r="X11" s="524" t="s">
        <v>555</v>
      </c>
      <c r="Y11" s="524" t="s">
        <v>556</v>
      </c>
      <c r="Z11" s="524">
        <v>2</v>
      </c>
    </row>
    <row r="12" ht="17.1" customHeight="1" spans="1:17">
      <c r="A12" s="550"/>
      <c r="B12" s="551"/>
      <c r="C12" s="551"/>
      <c r="D12" s="552"/>
      <c r="E12" s="553">
        <f t="shared" si="2"/>
        <v>-3</v>
      </c>
      <c r="F12" s="554">
        <f t="shared" si="3"/>
        <v>-3</v>
      </c>
      <c r="G12" s="552">
        <f t="shared" si="4"/>
        <v>0</v>
      </c>
      <c r="H12" s="549"/>
      <c r="I12" s="590"/>
      <c r="J12" s="594"/>
      <c r="K12" s="595"/>
      <c r="L12" s="524">
        <f t="shared" si="5"/>
        <v>0</v>
      </c>
      <c r="M12" s="524">
        <f t="shared" si="6"/>
        <v>0</v>
      </c>
      <c r="N12" s="524">
        <f t="shared" si="1"/>
        <v>0</v>
      </c>
      <c r="O12" s="524">
        <f t="shared" si="7"/>
        <v>0</v>
      </c>
      <c r="Q12" s="524">
        <f t="shared" si="8"/>
        <v>0</v>
      </c>
    </row>
    <row r="13" ht="17.1" customHeight="1" spans="1:17">
      <c r="A13" s="550"/>
      <c r="B13" s="551"/>
      <c r="C13" s="551"/>
      <c r="D13" s="552"/>
      <c r="E13" s="553">
        <f t="shared" si="2"/>
        <v>-3</v>
      </c>
      <c r="F13" s="554">
        <f t="shared" si="3"/>
        <v>-3</v>
      </c>
      <c r="G13" s="552">
        <f t="shared" si="4"/>
        <v>0</v>
      </c>
      <c r="H13" s="549"/>
      <c r="I13" s="590"/>
      <c r="J13" s="594"/>
      <c r="K13" s="595"/>
      <c r="L13" s="524">
        <f t="shared" si="5"/>
        <v>0</v>
      </c>
      <c r="M13" s="524">
        <f t="shared" si="6"/>
        <v>0</v>
      </c>
      <c r="N13" s="524">
        <f t="shared" si="1"/>
        <v>0</v>
      </c>
      <c r="O13" s="524">
        <f t="shared" si="7"/>
        <v>0</v>
      </c>
      <c r="Q13" s="524">
        <f t="shared" si="8"/>
        <v>0</v>
      </c>
    </row>
    <row r="14" ht="17.1" customHeight="1" spans="1:25">
      <c r="A14" s="550"/>
      <c r="B14" s="551"/>
      <c r="C14" s="551"/>
      <c r="D14" s="552"/>
      <c r="E14" s="553">
        <f t="shared" si="2"/>
        <v>-3</v>
      </c>
      <c r="F14" s="554">
        <f t="shared" si="3"/>
        <v>-3</v>
      </c>
      <c r="G14" s="552">
        <f t="shared" si="4"/>
        <v>0</v>
      </c>
      <c r="H14" s="549"/>
      <c r="I14" s="590"/>
      <c r="J14" s="594"/>
      <c r="K14" s="595"/>
      <c r="L14" s="524">
        <f t="shared" si="5"/>
        <v>0</v>
      </c>
      <c r="M14" s="524">
        <f t="shared" si="6"/>
        <v>0</v>
      </c>
      <c r="N14" s="524">
        <f t="shared" si="1"/>
        <v>0</v>
      </c>
      <c r="O14" s="524">
        <f t="shared" si="7"/>
        <v>0</v>
      </c>
      <c r="Q14" s="524">
        <f t="shared" si="8"/>
        <v>0</v>
      </c>
      <c r="V14" s="524" t="str">
        <f t="shared" si="0"/>
        <v>M11暖白+2.0*22暖白PVC</v>
      </c>
      <c r="W14" s="524" t="s">
        <v>459</v>
      </c>
      <c r="X14" s="524" t="s">
        <v>557</v>
      </c>
      <c r="Y14" s="524" t="s">
        <v>558</v>
      </c>
    </row>
    <row r="15" ht="17.1" customHeight="1" spans="1:26">
      <c r="A15" s="550"/>
      <c r="B15" s="551"/>
      <c r="C15" s="551"/>
      <c r="D15" s="552"/>
      <c r="E15" s="553">
        <f t="shared" si="2"/>
        <v>-3</v>
      </c>
      <c r="F15" s="554">
        <f t="shared" si="3"/>
        <v>-3</v>
      </c>
      <c r="G15" s="552">
        <f t="shared" si="4"/>
        <v>0</v>
      </c>
      <c r="H15" s="549"/>
      <c r="I15" s="590"/>
      <c r="J15" s="594"/>
      <c r="K15" s="595"/>
      <c r="L15" s="524">
        <f t="shared" si="5"/>
        <v>0</v>
      </c>
      <c r="M15" s="524">
        <f t="shared" si="6"/>
        <v>0</v>
      </c>
      <c r="N15" s="524">
        <f t="shared" si="1"/>
        <v>0</v>
      </c>
      <c r="O15" s="524">
        <f t="shared" si="7"/>
        <v>0</v>
      </c>
      <c r="Q15" s="524">
        <f t="shared" si="8"/>
        <v>0</v>
      </c>
      <c r="V15" s="524" t="str">
        <f t="shared" si="0"/>
        <v>M07艺术胡桃(横纹）+2.0*22艺术胡桃PVC</v>
      </c>
      <c r="W15" s="524" t="s">
        <v>559</v>
      </c>
      <c r="X15" s="908" t="s">
        <v>560</v>
      </c>
      <c r="Y15" s="524" t="s">
        <v>561</v>
      </c>
      <c r="Z15" s="524">
        <v>3</v>
      </c>
    </row>
    <row r="16" ht="17.1" customHeight="1" spans="1:26">
      <c r="A16" s="550"/>
      <c r="B16" s="551"/>
      <c r="C16" s="551"/>
      <c r="D16" s="552"/>
      <c r="E16" s="553">
        <f t="shared" si="2"/>
        <v>-3</v>
      </c>
      <c r="F16" s="554">
        <f t="shared" si="3"/>
        <v>-3</v>
      </c>
      <c r="G16" s="552">
        <f t="shared" si="4"/>
        <v>0</v>
      </c>
      <c r="H16" s="549"/>
      <c r="I16" s="590"/>
      <c r="J16" s="594"/>
      <c r="K16" s="595"/>
      <c r="L16" s="524">
        <f t="shared" si="5"/>
        <v>0</v>
      </c>
      <c r="M16" s="524">
        <f t="shared" si="6"/>
        <v>0</v>
      </c>
      <c r="N16" s="524">
        <f t="shared" si="1"/>
        <v>0</v>
      </c>
      <c r="O16" s="524">
        <f t="shared" si="7"/>
        <v>0</v>
      </c>
      <c r="Q16" s="524">
        <f t="shared" si="8"/>
        <v>0</v>
      </c>
      <c r="V16" s="524" t="str">
        <f t="shared" si="0"/>
        <v>M13荷花白+2.0*22荷花白PVC</v>
      </c>
      <c r="W16" s="524" t="s">
        <v>449</v>
      </c>
      <c r="X16" s="908" t="s">
        <v>562</v>
      </c>
      <c r="Y16" s="524" t="s">
        <v>563</v>
      </c>
      <c r="Z16" s="524">
        <v>1</v>
      </c>
    </row>
    <row r="17" ht="17.1" customHeight="1" spans="1:26">
      <c r="A17" s="550"/>
      <c r="B17" s="551"/>
      <c r="C17" s="551"/>
      <c r="D17" s="552"/>
      <c r="E17" s="553">
        <f t="shared" si="2"/>
        <v>-3</v>
      </c>
      <c r="F17" s="554">
        <f t="shared" si="3"/>
        <v>-3</v>
      </c>
      <c r="G17" s="552">
        <f t="shared" si="4"/>
        <v>0</v>
      </c>
      <c r="H17" s="549"/>
      <c r="I17" s="590"/>
      <c r="J17" s="594"/>
      <c r="K17" s="595"/>
      <c r="L17" s="524">
        <f t="shared" si="5"/>
        <v>0</v>
      </c>
      <c r="M17" s="524">
        <f t="shared" si="6"/>
        <v>0</v>
      </c>
      <c r="N17" s="525">
        <f t="shared" si="1"/>
        <v>0</v>
      </c>
      <c r="O17" s="524">
        <f t="shared" si="7"/>
        <v>0</v>
      </c>
      <c r="Q17" s="524">
        <f t="shared" si="8"/>
        <v>0</v>
      </c>
      <c r="V17" s="524" t="s">
        <v>564</v>
      </c>
      <c r="W17" s="524" t="s">
        <v>456</v>
      </c>
      <c r="X17" s="524" t="s">
        <v>565</v>
      </c>
      <c r="Y17" s="524" t="s">
        <v>566</v>
      </c>
      <c r="Z17" s="524">
        <v>1</v>
      </c>
    </row>
    <row r="18" ht="17.1" customHeight="1" spans="1:26">
      <c r="A18" s="550"/>
      <c r="B18" s="551"/>
      <c r="C18" s="551"/>
      <c r="D18" s="552"/>
      <c r="E18" s="553">
        <f t="shared" si="2"/>
        <v>-3</v>
      </c>
      <c r="F18" s="554">
        <f t="shared" si="3"/>
        <v>-3</v>
      </c>
      <c r="G18" s="552">
        <f t="shared" si="4"/>
        <v>0</v>
      </c>
      <c r="H18" s="549"/>
      <c r="I18" s="590"/>
      <c r="J18" s="594"/>
      <c r="K18" s="595"/>
      <c r="L18" s="524">
        <f t="shared" si="5"/>
        <v>0</v>
      </c>
      <c r="M18" s="524">
        <f t="shared" si="6"/>
        <v>0</v>
      </c>
      <c r="N18" s="525">
        <f t="shared" si="1"/>
        <v>0</v>
      </c>
      <c r="O18" s="524">
        <f t="shared" si="7"/>
        <v>0</v>
      </c>
      <c r="Q18" s="524">
        <f t="shared" si="8"/>
        <v>0</v>
      </c>
      <c r="V18" s="524" t="str">
        <f t="shared" si="0"/>
        <v>M17豆绿哑光+T型铝封边</v>
      </c>
      <c r="W18" s="524" t="s">
        <v>567</v>
      </c>
      <c r="X18" s="524" t="s">
        <v>568</v>
      </c>
      <c r="Y18" s="524" t="s">
        <v>37</v>
      </c>
      <c r="Z18" s="524">
        <v>1</v>
      </c>
    </row>
    <row r="19" ht="17.1" customHeight="1" spans="1:26">
      <c r="A19" s="550"/>
      <c r="B19" s="551"/>
      <c r="C19" s="551"/>
      <c r="D19" s="552"/>
      <c r="E19" s="553">
        <f t="shared" si="2"/>
        <v>-3</v>
      </c>
      <c r="F19" s="554">
        <f t="shared" si="3"/>
        <v>-3</v>
      </c>
      <c r="G19" s="552">
        <f t="shared" si="4"/>
        <v>0</v>
      </c>
      <c r="H19" s="549"/>
      <c r="I19" s="590"/>
      <c r="J19" s="594"/>
      <c r="K19" s="595"/>
      <c r="L19" s="524">
        <f t="shared" si="5"/>
        <v>0</v>
      </c>
      <c r="M19" s="524">
        <f t="shared" si="6"/>
        <v>0</v>
      </c>
      <c r="N19" s="525">
        <f t="shared" si="1"/>
        <v>0</v>
      </c>
      <c r="O19" s="524">
        <f t="shared" si="7"/>
        <v>0</v>
      </c>
      <c r="Q19" s="524">
        <f t="shared" si="8"/>
        <v>0</v>
      </c>
      <c r="V19" s="524" t="str">
        <f t="shared" si="0"/>
        <v>M28白蜡木(横纹）+2.0*22白蜡木PVC</v>
      </c>
      <c r="W19" s="524" t="s">
        <v>569</v>
      </c>
      <c r="X19" s="524" t="s">
        <v>570</v>
      </c>
      <c r="Y19" s="524" t="s">
        <v>571</v>
      </c>
      <c r="Z19" s="524">
        <v>3</v>
      </c>
    </row>
    <row r="20" ht="17.1" customHeight="1" spans="1:26">
      <c r="A20" s="550"/>
      <c r="B20" s="551"/>
      <c r="C20" s="551"/>
      <c r="D20" s="552"/>
      <c r="E20" s="553">
        <f t="shared" si="2"/>
        <v>-3</v>
      </c>
      <c r="F20" s="554">
        <f t="shared" si="3"/>
        <v>-3</v>
      </c>
      <c r="G20" s="552">
        <f t="shared" si="4"/>
        <v>0</v>
      </c>
      <c r="H20" s="549"/>
      <c r="I20" s="590"/>
      <c r="J20" s="594"/>
      <c r="K20" s="595"/>
      <c r="L20" s="524">
        <f t="shared" si="5"/>
        <v>0</v>
      </c>
      <c r="M20" s="524">
        <f t="shared" si="6"/>
        <v>0</v>
      </c>
      <c r="N20" s="525">
        <f t="shared" si="1"/>
        <v>0</v>
      </c>
      <c r="O20" s="524">
        <f t="shared" si="7"/>
        <v>0</v>
      </c>
      <c r="Q20" s="524">
        <f t="shared" si="8"/>
        <v>0</v>
      </c>
      <c r="V20" s="524" t="str">
        <f t="shared" si="0"/>
        <v>M01-2浮雕浅橡(横纹）+2.0*22浮雕浅橡PVC</v>
      </c>
      <c r="W20" s="524" t="s">
        <v>572</v>
      </c>
      <c r="X20" s="524" t="s">
        <v>573</v>
      </c>
      <c r="Y20" s="524" t="s">
        <v>574</v>
      </c>
      <c r="Z20" s="524">
        <v>2</v>
      </c>
    </row>
    <row r="21" ht="17.1" customHeight="1" spans="1:26">
      <c r="A21" s="550"/>
      <c r="B21" s="551"/>
      <c r="C21" s="551"/>
      <c r="D21" s="552"/>
      <c r="E21" s="553">
        <f t="shared" si="2"/>
        <v>-3</v>
      </c>
      <c r="F21" s="554">
        <f t="shared" si="3"/>
        <v>-3</v>
      </c>
      <c r="G21" s="552">
        <f t="shared" si="4"/>
        <v>0</v>
      </c>
      <c r="H21" s="549"/>
      <c r="I21" s="590"/>
      <c r="J21" s="594"/>
      <c r="K21" s="595"/>
      <c r="L21" s="524">
        <f t="shared" si="5"/>
        <v>0</v>
      </c>
      <c r="M21" s="524">
        <f t="shared" si="6"/>
        <v>0</v>
      </c>
      <c r="N21" s="525">
        <f t="shared" si="1"/>
        <v>0</v>
      </c>
      <c r="O21" s="524">
        <f t="shared" si="7"/>
        <v>0</v>
      </c>
      <c r="Q21" s="524">
        <f t="shared" si="8"/>
        <v>0</v>
      </c>
      <c r="V21" s="524" t="str">
        <f t="shared" si="0"/>
        <v>M29-深胡桃(横纹）+2.0*22深胡桃PVC</v>
      </c>
      <c r="W21" s="524" t="s">
        <v>575</v>
      </c>
      <c r="X21" s="524" t="s">
        <v>576</v>
      </c>
      <c r="Y21" s="524" t="s">
        <v>577</v>
      </c>
      <c r="Z21" s="524">
        <v>2</v>
      </c>
    </row>
    <row r="22" ht="17.1" customHeight="1" spans="1:26">
      <c r="A22" s="550"/>
      <c r="B22" s="551"/>
      <c r="C22" s="551"/>
      <c r="D22" s="552"/>
      <c r="E22" s="553">
        <f t="shared" si="2"/>
        <v>-3</v>
      </c>
      <c r="F22" s="554">
        <f t="shared" si="3"/>
        <v>-3</v>
      </c>
      <c r="G22" s="552">
        <f t="shared" si="4"/>
        <v>0</v>
      </c>
      <c r="H22" s="549"/>
      <c r="I22" s="590"/>
      <c r="J22" s="594"/>
      <c r="K22" s="595"/>
      <c r="L22" s="524">
        <f t="shared" si="5"/>
        <v>0</v>
      </c>
      <c r="M22" s="524">
        <f t="shared" si="6"/>
        <v>0</v>
      </c>
      <c r="N22" s="524">
        <f t="shared" si="1"/>
        <v>0</v>
      </c>
      <c r="O22" s="524">
        <f t="shared" si="7"/>
        <v>0</v>
      </c>
      <c r="Q22" s="524">
        <f t="shared" si="8"/>
        <v>0</v>
      </c>
      <c r="V22" s="524" t="str">
        <f t="shared" si="0"/>
        <v>M30柚木(横纹）+2.0*22柚木PVC</v>
      </c>
      <c r="W22" s="524" t="s">
        <v>578</v>
      </c>
      <c r="X22" s="524" t="s">
        <v>579</v>
      </c>
      <c r="Y22" s="524" t="s">
        <v>580</v>
      </c>
      <c r="Z22" s="524">
        <v>2</v>
      </c>
    </row>
    <row r="23" ht="17.1" customHeight="1" spans="1:17">
      <c r="A23" s="550"/>
      <c r="B23" s="551"/>
      <c r="C23" s="551"/>
      <c r="D23" s="552"/>
      <c r="E23" s="553">
        <f t="shared" si="2"/>
        <v>-3</v>
      </c>
      <c r="F23" s="554">
        <f t="shared" si="3"/>
        <v>-3</v>
      </c>
      <c r="G23" s="552">
        <f t="shared" si="4"/>
        <v>0</v>
      </c>
      <c r="H23" s="549"/>
      <c r="I23" s="590"/>
      <c r="J23" s="549"/>
      <c r="K23" s="591"/>
      <c r="L23" s="524">
        <f t="shared" si="5"/>
        <v>0</v>
      </c>
      <c r="M23" s="524">
        <f t="shared" si="6"/>
        <v>0</v>
      </c>
      <c r="N23" s="524">
        <f t="shared" si="1"/>
        <v>0</v>
      </c>
      <c r="O23" s="524">
        <f t="shared" si="7"/>
        <v>0</v>
      </c>
      <c r="Q23" s="524">
        <f t="shared" si="8"/>
        <v>0</v>
      </c>
    </row>
    <row r="24" ht="17.1" customHeight="1" spans="1:17">
      <c r="A24" s="555"/>
      <c r="B24" s="551"/>
      <c r="C24" s="551"/>
      <c r="D24" s="552"/>
      <c r="E24" s="553">
        <f t="shared" si="2"/>
        <v>-3</v>
      </c>
      <c r="F24" s="554">
        <f t="shared" si="3"/>
        <v>-3</v>
      </c>
      <c r="G24" s="552">
        <f t="shared" si="4"/>
        <v>0</v>
      </c>
      <c r="H24" s="549"/>
      <c r="I24" s="590"/>
      <c r="J24" s="549"/>
      <c r="K24" s="591"/>
      <c r="L24" s="524">
        <f t="shared" si="5"/>
        <v>0</v>
      </c>
      <c r="M24" s="524">
        <f t="shared" si="6"/>
        <v>0</v>
      </c>
      <c r="N24" s="524">
        <f t="shared" si="1"/>
        <v>0</v>
      </c>
      <c r="O24" s="524">
        <f t="shared" si="7"/>
        <v>0</v>
      </c>
      <c r="Q24" s="524">
        <f t="shared" si="8"/>
        <v>0</v>
      </c>
    </row>
    <row r="25" ht="17.1" customHeight="1" spans="1:17">
      <c r="A25" s="555"/>
      <c r="B25" s="551"/>
      <c r="C25" s="551"/>
      <c r="D25" s="552"/>
      <c r="E25" s="553">
        <f t="shared" si="2"/>
        <v>-3</v>
      </c>
      <c r="F25" s="554">
        <f t="shared" si="3"/>
        <v>-3</v>
      </c>
      <c r="G25" s="552">
        <f t="shared" si="4"/>
        <v>0</v>
      </c>
      <c r="H25" s="549"/>
      <c r="I25" s="590"/>
      <c r="J25" s="549"/>
      <c r="K25" s="591"/>
      <c r="L25" s="524">
        <f t="shared" si="5"/>
        <v>0</v>
      </c>
      <c r="M25" s="524">
        <f t="shared" si="6"/>
        <v>0</v>
      </c>
      <c r="N25" s="524">
        <f t="shared" si="1"/>
        <v>0</v>
      </c>
      <c r="O25" s="524">
        <f t="shared" si="7"/>
        <v>0</v>
      </c>
      <c r="Q25" s="524">
        <f t="shared" si="8"/>
        <v>0</v>
      </c>
    </row>
    <row r="26" ht="17.1" customHeight="1" spans="1:17">
      <c r="A26" s="556"/>
      <c r="B26" s="551"/>
      <c r="C26" s="551"/>
      <c r="D26" s="552"/>
      <c r="E26" s="553">
        <f t="shared" si="2"/>
        <v>-3</v>
      </c>
      <c r="F26" s="554">
        <f t="shared" si="3"/>
        <v>-3</v>
      </c>
      <c r="G26" s="552">
        <f t="shared" si="4"/>
        <v>0</v>
      </c>
      <c r="H26" s="549"/>
      <c r="I26" s="590"/>
      <c r="J26" s="549"/>
      <c r="K26" s="591"/>
      <c r="L26" s="524">
        <f t="shared" si="5"/>
        <v>0</v>
      </c>
      <c r="M26" s="524">
        <f t="shared" si="6"/>
        <v>0</v>
      </c>
      <c r="N26" s="524">
        <f t="shared" si="1"/>
        <v>0</v>
      </c>
      <c r="O26" s="524">
        <f t="shared" si="7"/>
        <v>0</v>
      </c>
      <c r="Q26" s="524">
        <f t="shared" si="8"/>
        <v>0</v>
      </c>
    </row>
    <row r="27" ht="17.1" customHeight="1" spans="1:17">
      <c r="A27" s="550"/>
      <c r="B27" s="551"/>
      <c r="C27" s="551"/>
      <c r="D27" s="552"/>
      <c r="E27" s="553">
        <f t="shared" si="2"/>
        <v>-3</v>
      </c>
      <c r="F27" s="554">
        <f t="shared" si="3"/>
        <v>-3</v>
      </c>
      <c r="G27" s="552">
        <f t="shared" si="4"/>
        <v>0</v>
      </c>
      <c r="H27" s="549"/>
      <c r="I27" s="590"/>
      <c r="J27" s="549"/>
      <c r="K27" s="591"/>
      <c r="L27" s="524">
        <f t="shared" si="5"/>
        <v>0</v>
      </c>
      <c r="M27" s="524">
        <f t="shared" si="6"/>
        <v>0</v>
      </c>
      <c r="N27" s="524">
        <f t="shared" si="1"/>
        <v>0</v>
      </c>
      <c r="O27" s="524">
        <f t="shared" si="7"/>
        <v>0</v>
      </c>
      <c r="Q27" s="524">
        <f t="shared" si="8"/>
        <v>0</v>
      </c>
    </row>
    <row r="28" ht="17.1" customHeight="1" spans="1:25">
      <c r="A28" s="557"/>
      <c r="B28" s="551"/>
      <c r="C28" s="551"/>
      <c r="D28" s="552"/>
      <c r="E28" s="553">
        <f t="shared" si="2"/>
        <v>-3</v>
      </c>
      <c r="F28" s="554">
        <f t="shared" si="3"/>
        <v>-3</v>
      </c>
      <c r="G28" s="552">
        <f t="shared" si="4"/>
        <v>0</v>
      </c>
      <c r="H28" s="549"/>
      <c r="I28" s="590"/>
      <c r="J28" s="549"/>
      <c r="K28" s="591"/>
      <c r="L28" s="524">
        <f t="shared" si="5"/>
        <v>0</v>
      </c>
      <c r="M28" s="524">
        <f t="shared" si="6"/>
        <v>0</v>
      </c>
      <c r="N28" s="524">
        <f t="shared" si="1"/>
        <v>0</v>
      </c>
      <c r="O28" s="524">
        <f t="shared" si="7"/>
        <v>0</v>
      </c>
      <c r="Q28" s="524">
        <f t="shared" si="8"/>
        <v>0</v>
      </c>
      <c r="U28" s="524" t="s">
        <v>581</v>
      </c>
      <c r="V28" s="524" t="str">
        <f>W28&amp;"+"&amp;Y28</f>
        <v>M43奶油灰高+铝色PVC2.0*22</v>
      </c>
      <c r="W28" s="524" t="str">
        <f>U28&amp;MIDB(X28,1,8)</f>
        <v>M43奶油灰高</v>
      </c>
      <c r="X28" s="524" t="s">
        <v>582</v>
      </c>
      <c r="Y28" s="524" t="s">
        <v>583</v>
      </c>
    </row>
    <row r="29" ht="17.1" customHeight="1" spans="1:25">
      <c r="A29" s="556"/>
      <c r="B29" s="551"/>
      <c r="C29" s="551"/>
      <c r="D29" s="552"/>
      <c r="E29" s="553">
        <f t="shared" si="2"/>
        <v>-3</v>
      </c>
      <c r="F29" s="554">
        <f t="shared" si="3"/>
        <v>-3</v>
      </c>
      <c r="G29" s="552">
        <f t="shared" si="4"/>
        <v>0</v>
      </c>
      <c r="H29" s="549"/>
      <c r="I29" s="590"/>
      <c r="J29" s="549"/>
      <c r="K29" s="591"/>
      <c r="L29" s="524">
        <f t="shared" si="5"/>
        <v>0</v>
      </c>
      <c r="M29" s="524">
        <f t="shared" si="6"/>
        <v>0</v>
      </c>
      <c r="N29" s="524">
        <f t="shared" si="1"/>
        <v>0</v>
      </c>
      <c r="O29" s="524">
        <f t="shared" si="7"/>
        <v>0</v>
      </c>
      <c r="Q29" s="524">
        <f t="shared" si="8"/>
        <v>0</v>
      </c>
      <c r="U29" s="524" t="s">
        <v>584</v>
      </c>
      <c r="V29" s="524" t="str">
        <f t="shared" ref="V29:V33" si="9">W29&amp;"+"&amp;Y29</f>
        <v>M38酒红高光+铝色PVC2.0*22</v>
      </c>
      <c r="W29" s="524" t="str">
        <f t="shared" ref="W29:W33" si="10">U29&amp;MIDB(X29,1,8)</f>
        <v>M38酒红高光</v>
      </c>
      <c r="X29" s="524" t="s">
        <v>585</v>
      </c>
      <c r="Y29" s="524" t="s">
        <v>583</v>
      </c>
    </row>
    <row r="30" ht="17.1" customHeight="1" spans="1:25">
      <c r="A30" s="556"/>
      <c r="B30" s="551"/>
      <c r="C30" s="551"/>
      <c r="D30" s="552"/>
      <c r="E30" s="553">
        <f t="shared" si="2"/>
        <v>-3</v>
      </c>
      <c r="F30" s="554">
        <f t="shared" si="3"/>
        <v>-3</v>
      </c>
      <c r="G30" s="552">
        <f t="shared" si="4"/>
        <v>0</v>
      </c>
      <c r="H30" s="549"/>
      <c r="I30" s="590"/>
      <c r="J30" s="549"/>
      <c r="K30" s="591"/>
      <c r="L30" s="524">
        <f t="shared" si="5"/>
        <v>0</v>
      </c>
      <c r="M30" s="524">
        <f t="shared" si="6"/>
        <v>0</v>
      </c>
      <c r="N30" s="524">
        <f t="shared" si="1"/>
        <v>0</v>
      </c>
      <c r="O30" s="524">
        <f t="shared" si="7"/>
        <v>0</v>
      </c>
      <c r="Q30" s="524">
        <f t="shared" si="8"/>
        <v>0</v>
      </c>
      <c r="U30" s="524" t="s">
        <v>586</v>
      </c>
      <c r="V30" s="524" t="str">
        <f t="shared" si="9"/>
        <v>M39黑檀高光+铝色PVC2.0*22</v>
      </c>
      <c r="W30" s="524" t="str">
        <f t="shared" si="10"/>
        <v>M39黑檀高光</v>
      </c>
      <c r="X30" s="524" t="s">
        <v>587</v>
      </c>
      <c r="Y30" s="524" t="s">
        <v>583</v>
      </c>
    </row>
    <row r="31" ht="17.1" customHeight="1" spans="1:25">
      <c r="A31" s="556"/>
      <c r="B31" s="551"/>
      <c r="C31" s="551"/>
      <c r="D31" s="552"/>
      <c r="E31" s="553">
        <f t="shared" si="2"/>
        <v>-3</v>
      </c>
      <c r="F31" s="554">
        <f t="shared" si="3"/>
        <v>-3</v>
      </c>
      <c r="G31" s="552">
        <f t="shared" si="4"/>
        <v>0</v>
      </c>
      <c r="H31" s="549"/>
      <c r="I31" s="590"/>
      <c r="J31" s="549"/>
      <c r="K31" s="591"/>
      <c r="L31" s="524">
        <f t="shared" si="5"/>
        <v>0</v>
      </c>
      <c r="M31" s="524">
        <f t="shared" si="6"/>
        <v>0</v>
      </c>
      <c r="N31" s="524">
        <f t="shared" si="1"/>
        <v>0</v>
      </c>
      <c r="O31" s="524">
        <f t="shared" si="7"/>
        <v>0</v>
      </c>
      <c r="Q31" s="524">
        <f t="shared" si="8"/>
        <v>0</v>
      </c>
      <c r="U31" s="524" t="s">
        <v>588</v>
      </c>
      <c r="V31" s="524" t="str">
        <f t="shared" si="9"/>
        <v>M40香槟高光+铝色PVC2.0*22</v>
      </c>
      <c r="W31" s="524" t="str">
        <f t="shared" si="10"/>
        <v>M40香槟高光</v>
      </c>
      <c r="X31" s="524" t="s">
        <v>589</v>
      </c>
      <c r="Y31" s="524" t="s">
        <v>583</v>
      </c>
    </row>
    <row r="32" ht="17.1" customHeight="1" spans="1:25">
      <c r="A32" s="556"/>
      <c r="B32" s="551"/>
      <c r="C32" s="551"/>
      <c r="D32" s="552"/>
      <c r="E32" s="553">
        <f t="shared" si="2"/>
        <v>-3</v>
      </c>
      <c r="F32" s="554">
        <f t="shared" si="3"/>
        <v>-3</v>
      </c>
      <c r="G32" s="552">
        <f t="shared" si="4"/>
        <v>0</v>
      </c>
      <c r="H32" s="549"/>
      <c r="I32" s="590"/>
      <c r="J32" s="549"/>
      <c r="K32" s="591"/>
      <c r="L32" s="524">
        <f t="shared" si="5"/>
        <v>0</v>
      </c>
      <c r="M32" s="524">
        <f t="shared" si="6"/>
        <v>0</v>
      </c>
      <c r="N32" s="524">
        <f t="shared" si="1"/>
        <v>0</v>
      </c>
      <c r="O32" s="524">
        <f t="shared" si="7"/>
        <v>0</v>
      </c>
      <c r="Q32" s="524">
        <f t="shared" si="8"/>
        <v>0</v>
      </c>
      <c r="U32" s="524" t="s">
        <v>590</v>
      </c>
      <c r="V32" s="524" t="str">
        <f t="shared" si="9"/>
        <v>M41湛蓝高光+铝色PVC2.0*22</v>
      </c>
      <c r="W32" s="524" t="str">
        <f t="shared" si="10"/>
        <v>M41湛蓝高光</v>
      </c>
      <c r="X32" s="524" t="s">
        <v>591</v>
      </c>
      <c r="Y32" s="524" t="s">
        <v>583</v>
      </c>
    </row>
    <row r="33" ht="17.1" customHeight="1" spans="1:25">
      <c r="A33" s="556"/>
      <c r="B33" s="551"/>
      <c r="C33" s="551"/>
      <c r="D33" s="552"/>
      <c r="E33" s="553">
        <f t="shared" si="2"/>
        <v>-3</v>
      </c>
      <c r="F33" s="554">
        <f t="shared" si="3"/>
        <v>-3</v>
      </c>
      <c r="G33" s="552">
        <f t="shared" si="4"/>
        <v>0</v>
      </c>
      <c r="H33" s="549"/>
      <c r="I33" s="590"/>
      <c r="J33" s="549"/>
      <c r="K33" s="591"/>
      <c r="L33" s="524">
        <f t="shared" si="5"/>
        <v>0</v>
      </c>
      <c r="M33" s="524">
        <f t="shared" si="6"/>
        <v>0</v>
      </c>
      <c r="N33" s="524">
        <f t="shared" si="1"/>
        <v>0</v>
      </c>
      <c r="O33" s="524">
        <f t="shared" si="7"/>
        <v>0</v>
      </c>
      <c r="Q33" s="524">
        <f t="shared" si="8"/>
        <v>0</v>
      </c>
      <c r="U33" s="524" t="s">
        <v>592</v>
      </c>
      <c r="V33" s="524" t="str">
        <f t="shared" si="9"/>
        <v>M42纯白高光+铝色PVC2.0*22</v>
      </c>
      <c r="W33" s="524" t="str">
        <f t="shared" si="10"/>
        <v>M42纯白高光</v>
      </c>
      <c r="X33" s="524" t="s">
        <v>593</v>
      </c>
      <c r="Y33" s="524" t="s">
        <v>583</v>
      </c>
    </row>
    <row r="34" ht="17.1" customHeight="1" spans="1:17">
      <c r="A34" s="556"/>
      <c r="B34" s="551"/>
      <c r="C34" s="551"/>
      <c r="D34" s="552"/>
      <c r="E34" s="553">
        <f t="shared" si="2"/>
        <v>-3</v>
      </c>
      <c r="F34" s="554">
        <f t="shared" si="3"/>
        <v>-3</v>
      </c>
      <c r="G34" s="552">
        <f t="shared" si="4"/>
        <v>0</v>
      </c>
      <c r="H34" s="549"/>
      <c r="I34" s="590"/>
      <c r="J34" s="549"/>
      <c r="K34" s="591"/>
      <c r="L34" s="524">
        <f t="shared" si="5"/>
        <v>0</v>
      </c>
      <c r="M34" s="524">
        <f t="shared" si="6"/>
        <v>0</v>
      </c>
      <c r="N34" s="524">
        <f t="shared" si="1"/>
        <v>0</v>
      </c>
      <c r="O34" s="524">
        <f t="shared" si="7"/>
        <v>0</v>
      </c>
      <c r="Q34" s="524">
        <f t="shared" si="8"/>
        <v>0</v>
      </c>
    </row>
    <row r="35" ht="17.1" customHeight="1" spans="1:25">
      <c r="A35" s="556"/>
      <c r="B35" s="551"/>
      <c r="C35" s="551"/>
      <c r="D35" s="552"/>
      <c r="E35" s="553">
        <f t="shared" si="2"/>
        <v>-3</v>
      </c>
      <c r="F35" s="554">
        <f t="shared" si="3"/>
        <v>-3</v>
      </c>
      <c r="G35" s="552">
        <f t="shared" si="4"/>
        <v>0</v>
      </c>
      <c r="H35" s="549"/>
      <c r="I35" s="590"/>
      <c r="J35" s="549"/>
      <c r="K35" s="591"/>
      <c r="L35" s="524">
        <f t="shared" si="5"/>
        <v>0</v>
      </c>
      <c r="M35" s="524">
        <f t="shared" si="6"/>
        <v>0</v>
      </c>
      <c r="N35" s="524">
        <f t="shared" si="1"/>
        <v>0</v>
      </c>
      <c r="O35" s="524">
        <f t="shared" si="7"/>
        <v>0</v>
      </c>
      <c r="Q35" s="524">
        <f t="shared" si="8"/>
        <v>0</v>
      </c>
      <c r="V35" s="524" t="str">
        <f>W35&amp;"+"&amp;Y35</f>
        <v>M21银灰波浪(横纹）+2.0*22银灰波浪PVC</v>
      </c>
      <c r="W35" s="524" t="s">
        <v>594</v>
      </c>
      <c r="X35" s="524" t="s">
        <v>595</v>
      </c>
      <c r="Y35" s="524" t="s">
        <v>596</v>
      </c>
    </row>
    <row r="36" ht="17.1" customHeight="1" spans="1:25">
      <c r="A36" s="558"/>
      <c r="B36" s="559"/>
      <c r="C36" s="559"/>
      <c r="D36" s="560"/>
      <c r="E36" s="553">
        <f t="shared" si="2"/>
        <v>-3</v>
      </c>
      <c r="F36" s="554">
        <f t="shared" si="3"/>
        <v>-3</v>
      </c>
      <c r="G36" s="552">
        <f t="shared" si="4"/>
        <v>0</v>
      </c>
      <c r="H36" s="549"/>
      <c r="I36" s="590"/>
      <c r="J36" s="549"/>
      <c r="K36" s="591"/>
      <c r="L36" s="524">
        <f t="shared" si="5"/>
        <v>0</v>
      </c>
      <c r="M36" s="524">
        <f t="shared" si="6"/>
        <v>0</v>
      </c>
      <c r="N36" s="524">
        <f t="shared" si="1"/>
        <v>0</v>
      </c>
      <c r="O36" s="524">
        <f t="shared" si="7"/>
        <v>0</v>
      </c>
      <c r="Q36" s="524">
        <f t="shared" si="8"/>
        <v>0</v>
      </c>
      <c r="V36" s="524" t="str">
        <f>W36&amp;"+"&amp;Y36</f>
        <v>M21银灰波浪(横纹）+T型铝封边</v>
      </c>
      <c r="W36" s="524" t="s">
        <v>594</v>
      </c>
      <c r="X36" s="524" t="s">
        <v>595</v>
      </c>
      <c r="Y36" s="524" t="s">
        <v>37</v>
      </c>
    </row>
    <row r="37" ht="17.1" customHeight="1" spans="1:25">
      <c r="A37" s="561"/>
      <c r="B37" s="562"/>
      <c r="C37" s="562"/>
      <c r="D37" s="563"/>
      <c r="E37" s="553"/>
      <c r="F37" s="554"/>
      <c r="G37" s="552"/>
      <c r="H37" s="564"/>
      <c r="I37" s="596"/>
      <c r="J37" s="564"/>
      <c r="K37" s="597"/>
      <c r="L37" s="524">
        <f t="shared" si="5"/>
        <v>0</v>
      </c>
      <c r="M37" s="524">
        <f t="shared" si="6"/>
        <v>0</v>
      </c>
      <c r="N37" s="524">
        <f t="shared" si="1"/>
        <v>0</v>
      </c>
      <c r="O37" s="524">
        <f t="shared" si="7"/>
        <v>0</v>
      </c>
      <c r="V37" s="524" t="str">
        <f>W37&amp;"+"&amp;Y37</f>
        <v>M24荷花白波浪(横纹）+T型铝封边</v>
      </c>
      <c r="W37" s="524" t="s">
        <v>597</v>
      </c>
      <c r="X37" s="524" t="s">
        <v>598</v>
      </c>
      <c r="Y37" s="524" t="s">
        <v>37</v>
      </c>
    </row>
    <row r="38" ht="17.1" customHeight="1" spans="1:25">
      <c r="A38" s="565"/>
      <c r="B38" s="565"/>
      <c r="C38" s="565"/>
      <c r="D38" s="565"/>
      <c r="E38" s="565"/>
      <c r="F38" s="565"/>
      <c r="G38" s="565"/>
      <c r="H38" s="565"/>
      <c r="I38" s="565"/>
      <c r="J38" s="565"/>
      <c r="K38" s="565"/>
      <c r="L38" s="524">
        <f>SUM(L10:L37)</f>
        <v>0</v>
      </c>
      <c r="M38" s="524">
        <f>SUM(M10:M37)</f>
        <v>0</v>
      </c>
      <c r="N38" s="524">
        <f>SUM(N10:N37)</f>
        <v>0</v>
      </c>
      <c r="O38" s="524">
        <f>SUM(O10:O37)</f>
        <v>0</v>
      </c>
      <c r="P38" s="524" t="s">
        <v>599</v>
      </c>
      <c r="Q38" s="524">
        <f>SUM(Q10:Q37)</f>
        <v>0</v>
      </c>
      <c r="V38" s="524" t="str">
        <f>W38&amp;"+"&amp;Y38</f>
        <v>M25银灰+2.0*22银灰PVC</v>
      </c>
      <c r="W38" s="524" t="s">
        <v>600</v>
      </c>
      <c r="X38" s="524" t="s">
        <v>601</v>
      </c>
      <c r="Y38" s="524" t="s">
        <v>602</v>
      </c>
    </row>
    <row r="39" s="523" customFormat="1" ht="20.1" customHeight="1" spans="1:25">
      <c r="A39" s="566"/>
      <c r="B39" s="533" t="s">
        <v>364</v>
      </c>
      <c r="C39" s="533"/>
      <c r="D39" s="533"/>
      <c r="E39" s="533"/>
      <c r="F39" s="533"/>
      <c r="G39" s="533"/>
      <c r="H39" s="533"/>
      <c r="I39" s="533"/>
      <c r="J39" s="533"/>
      <c r="K39" s="598"/>
      <c r="V39" s="524" t="s">
        <v>603</v>
      </c>
      <c r="W39" s="524" t="s">
        <v>604</v>
      </c>
      <c r="X39" s="524" t="s">
        <v>605</v>
      </c>
      <c r="Y39" s="524" t="s">
        <v>37</v>
      </c>
    </row>
    <row r="40" ht="21" customHeight="1" spans="1:11">
      <c r="A40" s="565" t="s">
        <v>606</v>
      </c>
      <c r="B40" s="565"/>
      <c r="C40" s="565"/>
      <c r="D40" s="565"/>
      <c r="E40" s="565"/>
      <c r="F40" s="565"/>
      <c r="G40" s="565"/>
      <c r="H40" s="565"/>
      <c r="I40" s="565"/>
      <c r="J40" s="565"/>
      <c r="K40" s="565"/>
    </row>
    <row r="41" ht="13.5" customHeight="1" spans="1:11">
      <c r="A41" s="567"/>
      <c r="B41" s="568"/>
      <c r="C41" s="523"/>
      <c r="D41" s="523"/>
      <c r="E41" s="569"/>
      <c r="F41" s="570"/>
      <c r="G41" s="571"/>
      <c r="H41" s="572"/>
      <c r="I41" s="598"/>
      <c r="J41" s="598"/>
      <c r="K41" s="580"/>
    </row>
    <row r="42" ht="18" customHeight="1" spans="1:17">
      <c r="A42" s="566" t="s">
        <v>473</v>
      </c>
      <c r="B42" s="572"/>
      <c r="C42" s="572"/>
      <c r="D42" s="533"/>
      <c r="E42" s="528"/>
      <c r="F42" s="573"/>
      <c r="G42" s="573"/>
      <c r="H42" s="533"/>
      <c r="I42" s="598"/>
      <c r="J42" s="598"/>
      <c r="O42" s="535">
        <v>1</v>
      </c>
      <c r="P42" s="599" t="s">
        <v>474</v>
      </c>
      <c r="Q42" s="524">
        <f>+Q38/0.85</f>
        <v>0</v>
      </c>
    </row>
    <row r="43" ht="20.25" spans="1:17">
      <c r="A43" s="574"/>
      <c r="B43" s="575"/>
      <c r="C43" s="575"/>
      <c r="D43" s="576"/>
      <c r="E43" s="577"/>
      <c r="F43" s="578"/>
      <c r="G43" s="579"/>
      <c r="H43" s="576"/>
      <c r="I43" s="600"/>
      <c r="J43" s="600"/>
      <c r="K43" s="580"/>
      <c r="O43" s="535">
        <v>2</v>
      </c>
      <c r="P43" s="599" t="s">
        <v>366</v>
      </c>
      <c r="Q43" s="601">
        <f>+CEILING(Q38/0.6,0.5)</f>
        <v>0</v>
      </c>
    </row>
    <row r="44" ht="20.25" spans="1:17">
      <c r="A44" s="580"/>
      <c r="B44" s="580"/>
      <c r="C44" s="580"/>
      <c r="D44" s="580"/>
      <c r="E44" s="581"/>
      <c r="F44" s="582"/>
      <c r="G44" s="582"/>
      <c r="H44" s="580"/>
      <c r="I44" s="580"/>
      <c r="J44" s="580"/>
      <c r="K44" s="580"/>
      <c r="O44" s="535">
        <v>3</v>
      </c>
      <c r="P44" s="599" t="s">
        <v>607</v>
      </c>
      <c r="Q44" s="601">
        <f>+Q43</f>
        <v>0</v>
      </c>
    </row>
    <row r="45" ht="20.25" spans="1:11">
      <c r="A45" s="580"/>
      <c r="B45" s="580"/>
      <c r="C45" s="580"/>
      <c r="D45" s="580"/>
      <c r="E45" s="581"/>
      <c r="F45" s="582"/>
      <c r="G45" s="582"/>
      <c r="H45" s="580"/>
      <c r="I45" s="580"/>
      <c r="J45" s="580"/>
      <c r="K45" s="580"/>
    </row>
    <row r="46" ht="20.25" spans="1:11">
      <c r="A46" s="580"/>
      <c r="B46" s="580"/>
      <c r="C46" s="580"/>
      <c r="D46" s="580"/>
      <c r="E46" s="581"/>
      <c r="F46" s="582"/>
      <c r="G46" s="582"/>
      <c r="H46" s="580"/>
      <c r="I46" s="580"/>
      <c r="J46" s="580"/>
      <c r="K46" s="580"/>
    </row>
    <row r="47" ht="20.25" spans="1:11">
      <c r="A47" s="580"/>
      <c r="B47" s="580"/>
      <c r="C47" s="580"/>
      <c r="D47" s="580"/>
      <c r="E47" s="581"/>
      <c r="F47" s="582"/>
      <c r="G47" s="582"/>
      <c r="H47" s="580"/>
      <c r="I47" s="580"/>
      <c r="J47" s="580"/>
      <c r="K47" s="580"/>
    </row>
    <row r="48" ht="20.25" spans="1:11">
      <c r="A48" s="580"/>
      <c r="B48" s="580"/>
      <c r="C48" s="580"/>
      <c r="D48" s="580"/>
      <c r="E48" s="581"/>
      <c r="F48" s="582"/>
      <c r="G48" s="582"/>
      <c r="H48" s="580"/>
      <c r="I48" s="580"/>
      <c r="J48" s="580"/>
      <c r="K48" s="580"/>
    </row>
    <row r="49" ht="20.25" spans="1:11">
      <c r="A49" s="580"/>
      <c r="B49" s="580"/>
      <c r="C49" s="580"/>
      <c r="D49" s="580"/>
      <c r="E49" s="581"/>
      <c r="F49" s="582"/>
      <c r="G49" s="582"/>
      <c r="H49" s="580"/>
      <c r="I49" s="580"/>
      <c r="J49" s="580"/>
      <c r="K49" s="580"/>
    </row>
    <row r="50" ht="20.25" spans="1:11">
      <c r="A50" s="580"/>
      <c r="B50" s="580"/>
      <c r="C50" s="580"/>
      <c r="D50" s="580"/>
      <c r="E50" s="581"/>
      <c r="F50" s="582"/>
      <c r="G50" s="582"/>
      <c r="H50" s="580"/>
      <c r="I50" s="580"/>
      <c r="J50" s="580"/>
      <c r="K50" s="580"/>
    </row>
    <row r="51" ht="20.25" spans="1:11">
      <c r="A51" s="580"/>
      <c r="B51" s="580"/>
      <c r="C51" s="580"/>
      <c r="D51" s="580"/>
      <c r="E51" s="581"/>
      <c r="F51" s="582"/>
      <c r="G51" s="582"/>
      <c r="H51" s="580"/>
      <c r="I51" s="580"/>
      <c r="J51" s="580"/>
      <c r="K51" s="580"/>
    </row>
    <row r="52" ht="20.25" spans="1:11">
      <c r="A52" s="580"/>
      <c r="B52" s="580"/>
      <c r="C52" s="580"/>
      <c r="D52" s="580"/>
      <c r="E52" s="581"/>
      <c r="F52" s="582"/>
      <c r="G52" s="582"/>
      <c r="H52" s="580"/>
      <c r="I52" s="580"/>
      <c r="J52" s="580"/>
      <c r="K52" s="580"/>
    </row>
    <row r="53" ht="20.25" spans="1:11">
      <c r="A53" s="580"/>
      <c r="B53" s="580"/>
      <c r="C53" s="580"/>
      <c r="D53" s="580"/>
      <c r="E53" s="581"/>
      <c r="F53" s="582"/>
      <c r="G53" s="582"/>
      <c r="H53" s="580"/>
      <c r="I53" s="580"/>
      <c r="J53" s="580"/>
      <c r="K53" s="580"/>
    </row>
    <row r="54" ht="20.25" spans="1:11">
      <c r="A54" s="580"/>
      <c r="B54" s="580"/>
      <c r="C54" s="580"/>
      <c r="D54" s="580"/>
      <c r="E54" s="581"/>
      <c r="F54" s="582"/>
      <c r="G54" s="582"/>
      <c r="H54" s="580"/>
      <c r="I54" s="580"/>
      <c r="J54" s="580"/>
      <c r="K54" s="580"/>
    </row>
    <row r="55" ht="20.25" spans="1:11">
      <c r="A55" s="580"/>
      <c r="B55" s="580"/>
      <c r="C55" s="580"/>
      <c r="D55" s="580"/>
      <c r="E55" s="581"/>
      <c r="F55" s="582"/>
      <c r="G55" s="582"/>
      <c r="H55" s="580"/>
      <c r="I55" s="580"/>
      <c r="J55" s="580"/>
      <c r="K55" s="580"/>
    </row>
    <row r="56" ht="20.25" spans="1:11">
      <c r="A56" s="580"/>
      <c r="B56" s="580"/>
      <c r="C56" s="580"/>
      <c r="D56" s="580"/>
      <c r="E56" s="581"/>
      <c r="F56" s="582"/>
      <c r="G56" s="582"/>
      <c r="H56" s="580"/>
      <c r="I56" s="580"/>
      <c r="J56" s="580"/>
      <c r="K56" s="580"/>
    </row>
    <row r="57" ht="20.25" spans="1:11">
      <c r="A57" s="580"/>
      <c r="B57" s="580"/>
      <c r="C57" s="580"/>
      <c r="D57" s="580"/>
      <c r="E57" s="581"/>
      <c r="F57" s="582"/>
      <c r="G57" s="582"/>
      <c r="H57" s="580"/>
      <c r="I57" s="580"/>
      <c r="J57" s="580"/>
      <c r="K57" s="580"/>
    </row>
    <row r="58" ht="20.25" spans="1:11">
      <c r="A58" s="580"/>
      <c r="B58" s="580"/>
      <c r="C58" s="580"/>
      <c r="D58" s="580"/>
      <c r="E58" s="581"/>
      <c r="F58" s="582"/>
      <c r="G58" s="582"/>
      <c r="H58" s="580"/>
      <c r="I58" s="580"/>
      <c r="J58" s="580"/>
      <c r="K58" s="580"/>
    </row>
    <row r="59" ht="20.25" spans="1:11">
      <c r="A59" s="580"/>
      <c r="B59" s="580"/>
      <c r="C59" s="580"/>
      <c r="D59" s="580"/>
      <c r="E59" s="581"/>
      <c r="F59" s="582"/>
      <c r="G59" s="582"/>
      <c r="H59" s="580"/>
      <c r="I59" s="580"/>
      <c r="J59" s="580"/>
      <c r="K59" s="580"/>
    </row>
    <row r="60" ht="20.25" spans="1:11">
      <c r="A60" s="580"/>
      <c r="B60" s="580"/>
      <c r="C60" s="580"/>
      <c r="D60" s="580"/>
      <c r="E60" s="581"/>
      <c r="F60" s="582"/>
      <c r="G60" s="582"/>
      <c r="H60" s="580"/>
      <c r="I60" s="580"/>
      <c r="J60" s="580"/>
      <c r="K60" s="580"/>
    </row>
    <row r="61" ht="20.25" spans="1:11">
      <c r="A61" s="580"/>
      <c r="B61" s="580"/>
      <c r="C61" s="580"/>
      <c r="D61" s="580"/>
      <c r="E61" s="581"/>
      <c r="F61" s="582"/>
      <c r="G61" s="582"/>
      <c r="H61" s="580"/>
      <c r="I61" s="580"/>
      <c r="J61" s="580"/>
      <c r="K61" s="580"/>
    </row>
    <row r="62" ht="20.25" spans="1:11">
      <c r="A62" s="580"/>
      <c r="B62" s="580"/>
      <c r="C62" s="580"/>
      <c r="D62" s="580"/>
      <c r="E62" s="581"/>
      <c r="F62" s="582"/>
      <c r="G62" s="582"/>
      <c r="H62" s="580"/>
      <c r="I62" s="580"/>
      <c r="J62" s="580"/>
      <c r="K62" s="580"/>
    </row>
    <row r="63" ht="20.25" spans="1:11">
      <c r="A63" s="580"/>
      <c r="B63" s="580"/>
      <c r="C63" s="580"/>
      <c r="D63" s="580"/>
      <c r="E63" s="581"/>
      <c r="F63" s="582"/>
      <c r="G63" s="582"/>
      <c r="H63" s="580"/>
      <c r="I63" s="580"/>
      <c r="J63" s="580"/>
      <c r="K63" s="580"/>
    </row>
    <row r="64" ht="20.25" spans="1:11">
      <c r="A64" s="580"/>
      <c r="B64" s="580"/>
      <c r="C64" s="580"/>
      <c r="D64" s="580"/>
      <c r="E64" s="581"/>
      <c r="F64" s="582"/>
      <c r="G64" s="582"/>
      <c r="H64" s="580"/>
      <c r="I64" s="580"/>
      <c r="J64" s="580"/>
      <c r="K64" s="580"/>
    </row>
    <row r="65" ht="20.25" spans="1:11">
      <c r="A65" s="580"/>
      <c r="B65" s="580"/>
      <c r="C65" s="580"/>
      <c r="D65" s="580"/>
      <c r="E65" s="581"/>
      <c r="F65" s="582"/>
      <c r="G65" s="582"/>
      <c r="H65" s="580"/>
      <c r="I65" s="580"/>
      <c r="J65" s="580"/>
      <c r="K65" s="580"/>
    </row>
    <row r="66" ht="20.25" spans="1:11">
      <c r="A66" s="580"/>
      <c r="B66" s="580"/>
      <c r="C66" s="580"/>
      <c r="D66" s="580"/>
      <c r="E66" s="581"/>
      <c r="F66" s="582"/>
      <c r="G66" s="582"/>
      <c r="H66" s="580"/>
      <c r="I66" s="580"/>
      <c r="J66" s="580"/>
      <c r="K66" s="580"/>
    </row>
    <row r="67" ht="20.25" spans="1:11">
      <c r="A67" s="580"/>
      <c r="B67" s="580"/>
      <c r="C67" s="580"/>
      <c r="D67" s="580"/>
      <c r="E67" s="581"/>
      <c r="F67" s="582"/>
      <c r="G67" s="582"/>
      <c r="H67" s="580"/>
      <c r="I67" s="580"/>
      <c r="J67" s="580"/>
      <c r="K67" s="580"/>
    </row>
    <row r="68" ht="20.25" spans="1:11">
      <c r="A68" s="580"/>
      <c r="B68" s="580"/>
      <c r="C68" s="580"/>
      <c r="D68" s="580"/>
      <c r="E68" s="581"/>
      <c r="F68" s="582"/>
      <c r="G68" s="582"/>
      <c r="H68" s="580"/>
      <c r="I68" s="580"/>
      <c r="J68" s="580"/>
      <c r="K68" s="580"/>
    </row>
    <row r="69" ht="20.25" spans="1:11">
      <c r="A69" s="580"/>
      <c r="B69" s="580"/>
      <c r="C69" s="580"/>
      <c r="D69" s="580"/>
      <c r="E69" s="581"/>
      <c r="F69" s="582"/>
      <c r="G69" s="582"/>
      <c r="H69" s="580"/>
      <c r="I69" s="580"/>
      <c r="J69" s="580"/>
      <c r="K69" s="580"/>
    </row>
    <row r="70" ht="20.25" spans="1:11">
      <c r="A70" s="580"/>
      <c r="B70" s="580"/>
      <c r="C70" s="580"/>
      <c r="D70" s="580"/>
      <c r="E70" s="581"/>
      <c r="F70" s="582"/>
      <c r="G70" s="582"/>
      <c r="H70" s="580"/>
      <c r="I70" s="580"/>
      <c r="J70" s="580"/>
      <c r="K70" s="580"/>
    </row>
    <row r="71" ht="20.25" spans="1:11">
      <c r="A71" s="580"/>
      <c r="B71" s="580"/>
      <c r="C71" s="580"/>
      <c r="D71" s="580"/>
      <c r="E71" s="581"/>
      <c r="F71" s="582"/>
      <c r="G71" s="582"/>
      <c r="H71" s="580"/>
      <c r="I71" s="580"/>
      <c r="J71" s="580"/>
      <c r="K71" s="580"/>
    </row>
    <row r="72" ht="20.25" spans="1:11">
      <c r="A72" s="580"/>
      <c r="B72" s="580"/>
      <c r="C72" s="580"/>
      <c r="D72" s="580"/>
      <c r="E72" s="581"/>
      <c r="F72" s="582"/>
      <c r="G72" s="582"/>
      <c r="H72" s="580"/>
      <c r="I72" s="580"/>
      <c r="J72" s="580"/>
      <c r="K72" s="580"/>
    </row>
    <row r="73" ht="20.25" spans="1:11">
      <c r="A73" s="580"/>
      <c r="B73" s="580"/>
      <c r="C73" s="580"/>
      <c r="D73" s="580"/>
      <c r="E73" s="581"/>
      <c r="F73" s="582"/>
      <c r="G73" s="582"/>
      <c r="H73" s="580"/>
      <c r="I73" s="580"/>
      <c r="J73" s="580"/>
      <c r="K73" s="580"/>
    </row>
    <row r="74" ht="20.25" spans="1:11">
      <c r="A74" s="580"/>
      <c r="B74" s="580"/>
      <c r="C74" s="580"/>
      <c r="D74" s="580"/>
      <c r="E74" s="581"/>
      <c r="F74" s="582"/>
      <c r="G74" s="582"/>
      <c r="H74" s="580"/>
      <c r="I74" s="580"/>
      <c r="J74" s="580"/>
      <c r="K74" s="580"/>
    </row>
    <row r="75" ht="20.25" spans="1:11">
      <c r="A75" s="580"/>
      <c r="B75" s="580"/>
      <c r="C75" s="580"/>
      <c r="D75" s="580"/>
      <c r="E75" s="581"/>
      <c r="F75" s="582"/>
      <c r="G75" s="582"/>
      <c r="H75" s="580"/>
      <c r="I75" s="580"/>
      <c r="J75" s="580"/>
      <c r="K75" s="580"/>
    </row>
    <row r="76" ht="20.25" spans="1:11">
      <c r="A76" s="580"/>
      <c r="B76" s="580"/>
      <c r="C76" s="580"/>
      <c r="D76" s="580"/>
      <c r="E76" s="581"/>
      <c r="F76" s="582"/>
      <c r="G76" s="582"/>
      <c r="H76" s="580"/>
      <c r="I76" s="580"/>
      <c r="J76" s="580"/>
      <c r="K76" s="580"/>
    </row>
    <row r="77" ht="20.25" spans="1:11">
      <c r="A77" s="580"/>
      <c r="B77" s="580"/>
      <c r="C77" s="580"/>
      <c r="D77" s="580"/>
      <c r="E77" s="581"/>
      <c r="F77" s="582"/>
      <c r="G77" s="582"/>
      <c r="H77" s="580"/>
      <c r="I77" s="580"/>
      <c r="J77" s="580"/>
      <c r="K77" s="580"/>
    </row>
    <row r="78" ht="20.25" spans="1:11">
      <c r="A78" s="580"/>
      <c r="B78" s="580"/>
      <c r="C78" s="580"/>
      <c r="D78" s="580"/>
      <c r="E78" s="581"/>
      <c r="F78" s="582"/>
      <c r="G78" s="582"/>
      <c r="H78" s="580"/>
      <c r="I78" s="580"/>
      <c r="J78" s="580"/>
      <c r="K78" s="580"/>
    </row>
    <row r="79" ht="20.25" spans="1:11">
      <c r="A79" s="580"/>
      <c r="B79" s="580"/>
      <c r="C79" s="580"/>
      <c r="D79" s="580"/>
      <c r="E79" s="581"/>
      <c r="F79" s="582"/>
      <c r="G79" s="582"/>
      <c r="H79" s="580"/>
      <c r="I79" s="580"/>
      <c r="J79" s="580"/>
      <c r="K79" s="580"/>
    </row>
    <row r="80" ht="20.25" spans="1:11">
      <c r="A80" s="580"/>
      <c r="B80" s="580"/>
      <c r="C80" s="580"/>
      <c r="D80" s="580"/>
      <c r="E80" s="581"/>
      <c r="F80" s="582"/>
      <c r="G80" s="582"/>
      <c r="H80" s="580"/>
      <c r="I80" s="580"/>
      <c r="J80" s="580"/>
      <c r="K80" s="580"/>
    </row>
    <row r="81" ht="20.25" spans="1:11">
      <c r="A81" s="580"/>
      <c r="B81" s="580"/>
      <c r="C81" s="580"/>
      <c r="D81" s="580"/>
      <c r="E81" s="581"/>
      <c r="F81" s="582"/>
      <c r="G81" s="582"/>
      <c r="H81" s="580"/>
      <c r="I81" s="580"/>
      <c r="J81" s="580"/>
      <c r="K81" s="580"/>
    </row>
    <row r="82" ht="20.25" spans="1:11">
      <c r="A82" s="580"/>
      <c r="B82" s="580"/>
      <c r="C82" s="580"/>
      <c r="D82" s="580"/>
      <c r="E82" s="581"/>
      <c r="F82" s="582"/>
      <c r="G82" s="582"/>
      <c r="H82" s="580"/>
      <c r="I82" s="580"/>
      <c r="J82" s="580"/>
      <c r="K82" s="580"/>
    </row>
    <row r="83" ht="20.25" spans="1:11">
      <c r="A83" s="580"/>
      <c r="B83" s="580"/>
      <c r="C83" s="580"/>
      <c r="D83" s="580"/>
      <c r="E83" s="581"/>
      <c r="F83" s="582"/>
      <c r="G83" s="582"/>
      <c r="H83" s="580"/>
      <c r="I83" s="580"/>
      <c r="J83" s="580"/>
      <c r="K83" s="580"/>
    </row>
    <row r="84" ht="20.25" spans="1:11">
      <c r="A84" s="580"/>
      <c r="B84" s="580"/>
      <c r="C84" s="580"/>
      <c r="D84" s="580"/>
      <c r="E84" s="581"/>
      <c r="F84" s="582"/>
      <c r="G84" s="582"/>
      <c r="H84" s="580"/>
      <c r="I84" s="580"/>
      <c r="J84" s="580"/>
      <c r="K84" s="580"/>
    </row>
    <row r="85" ht="20.25" spans="1:11">
      <c r="A85" s="580"/>
      <c r="B85" s="580"/>
      <c r="C85" s="580"/>
      <c r="D85" s="580"/>
      <c r="E85" s="581"/>
      <c r="F85" s="582"/>
      <c r="G85" s="582"/>
      <c r="H85" s="580"/>
      <c r="I85" s="580"/>
      <c r="J85" s="580"/>
      <c r="K85" s="580"/>
    </row>
    <row r="86" ht="20.25" spans="1:11">
      <c r="A86" s="580"/>
      <c r="B86" s="580"/>
      <c r="C86" s="580"/>
      <c r="D86" s="580"/>
      <c r="E86" s="581"/>
      <c r="F86" s="582"/>
      <c r="G86" s="582"/>
      <c r="H86" s="580"/>
      <c r="I86" s="580"/>
      <c r="J86" s="580"/>
      <c r="K86" s="580"/>
    </row>
    <row r="87" ht="20.25" spans="1:11">
      <c r="A87" s="580"/>
      <c r="B87" s="580"/>
      <c r="C87" s="580"/>
      <c r="D87" s="580"/>
      <c r="E87" s="581"/>
      <c r="F87" s="582"/>
      <c r="G87" s="582"/>
      <c r="H87" s="580"/>
      <c r="I87" s="580"/>
      <c r="J87" s="580"/>
      <c r="K87" s="580"/>
    </row>
    <row r="88" ht="20.25" spans="1:11">
      <c r="A88" s="580"/>
      <c r="B88" s="580"/>
      <c r="C88" s="580"/>
      <c r="D88" s="580"/>
      <c r="E88" s="581"/>
      <c r="F88" s="582"/>
      <c r="G88" s="582"/>
      <c r="H88" s="580"/>
      <c r="I88" s="580"/>
      <c r="J88" s="580"/>
      <c r="K88" s="580"/>
    </row>
    <row r="89" ht="20.25" spans="1:11">
      <c r="A89" s="580"/>
      <c r="B89" s="580"/>
      <c r="C89" s="580"/>
      <c r="D89" s="580"/>
      <c r="E89" s="581"/>
      <c r="F89" s="582"/>
      <c r="G89" s="582"/>
      <c r="H89" s="580"/>
      <c r="I89" s="580"/>
      <c r="J89" s="580"/>
      <c r="K89" s="580"/>
    </row>
    <row r="90" ht="20.25" spans="1:11">
      <c r="A90" s="580"/>
      <c r="B90" s="580"/>
      <c r="C90" s="580"/>
      <c r="D90" s="580"/>
      <c r="E90" s="581"/>
      <c r="F90" s="582"/>
      <c r="G90" s="582"/>
      <c r="H90" s="580"/>
      <c r="I90" s="580"/>
      <c r="J90" s="580"/>
      <c r="K90" s="580"/>
    </row>
    <row r="91" ht="20.25" spans="1:11">
      <c r="A91" s="580"/>
      <c r="B91" s="580"/>
      <c r="C91" s="580"/>
      <c r="D91" s="580"/>
      <c r="E91" s="581"/>
      <c r="F91" s="582"/>
      <c r="G91" s="582"/>
      <c r="H91" s="580"/>
      <c r="I91" s="580"/>
      <c r="J91" s="580"/>
      <c r="K91" s="580"/>
    </row>
    <row r="92" ht="20.25" spans="1:11">
      <c r="A92" s="580"/>
      <c r="B92" s="580"/>
      <c r="C92" s="580"/>
      <c r="D92" s="580"/>
      <c r="E92" s="581"/>
      <c r="F92" s="582"/>
      <c r="G92" s="582"/>
      <c r="H92" s="580"/>
      <c r="I92" s="580"/>
      <c r="J92" s="580"/>
      <c r="K92" s="580"/>
    </row>
    <row r="93" ht="20.25" spans="1:11">
      <c r="A93" s="580"/>
      <c r="B93" s="580"/>
      <c r="C93" s="580"/>
      <c r="D93" s="580"/>
      <c r="E93" s="581"/>
      <c r="F93" s="582"/>
      <c r="G93" s="582"/>
      <c r="H93" s="580"/>
      <c r="I93" s="580"/>
      <c r="J93" s="580"/>
      <c r="K93" s="580"/>
    </row>
    <row r="94" ht="20.25" spans="1:11">
      <c r="A94" s="580"/>
      <c r="B94" s="580"/>
      <c r="C94" s="580"/>
      <c r="D94" s="580"/>
      <c r="E94" s="581"/>
      <c r="F94" s="582"/>
      <c r="G94" s="582"/>
      <c r="H94" s="580"/>
      <c r="I94" s="580"/>
      <c r="J94" s="580"/>
      <c r="K94" s="580"/>
    </row>
    <row r="95" ht="20.25" spans="1:11">
      <c r="A95" s="580"/>
      <c r="B95" s="580"/>
      <c r="C95" s="580"/>
      <c r="D95" s="580"/>
      <c r="E95" s="581"/>
      <c r="F95" s="582"/>
      <c r="G95" s="582"/>
      <c r="H95" s="580"/>
      <c r="I95" s="580"/>
      <c r="J95" s="580"/>
      <c r="K95" s="580"/>
    </row>
    <row r="96" ht="20.25" spans="1:11">
      <c r="A96" s="580"/>
      <c r="B96" s="580"/>
      <c r="C96" s="580"/>
      <c r="D96" s="580"/>
      <c r="E96" s="581"/>
      <c r="F96" s="582"/>
      <c r="G96" s="582"/>
      <c r="H96" s="580"/>
      <c r="I96" s="580"/>
      <c r="J96" s="580"/>
      <c r="K96" s="580"/>
    </row>
    <row r="97" ht="20.25" spans="1:11">
      <c r="A97" s="580"/>
      <c r="B97" s="580"/>
      <c r="C97" s="580"/>
      <c r="D97" s="580"/>
      <c r="E97" s="581"/>
      <c r="F97" s="582"/>
      <c r="G97" s="582"/>
      <c r="H97" s="580"/>
      <c r="I97" s="580"/>
      <c r="J97" s="580"/>
      <c r="K97" s="580"/>
    </row>
    <row r="98" ht="20.25" spans="1:11">
      <c r="A98" s="580"/>
      <c r="B98" s="580"/>
      <c r="C98" s="580"/>
      <c r="D98" s="580"/>
      <c r="E98" s="581"/>
      <c r="F98" s="582"/>
      <c r="G98" s="582"/>
      <c r="H98" s="580"/>
      <c r="I98" s="580"/>
      <c r="J98" s="580"/>
      <c r="K98" s="580"/>
    </row>
    <row r="99" ht="20.25" spans="1:11">
      <c r="A99" s="580"/>
      <c r="B99" s="580"/>
      <c r="C99" s="580"/>
      <c r="D99" s="580"/>
      <c r="E99" s="581"/>
      <c r="F99" s="582"/>
      <c r="G99" s="582"/>
      <c r="H99" s="580"/>
      <c r="I99" s="580"/>
      <c r="J99" s="580"/>
      <c r="K99" s="580"/>
    </row>
    <row r="100" ht="20.25" spans="1:11">
      <c r="A100" s="580"/>
      <c r="B100" s="580"/>
      <c r="C100" s="580"/>
      <c r="D100" s="580"/>
      <c r="E100" s="581"/>
      <c r="F100" s="582"/>
      <c r="G100" s="582"/>
      <c r="H100" s="580"/>
      <c r="I100" s="580"/>
      <c r="J100" s="580"/>
      <c r="K100" s="580"/>
    </row>
    <row r="101" ht="20.25" spans="1:11">
      <c r="A101" s="580"/>
      <c r="B101" s="580"/>
      <c r="C101" s="580"/>
      <c r="D101" s="580"/>
      <c r="E101" s="581"/>
      <c r="F101" s="582"/>
      <c r="G101" s="582"/>
      <c r="H101" s="580"/>
      <c r="I101" s="580"/>
      <c r="J101" s="580"/>
      <c r="K101" s="580"/>
    </row>
    <row r="102" ht="20.25" spans="1:11">
      <c r="A102" s="580"/>
      <c r="B102" s="580"/>
      <c r="C102" s="580"/>
      <c r="D102" s="580"/>
      <c r="E102" s="581"/>
      <c r="F102" s="602"/>
      <c r="G102" s="580"/>
      <c r="H102" s="580"/>
      <c r="I102" s="580"/>
      <c r="J102" s="580"/>
      <c r="K102" s="580"/>
    </row>
    <row r="103" ht="20.25" spans="1:11">
      <c r="A103" s="580"/>
      <c r="B103" s="580"/>
      <c r="C103" s="580"/>
      <c r="D103" s="580"/>
      <c r="E103" s="581"/>
      <c r="F103" s="602"/>
      <c r="G103" s="580"/>
      <c r="H103" s="580"/>
      <c r="I103" s="580"/>
      <c r="J103" s="580"/>
      <c r="K103" s="580"/>
    </row>
    <row r="104" ht="20.25" spans="1:11">
      <c r="A104" s="580"/>
      <c r="B104" s="580"/>
      <c r="C104" s="580"/>
      <c r="D104" s="580"/>
      <c r="E104" s="581"/>
      <c r="F104" s="602"/>
      <c r="G104" s="580"/>
      <c r="H104" s="580"/>
      <c r="I104" s="580"/>
      <c r="J104" s="580"/>
      <c r="K104" s="580"/>
    </row>
    <row r="105" ht="20.25" spans="1:11">
      <c r="A105" s="580"/>
      <c r="B105" s="580"/>
      <c r="C105" s="580"/>
      <c r="D105" s="580"/>
      <c r="E105" s="581"/>
      <c r="F105" s="602"/>
      <c r="G105" s="580"/>
      <c r="H105" s="580"/>
      <c r="I105" s="580"/>
      <c r="J105" s="580"/>
      <c r="K105" s="580"/>
    </row>
    <row r="106" ht="20.25" spans="1:11">
      <c r="A106" s="580"/>
      <c r="B106" s="580"/>
      <c r="C106" s="580"/>
      <c r="D106" s="580"/>
      <c r="E106" s="581"/>
      <c r="F106" s="602"/>
      <c r="G106" s="580"/>
      <c r="H106" s="580"/>
      <c r="I106" s="580"/>
      <c r="J106" s="580"/>
      <c r="K106" s="580"/>
    </row>
    <row r="107" ht="20.25" spans="1:11">
      <c r="A107" s="580"/>
      <c r="B107" s="580"/>
      <c r="C107" s="580"/>
      <c r="D107" s="580"/>
      <c r="E107" s="581"/>
      <c r="F107" s="602"/>
      <c r="G107" s="580"/>
      <c r="H107" s="580"/>
      <c r="I107" s="580"/>
      <c r="J107" s="580"/>
      <c r="K107" s="580"/>
    </row>
    <row r="108" ht="20.25" spans="1:11">
      <c r="A108" s="580"/>
      <c r="B108" s="580"/>
      <c r="C108" s="580"/>
      <c r="D108" s="580"/>
      <c r="E108" s="581"/>
      <c r="F108" s="602"/>
      <c r="G108" s="580"/>
      <c r="H108" s="580"/>
      <c r="I108" s="580"/>
      <c r="J108" s="580"/>
      <c r="K108" s="580"/>
    </row>
    <row r="109" ht="20.25" spans="1:11">
      <c r="A109" s="580"/>
      <c r="B109" s="580"/>
      <c r="C109" s="580"/>
      <c r="D109" s="580"/>
      <c r="E109" s="581"/>
      <c r="F109" s="602"/>
      <c r="G109" s="580"/>
      <c r="H109" s="580"/>
      <c r="I109" s="580"/>
      <c r="J109" s="580"/>
      <c r="K109" s="580"/>
    </row>
    <row r="110" ht="20.25" spans="1:11">
      <c r="A110" s="580"/>
      <c r="B110" s="580"/>
      <c r="C110" s="580"/>
      <c r="D110" s="580"/>
      <c r="E110" s="581"/>
      <c r="F110" s="602"/>
      <c r="G110" s="580"/>
      <c r="H110" s="580"/>
      <c r="I110" s="580"/>
      <c r="J110" s="580"/>
      <c r="K110" s="580"/>
    </row>
    <row r="111" ht="20.25" spans="1:11">
      <c r="A111" s="580"/>
      <c r="B111" s="580"/>
      <c r="C111" s="580"/>
      <c r="D111" s="580"/>
      <c r="E111" s="581"/>
      <c r="F111" s="602"/>
      <c r="G111" s="580"/>
      <c r="H111" s="580"/>
      <c r="I111" s="580"/>
      <c r="J111" s="580"/>
      <c r="K111" s="580"/>
    </row>
    <row r="112" ht="20.25" spans="1:11">
      <c r="A112" s="580"/>
      <c r="B112" s="580"/>
      <c r="C112" s="580"/>
      <c r="D112" s="580"/>
      <c r="E112" s="581"/>
      <c r="F112" s="602"/>
      <c r="G112" s="580"/>
      <c r="H112" s="580"/>
      <c r="I112" s="580"/>
      <c r="J112" s="580"/>
      <c r="K112" s="580"/>
    </row>
    <row r="113" ht="20.25" spans="1:11">
      <c r="A113" s="580"/>
      <c r="B113" s="580"/>
      <c r="C113" s="580"/>
      <c r="D113" s="580"/>
      <c r="E113" s="581"/>
      <c r="F113" s="602"/>
      <c r="G113" s="580"/>
      <c r="H113" s="580"/>
      <c r="I113" s="580"/>
      <c r="J113" s="580"/>
      <c r="K113" s="580"/>
    </row>
    <row r="114" ht="20.25" spans="1:11">
      <c r="A114" s="580"/>
      <c r="B114" s="580"/>
      <c r="C114" s="580"/>
      <c r="D114" s="580"/>
      <c r="E114" s="581"/>
      <c r="F114" s="602"/>
      <c r="G114" s="580"/>
      <c r="H114" s="580"/>
      <c r="I114" s="580"/>
      <c r="J114" s="580"/>
      <c r="K114" s="580"/>
    </row>
    <row r="115" ht="20.25" spans="1:11">
      <c r="A115" s="580"/>
      <c r="B115" s="580"/>
      <c r="C115" s="580"/>
      <c r="D115" s="580"/>
      <c r="E115" s="581"/>
      <c r="F115" s="602"/>
      <c r="G115" s="580"/>
      <c r="H115" s="580"/>
      <c r="I115" s="580"/>
      <c r="J115" s="580"/>
      <c r="K115" s="580"/>
    </row>
    <row r="116" ht="20.25" spans="1:11">
      <c r="A116" s="580"/>
      <c r="B116" s="580"/>
      <c r="C116" s="580"/>
      <c r="D116" s="580"/>
      <c r="E116" s="581"/>
      <c r="F116" s="602"/>
      <c r="G116" s="580"/>
      <c r="H116" s="580"/>
      <c r="I116" s="580"/>
      <c r="J116" s="580"/>
      <c r="K116" s="580"/>
    </row>
    <row r="117" ht="20.25" spans="1:11">
      <c r="A117" s="580"/>
      <c r="B117" s="580"/>
      <c r="C117" s="580"/>
      <c r="D117" s="580"/>
      <c r="E117" s="581"/>
      <c r="F117" s="602"/>
      <c r="G117" s="580"/>
      <c r="H117" s="580"/>
      <c r="I117" s="580"/>
      <c r="J117" s="580"/>
      <c r="K117" s="580"/>
    </row>
    <row r="118" ht="20.25" spans="1:11">
      <c r="A118" s="580"/>
      <c r="B118" s="580"/>
      <c r="C118" s="580"/>
      <c r="D118" s="580"/>
      <c r="E118" s="581"/>
      <c r="F118" s="602"/>
      <c r="G118" s="580"/>
      <c r="H118" s="580"/>
      <c r="I118" s="580"/>
      <c r="J118" s="580"/>
      <c r="K118" s="580"/>
    </row>
    <row r="119" ht="20.25" spans="1:11">
      <c r="A119" s="580"/>
      <c r="B119" s="580"/>
      <c r="C119" s="580"/>
      <c r="D119" s="580"/>
      <c r="E119" s="581"/>
      <c r="F119" s="602"/>
      <c r="G119" s="580"/>
      <c r="H119" s="580"/>
      <c r="I119" s="580"/>
      <c r="J119" s="580"/>
      <c r="K119" s="580"/>
    </row>
    <row r="120" ht="20.25" spans="1:11">
      <c r="A120" s="580"/>
      <c r="B120" s="580"/>
      <c r="C120" s="580"/>
      <c r="D120" s="580"/>
      <c r="E120" s="581"/>
      <c r="F120" s="602"/>
      <c r="G120" s="580"/>
      <c r="H120" s="580"/>
      <c r="I120" s="580"/>
      <c r="J120" s="580"/>
      <c r="K120" s="580"/>
    </row>
    <row r="121" ht="20.25" spans="1:11">
      <c r="A121" s="580"/>
      <c r="B121" s="580"/>
      <c r="C121" s="580"/>
      <c r="D121" s="580"/>
      <c r="E121" s="581"/>
      <c r="F121" s="602"/>
      <c r="G121" s="580"/>
      <c r="H121" s="580"/>
      <c r="I121" s="580"/>
      <c r="J121" s="580"/>
      <c r="K121" s="580"/>
    </row>
    <row r="122" ht="20.25" spans="1:11">
      <c r="A122" s="580"/>
      <c r="B122" s="580"/>
      <c r="C122" s="580"/>
      <c r="D122" s="580"/>
      <c r="E122" s="581"/>
      <c r="F122" s="602"/>
      <c r="G122" s="580"/>
      <c r="H122" s="580"/>
      <c r="I122" s="580"/>
      <c r="J122" s="580"/>
      <c r="K122" s="580"/>
    </row>
    <row r="123" ht="20.25" spans="1:11">
      <c r="A123" s="580"/>
      <c r="B123" s="580"/>
      <c r="C123" s="580"/>
      <c r="D123" s="580"/>
      <c r="E123" s="581"/>
      <c r="F123" s="602"/>
      <c r="G123" s="580"/>
      <c r="H123" s="580"/>
      <c r="I123" s="580"/>
      <c r="J123" s="580"/>
      <c r="K123" s="580"/>
    </row>
    <row r="124" ht="20.25" spans="1:11">
      <c r="A124" s="580"/>
      <c r="B124" s="580"/>
      <c r="C124" s="580"/>
      <c r="D124" s="580"/>
      <c r="E124" s="581"/>
      <c r="F124" s="602"/>
      <c r="G124" s="580"/>
      <c r="H124" s="580"/>
      <c r="I124" s="580"/>
      <c r="J124" s="580"/>
      <c r="K124" s="580"/>
    </row>
    <row r="125" ht="20.25" spans="1:11">
      <c r="A125" s="580"/>
      <c r="B125" s="580"/>
      <c r="C125" s="580"/>
      <c r="D125" s="580"/>
      <c r="E125" s="581"/>
      <c r="F125" s="602"/>
      <c r="G125" s="580"/>
      <c r="H125" s="580"/>
      <c r="I125" s="580"/>
      <c r="J125" s="580"/>
      <c r="K125" s="580"/>
    </row>
    <row r="126" ht="20.25" spans="1:11">
      <c r="A126" s="580"/>
      <c r="B126" s="580"/>
      <c r="C126" s="580"/>
      <c r="D126" s="580"/>
      <c r="E126" s="581"/>
      <c r="F126" s="602"/>
      <c r="G126" s="580"/>
      <c r="H126" s="580"/>
      <c r="I126" s="580"/>
      <c r="J126" s="580"/>
      <c r="K126" s="580"/>
    </row>
    <row r="127" ht="20.25" spans="1:11">
      <c r="A127" s="580"/>
      <c r="B127" s="580"/>
      <c r="C127" s="580"/>
      <c r="D127" s="580"/>
      <c r="E127" s="581"/>
      <c r="F127" s="602"/>
      <c r="G127" s="580"/>
      <c r="H127" s="580"/>
      <c r="I127" s="580"/>
      <c r="J127" s="580"/>
      <c r="K127" s="580"/>
    </row>
    <row r="128" ht="20.25" spans="1:11">
      <c r="A128" s="580"/>
      <c r="B128" s="580"/>
      <c r="C128" s="580"/>
      <c r="D128" s="580"/>
      <c r="E128" s="581"/>
      <c r="F128" s="602"/>
      <c r="G128" s="580"/>
      <c r="H128" s="580"/>
      <c r="I128" s="580"/>
      <c r="J128" s="580"/>
      <c r="K128" s="580"/>
    </row>
    <row r="129" ht="20.25" spans="1:11">
      <c r="A129" s="580"/>
      <c r="B129" s="580"/>
      <c r="C129" s="580"/>
      <c r="D129" s="580"/>
      <c r="E129" s="581"/>
      <c r="F129" s="602"/>
      <c r="G129" s="580"/>
      <c r="H129" s="580"/>
      <c r="I129" s="580"/>
      <c r="J129" s="580"/>
      <c r="K129" s="580"/>
    </row>
    <row r="130" ht="20.25" spans="1:11">
      <c r="A130" s="580"/>
      <c r="B130" s="580"/>
      <c r="C130" s="580"/>
      <c r="D130" s="580"/>
      <c r="E130" s="581"/>
      <c r="F130" s="602"/>
      <c r="G130" s="580"/>
      <c r="H130" s="580"/>
      <c r="I130" s="580"/>
      <c r="J130" s="580"/>
      <c r="K130" s="580"/>
    </row>
    <row r="131" ht="20.25" spans="1:11">
      <c r="A131" s="580"/>
      <c r="B131" s="580"/>
      <c r="C131" s="580"/>
      <c r="D131" s="580"/>
      <c r="E131" s="581"/>
      <c r="F131" s="602"/>
      <c r="G131" s="580"/>
      <c r="H131" s="580"/>
      <c r="I131" s="580"/>
      <c r="J131" s="580"/>
      <c r="K131" s="580"/>
    </row>
    <row r="132" ht="20.25" spans="1:11">
      <c r="A132" s="580"/>
      <c r="B132" s="580"/>
      <c r="C132" s="580"/>
      <c r="D132" s="580"/>
      <c r="E132" s="581"/>
      <c r="F132" s="602"/>
      <c r="G132" s="580"/>
      <c r="H132" s="580"/>
      <c r="I132" s="580"/>
      <c r="J132" s="580"/>
      <c r="K132" s="580"/>
    </row>
    <row r="133" ht="20.25" spans="1:11">
      <c r="A133" s="580"/>
      <c r="B133" s="580"/>
      <c r="C133" s="580"/>
      <c r="D133" s="580"/>
      <c r="E133" s="581"/>
      <c r="F133" s="602"/>
      <c r="G133" s="580"/>
      <c r="H133" s="580"/>
      <c r="I133" s="580"/>
      <c r="J133" s="580"/>
      <c r="K133" s="580"/>
    </row>
    <row r="134" ht="20.25" spans="1:11">
      <c r="A134" s="580"/>
      <c r="B134" s="580"/>
      <c r="C134" s="580"/>
      <c r="D134" s="580"/>
      <c r="E134" s="581"/>
      <c r="F134" s="602"/>
      <c r="G134" s="580"/>
      <c r="H134" s="580"/>
      <c r="I134" s="580"/>
      <c r="J134" s="580"/>
      <c r="K134" s="580"/>
    </row>
    <row r="135" ht="20.25" spans="1:11">
      <c r="A135" s="580"/>
      <c r="B135" s="580"/>
      <c r="C135" s="580"/>
      <c r="D135" s="580"/>
      <c r="E135" s="581"/>
      <c r="F135" s="602"/>
      <c r="G135" s="580"/>
      <c r="H135" s="580"/>
      <c r="I135" s="580"/>
      <c r="J135" s="580"/>
      <c r="K135" s="580"/>
    </row>
    <row r="136" ht="20.25" spans="1:11">
      <c r="A136" s="580"/>
      <c r="B136" s="580"/>
      <c r="C136" s="580"/>
      <c r="D136" s="580"/>
      <c r="E136" s="581"/>
      <c r="F136" s="602"/>
      <c r="G136" s="580"/>
      <c r="H136" s="580"/>
      <c r="I136" s="580"/>
      <c r="J136" s="580"/>
      <c r="K136" s="580"/>
    </row>
    <row r="137" ht="20.25" spans="1:11">
      <c r="A137" s="580"/>
      <c r="B137" s="580"/>
      <c r="C137" s="580"/>
      <c r="D137" s="580"/>
      <c r="E137" s="581"/>
      <c r="F137" s="602"/>
      <c r="G137" s="580"/>
      <c r="H137" s="580"/>
      <c r="I137" s="580"/>
      <c r="J137" s="580"/>
      <c r="K137" s="580"/>
    </row>
    <row r="138" ht="20.25" spans="1:11">
      <c r="A138" s="580"/>
      <c r="B138" s="580"/>
      <c r="C138" s="580"/>
      <c r="D138" s="580"/>
      <c r="E138" s="581"/>
      <c r="F138" s="602"/>
      <c r="G138" s="580"/>
      <c r="H138" s="580"/>
      <c r="I138" s="580"/>
      <c r="J138" s="580"/>
      <c r="K138" s="580"/>
    </row>
    <row r="139" ht="20.25" spans="1:11">
      <c r="A139" s="580"/>
      <c r="B139" s="580"/>
      <c r="C139" s="580"/>
      <c r="D139" s="580"/>
      <c r="E139" s="581"/>
      <c r="F139" s="602"/>
      <c r="G139" s="580"/>
      <c r="H139" s="580"/>
      <c r="I139" s="580"/>
      <c r="J139" s="580"/>
      <c r="K139" s="580"/>
    </row>
    <row r="140" ht="20.25" spans="1:11">
      <c r="A140" s="580"/>
      <c r="B140" s="580"/>
      <c r="C140" s="580"/>
      <c r="D140" s="580"/>
      <c r="E140" s="581"/>
      <c r="F140" s="602"/>
      <c r="G140" s="580"/>
      <c r="H140" s="580"/>
      <c r="I140" s="580"/>
      <c r="J140" s="580"/>
      <c r="K140" s="580"/>
    </row>
    <row r="141" ht="20.25" spans="1:11">
      <c r="A141" s="580"/>
      <c r="B141" s="580"/>
      <c r="C141" s="580"/>
      <c r="D141" s="580"/>
      <c r="E141" s="581"/>
      <c r="F141" s="602"/>
      <c r="G141" s="580"/>
      <c r="H141" s="580"/>
      <c r="I141" s="580"/>
      <c r="J141" s="580"/>
      <c r="K141" s="580"/>
    </row>
    <row r="142" ht="20.25" spans="1:11">
      <c r="A142" s="580"/>
      <c r="B142" s="580"/>
      <c r="C142" s="580"/>
      <c r="D142" s="580"/>
      <c r="E142" s="581"/>
      <c r="F142" s="602"/>
      <c r="G142" s="580"/>
      <c r="H142" s="580"/>
      <c r="I142" s="580"/>
      <c r="J142" s="580"/>
      <c r="K142" s="580"/>
    </row>
    <row r="143" ht="20.25" spans="1:11">
      <c r="A143" s="580"/>
      <c r="B143" s="580"/>
      <c r="C143" s="580"/>
      <c r="D143" s="580"/>
      <c r="E143" s="581"/>
      <c r="F143" s="602"/>
      <c r="G143" s="580"/>
      <c r="H143" s="580"/>
      <c r="I143" s="580"/>
      <c r="J143" s="580"/>
      <c r="K143" s="580"/>
    </row>
    <row r="144" ht="20.25" spans="1:11">
      <c r="A144" s="580"/>
      <c r="B144" s="580"/>
      <c r="C144" s="580"/>
      <c r="D144" s="580"/>
      <c r="E144" s="581"/>
      <c r="F144" s="602"/>
      <c r="G144" s="580"/>
      <c r="H144" s="580"/>
      <c r="I144" s="580"/>
      <c r="J144" s="580"/>
      <c r="K144" s="580"/>
    </row>
    <row r="145" ht="20.25" spans="1:11">
      <c r="A145" s="580"/>
      <c r="B145" s="580"/>
      <c r="C145" s="580"/>
      <c r="D145" s="580"/>
      <c r="E145" s="581"/>
      <c r="F145" s="602"/>
      <c r="G145" s="580"/>
      <c r="H145" s="580"/>
      <c r="I145" s="580"/>
      <c r="J145" s="580"/>
      <c r="K145" s="580"/>
    </row>
    <row r="146" ht="20.25" spans="1:11">
      <c r="A146" s="580"/>
      <c r="B146" s="580"/>
      <c r="C146" s="580"/>
      <c r="D146" s="580"/>
      <c r="E146" s="581"/>
      <c r="F146" s="602"/>
      <c r="G146" s="580"/>
      <c r="H146" s="580"/>
      <c r="I146" s="580"/>
      <c r="J146" s="580"/>
      <c r="K146" s="580"/>
    </row>
    <row r="147" ht="20.25" spans="1:11">
      <c r="A147" s="580"/>
      <c r="B147" s="580"/>
      <c r="C147" s="580"/>
      <c r="D147" s="580"/>
      <c r="E147" s="581"/>
      <c r="F147" s="602"/>
      <c r="G147" s="580"/>
      <c r="H147" s="580"/>
      <c r="I147" s="580"/>
      <c r="J147" s="580"/>
      <c r="K147" s="580"/>
    </row>
    <row r="148" ht="20.25" spans="1:11">
      <c r="A148" s="580"/>
      <c r="B148" s="580"/>
      <c r="C148" s="580"/>
      <c r="D148" s="580"/>
      <c r="E148" s="581"/>
      <c r="F148" s="602"/>
      <c r="G148" s="580"/>
      <c r="H148" s="580"/>
      <c r="I148" s="580"/>
      <c r="J148" s="580"/>
      <c r="K148" s="580"/>
    </row>
    <row r="149" ht="20.25" spans="1:11">
      <c r="A149" s="580"/>
      <c r="B149" s="580"/>
      <c r="C149" s="580"/>
      <c r="D149" s="580"/>
      <c r="E149" s="581"/>
      <c r="F149" s="602"/>
      <c r="G149" s="580"/>
      <c r="H149" s="580"/>
      <c r="I149" s="580"/>
      <c r="J149" s="580"/>
      <c r="K149" s="580"/>
    </row>
    <row r="150" ht="20.25" spans="1:11">
      <c r="A150" s="580"/>
      <c r="B150" s="580"/>
      <c r="C150" s="580"/>
      <c r="D150" s="580"/>
      <c r="E150" s="581"/>
      <c r="F150" s="602"/>
      <c r="G150" s="580"/>
      <c r="H150" s="580"/>
      <c r="I150" s="580"/>
      <c r="J150" s="580"/>
      <c r="K150" s="580"/>
    </row>
    <row r="151" ht="20.25" spans="1:11">
      <c r="A151" s="580"/>
      <c r="B151" s="580"/>
      <c r="C151" s="580"/>
      <c r="D151" s="580"/>
      <c r="E151" s="581"/>
      <c r="F151" s="602"/>
      <c r="G151" s="580"/>
      <c r="H151" s="580"/>
      <c r="I151" s="580"/>
      <c r="J151" s="580"/>
      <c r="K151" s="580"/>
    </row>
    <row r="152" ht="20.25" spans="1:11">
      <c r="A152" s="580"/>
      <c r="B152" s="580"/>
      <c r="C152" s="580"/>
      <c r="D152" s="580"/>
      <c r="E152" s="581"/>
      <c r="F152" s="602"/>
      <c r="G152" s="580"/>
      <c r="H152" s="580"/>
      <c r="I152" s="580"/>
      <c r="J152" s="580"/>
      <c r="K152" s="580"/>
    </row>
    <row r="153" ht="20.25" spans="1:11">
      <c r="A153" s="580"/>
      <c r="B153" s="580"/>
      <c r="C153" s="580"/>
      <c r="D153" s="580"/>
      <c r="E153" s="581"/>
      <c r="F153" s="602"/>
      <c r="G153" s="580"/>
      <c r="H153" s="580"/>
      <c r="I153" s="580"/>
      <c r="J153" s="580"/>
      <c r="K153" s="580"/>
    </row>
    <row r="154" ht="20.25" spans="1:11">
      <c r="A154" s="580"/>
      <c r="B154" s="580"/>
      <c r="C154" s="580"/>
      <c r="D154" s="580"/>
      <c r="E154" s="581"/>
      <c r="F154" s="602"/>
      <c r="G154" s="580"/>
      <c r="H154" s="580"/>
      <c r="I154" s="580"/>
      <c r="J154" s="580"/>
      <c r="K154" s="580"/>
    </row>
    <row r="155" ht="20.25" spans="1:11">
      <c r="A155" s="580"/>
      <c r="B155" s="580"/>
      <c r="C155" s="580"/>
      <c r="D155" s="580"/>
      <c r="E155" s="581"/>
      <c r="F155" s="602"/>
      <c r="G155" s="580"/>
      <c r="H155" s="580"/>
      <c r="I155" s="580"/>
      <c r="J155" s="580"/>
      <c r="K155" s="580"/>
    </row>
    <row r="156" ht="20.25" spans="1:11">
      <c r="A156" s="580"/>
      <c r="B156" s="580"/>
      <c r="C156" s="580"/>
      <c r="D156" s="580"/>
      <c r="E156" s="581"/>
      <c r="F156" s="602"/>
      <c r="G156" s="580"/>
      <c r="H156" s="580"/>
      <c r="I156" s="580"/>
      <c r="J156" s="580"/>
      <c r="K156" s="580"/>
    </row>
    <row r="157" ht="20.25" spans="1:11">
      <c r="A157" s="580"/>
      <c r="B157" s="580"/>
      <c r="C157" s="580"/>
      <c r="D157" s="580"/>
      <c r="E157" s="581"/>
      <c r="F157" s="602"/>
      <c r="G157" s="580"/>
      <c r="H157" s="580"/>
      <c r="I157" s="580"/>
      <c r="J157" s="580"/>
      <c r="K157" s="580"/>
    </row>
    <row r="158" ht="20.25" spans="1:11">
      <c r="A158" s="580"/>
      <c r="B158" s="580"/>
      <c r="C158" s="580"/>
      <c r="D158" s="580"/>
      <c r="E158" s="581"/>
      <c r="F158" s="602"/>
      <c r="G158" s="580"/>
      <c r="H158" s="580"/>
      <c r="I158" s="580"/>
      <c r="J158" s="580"/>
      <c r="K158" s="580"/>
    </row>
    <row r="159" ht="20.25" spans="1:11">
      <c r="A159" s="580"/>
      <c r="B159" s="580"/>
      <c r="C159" s="580"/>
      <c r="D159" s="580"/>
      <c r="E159" s="581"/>
      <c r="F159" s="602"/>
      <c r="G159" s="580"/>
      <c r="H159" s="580"/>
      <c r="I159" s="580"/>
      <c r="J159" s="580"/>
      <c r="K159" s="580"/>
    </row>
    <row r="160" ht="20.25" spans="1:11">
      <c r="A160" s="580"/>
      <c r="B160" s="580"/>
      <c r="C160" s="580"/>
      <c r="D160" s="580"/>
      <c r="E160" s="581"/>
      <c r="F160" s="602"/>
      <c r="G160" s="580"/>
      <c r="H160" s="580"/>
      <c r="I160" s="580"/>
      <c r="J160" s="580"/>
      <c r="K160" s="580"/>
    </row>
    <row r="161" ht="20.25" spans="1:11">
      <c r="A161" s="580"/>
      <c r="B161" s="580"/>
      <c r="C161" s="580"/>
      <c r="D161" s="580"/>
      <c r="E161" s="581"/>
      <c r="F161" s="602"/>
      <c r="G161" s="580"/>
      <c r="H161" s="580"/>
      <c r="I161" s="580"/>
      <c r="J161" s="580"/>
      <c r="K161" s="580"/>
    </row>
    <row r="162" ht="20.25" spans="1:11">
      <c r="A162" s="580"/>
      <c r="B162" s="580"/>
      <c r="C162" s="580"/>
      <c r="D162" s="580"/>
      <c r="E162" s="581"/>
      <c r="F162" s="602"/>
      <c r="G162" s="580"/>
      <c r="H162" s="580"/>
      <c r="I162" s="580"/>
      <c r="J162" s="580"/>
      <c r="K162" s="580"/>
    </row>
    <row r="163" ht="20.25" spans="1:11">
      <c r="A163" s="580"/>
      <c r="B163" s="580"/>
      <c r="C163" s="580"/>
      <c r="D163" s="580"/>
      <c r="E163" s="581"/>
      <c r="F163" s="602"/>
      <c r="G163" s="580"/>
      <c r="H163" s="580"/>
      <c r="I163" s="580"/>
      <c r="J163" s="580"/>
      <c r="K163" s="580"/>
    </row>
    <row r="164" ht="20.25" spans="1:11">
      <c r="A164" s="580"/>
      <c r="B164" s="580"/>
      <c r="C164" s="580"/>
      <c r="D164" s="580"/>
      <c r="E164" s="581"/>
      <c r="F164" s="602"/>
      <c r="G164" s="580"/>
      <c r="H164" s="580"/>
      <c r="I164" s="580"/>
      <c r="J164" s="580"/>
      <c r="K164" s="580"/>
    </row>
    <row r="165" ht="20.25" spans="1:11">
      <c r="A165" s="580"/>
      <c r="B165" s="580"/>
      <c r="C165" s="580"/>
      <c r="D165" s="580"/>
      <c r="E165" s="581"/>
      <c r="F165" s="602"/>
      <c r="G165" s="580"/>
      <c r="H165" s="580"/>
      <c r="I165" s="580"/>
      <c r="J165" s="580"/>
      <c r="K165" s="580"/>
    </row>
    <row r="166" ht="20.25" spans="1:11">
      <c r="A166" s="580"/>
      <c r="B166" s="580"/>
      <c r="C166" s="580"/>
      <c r="D166" s="580"/>
      <c r="E166" s="581"/>
      <c r="F166" s="602"/>
      <c r="G166" s="580"/>
      <c r="H166" s="580"/>
      <c r="I166" s="580"/>
      <c r="J166" s="580"/>
      <c r="K166" s="580"/>
    </row>
    <row r="167" ht="20.25" spans="1:11">
      <c r="A167" s="580"/>
      <c r="B167" s="580"/>
      <c r="C167" s="580"/>
      <c r="D167" s="580"/>
      <c r="E167" s="581"/>
      <c r="F167" s="602"/>
      <c r="G167" s="580"/>
      <c r="H167" s="580"/>
      <c r="I167" s="580"/>
      <c r="J167" s="580"/>
      <c r="K167" s="580"/>
    </row>
    <row r="168" ht="20.25" spans="1:11">
      <c r="A168" s="580"/>
      <c r="B168" s="580"/>
      <c r="C168" s="580"/>
      <c r="D168" s="580"/>
      <c r="E168" s="581"/>
      <c r="F168" s="602"/>
      <c r="G168" s="580"/>
      <c r="H168" s="580"/>
      <c r="I168" s="580"/>
      <c r="J168" s="580"/>
      <c r="K168" s="580"/>
    </row>
    <row r="169" ht="20.25" spans="1:11">
      <c r="A169" s="580"/>
      <c r="B169" s="580"/>
      <c r="C169" s="580"/>
      <c r="D169" s="580"/>
      <c r="E169" s="581"/>
      <c r="F169" s="602"/>
      <c r="G169" s="580"/>
      <c r="H169" s="580"/>
      <c r="I169" s="580"/>
      <c r="J169" s="580"/>
      <c r="K169" s="580"/>
    </row>
    <row r="170" ht="20.25" spans="1:11">
      <c r="A170" s="580"/>
      <c r="B170" s="580"/>
      <c r="C170" s="580"/>
      <c r="D170" s="580"/>
      <c r="E170" s="581"/>
      <c r="F170" s="602"/>
      <c r="G170" s="580"/>
      <c r="H170" s="580"/>
      <c r="I170" s="580"/>
      <c r="J170" s="580"/>
      <c r="K170" s="580"/>
    </row>
    <row r="171" ht="20.25" spans="1:11">
      <c r="A171" s="580"/>
      <c r="B171" s="580"/>
      <c r="C171" s="580"/>
      <c r="D171" s="580"/>
      <c r="E171" s="581"/>
      <c r="F171" s="602"/>
      <c r="G171" s="580"/>
      <c r="H171" s="580"/>
      <c r="I171" s="580"/>
      <c r="J171" s="580"/>
      <c r="K171" s="580"/>
    </row>
    <row r="172" ht="20.25" spans="1:11">
      <c r="A172" s="580"/>
      <c r="B172" s="580"/>
      <c r="C172" s="580"/>
      <c r="D172" s="580"/>
      <c r="E172" s="581"/>
      <c r="F172" s="602"/>
      <c r="G172" s="580"/>
      <c r="H172" s="580"/>
      <c r="I172" s="580"/>
      <c r="J172" s="580"/>
      <c r="K172" s="580"/>
    </row>
    <row r="173" ht="20.25" spans="1:11">
      <c r="A173" s="580"/>
      <c r="B173" s="580"/>
      <c r="C173" s="580"/>
      <c r="D173" s="580"/>
      <c r="E173" s="581"/>
      <c r="F173" s="602"/>
      <c r="G173" s="580"/>
      <c r="H173" s="580"/>
      <c r="I173" s="580"/>
      <c r="J173" s="580"/>
      <c r="K173" s="580"/>
    </row>
    <row r="174" ht="20.25" spans="1:11">
      <c r="A174" s="580"/>
      <c r="B174" s="580"/>
      <c r="C174" s="580"/>
      <c r="D174" s="580"/>
      <c r="E174" s="581"/>
      <c r="F174" s="602"/>
      <c r="G174" s="580"/>
      <c r="H174" s="580"/>
      <c r="I174" s="580"/>
      <c r="J174" s="580"/>
      <c r="K174" s="580"/>
    </row>
    <row r="175" ht="20.25" spans="1:11">
      <c r="A175" s="580"/>
      <c r="B175" s="580"/>
      <c r="C175" s="580"/>
      <c r="D175" s="580"/>
      <c r="E175" s="581"/>
      <c r="F175" s="602"/>
      <c r="G175" s="580"/>
      <c r="H175" s="580"/>
      <c r="I175" s="580"/>
      <c r="J175" s="580"/>
      <c r="K175" s="580"/>
    </row>
    <row r="176" ht="20.25" spans="1:11">
      <c r="A176" s="580"/>
      <c r="B176" s="580"/>
      <c r="C176" s="580"/>
      <c r="D176" s="580"/>
      <c r="E176" s="581"/>
      <c r="F176" s="602"/>
      <c r="G176" s="580"/>
      <c r="H176" s="580"/>
      <c r="I176" s="580"/>
      <c r="J176" s="580"/>
      <c r="K176" s="580"/>
    </row>
    <row r="177" ht="20.25" spans="1:11">
      <c r="A177" s="580"/>
      <c r="B177" s="580"/>
      <c r="C177" s="580"/>
      <c r="D177" s="580"/>
      <c r="E177" s="581"/>
      <c r="F177" s="602"/>
      <c r="G177" s="580"/>
      <c r="H177" s="580"/>
      <c r="I177" s="580"/>
      <c r="J177" s="580"/>
      <c r="K177" s="580"/>
    </row>
    <row r="178" ht="20.25" spans="1:11">
      <c r="A178" s="580"/>
      <c r="B178" s="580"/>
      <c r="C178" s="580"/>
      <c r="D178" s="580"/>
      <c r="E178" s="581"/>
      <c r="F178" s="602"/>
      <c r="G178" s="580"/>
      <c r="H178" s="580"/>
      <c r="I178" s="580"/>
      <c r="J178" s="580"/>
      <c r="K178" s="580"/>
    </row>
    <row r="179" ht="20.25" spans="1:11">
      <c r="A179" s="580"/>
      <c r="B179" s="580"/>
      <c r="C179" s="580"/>
      <c r="D179" s="580"/>
      <c r="E179" s="581"/>
      <c r="F179" s="602"/>
      <c r="G179" s="580"/>
      <c r="H179" s="580"/>
      <c r="I179" s="580"/>
      <c r="J179" s="580"/>
      <c r="K179" s="580"/>
    </row>
    <row r="180" ht="20.25" spans="1:11">
      <c r="A180" s="580"/>
      <c r="B180" s="580"/>
      <c r="C180" s="580"/>
      <c r="D180" s="580"/>
      <c r="E180" s="581"/>
      <c r="F180" s="602"/>
      <c r="G180" s="580"/>
      <c r="H180" s="580"/>
      <c r="I180" s="580"/>
      <c r="J180" s="580"/>
      <c r="K180" s="580"/>
    </row>
    <row r="181" ht="20.25" spans="1:11">
      <c r="A181" s="580"/>
      <c r="B181" s="580"/>
      <c r="C181" s="580"/>
      <c r="D181" s="580"/>
      <c r="E181" s="581"/>
      <c r="F181" s="602"/>
      <c r="G181" s="580"/>
      <c r="H181" s="580"/>
      <c r="I181" s="580"/>
      <c r="J181" s="580"/>
      <c r="K181" s="580"/>
    </row>
    <row r="182" ht="20.25" spans="1:11">
      <c r="A182" s="580"/>
      <c r="B182" s="580"/>
      <c r="C182" s="580"/>
      <c r="D182" s="580"/>
      <c r="E182" s="581"/>
      <c r="F182" s="602"/>
      <c r="G182" s="580"/>
      <c r="H182" s="580"/>
      <c r="I182" s="580"/>
      <c r="J182" s="580"/>
      <c r="K182" s="580"/>
    </row>
    <row r="183" ht="20.25" spans="1:11">
      <c r="A183" s="580"/>
      <c r="B183" s="580"/>
      <c r="C183" s="580"/>
      <c r="D183" s="580"/>
      <c r="E183" s="581"/>
      <c r="F183" s="602"/>
      <c r="G183" s="580"/>
      <c r="H183" s="580"/>
      <c r="I183" s="580"/>
      <c r="J183" s="580"/>
      <c r="K183" s="580"/>
    </row>
    <row r="184" ht="20.25" spans="1:11">
      <c r="A184" s="580"/>
      <c r="B184" s="580"/>
      <c r="C184" s="580"/>
      <c r="D184" s="580"/>
      <c r="E184" s="581"/>
      <c r="F184" s="602"/>
      <c r="G184" s="580"/>
      <c r="H184" s="580"/>
      <c r="I184" s="580"/>
      <c r="J184" s="580"/>
      <c r="K184" s="580"/>
    </row>
    <row r="185" ht="20.25" spans="1:11">
      <c r="A185" s="580"/>
      <c r="B185" s="580"/>
      <c r="C185" s="580"/>
      <c r="D185" s="580"/>
      <c r="E185" s="581"/>
      <c r="F185" s="602"/>
      <c r="G185" s="580"/>
      <c r="H185" s="580"/>
      <c r="I185" s="580"/>
      <c r="J185" s="580"/>
      <c r="K185" s="580"/>
    </row>
    <row r="186" ht="20.25" spans="1:11">
      <c r="A186" s="580"/>
      <c r="B186" s="580"/>
      <c r="C186" s="580"/>
      <c r="D186" s="580"/>
      <c r="E186" s="581"/>
      <c r="F186" s="602"/>
      <c r="G186" s="580"/>
      <c r="H186" s="580"/>
      <c r="I186" s="580"/>
      <c r="J186" s="580"/>
      <c r="K186" s="580"/>
    </row>
    <row r="187" ht="20.25" spans="1:11">
      <c r="A187" s="580"/>
      <c r="B187" s="580"/>
      <c r="C187" s="580"/>
      <c r="D187" s="580"/>
      <c r="E187" s="581"/>
      <c r="F187" s="602"/>
      <c r="G187" s="580"/>
      <c r="H187" s="580"/>
      <c r="I187" s="580"/>
      <c r="J187" s="580"/>
      <c r="K187" s="580"/>
    </row>
    <row r="188" ht="20.25" spans="1:11">
      <c r="A188" s="580"/>
      <c r="B188" s="580"/>
      <c r="C188" s="580"/>
      <c r="D188" s="580"/>
      <c r="E188" s="581"/>
      <c r="F188" s="602"/>
      <c r="G188" s="580"/>
      <c r="H188" s="580"/>
      <c r="I188" s="580"/>
      <c r="J188" s="580"/>
      <c r="K188" s="580"/>
    </row>
    <row r="189" ht="20.25" spans="1:11">
      <c r="A189" s="580"/>
      <c r="B189" s="580"/>
      <c r="C189" s="580"/>
      <c r="D189" s="580"/>
      <c r="E189" s="581"/>
      <c r="F189" s="602"/>
      <c r="G189" s="580"/>
      <c r="H189" s="580"/>
      <c r="I189" s="580"/>
      <c r="J189" s="580"/>
      <c r="K189" s="580"/>
    </row>
    <row r="190" ht="20.25" spans="1:11">
      <c r="A190" s="580"/>
      <c r="B190" s="580"/>
      <c r="C190" s="580"/>
      <c r="D190" s="580"/>
      <c r="E190" s="581"/>
      <c r="F190" s="602"/>
      <c r="G190" s="580"/>
      <c r="H190" s="580"/>
      <c r="I190" s="580"/>
      <c r="J190" s="580"/>
      <c r="K190" s="580"/>
    </row>
    <row r="191" ht="20.25" spans="1:11">
      <c r="A191" s="580"/>
      <c r="B191" s="580"/>
      <c r="C191" s="580"/>
      <c r="D191" s="580"/>
      <c r="E191" s="581"/>
      <c r="F191" s="602"/>
      <c r="G191" s="580"/>
      <c r="H191" s="580"/>
      <c r="I191" s="580"/>
      <c r="J191" s="580"/>
      <c r="K191" s="580"/>
    </row>
    <row r="192" ht="20.25" spans="1:11">
      <c r="A192" s="580"/>
      <c r="B192" s="580"/>
      <c r="C192" s="580"/>
      <c r="D192" s="580"/>
      <c r="E192" s="581"/>
      <c r="F192" s="602"/>
      <c r="G192" s="580"/>
      <c r="H192" s="580"/>
      <c r="I192" s="580"/>
      <c r="J192" s="580"/>
      <c r="K192" s="580"/>
    </row>
    <row r="193" ht="20.25" spans="1:11">
      <c r="A193" s="580"/>
      <c r="B193" s="580"/>
      <c r="C193" s="580"/>
      <c r="D193" s="580"/>
      <c r="E193" s="581"/>
      <c r="F193" s="602"/>
      <c r="G193" s="580"/>
      <c r="H193" s="580"/>
      <c r="I193" s="580"/>
      <c r="J193" s="580"/>
      <c r="K193" s="580"/>
    </row>
    <row r="194" ht="20.25" spans="1:11">
      <c r="A194" s="580"/>
      <c r="B194" s="580"/>
      <c r="C194" s="580"/>
      <c r="D194" s="580"/>
      <c r="E194" s="581"/>
      <c r="F194" s="602"/>
      <c r="G194" s="580"/>
      <c r="H194" s="580"/>
      <c r="I194" s="580"/>
      <c r="J194" s="580"/>
      <c r="K194" s="580"/>
    </row>
    <row r="195" ht="20.25" spans="1:11">
      <c r="A195" s="580"/>
      <c r="B195" s="580"/>
      <c r="C195" s="580"/>
      <c r="D195" s="580"/>
      <c r="E195" s="581"/>
      <c r="F195" s="602"/>
      <c r="G195" s="580"/>
      <c r="H195" s="580"/>
      <c r="I195" s="580"/>
      <c r="J195" s="580"/>
      <c r="K195" s="580"/>
    </row>
    <row r="196" ht="20.25" spans="1:11">
      <c r="A196" s="580"/>
      <c r="B196" s="580"/>
      <c r="C196" s="580"/>
      <c r="D196" s="580"/>
      <c r="E196" s="581"/>
      <c r="F196" s="602"/>
      <c r="G196" s="580"/>
      <c r="H196" s="580"/>
      <c r="I196" s="580"/>
      <c r="J196" s="580"/>
      <c r="K196" s="580"/>
    </row>
    <row r="197" ht="20.25" spans="1:11">
      <c r="A197" s="580"/>
      <c r="B197" s="580"/>
      <c r="C197" s="580"/>
      <c r="D197" s="580"/>
      <c r="E197" s="581"/>
      <c r="F197" s="602"/>
      <c r="G197" s="580"/>
      <c r="H197" s="580"/>
      <c r="I197" s="580"/>
      <c r="J197" s="580"/>
      <c r="K197" s="580"/>
    </row>
    <row r="198" ht="20.25" spans="1:11">
      <c r="A198" s="580"/>
      <c r="B198" s="580"/>
      <c r="C198" s="580"/>
      <c r="D198" s="580"/>
      <c r="E198" s="581"/>
      <c r="F198" s="602"/>
      <c r="G198" s="580"/>
      <c r="H198" s="580"/>
      <c r="I198" s="580"/>
      <c r="J198" s="580"/>
      <c r="K198" s="580"/>
    </row>
    <row r="199" ht="20.25" spans="1:11">
      <c r="A199" s="580"/>
      <c r="B199" s="580"/>
      <c r="C199" s="580"/>
      <c r="D199" s="580"/>
      <c r="E199" s="581"/>
      <c r="F199" s="602"/>
      <c r="G199" s="580"/>
      <c r="H199" s="580"/>
      <c r="I199" s="580"/>
      <c r="J199" s="580"/>
      <c r="K199" s="580"/>
    </row>
    <row r="200" ht="20.25" spans="1:11">
      <c r="A200" s="580"/>
      <c r="B200" s="580"/>
      <c r="C200" s="580"/>
      <c r="D200" s="580"/>
      <c r="E200" s="581"/>
      <c r="F200" s="602"/>
      <c r="G200" s="580"/>
      <c r="H200" s="580"/>
      <c r="I200" s="580"/>
      <c r="J200" s="580"/>
      <c r="K200" s="580"/>
    </row>
    <row r="201" ht="20.25" spans="1:11">
      <c r="A201" s="580"/>
      <c r="B201" s="580"/>
      <c r="C201" s="580"/>
      <c r="D201" s="580"/>
      <c r="E201" s="581"/>
      <c r="F201" s="602"/>
      <c r="G201" s="580"/>
      <c r="H201" s="580"/>
      <c r="I201" s="580"/>
      <c r="J201" s="580"/>
      <c r="K201" s="580"/>
    </row>
    <row r="202" ht="20.25" spans="1:11">
      <c r="A202" s="580"/>
      <c r="B202" s="580"/>
      <c r="C202" s="580"/>
      <c r="D202" s="580"/>
      <c r="E202" s="581"/>
      <c r="F202" s="602"/>
      <c r="G202" s="580"/>
      <c r="H202" s="580"/>
      <c r="I202" s="580"/>
      <c r="J202" s="580"/>
      <c r="K202" s="580"/>
    </row>
    <row r="203" ht="20.25" spans="1:11">
      <c r="A203" s="580"/>
      <c r="B203" s="580"/>
      <c r="C203" s="580"/>
      <c r="D203" s="580"/>
      <c r="E203" s="581"/>
      <c r="F203" s="602"/>
      <c r="G203" s="580"/>
      <c r="H203" s="580"/>
      <c r="I203" s="580"/>
      <c r="J203" s="580"/>
      <c r="K203" s="580"/>
    </row>
    <row r="204" ht="20.25" spans="1:11">
      <c r="A204" s="580"/>
      <c r="B204" s="580"/>
      <c r="C204" s="580"/>
      <c r="D204" s="580"/>
      <c r="E204" s="581"/>
      <c r="F204" s="602"/>
      <c r="G204" s="580"/>
      <c r="H204" s="580"/>
      <c r="I204" s="580"/>
      <c r="J204" s="580"/>
      <c r="K204" s="580"/>
    </row>
    <row r="205" ht="20.25" spans="1:11">
      <c r="A205" s="580"/>
      <c r="B205" s="580"/>
      <c r="C205" s="580"/>
      <c r="D205" s="580"/>
      <c r="E205" s="581"/>
      <c r="F205" s="602"/>
      <c r="G205" s="580"/>
      <c r="H205" s="580"/>
      <c r="I205" s="580"/>
      <c r="J205" s="580"/>
      <c r="K205" s="580"/>
    </row>
    <row r="206" ht="20.25" spans="1:11">
      <c r="A206" s="580"/>
      <c r="B206" s="580"/>
      <c r="C206" s="580"/>
      <c r="D206" s="580"/>
      <c r="E206" s="581"/>
      <c r="F206" s="602"/>
      <c r="G206" s="580"/>
      <c r="H206" s="580"/>
      <c r="I206" s="580"/>
      <c r="J206" s="580"/>
      <c r="K206" s="580"/>
    </row>
    <row r="207" ht="20.25" spans="1:11">
      <c r="A207" s="580"/>
      <c r="B207" s="580"/>
      <c r="C207" s="580"/>
      <c r="D207" s="580"/>
      <c r="E207" s="581"/>
      <c r="F207" s="602"/>
      <c r="G207" s="580"/>
      <c r="H207" s="580"/>
      <c r="I207" s="580"/>
      <c r="J207" s="580"/>
      <c r="K207" s="580"/>
    </row>
    <row r="208" ht="20.25" spans="1:11">
      <c r="A208" s="580"/>
      <c r="B208" s="580"/>
      <c r="C208" s="580"/>
      <c r="D208" s="580"/>
      <c r="E208" s="581"/>
      <c r="F208" s="602"/>
      <c r="G208" s="580"/>
      <c r="H208" s="580"/>
      <c r="I208" s="580"/>
      <c r="J208" s="580"/>
      <c r="K208" s="580"/>
    </row>
    <row r="209" ht="20.25" spans="1:11">
      <c r="A209" s="580"/>
      <c r="B209" s="580"/>
      <c r="C209" s="580"/>
      <c r="D209" s="580"/>
      <c r="E209" s="581"/>
      <c r="F209" s="602"/>
      <c r="G209" s="580"/>
      <c r="H209" s="580"/>
      <c r="I209" s="580"/>
      <c r="J209" s="580"/>
      <c r="K209" s="580"/>
    </row>
    <row r="210" ht="20.25" spans="1:11">
      <c r="A210" s="580"/>
      <c r="B210" s="580"/>
      <c r="C210" s="580"/>
      <c r="D210" s="580"/>
      <c r="E210" s="581"/>
      <c r="F210" s="602"/>
      <c r="G210" s="580"/>
      <c r="H210" s="580"/>
      <c r="I210" s="580"/>
      <c r="J210" s="580"/>
      <c r="K210" s="580"/>
    </row>
    <row r="211" ht="20.25" spans="1:11">
      <c r="A211" s="580"/>
      <c r="B211" s="580"/>
      <c r="C211" s="580"/>
      <c r="D211" s="580"/>
      <c r="E211" s="581"/>
      <c r="F211" s="602"/>
      <c r="G211" s="580"/>
      <c r="H211" s="580"/>
      <c r="I211" s="580"/>
      <c r="J211" s="580"/>
      <c r="K211" s="580"/>
    </row>
    <row r="212" ht="20.25" spans="1:11">
      <c r="A212" s="580"/>
      <c r="B212" s="580"/>
      <c r="C212" s="580"/>
      <c r="D212" s="580"/>
      <c r="E212" s="581"/>
      <c r="F212" s="602"/>
      <c r="G212" s="580"/>
      <c r="H212" s="580"/>
      <c r="I212" s="580"/>
      <c r="J212" s="580"/>
      <c r="K212" s="580"/>
    </row>
    <row r="213" ht="20.25" spans="1:11">
      <c r="A213" s="580"/>
      <c r="B213" s="580"/>
      <c r="C213" s="580"/>
      <c r="D213" s="580"/>
      <c r="E213" s="581"/>
      <c r="F213" s="602"/>
      <c r="G213" s="580"/>
      <c r="H213" s="580"/>
      <c r="I213" s="580"/>
      <c r="J213" s="580"/>
      <c r="K213" s="580"/>
    </row>
    <row r="214" ht="20.25" spans="1:11">
      <c r="A214" s="580"/>
      <c r="B214" s="580"/>
      <c r="C214" s="580"/>
      <c r="D214" s="580"/>
      <c r="E214" s="581"/>
      <c r="F214" s="602"/>
      <c r="G214" s="580"/>
      <c r="H214" s="580"/>
      <c r="I214" s="580"/>
      <c r="J214" s="580"/>
      <c r="K214" s="580"/>
    </row>
    <row r="215" ht="20.25" spans="1:11">
      <c r="A215" s="580"/>
      <c r="B215" s="580"/>
      <c r="C215" s="580"/>
      <c r="D215" s="580"/>
      <c r="E215" s="581"/>
      <c r="F215" s="602"/>
      <c r="G215" s="580"/>
      <c r="H215" s="580"/>
      <c r="I215" s="580"/>
      <c r="J215" s="580"/>
      <c r="K215" s="580"/>
    </row>
    <row r="216" ht="20.25" spans="1:11">
      <c r="A216" s="580"/>
      <c r="B216" s="580"/>
      <c r="C216" s="580"/>
      <c r="D216" s="580"/>
      <c r="E216" s="581"/>
      <c r="F216" s="602"/>
      <c r="G216" s="580"/>
      <c r="H216" s="580"/>
      <c r="I216" s="580"/>
      <c r="J216" s="580"/>
      <c r="K216" s="580"/>
    </row>
    <row r="217" ht="20.25" spans="1:11">
      <c r="A217" s="580"/>
      <c r="B217" s="580"/>
      <c r="C217" s="580"/>
      <c r="D217" s="580"/>
      <c r="E217" s="581"/>
      <c r="F217" s="602"/>
      <c r="G217" s="580"/>
      <c r="H217" s="580"/>
      <c r="I217" s="580"/>
      <c r="J217" s="580"/>
      <c r="K217" s="580"/>
    </row>
    <row r="218" ht="20.25" spans="1:11">
      <c r="A218" s="580"/>
      <c r="B218" s="580"/>
      <c r="C218" s="580"/>
      <c r="D218" s="580"/>
      <c r="E218" s="581"/>
      <c r="F218" s="602"/>
      <c r="G218" s="580"/>
      <c r="H218" s="580"/>
      <c r="I218" s="580"/>
      <c r="J218" s="580"/>
      <c r="K218" s="580"/>
    </row>
    <row r="219" ht="20.25" spans="1:11">
      <c r="A219" s="580"/>
      <c r="B219" s="580"/>
      <c r="C219" s="580"/>
      <c r="D219" s="580"/>
      <c r="E219" s="581"/>
      <c r="F219" s="602"/>
      <c r="G219" s="580"/>
      <c r="H219" s="580"/>
      <c r="I219" s="580"/>
      <c r="J219" s="580"/>
      <c r="K219" s="580"/>
    </row>
    <row r="220" ht="20.25" spans="1:11">
      <c r="A220" s="580"/>
      <c r="B220" s="580"/>
      <c r="C220" s="580"/>
      <c r="D220" s="580"/>
      <c r="E220" s="581"/>
      <c r="F220" s="602"/>
      <c r="G220" s="580"/>
      <c r="H220" s="580"/>
      <c r="I220" s="580"/>
      <c r="J220" s="580"/>
      <c r="K220" s="580"/>
    </row>
    <row r="221" ht="20.25" spans="1:11">
      <c r="A221" s="580"/>
      <c r="B221" s="580"/>
      <c r="C221" s="580"/>
      <c r="D221" s="580"/>
      <c r="E221" s="581"/>
      <c r="F221" s="602"/>
      <c r="G221" s="580"/>
      <c r="H221" s="580"/>
      <c r="I221" s="580"/>
      <c r="J221" s="580"/>
      <c r="K221" s="580"/>
    </row>
    <row r="222" ht="20.25" spans="1:11">
      <c r="A222" s="580"/>
      <c r="B222" s="580"/>
      <c r="C222" s="580"/>
      <c r="D222" s="580"/>
      <c r="E222" s="581"/>
      <c r="F222" s="602"/>
      <c r="G222" s="580"/>
      <c r="H222" s="580"/>
      <c r="I222" s="580"/>
      <c r="J222" s="580"/>
      <c r="K222" s="580"/>
    </row>
    <row r="223" ht="20.25" spans="1:11">
      <c r="A223" s="580"/>
      <c r="B223" s="580"/>
      <c r="C223" s="580"/>
      <c r="D223" s="580"/>
      <c r="E223" s="581"/>
      <c r="F223" s="602"/>
      <c r="G223" s="580"/>
      <c r="H223" s="580"/>
      <c r="I223" s="580"/>
      <c r="J223" s="580"/>
      <c r="K223" s="580"/>
    </row>
    <row r="224" ht="20.25" spans="1:11">
      <c r="A224" s="580"/>
      <c r="B224" s="580"/>
      <c r="C224" s="580"/>
      <c r="D224" s="580"/>
      <c r="E224" s="581"/>
      <c r="F224" s="602"/>
      <c r="G224" s="580"/>
      <c r="H224" s="580"/>
      <c r="I224" s="580"/>
      <c r="J224" s="580"/>
      <c r="K224" s="580"/>
    </row>
    <row r="225" ht="20.25" spans="1:11">
      <c r="A225" s="580"/>
      <c r="B225" s="580"/>
      <c r="C225" s="580"/>
      <c r="D225" s="580"/>
      <c r="E225" s="581"/>
      <c r="F225" s="602"/>
      <c r="G225" s="580"/>
      <c r="H225" s="580"/>
      <c r="I225" s="580"/>
      <c r="J225" s="580"/>
      <c r="K225" s="580"/>
    </row>
    <row r="226" ht="20.25" spans="1:11">
      <c r="A226" s="580"/>
      <c r="B226" s="580"/>
      <c r="C226" s="580"/>
      <c r="D226" s="580"/>
      <c r="E226" s="581"/>
      <c r="F226" s="602"/>
      <c r="G226" s="580"/>
      <c r="H226" s="580"/>
      <c r="I226" s="580"/>
      <c r="J226" s="580"/>
      <c r="K226" s="580"/>
    </row>
    <row r="227" ht="20.25" spans="1:11">
      <c r="A227" s="580"/>
      <c r="B227" s="580"/>
      <c r="C227" s="580"/>
      <c r="D227" s="580"/>
      <c r="E227" s="581"/>
      <c r="F227" s="602"/>
      <c r="G227" s="580"/>
      <c r="H227" s="580"/>
      <c r="I227" s="580"/>
      <c r="J227" s="580"/>
      <c r="K227" s="580"/>
    </row>
    <row r="228" ht="20.25" spans="1:11">
      <c r="A228" s="580"/>
      <c r="B228" s="580"/>
      <c r="C228" s="580"/>
      <c r="D228" s="580"/>
      <c r="E228" s="581"/>
      <c r="F228" s="602"/>
      <c r="G228" s="580"/>
      <c r="H228" s="580"/>
      <c r="I228" s="580"/>
      <c r="J228" s="580"/>
      <c r="K228" s="580"/>
    </row>
    <row r="229" ht="20.25" spans="1:11">
      <c r="A229" s="580"/>
      <c r="B229" s="580"/>
      <c r="C229" s="580"/>
      <c r="D229" s="580"/>
      <c r="E229" s="581"/>
      <c r="F229" s="602"/>
      <c r="G229" s="580"/>
      <c r="H229" s="580"/>
      <c r="I229" s="580"/>
      <c r="J229" s="580"/>
      <c r="K229" s="580"/>
    </row>
    <row r="230" ht="20.25" spans="1:11">
      <c r="A230" s="580"/>
      <c r="B230" s="580"/>
      <c r="C230" s="580"/>
      <c r="D230" s="580"/>
      <c r="E230" s="581"/>
      <c r="F230" s="602"/>
      <c r="G230" s="580"/>
      <c r="H230" s="580"/>
      <c r="I230" s="580"/>
      <c r="J230" s="580"/>
      <c r="K230" s="580"/>
    </row>
    <row r="231" ht="20.25" spans="1:11">
      <c r="A231" s="580"/>
      <c r="B231" s="580"/>
      <c r="C231" s="580"/>
      <c r="D231" s="580"/>
      <c r="E231" s="581"/>
      <c r="F231" s="602"/>
      <c r="G231" s="580"/>
      <c r="H231" s="580"/>
      <c r="I231" s="580"/>
      <c r="J231" s="580"/>
      <c r="K231" s="580"/>
    </row>
    <row r="232" ht="20.25" spans="1:11">
      <c r="A232" s="580"/>
      <c r="B232" s="580"/>
      <c r="C232" s="580"/>
      <c r="D232" s="580"/>
      <c r="E232" s="581"/>
      <c r="F232" s="602"/>
      <c r="G232" s="580"/>
      <c r="H232" s="580"/>
      <c r="I232" s="580"/>
      <c r="J232" s="580"/>
      <c r="K232" s="580"/>
    </row>
    <row r="233" ht="20.25" spans="1:11">
      <c r="A233" s="580"/>
      <c r="B233" s="580"/>
      <c r="C233" s="580"/>
      <c r="D233" s="580"/>
      <c r="E233" s="581"/>
      <c r="F233" s="602"/>
      <c r="G233" s="580"/>
      <c r="H233" s="580"/>
      <c r="I233" s="580"/>
      <c r="J233" s="580"/>
      <c r="K233" s="580"/>
    </row>
    <row r="234" ht="20.25" spans="1:11">
      <c r="A234" s="580"/>
      <c r="B234" s="580"/>
      <c r="C234" s="580"/>
      <c r="D234" s="580"/>
      <c r="E234" s="581"/>
      <c r="F234" s="602"/>
      <c r="G234" s="580"/>
      <c r="H234" s="580"/>
      <c r="I234" s="580"/>
      <c r="J234" s="580"/>
      <c r="K234" s="580"/>
    </row>
    <row r="235" ht="20.25" spans="1:11">
      <c r="A235" s="580"/>
      <c r="B235" s="580"/>
      <c r="C235" s="580"/>
      <c r="D235" s="580"/>
      <c r="E235" s="581"/>
      <c r="F235" s="602"/>
      <c r="G235" s="580"/>
      <c r="H235" s="580"/>
      <c r="I235" s="580"/>
      <c r="J235" s="580"/>
      <c r="K235" s="580"/>
    </row>
    <row r="236" ht="20.25" spans="1:11">
      <c r="A236" s="580"/>
      <c r="B236" s="580"/>
      <c r="C236" s="580"/>
      <c r="D236" s="580"/>
      <c r="E236" s="581"/>
      <c r="F236" s="602"/>
      <c r="G236" s="580"/>
      <c r="H236" s="580"/>
      <c r="I236" s="580"/>
      <c r="J236" s="580"/>
      <c r="K236" s="580"/>
    </row>
    <row r="237" ht="20.25" spans="1:11">
      <c r="A237" s="580"/>
      <c r="B237" s="580"/>
      <c r="C237" s="580"/>
      <c r="D237" s="580"/>
      <c r="E237" s="581"/>
      <c r="F237" s="602"/>
      <c r="G237" s="580"/>
      <c r="H237" s="580"/>
      <c r="I237" s="580"/>
      <c r="J237" s="580"/>
      <c r="K237" s="580"/>
    </row>
    <row r="238" ht="20.25" spans="1:11">
      <c r="A238" s="580"/>
      <c r="B238" s="580"/>
      <c r="C238" s="580"/>
      <c r="D238" s="580"/>
      <c r="E238" s="581"/>
      <c r="F238" s="602"/>
      <c r="G238" s="580"/>
      <c r="H238" s="580"/>
      <c r="I238" s="580"/>
      <c r="J238" s="580"/>
      <c r="K238" s="580"/>
    </row>
    <row r="239" ht="20.25" spans="1:11">
      <c r="A239" s="580"/>
      <c r="B239" s="580"/>
      <c r="C239" s="580"/>
      <c r="D239" s="580"/>
      <c r="E239" s="581"/>
      <c r="F239" s="602"/>
      <c r="G239" s="580"/>
      <c r="H239" s="580"/>
      <c r="I239" s="580"/>
      <c r="J239" s="580"/>
      <c r="K239" s="580"/>
    </row>
    <row r="240" ht="20.25" spans="1:11">
      <c r="A240" s="580"/>
      <c r="B240" s="580"/>
      <c r="C240" s="580"/>
      <c r="D240" s="580"/>
      <c r="E240" s="581"/>
      <c r="F240" s="602"/>
      <c r="G240" s="580"/>
      <c r="H240" s="580"/>
      <c r="I240" s="580"/>
      <c r="J240" s="580"/>
      <c r="K240" s="580"/>
    </row>
    <row r="241" ht="20.25" spans="1:11">
      <c r="A241" s="580"/>
      <c r="B241" s="580"/>
      <c r="C241" s="580"/>
      <c r="D241" s="580"/>
      <c r="E241" s="581"/>
      <c r="F241" s="602"/>
      <c r="G241" s="580"/>
      <c r="H241" s="580"/>
      <c r="I241" s="580"/>
      <c r="J241" s="580"/>
      <c r="K241" s="580"/>
    </row>
    <row r="242" ht="20.25" spans="1:11">
      <c r="A242" s="580"/>
      <c r="B242" s="580"/>
      <c r="C242" s="580"/>
      <c r="D242" s="580"/>
      <c r="E242" s="581"/>
      <c r="F242" s="602"/>
      <c r="G242" s="580"/>
      <c r="H242" s="580"/>
      <c r="I242" s="580"/>
      <c r="J242" s="580"/>
      <c r="K242" s="580"/>
    </row>
    <row r="243" ht="20.25" spans="1:11">
      <c r="A243" s="580"/>
      <c r="B243" s="580"/>
      <c r="C243" s="580"/>
      <c r="D243" s="580"/>
      <c r="E243" s="581"/>
      <c r="F243" s="602"/>
      <c r="G243" s="580"/>
      <c r="H243" s="580"/>
      <c r="I243" s="580"/>
      <c r="J243" s="580"/>
      <c r="K243" s="580"/>
    </row>
    <row r="244" ht="20.25" spans="1:11">
      <c r="A244" s="580"/>
      <c r="B244" s="580"/>
      <c r="C244" s="580"/>
      <c r="D244" s="580"/>
      <c r="E244" s="581"/>
      <c r="F244" s="602"/>
      <c r="G244" s="580"/>
      <c r="H244" s="580"/>
      <c r="I244" s="580"/>
      <c r="J244" s="580"/>
      <c r="K244" s="580"/>
    </row>
    <row r="245" ht="20.25" spans="1:11">
      <c r="A245" s="580"/>
      <c r="B245" s="580"/>
      <c r="C245" s="580"/>
      <c r="D245" s="580"/>
      <c r="E245" s="581"/>
      <c r="F245" s="602"/>
      <c r="G245" s="580"/>
      <c r="H245" s="580"/>
      <c r="I245" s="580"/>
      <c r="J245" s="580"/>
      <c r="K245" s="580"/>
    </row>
    <row r="246" ht="20.25" spans="1:11">
      <c r="A246" s="580"/>
      <c r="B246" s="580"/>
      <c r="C246" s="580"/>
      <c r="D246" s="580"/>
      <c r="E246" s="581"/>
      <c r="F246" s="602"/>
      <c r="G246" s="580"/>
      <c r="H246" s="580"/>
      <c r="I246" s="580"/>
      <c r="J246" s="580"/>
      <c r="K246" s="580"/>
    </row>
    <row r="247" ht="20.25" spans="1:11">
      <c r="A247" s="580"/>
      <c r="B247" s="580"/>
      <c r="C247" s="580"/>
      <c r="D247" s="580"/>
      <c r="E247" s="581"/>
      <c r="F247" s="602"/>
      <c r="G247" s="580"/>
      <c r="H247" s="580"/>
      <c r="I247" s="580"/>
      <c r="J247" s="580"/>
      <c r="K247" s="580"/>
    </row>
    <row r="248" ht="20.25" spans="1:11">
      <c r="A248" s="580"/>
      <c r="B248" s="580"/>
      <c r="C248" s="580"/>
      <c r="D248" s="580"/>
      <c r="E248" s="581"/>
      <c r="F248" s="602"/>
      <c r="G248" s="580"/>
      <c r="H248" s="580"/>
      <c r="I248" s="580"/>
      <c r="J248" s="580"/>
      <c r="K248" s="580"/>
    </row>
    <row r="249" ht="20.25" spans="1:11">
      <c r="A249" s="580"/>
      <c r="B249" s="580"/>
      <c r="C249" s="580"/>
      <c r="D249" s="580"/>
      <c r="E249" s="581"/>
      <c r="F249" s="602"/>
      <c r="G249" s="580"/>
      <c r="H249" s="580"/>
      <c r="I249" s="580"/>
      <c r="J249" s="580"/>
      <c r="K249" s="580"/>
    </row>
    <row r="250" ht="20.25" spans="1:11">
      <c r="A250" s="580"/>
      <c r="B250" s="580"/>
      <c r="C250" s="580"/>
      <c r="D250" s="580"/>
      <c r="E250" s="581"/>
      <c r="F250" s="602"/>
      <c r="G250" s="580"/>
      <c r="H250" s="580"/>
      <c r="I250" s="580"/>
      <c r="J250" s="580"/>
      <c r="K250" s="580"/>
    </row>
    <row r="251" ht="20.25" spans="1:11">
      <c r="A251" s="580"/>
      <c r="B251" s="580"/>
      <c r="C251" s="580"/>
      <c r="D251" s="580"/>
      <c r="E251" s="581"/>
      <c r="F251" s="602"/>
      <c r="G251" s="580"/>
      <c r="H251" s="580"/>
      <c r="I251" s="580"/>
      <c r="J251" s="580"/>
      <c r="K251" s="580"/>
    </row>
    <row r="252" ht="20.25" spans="1:11">
      <c r="A252" s="580"/>
      <c r="B252" s="580"/>
      <c r="C252" s="580"/>
      <c r="D252" s="580"/>
      <c r="E252" s="581"/>
      <c r="F252" s="602"/>
      <c r="G252" s="580"/>
      <c r="H252" s="580"/>
      <c r="I252" s="580"/>
      <c r="J252" s="580"/>
      <c r="K252" s="580"/>
    </row>
    <row r="253" ht="20.25" spans="1:11">
      <c r="A253" s="580"/>
      <c r="B253" s="580"/>
      <c r="C253" s="580"/>
      <c r="D253" s="580"/>
      <c r="E253" s="581"/>
      <c r="F253" s="602"/>
      <c r="G253" s="580"/>
      <c r="H253" s="580"/>
      <c r="I253" s="580"/>
      <c r="J253" s="580"/>
      <c r="K253" s="580"/>
    </row>
    <row r="254" ht="20.25" spans="1:11">
      <c r="A254" s="580"/>
      <c r="B254" s="580"/>
      <c r="C254" s="580"/>
      <c r="D254" s="580"/>
      <c r="E254" s="581"/>
      <c r="F254" s="602"/>
      <c r="G254" s="580"/>
      <c r="H254" s="580"/>
      <c r="I254" s="580"/>
      <c r="J254" s="580"/>
      <c r="K254" s="580"/>
    </row>
    <row r="255" ht="20.25" spans="1:11">
      <c r="A255" s="580"/>
      <c r="B255" s="580"/>
      <c r="C255" s="580"/>
      <c r="D255" s="580"/>
      <c r="E255" s="581"/>
      <c r="F255" s="602"/>
      <c r="G255" s="580"/>
      <c r="H255" s="580"/>
      <c r="I255" s="580"/>
      <c r="J255" s="580"/>
      <c r="K255" s="580"/>
    </row>
    <row r="256" ht="20.25" spans="1:11">
      <c r="A256" s="580"/>
      <c r="B256" s="580"/>
      <c r="C256" s="580"/>
      <c r="D256" s="580"/>
      <c r="E256" s="581"/>
      <c r="F256" s="602"/>
      <c r="G256" s="580"/>
      <c r="H256" s="580"/>
      <c r="I256" s="580"/>
      <c r="J256" s="580"/>
      <c r="K256" s="580"/>
    </row>
    <row r="257" ht="20.25" spans="1:11">
      <c r="A257" s="580"/>
      <c r="B257" s="580"/>
      <c r="C257" s="580"/>
      <c r="D257" s="580"/>
      <c r="E257" s="581"/>
      <c r="F257" s="602"/>
      <c r="G257" s="580"/>
      <c r="H257" s="580"/>
      <c r="I257" s="580"/>
      <c r="J257" s="580"/>
      <c r="K257" s="580"/>
    </row>
    <row r="258" ht="20.25" spans="1:11">
      <c r="A258" s="580"/>
      <c r="B258" s="580"/>
      <c r="C258" s="580"/>
      <c r="D258" s="580"/>
      <c r="E258" s="581"/>
      <c r="F258" s="602"/>
      <c r="G258" s="580"/>
      <c r="H258" s="580"/>
      <c r="I258" s="580"/>
      <c r="J258" s="580"/>
      <c r="K258" s="580"/>
    </row>
    <row r="259" ht="20.25" spans="1:11">
      <c r="A259" s="580"/>
      <c r="B259" s="580"/>
      <c r="C259" s="580"/>
      <c r="D259" s="580"/>
      <c r="E259" s="581"/>
      <c r="F259" s="602"/>
      <c r="G259" s="580"/>
      <c r="H259" s="580"/>
      <c r="I259" s="580"/>
      <c r="J259" s="580"/>
      <c r="K259" s="580"/>
    </row>
    <row r="260" ht="20.25" spans="1:11">
      <c r="A260" s="580"/>
      <c r="B260" s="580"/>
      <c r="C260" s="580"/>
      <c r="D260" s="580"/>
      <c r="E260" s="581"/>
      <c r="F260" s="602"/>
      <c r="G260" s="580"/>
      <c r="H260" s="580"/>
      <c r="I260" s="580"/>
      <c r="J260" s="580"/>
      <c r="K260" s="580"/>
    </row>
    <row r="261" ht="20.25" spans="1:11">
      <c r="A261" s="580"/>
      <c r="B261" s="580"/>
      <c r="C261" s="580"/>
      <c r="D261" s="580"/>
      <c r="E261" s="581"/>
      <c r="F261" s="602"/>
      <c r="G261" s="580"/>
      <c r="H261" s="580"/>
      <c r="I261" s="580"/>
      <c r="J261" s="580"/>
      <c r="K261" s="580"/>
    </row>
    <row r="262" ht="20.25" spans="1:11">
      <c r="A262" s="580"/>
      <c r="B262" s="580"/>
      <c r="C262" s="580"/>
      <c r="D262" s="580"/>
      <c r="E262" s="581"/>
      <c r="F262" s="602"/>
      <c r="G262" s="580"/>
      <c r="H262" s="580"/>
      <c r="I262" s="580"/>
      <c r="J262" s="580"/>
      <c r="K262" s="580"/>
    </row>
    <row r="263" ht="20.25" spans="1:11">
      <c r="A263" s="580"/>
      <c r="B263" s="580"/>
      <c r="C263" s="580"/>
      <c r="D263" s="580"/>
      <c r="E263" s="581"/>
      <c r="F263" s="602"/>
      <c r="G263" s="580"/>
      <c r="H263" s="580"/>
      <c r="I263" s="580"/>
      <c r="J263" s="580"/>
      <c r="K263" s="580"/>
    </row>
    <row r="264" ht="20.25" spans="1:11">
      <c r="A264" s="580"/>
      <c r="B264" s="580"/>
      <c r="C264" s="580"/>
      <c r="D264" s="580"/>
      <c r="E264" s="581"/>
      <c r="F264" s="602"/>
      <c r="G264" s="580"/>
      <c r="H264" s="580"/>
      <c r="I264" s="580"/>
      <c r="J264" s="580"/>
      <c r="K264" s="580"/>
    </row>
    <row r="265" ht="20.25" spans="1:11">
      <c r="A265" s="580"/>
      <c r="B265" s="580"/>
      <c r="C265" s="580"/>
      <c r="D265" s="580"/>
      <c r="E265" s="581"/>
      <c r="F265" s="602"/>
      <c r="G265" s="580"/>
      <c r="H265" s="580"/>
      <c r="I265" s="580"/>
      <c r="J265" s="580"/>
      <c r="K265" s="580"/>
    </row>
    <row r="266" ht="20.25" spans="1:11">
      <c r="A266" s="580"/>
      <c r="B266" s="580"/>
      <c r="C266" s="580"/>
      <c r="D266" s="580"/>
      <c r="E266" s="581"/>
      <c r="F266" s="602"/>
      <c r="G266" s="580"/>
      <c r="H266" s="580"/>
      <c r="I266" s="580"/>
      <c r="J266" s="580"/>
      <c r="K266" s="580"/>
    </row>
    <row r="267" ht="20.25" spans="1:11">
      <c r="A267" s="580"/>
      <c r="B267" s="580"/>
      <c r="C267" s="580"/>
      <c r="D267" s="580"/>
      <c r="E267" s="581"/>
      <c r="F267" s="602"/>
      <c r="G267" s="580"/>
      <c r="H267" s="580"/>
      <c r="I267" s="580"/>
      <c r="J267" s="580"/>
      <c r="K267" s="580"/>
    </row>
    <row r="268" ht="20.25" spans="1:11">
      <c r="A268" s="580"/>
      <c r="B268" s="580"/>
      <c r="C268" s="580"/>
      <c r="D268" s="580"/>
      <c r="E268" s="581"/>
      <c r="F268" s="602"/>
      <c r="G268" s="580"/>
      <c r="H268" s="580"/>
      <c r="I268" s="580"/>
      <c r="J268" s="580"/>
      <c r="K268" s="580"/>
    </row>
    <row r="269" ht="20.25" spans="1:11">
      <c r="A269" s="580"/>
      <c r="B269" s="580"/>
      <c r="C269" s="580"/>
      <c r="D269" s="580"/>
      <c r="E269" s="581"/>
      <c r="F269" s="602"/>
      <c r="G269" s="580"/>
      <c r="H269" s="580"/>
      <c r="I269" s="580"/>
      <c r="J269" s="580"/>
      <c r="K269" s="580"/>
    </row>
    <row r="270" ht="20.25" spans="1:11">
      <c r="A270" s="580"/>
      <c r="B270" s="580"/>
      <c r="C270" s="580"/>
      <c r="D270" s="580"/>
      <c r="E270" s="581"/>
      <c r="F270" s="602"/>
      <c r="G270" s="580"/>
      <c r="H270" s="580"/>
      <c r="I270" s="580"/>
      <c r="J270" s="580"/>
      <c r="K270" s="580"/>
    </row>
    <row r="271" ht="20.25" spans="1:11">
      <c r="A271" s="580"/>
      <c r="B271" s="580"/>
      <c r="C271" s="580"/>
      <c r="D271" s="580"/>
      <c r="E271" s="581"/>
      <c r="F271" s="602"/>
      <c r="G271" s="580"/>
      <c r="H271" s="580"/>
      <c r="I271" s="580"/>
      <c r="J271" s="580"/>
      <c r="K271" s="580"/>
    </row>
    <row r="272" ht="20.25" spans="1:11">
      <c r="A272" s="580"/>
      <c r="B272" s="580"/>
      <c r="C272" s="580"/>
      <c r="D272" s="580"/>
      <c r="E272" s="581"/>
      <c r="F272" s="602"/>
      <c r="G272" s="580"/>
      <c r="H272" s="580"/>
      <c r="I272" s="580"/>
      <c r="J272" s="580"/>
      <c r="K272" s="580"/>
    </row>
    <row r="273" ht="20.25" spans="1:11">
      <c r="A273" s="580"/>
      <c r="B273" s="580"/>
      <c r="C273" s="580"/>
      <c r="D273" s="580"/>
      <c r="E273" s="581"/>
      <c r="F273" s="602"/>
      <c r="G273" s="580"/>
      <c r="H273" s="580"/>
      <c r="I273" s="580"/>
      <c r="J273" s="580"/>
      <c r="K273" s="580"/>
    </row>
    <row r="274" ht="20.25" spans="1:11">
      <c r="A274" s="580"/>
      <c r="B274" s="580"/>
      <c r="C274" s="580"/>
      <c r="D274" s="580"/>
      <c r="E274" s="581"/>
      <c r="F274" s="602"/>
      <c r="G274" s="580"/>
      <c r="H274" s="580"/>
      <c r="I274" s="580"/>
      <c r="J274" s="580"/>
      <c r="K274" s="580"/>
    </row>
    <row r="275" ht="20.25" spans="1:11">
      <c r="A275" s="580"/>
      <c r="B275" s="580"/>
      <c r="C275" s="580"/>
      <c r="D275" s="580"/>
      <c r="E275" s="581"/>
      <c r="F275" s="602"/>
      <c r="G275" s="580"/>
      <c r="H275" s="580"/>
      <c r="I275" s="580"/>
      <c r="J275" s="580"/>
      <c r="K275" s="580"/>
    </row>
    <row r="276" ht="20.25" spans="1:11">
      <c r="A276" s="580"/>
      <c r="B276" s="580"/>
      <c r="C276" s="580"/>
      <c r="D276" s="580"/>
      <c r="E276" s="581"/>
      <c r="F276" s="602"/>
      <c r="G276" s="580"/>
      <c r="H276" s="580"/>
      <c r="I276" s="580"/>
      <c r="J276" s="580"/>
      <c r="K276" s="580"/>
    </row>
    <row r="277" ht="20.25" spans="1:11">
      <c r="A277" s="580"/>
      <c r="B277" s="580"/>
      <c r="C277" s="580"/>
      <c r="D277" s="580"/>
      <c r="E277" s="581"/>
      <c r="F277" s="602"/>
      <c r="G277" s="580"/>
      <c r="H277" s="580"/>
      <c r="I277" s="580"/>
      <c r="J277" s="580"/>
      <c r="K277" s="580"/>
    </row>
    <row r="278" ht="20.25" spans="1:11">
      <c r="A278" s="580"/>
      <c r="B278" s="580"/>
      <c r="C278" s="580"/>
      <c r="D278" s="580"/>
      <c r="E278" s="581"/>
      <c r="F278" s="602"/>
      <c r="G278" s="580"/>
      <c r="H278" s="580"/>
      <c r="I278" s="580"/>
      <c r="J278" s="580"/>
      <c r="K278" s="580"/>
    </row>
    <row r="279" ht="20.25" spans="1:11">
      <c r="A279" s="580"/>
      <c r="B279" s="580"/>
      <c r="C279" s="580"/>
      <c r="D279" s="580"/>
      <c r="E279" s="581"/>
      <c r="F279" s="602"/>
      <c r="G279" s="580"/>
      <c r="H279" s="580"/>
      <c r="I279" s="580"/>
      <c r="J279" s="580"/>
      <c r="K279" s="580"/>
    </row>
    <row r="280" ht="20.25" spans="1:11">
      <c r="A280" s="580"/>
      <c r="B280" s="580"/>
      <c r="C280" s="580"/>
      <c r="D280" s="580"/>
      <c r="E280" s="581"/>
      <c r="F280" s="602"/>
      <c r="G280" s="580"/>
      <c r="H280" s="580"/>
      <c r="I280" s="580"/>
      <c r="J280" s="580"/>
      <c r="K280" s="580"/>
    </row>
    <row r="281" ht="20.25" spans="1:11">
      <c r="A281" s="580"/>
      <c r="B281" s="580"/>
      <c r="C281" s="580"/>
      <c r="D281" s="580"/>
      <c r="E281" s="581"/>
      <c r="F281" s="602"/>
      <c r="G281" s="580"/>
      <c r="H281" s="580"/>
      <c r="I281" s="580"/>
      <c r="J281" s="580"/>
      <c r="K281" s="580"/>
    </row>
    <row r="282" ht="20.25" spans="1:11">
      <c r="A282" s="580"/>
      <c r="B282" s="580"/>
      <c r="C282" s="580"/>
      <c r="D282" s="580"/>
      <c r="E282" s="581"/>
      <c r="F282" s="602"/>
      <c r="G282" s="580"/>
      <c r="H282" s="580"/>
      <c r="I282" s="580"/>
      <c r="J282" s="580"/>
      <c r="K282" s="580"/>
    </row>
    <row r="283" ht="20.25" spans="1:11">
      <c r="A283" s="580"/>
      <c r="B283" s="580"/>
      <c r="C283" s="580"/>
      <c r="D283" s="580"/>
      <c r="E283" s="581"/>
      <c r="F283" s="602"/>
      <c r="G283" s="580"/>
      <c r="H283" s="580"/>
      <c r="I283" s="580"/>
      <c r="J283" s="580"/>
      <c r="K283" s="580"/>
    </row>
    <row r="284" ht="20.25" spans="1:11">
      <c r="A284" s="580"/>
      <c r="B284" s="580"/>
      <c r="C284" s="580"/>
      <c r="D284" s="580"/>
      <c r="E284" s="581"/>
      <c r="F284" s="602"/>
      <c r="G284" s="580"/>
      <c r="H284" s="580"/>
      <c r="I284" s="580"/>
      <c r="J284" s="580"/>
      <c r="K284" s="580"/>
    </row>
    <row r="285" ht="20.25" spans="1:11">
      <c r="A285" s="580"/>
      <c r="B285" s="580"/>
      <c r="C285" s="580"/>
      <c r="D285" s="580"/>
      <c r="E285" s="581"/>
      <c r="F285" s="602"/>
      <c r="G285" s="580"/>
      <c r="H285" s="580"/>
      <c r="I285" s="580"/>
      <c r="J285" s="580"/>
      <c r="K285" s="580"/>
    </row>
    <row r="286" ht="20.25" spans="1:11">
      <c r="A286" s="580"/>
      <c r="B286" s="580"/>
      <c r="C286" s="580"/>
      <c r="D286" s="580"/>
      <c r="E286" s="581"/>
      <c r="F286" s="602"/>
      <c r="G286" s="580"/>
      <c r="H286" s="580"/>
      <c r="I286" s="580"/>
      <c r="J286" s="580"/>
      <c r="K286" s="580"/>
    </row>
    <row r="287" ht="20.25" spans="1:11">
      <c r="A287" s="580"/>
      <c r="B287" s="580"/>
      <c r="C287" s="580"/>
      <c r="D287" s="580"/>
      <c r="E287" s="581"/>
      <c r="F287" s="602"/>
      <c r="G287" s="580"/>
      <c r="H287" s="580"/>
      <c r="I287" s="580"/>
      <c r="J287" s="580"/>
      <c r="K287" s="580"/>
    </row>
    <row r="288" ht="20.25" spans="1:11">
      <c r="A288" s="580"/>
      <c r="B288" s="580"/>
      <c r="C288" s="580"/>
      <c r="D288" s="580"/>
      <c r="E288" s="581"/>
      <c r="F288" s="602"/>
      <c r="G288" s="580"/>
      <c r="H288" s="580"/>
      <c r="I288" s="580"/>
      <c r="J288" s="580"/>
      <c r="K288" s="580"/>
    </row>
    <row r="289" ht="20.25" spans="1:11">
      <c r="A289" s="580"/>
      <c r="B289" s="580"/>
      <c r="C289" s="580"/>
      <c r="D289" s="580"/>
      <c r="E289" s="581"/>
      <c r="F289" s="602"/>
      <c r="G289" s="580"/>
      <c r="H289" s="580"/>
      <c r="I289" s="580"/>
      <c r="J289" s="580"/>
      <c r="K289" s="580"/>
    </row>
    <row r="290" ht="20.25" spans="1:11">
      <c r="A290" s="580"/>
      <c r="B290" s="580"/>
      <c r="C290" s="580"/>
      <c r="D290" s="580"/>
      <c r="E290" s="581"/>
      <c r="F290" s="602"/>
      <c r="G290" s="580"/>
      <c r="H290" s="580"/>
      <c r="I290" s="580"/>
      <c r="J290" s="580"/>
      <c r="K290" s="580"/>
    </row>
    <row r="291" ht="20.25" spans="1:11">
      <c r="A291" s="580"/>
      <c r="B291" s="580"/>
      <c r="C291" s="580"/>
      <c r="D291" s="580"/>
      <c r="E291" s="581"/>
      <c r="F291" s="602"/>
      <c r="G291" s="580"/>
      <c r="H291" s="580"/>
      <c r="I291" s="580"/>
      <c r="J291" s="580"/>
      <c r="K291" s="580"/>
    </row>
    <row r="292" ht="20.25" spans="1:11">
      <c r="A292" s="580"/>
      <c r="B292" s="580"/>
      <c r="C292" s="580"/>
      <c r="D292" s="580"/>
      <c r="E292" s="581"/>
      <c r="F292" s="602"/>
      <c r="G292" s="580"/>
      <c r="H292" s="580"/>
      <c r="I292" s="580"/>
      <c r="J292" s="580"/>
      <c r="K292" s="580"/>
    </row>
    <row r="293" ht="20.25" spans="1:11">
      <c r="A293" s="580"/>
      <c r="B293" s="580"/>
      <c r="C293" s="580"/>
      <c r="D293" s="580"/>
      <c r="E293" s="581"/>
      <c r="F293" s="602"/>
      <c r="G293" s="580"/>
      <c r="H293" s="580"/>
      <c r="I293" s="580"/>
      <c r="J293" s="580"/>
      <c r="K293" s="580"/>
    </row>
    <row r="294" ht="20.25" spans="1:11">
      <c r="A294" s="580"/>
      <c r="B294" s="580"/>
      <c r="C294" s="580"/>
      <c r="D294" s="580"/>
      <c r="E294" s="581"/>
      <c r="F294" s="602"/>
      <c r="G294" s="580"/>
      <c r="H294" s="580"/>
      <c r="I294" s="580"/>
      <c r="J294" s="580"/>
      <c r="K294" s="580"/>
    </row>
    <row r="295" ht="20.25" spans="1:11">
      <c r="A295" s="580"/>
      <c r="B295" s="580"/>
      <c r="C295" s="580"/>
      <c r="D295" s="580"/>
      <c r="E295" s="581"/>
      <c r="F295" s="602"/>
      <c r="G295" s="580"/>
      <c r="H295" s="580"/>
      <c r="I295" s="580"/>
      <c r="J295" s="580"/>
      <c r="K295" s="580"/>
    </row>
    <row r="296" ht="20.25" spans="1:11">
      <c r="A296" s="580"/>
      <c r="B296" s="580"/>
      <c r="C296" s="580"/>
      <c r="D296" s="580"/>
      <c r="E296" s="581"/>
      <c r="F296" s="602"/>
      <c r="G296" s="580"/>
      <c r="H296" s="580"/>
      <c r="I296" s="580"/>
      <c r="J296" s="580"/>
      <c r="K296" s="580"/>
    </row>
    <row r="297" ht="20.25" spans="1:11">
      <c r="A297" s="580"/>
      <c r="B297" s="580"/>
      <c r="C297" s="580"/>
      <c r="D297" s="580"/>
      <c r="E297" s="581"/>
      <c r="F297" s="602"/>
      <c r="G297" s="580"/>
      <c r="H297" s="580"/>
      <c r="I297" s="580"/>
      <c r="J297" s="580"/>
      <c r="K297" s="580"/>
    </row>
    <row r="298" ht="20.25" spans="1:11">
      <c r="A298" s="580"/>
      <c r="B298" s="580"/>
      <c r="C298" s="580"/>
      <c r="D298" s="580"/>
      <c r="E298" s="581"/>
      <c r="F298" s="602"/>
      <c r="G298" s="580"/>
      <c r="H298" s="580"/>
      <c r="I298" s="580"/>
      <c r="J298" s="580"/>
      <c r="K298" s="580"/>
    </row>
    <row r="299" ht="20.25" spans="1:11">
      <c r="A299" s="580"/>
      <c r="B299" s="580"/>
      <c r="C299" s="580"/>
      <c r="D299" s="580"/>
      <c r="E299" s="581"/>
      <c r="F299" s="602"/>
      <c r="G299" s="580"/>
      <c r="H299" s="580"/>
      <c r="I299" s="580"/>
      <c r="J299" s="580"/>
      <c r="K299" s="580"/>
    </row>
    <row r="300" ht="20.25" spans="1:11">
      <c r="A300" s="580"/>
      <c r="B300" s="580"/>
      <c r="C300" s="580"/>
      <c r="D300" s="580"/>
      <c r="E300" s="581"/>
      <c r="F300" s="602"/>
      <c r="G300" s="580"/>
      <c r="H300" s="580"/>
      <c r="I300" s="580"/>
      <c r="J300" s="580"/>
      <c r="K300" s="580"/>
    </row>
    <row r="301" ht="20.25" spans="1:11">
      <c r="A301" s="580"/>
      <c r="B301" s="580"/>
      <c r="C301" s="580"/>
      <c r="D301" s="580"/>
      <c r="E301" s="581"/>
      <c r="F301" s="602"/>
      <c r="G301" s="580"/>
      <c r="H301" s="580"/>
      <c r="I301" s="580"/>
      <c r="J301" s="580"/>
      <c r="K301" s="580"/>
    </row>
    <row r="302" ht="20.25" spans="1:11">
      <c r="A302" s="580"/>
      <c r="B302" s="580"/>
      <c r="C302" s="580"/>
      <c r="D302" s="580"/>
      <c r="E302" s="581"/>
      <c r="F302" s="602"/>
      <c r="G302" s="580"/>
      <c r="H302" s="580"/>
      <c r="I302" s="580"/>
      <c r="J302" s="580"/>
      <c r="K302" s="580"/>
    </row>
    <row r="303" ht="20.25" spans="1:11">
      <c r="A303" s="580"/>
      <c r="B303" s="580"/>
      <c r="C303" s="580"/>
      <c r="D303" s="580"/>
      <c r="E303" s="581"/>
      <c r="F303" s="602"/>
      <c r="G303" s="580"/>
      <c r="H303" s="580"/>
      <c r="I303" s="580"/>
      <c r="J303" s="580"/>
      <c r="K303" s="580"/>
    </row>
    <row r="304" ht="20.25" spans="1:11">
      <c r="A304" s="580"/>
      <c r="B304" s="580"/>
      <c r="C304" s="580"/>
      <c r="D304" s="580"/>
      <c r="E304" s="581"/>
      <c r="F304" s="602"/>
      <c r="G304" s="580"/>
      <c r="H304" s="580"/>
      <c r="I304" s="580"/>
      <c r="J304" s="580"/>
      <c r="K304" s="580"/>
    </row>
    <row r="305" ht="20.25" spans="1:11">
      <c r="A305" s="580"/>
      <c r="B305" s="580"/>
      <c r="C305" s="580"/>
      <c r="D305" s="580"/>
      <c r="E305" s="581"/>
      <c r="F305" s="602"/>
      <c r="G305" s="580"/>
      <c r="H305" s="580"/>
      <c r="I305" s="580"/>
      <c r="J305" s="580"/>
      <c r="K305" s="580"/>
    </row>
    <row r="306" ht="20.25" spans="1:11">
      <c r="A306" s="580"/>
      <c r="B306" s="580"/>
      <c r="C306" s="580"/>
      <c r="D306" s="580"/>
      <c r="E306" s="581"/>
      <c r="F306" s="602"/>
      <c r="G306" s="580"/>
      <c r="H306" s="580"/>
      <c r="I306" s="580"/>
      <c r="J306" s="580"/>
      <c r="K306" s="580"/>
    </row>
    <row r="307" ht="20.25" spans="1:11">
      <c r="A307" s="580"/>
      <c r="B307" s="580"/>
      <c r="C307" s="580"/>
      <c r="D307" s="580"/>
      <c r="E307" s="581"/>
      <c r="F307" s="602"/>
      <c r="G307" s="580"/>
      <c r="H307" s="580"/>
      <c r="I307" s="580"/>
      <c r="J307" s="580"/>
      <c r="K307" s="580"/>
    </row>
    <row r="308" ht="20.25" spans="1:11">
      <c r="A308" s="580"/>
      <c r="B308" s="580"/>
      <c r="C308" s="580"/>
      <c r="D308" s="580"/>
      <c r="E308" s="581"/>
      <c r="F308" s="602"/>
      <c r="G308" s="580"/>
      <c r="H308" s="580"/>
      <c r="I308" s="580"/>
      <c r="J308" s="580"/>
      <c r="K308" s="580"/>
    </row>
    <row r="309" ht="20.25" spans="1:11">
      <c r="A309" s="580"/>
      <c r="B309" s="580"/>
      <c r="C309" s="580"/>
      <c r="D309" s="580"/>
      <c r="E309" s="581"/>
      <c r="F309" s="602"/>
      <c r="G309" s="580"/>
      <c r="H309" s="580"/>
      <c r="I309" s="580"/>
      <c r="J309" s="580"/>
      <c r="K309" s="580"/>
    </row>
    <row r="310" ht="20.25" spans="1:11">
      <c r="A310" s="580"/>
      <c r="B310" s="580"/>
      <c r="C310" s="580"/>
      <c r="D310" s="580"/>
      <c r="E310" s="581"/>
      <c r="F310" s="602"/>
      <c r="G310" s="580"/>
      <c r="H310" s="580"/>
      <c r="I310" s="580"/>
      <c r="J310" s="580"/>
      <c r="K310" s="580"/>
    </row>
    <row r="311" ht="20.25" spans="1:11">
      <c r="A311" s="580"/>
      <c r="B311" s="580"/>
      <c r="C311" s="580"/>
      <c r="D311" s="580"/>
      <c r="E311" s="581"/>
      <c r="F311" s="602"/>
      <c r="G311" s="580"/>
      <c r="H311" s="580"/>
      <c r="I311" s="580"/>
      <c r="J311" s="580"/>
      <c r="K311" s="580"/>
    </row>
    <row r="312" ht="20.25" spans="1:11">
      <c r="A312" s="580"/>
      <c r="B312" s="580"/>
      <c r="C312" s="580"/>
      <c r="D312" s="580"/>
      <c r="E312" s="581"/>
      <c r="F312" s="602"/>
      <c r="G312" s="580"/>
      <c r="H312" s="580"/>
      <c r="I312" s="580"/>
      <c r="J312" s="580"/>
      <c r="K312" s="580"/>
    </row>
    <row r="313" ht="20.25" spans="1:11">
      <c r="A313" s="580"/>
      <c r="B313" s="580"/>
      <c r="C313" s="580"/>
      <c r="D313" s="580"/>
      <c r="E313" s="581"/>
      <c r="F313" s="602"/>
      <c r="G313" s="580"/>
      <c r="H313" s="580"/>
      <c r="I313" s="580"/>
      <c r="J313" s="580"/>
      <c r="K313" s="580"/>
    </row>
    <row r="314" ht="20.25" spans="1:11">
      <c r="A314" s="580"/>
      <c r="B314" s="580"/>
      <c r="C314" s="580"/>
      <c r="D314" s="580"/>
      <c r="E314" s="581"/>
      <c r="F314" s="602"/>
      <c r="G314" s="580"/>
      <c r="H314" s="580"/>
      <c r="I314" s="580"/>
      <c r="J314" s="580"/>
      <c r="K314" s="580"/>
    </row>
    <row r="315" ht="20.25" spans="1:11">
      <c r="A315" s="580"/>
      <c r="B315" s="580"/>
      <c r="C315" s="580"/>
      <c r="D315" s="580"/>
      <c r="E315" s="581"/>
      <c r="F315" s="602"/>
      <c r="G315" s="580"/>
      <c r="H315" s="580"/>
      <c r="I315" s="580"/>
      <c r="J315" s="580"/>
      <c r="K315" s="580"/>
    </row>
    <row r="316" ht="20.25" spans="1:11">
      <c r="A316" s="580"/>
      <c r="B316" s="580"/>
      <c r="C316" s="580"/>
      <c r="D316" s="580"/>
      <c r="E316" s="581"/>
      <c r="F316" s="602"/>
      <c r="G316" s="580"/>
      <c r="H316" s="580"/>
      <c r="I316" s="580"/>
      <c r="J316" s="580"/>
      <c r="K316" s="580"/>
    </row>
    <row r="317" ht="20.25" spans="1:11">
      <c r="A317" s="580"/>
      <c r="B317" s="580"/>
      <c r="C317" s="580"/>
      <c r="D317" s="580"/>
      <c r="E317" s="581"/>
      <c r="F317" s="602"/>
      <c r="G317" s="580"/>
      <c r="H317" s="580"/>
      <c r="I317" s="580"/>
      <c r="J317" s="580"/>
      <c r="K317" s="580"/>
    </row>
    <row r="318" ht="20.25" spans="1:11">
      <c r="A318" s="580"/>
      <c r="B318" s="580"/>
      <c r="C318" s="580"/>
      <c r="D318" s="580"/>
      <c r="E318" s="581"/>
      <c r="F318" s="602"/>
      <c r="G318" s="580"/>
      <c r="H318" s="580"/>
      <c r="I318" s="580"/>
      <c r="J318" s="580"/>
      <c r="K318" s="580"/>
    </row>
    <row r="319" ht="20.25" spans="1:11">
      <c r="A319" s="580"/>
      <c r="B319" s="580"/>
      <c r="C319" s="580"/>
      <c r="D319" s="580"/>
      <c r="E319" s="581"/>
      <c r="F319" s="602"/>
      <c r="G319" s="580"/>
      <c r="H319" s="580"/>
      <c r="I319" s="580"/>
      <c r="J319" s="580"/>
      <c r="K319" s="580"/>
    </row>
    <row r="320" ht="20.25" spans="1:11">
      <c r="A320" s="580"/>
      <c r="B320" s="580"/>
      <c r="C320" s="580"/>
      <c r="D320" s="580"/>
      <c r="E320" s="581"/>
      <c r="F320" s="602"/>
      <c r="G320" s="580"/>
      <c r="H320" s="580"/>
      <c r="I320" s="580"/>
      <c r="J320" s="580"/>
      <c r="K320" s="580"/>
    </row>
    <row r="321" ht="20.25" spans="1:11">
      <c r="A321" s="580"/>
      <c r="B321" s="580"/>
      <c r="C321" s="580"/>
      <c r="D321" s="580"/>
      <c r="E321" s="581"/>
      <c r="F321" s="602"/>
      <c r="G321" s="580"/>
      <c r="H321" s="580"/>
      <c r="I321" s="580"/>
      <c r="J321" s="580"/>
      <c r="K321" s="580"/>
    </row>
    <row r="322" ht="20.25" spans="1:11">
      <c r="A322" s="580"/>
      <c r="B322" s="580"/>
      <c r="C322" s="580"/>
      <c r="D322" s="580"/>
      <c r="E322" s="581"/>
      <c r="F322" s="602"/>
      <c r="G322" s="580"/>
      <c r="H322" s="580"/>
      <c r="I322" s="580"/>
      <c r="J322" s="580"/>
      <c r="K322" s="580"/>
    </row>
    <row r="323" ht="20.25" spans="1:11">
      <c r="A323" s="580"/>
      <c r="B323" s="580"/>
      <c r="C323" s="580"/>
      <c r="D323" s="580"/>
      <c r="E323" s="581"/>
      <c r="F323" s="602"/>
      <c r="G323" s="580"/>
      <c r="H323" s="580"/>
      <c r="I323" s="580"/>
      <c r="J323" s="580"/>
      <c r="K323" s="580"/>
    </row>
    <row r="324" ht="20.25" spans="1:11">
      <c r="A324" s="580"/>
      <c r="B324" s="580"/>
      <c r="C324" s="580"/>
      <c r="D324" s="580"/>
      <c r="E324" s="581"/>
      <c r="F324" s="602"/>
      <c r="G324" s="580"/>
      <c r="H324" s="580"/>
      <c r="I324" s="580"/>
      <c r="J324" s="580"/>
      <c r="K324" s="580"/>
    </row>
    <row r="325" ht="20.25" spans="1:11">
      <c r="A325" s="580"/>
      <c r="B325" s="580"/>
      <c r="C325" s="580"/>
      <c r="D325" s="580"/>
      <c r="E325" s="581"/>
      <c r="F325" s="602"/>
      <c r="G325" s="580"/>
      <c r="H325" s="580"/>
      <c r="I325" s="580"/>
      <c r="J325" s="580"/>
      <c r="K325" s="580"/>
    </row>
    <row r="326" ht="20.25" spans="1:11">
      <c r="A326" s="580"/>
      <c r="B326" s="580"/>
      <c r="C326" s="580"/>
      <c r="D326" s="580"/>
      <c r="E326" s="581"/>
      <c r="F326" s="602"/>
      <c r="G326" s="580"/>
      <c r="H326" s="580"/>
      <c r="I326" s="580"/>
      <c r="J326" s="580"/>
      <c r="K326" s="580"/>
    </row>
    <row r="327" ht="20.25" spans="1:11">
      <c r="A327" s="580"/>
      <c r="B327" s="580"/>
      <c r="C327" s="580"/>
      <c r="D327" s="580"/>
      <c r="E327" s="581"/>
      <c r="F327" s="602"/>
      <c r="G327" s="580"/>
      <c r="H327" s="580"/>
      <c r="I327" s="580"/>
      <c r="J327" s="580"/>
      <c r="K327" s="580"/>
    </row>
    <row r="328" ht="20.25" spans="1:11">
      <c r="A328" s="580"/>
      <c r="B328" s="580"/>
      <c r="C328" s="580"/>
      <c r="D328" s="580"/>
      <c r="E328" s="581"/>
      <c r="F328" s="602"/>
      <c r="G328" s="580"/>
      <c r="H328" s="580"/>
      <c r="I328" s="580"/>
      <c r="J328" s="580"/>
      <c r="K328" s="580"/>
    </row>
    <row r="329" ht="20.25" spans="1:11">
      <c r="A329" s="580"/>
      <c r="B329" s="580"/>
      <c r="C329" s="580"/>
      <c r="D329" s="580"/>
      <c r="E329" s="581"/>
      <c r="F329" s="602"/>
      <c r="G329" s="580"/>
      <c r="H329" s="580"/>
      <c r="I329" s="580"/>
      <c r="J329" s="580"/>
      <c r="K329" s="580"/>
    </row>
    <row r="330" ht="20.25" spans="1:11">
      <c r="A330" s="580"/>
      <c r="B330" s="580"/>
      <c r="C330" s="580"/>
      <c r="D330" s="580"/>
      <c r="E330" s="581"/>
      <c r="F330" s="602"/>
      <c r="G330" s="580"/>
      <c r="H330" s="580"/>
      <c r="I330" s="580"/>
      <c r="J330" s="580"/>
      <c r="K330" s="580"/>
    </row>
    <row r="331" ht="20.25" spans="1:11">
      <c r="A331" s="580"/>
      <c r="B331" s="580"/>
      <c r="C331" s="580"/>
      <c r="D331" s="580"/>
      <c r="E331" s="581"/>
      <c r="F331" s="602"/>
      <c r="G331" s="580"/>
      <c r="H331" s="580"/>
      <c r="I331" s="580"/>
      <c r="J331" s="580"/>
      <c r="K331" s="580"/>
    </row>
    <row r="332" ht="20.25" spans="1:11">
      <c r="A332" s="580"/>
      <c r="B332" s="580"/>
      <c r="C332" s="580"/>
      <c r="D332" s="580"/>
      <c r="E332" s="581"/>
      <c r="F332" s="602"/>
      <c r="G332" s="580"/>
      <c r="H332" s="580"/>
      <c r="I332" s="580"/>
      <c r="J332" s="580"/>
      <c r="K332" s="580"/>
    </row>
    <row r="333" ht="20.25" spans="1:11">
      <c r="A333" s="580"/>
      <c r="B333" s="580"/>
      <c r="C333" s="580"/>
      <c r="D333" s="580"/>
      <c r="E333" s="581"/>
      <c r="F333" s="602"/>
      <c r="G333" s="580"/>
      <c r="H333" s="580"/>
      <c r="I333" s="580"/>
      <c r="J333" s="580"/>
      <c r="K333" s="580"/>
    </row>
    <row r="334" ht="20.25" spans="1:11">
      <c r="A334" s="580"/>
      <c r="B334" s="580"/>
      <c r="C334" s="580"/>
      <c r="D334" s="580"/>
      <c r="E334" s="581"/>
      <c r="F334" s="602"/>
      <c r="G334" s="580"/>
      <c r="H334" s="580"/>
      <c r="I334" s="580"/>
      <c r="J334" s="580"/>
      <c r="K334" s="580"/>
    </row>
    <row r="335" ht="20.25" spans="1:11">
      <c r="A335" s="580"/>
      <c r="B335" s="580"/>
      <c r="C335" s="580"/>
      <c r="D335" s="580"/>
      <c r="E335" s="581"/>
      <c r="F335" s="602"/>
      <c r="G335" s="580"/>
      <c r="H335" s="580"/>
      <c r="I335" s="580"/>
      <c r="J335" s="580"/>
      <c r="K335" s="580"/>
    </row>
    <row r="336" ht="20.25" spans="1:11">
      <c r="A336" s="580"/>
      <c r="B336" s="580"/>
      <c r="C336" s="580"/>
      <c r="D336" s="580"/>
      <c r="E336" s="581"/>
      <c r="F336" s="602"/>
      <c r="G336" s="580"/>
      <c r="H336" s="580"/>
      <c r="I336" s="580"/>
      <c r="J336" s="580"/>
      <c r="K336" s="580"/>
    </row>
    <row r="337" ht="20.25" spans="1:11">
      <c r="A337" s="580"/>
      <c r="B337" s="580"/>
      <c r="C337" s="580"/>
      <c r="D337" s="580"/>
      <c r="E337" s="581"/>
      <c r="F337" s="602"/>
      <c r="G337" s="580"/>
      <c r="H337" s="580"/>
      <c r="I337" s="580"/>
      <c r="J337" s="580"/>
      <c r="K337" s="580"/>
    </row>
    <row r="338" ht="20.25" spans="1:11">
      <c r="A338" s="580"/>
      <c r="B338" s="580"/>
      <c r="C338" s="580"/>
      <c r="D338" s="580"/>
      <c r="E338" s="581"/>
      <c r="F338" s="602"/>
      <c r="G338" s="580"/>
      <c r="H338" s="580"/>
      <c r="I338" s="580"/>
      <c r="J338" s="580"/>
      <c r="K338" s="580"/>
    </row>
    <row r="339" ht="20.25" spans="1:11">
      <c r="A339" s="580"/>
      <c r="B339" s="580"/>
      <c r="C339" s="580"/>
      <c r="D339" s="580"/>
      <c r="E339" s="581"/>
      <c r="F339" s="602"/>
      <c r="G339" s="580"/>
      <c r="H339" s="580"/>
      <c r="I339" s="580"/>
      <c r="J339" s="580"/>
      <c r="K339" s="580"/>
    </row>
    <row r="340" ht="20.25" spans="1:11">
      <c r="A340" s="580"/>
      <c r="B340" s="580"/>
      <c r="C340" s="580"/>
      <c r="D340" s="580"/>
      <c r="E340" s="581"/>
      <c r="F340" s="602"/>
      <c r="G340" s="580"/>
      <c r="H340" s="580"/>
      <c r="I340" s="580"/>
      <c r="J340" s="580"/>
      <c r="K340" s="580"/>
    </row>
    <row r="341" ht="20.25" spans="1:11">
      <c r="A341" s="580"/>
      <c r="B341" s="580"/>
      <c r="C341" s="580"/>
      <c r="D341" s="580"/>
      <c r="E341" s="581"/>
      <c r="F341" s="602"/>
      <c r="G341" s="580"/>
      <c r="H341" s="580"/>
      <c r="I341" s="580"/>
      <c r="J341" s="580"/>
      <c r="K341" s="580"/>
    </row>
    <row r="342" ht="20.25" spans="1:11">
      <c r="A342" s="580"/>
      <c r="B342" s="580"/>
      <c r="C342" s="580"/>
      <c r="D342" s="580"/>
      <c r="E342" s="581"/>
      <c r="F342" s="602"/>
      <c r="G342" s="580"/>
      <c r="H342" s="580"/>
      <c r="I342" s="580"/>
      <c r="J342" s="580"/>
      <c r="K342" s="580"/>
    </row>
    <row r="343" ht="20.25" spans="1:11">
      <c r="A343" s="580"/>
      <c r="B343" s="580"/>
      <c r="C343" s="580"/>
      <c r="D343" s="580"/>
      <c r="E343" s="581"/>
      <c r="F343" s="602"/>
      <c r="G343" s="580"/>
      <c r="H343" s="580"/>
      <c r="I343" s="580"/>
      <c r="J343" s="580"/>
      <c r="K343" s="580"/>
    </row>
    <row r="344" ht="20.25" spans="1:11">
      <c r="A344" s="580"/>
      <c r="B344" s="580"/>
      <c r="C344" s="580"/>
      <c r="D344" s="580"/>
      <c r="E344" s="581"/>
      <c r="F344" s="602"/>
      <c r="G344" s="580"/>
      <c r="H344" s="580"/>
      <c r="I344" s="580"/>
      <c r="J344" s="580"/>
      <c r="K344" s="580"/>
    </row>
    <row r="345" ht="20.25" spans="1:11">
      <c r="A345" s="580"/>
      <c r="B345" s="580"/>
      <c r="C345" s="580"/>
      <c r="D345" s="580"/>
      <c r="E345" s="581"/>
      <c r="F345" s="602"/>
      <c r="G345" s="580"/>
      <c r="H345" s="580"/>
      <c r="I345" s="580"/>
      <c r="J345" s="580"/>
      <c r="K345" s="580"/>
    </row>
    <row r="346" ht="20.25" spans="1:11">
      <c r="A346" s="580"/>
      <c r="B346" s="580"/>
      <c r="C346" s="580"/>
      <c r="D346" s="580"/>
      <c r="E346" s="581"/>
      <c r="F346" s="602"/>
      <c r="G346" s="580"/>
      <c r="H346" s="580"/>
      <c r="I346" s="580"/>
      <c r="J346" s="580"/>
      <c r="K346" s="580"/>
    </row>
    <row r="347" ht="20.25" spans="1:11">
      <c r="A347" s="580"/>
      <c r="B347" s="580"/>
      <c r="C347" s="580"/>
      <c r="D347" s="580"/>
      <c r="E347" s="581"/>
      <c r="F347" s="602"/>
      <c r="G347" s="580"/>
      <c r="H347" s="580"/>
      <c r="I347" s="580"/>
      <c r="J347" s="580"/>
      <c r="K347" s="580"/>
    </row>
    <row r="348" ht="20.25" spans="1:11">
      <c r="A348" s="580"/>
      <c r="B348" s="580"/>
      <c r="C348" s="580"/>
      <c r="D348" s="580"/>
      <c r="E348" s="581"/>
      <c r="F348" s="602"/>
      <c r="G348" s="580"/>
      <c r="H348" s="580"/>
      <c r="I348" s="580"/>
      <c r="J348" s="580"/>
      <c r="K348" s="580"/>
    </row>
    <row r="349" ht="20.25" spans="1:11">
      <c r="A349" s="580"/>
      <c r="B349" s="580"/>
      <c r="C349" s="580"/>
      <c r="D349" s="580"/>
      <c r="E349" s="581"/>
      <c r="F349" s="602"/>
      <c r="G349" s="580"/>
      <c r="H349" s="580"/>
      <c r="I349" s="580"/>
      <c r="J349" s="580"/>
      <c r="K349" s="580"/>
    </row>
    <row r="350" ht="20.25" spans="1:11">
      <c r="A350" s="580"/>
      <c r="B350" s="580"/>
      <c r="C350" s="580"/>
      <c r="D350" s="580"/>
      <c r="E350" s="581"/>
      <c r="F350" s="602"/>
      <c r="G350" s="580"/>
      <c r="H350" s="580"/>
      <c r="I350" s="580"/>
      <c r="J350" s="580"/>
      <c r="K350" s="580"/>
    </row>
    <row r="351" ht="20.25" spans="1:11">
      <c r="A351" s="580"/>
      <c r="B351" s="580"/>
      <c r="C351" s="580"/>
      <c r="D351" s="580"/>
      <c r="E351" s="581"/>
      <c r="F351" s="602"/>
      <c r="G351" s="580"/>
      <c r="H351" s="580"/>
      <c r="I351" s="580"/>
      <c r="J351" s="580"/>
      <c r="K351" s="580"/>
    </row>
    <row r="352" ht="20.25" spans="1:11">
      <c r="A352" s="580"/>
      <c r="B352" s="580"/>
      <c r="C352" s="580"/>
      <c r="D352" s="580"/>
      <c r="E352" s="581"/>
      <c r="F352" s="602"/>
      <c r="G352" s="580"/>
      <c r="H352" s="580"/>
      <c r="I352" s="580"/>
      <c r="J352" s="580"/>
      <c r="K352" s="580"/>
    </row>
    <row r="353" ht="20.25" spans="1:11">
      <c r="A353" s="580"/>
      <c r="B353" s="580"/>
      <c r="C353" s="580"/>
      <c r="D353" s="580"/>
      <c r="E353" s="581"/>
      <c r="F353" s="602"/>
      <c r="G353" s="580"/>
      <c r="H353" s="580"/>
      <c r="I353" s="580"/>
      <c r="J353" s="580"/>
      <c r="K353" s="580"/>
    </row>
    <row r="354" ht="20.25" spans="1:11">
      <c r="A354" s="580"/>
      <c r="B354" s="580"/>
      <c r="C354" s="580"/>
      <c r="D354" s="580"/>
      <c r="E354" s="581"/>
      <c r="F354" s="602"/>
      <c r="G354" s="580"/>
      <c r="H354" s="580"/>
      <c r="I354" s="580"/>
      <c r="J354" s="580"/>
      <c r="K354" s="580"/>
    </row>
    <row r="355" ht="20.25" spans="1:11">
      <c r="A355" s="580"/>
      <c r="B355" s="580"/>
      <c r="C355" s="580"/>
      <c r="D355" s="580"/>
      <c r="E355" s="581"/>
      <c r="F355" s="602"/>
      <c r="G355" s="580"/>
      <c r="H355" s="580"/>
      <c r="I355" s="580"/>
      <c r="J355" s="580"/>
      <c r="K355" s="580"/>
    </row>
    <row r="356" ht="20.25" spans="1:11">
      <c r="A356" s="580"/>
      <c r="B356" s="580"/>
      <c r="C356" s="580"/>
      <c r="D356" s="580"/>
      <c r="E356" s="581"/>
      <c r="F356" s="602"/>
      <c r="G356" s="580"/>
      <c r="H356" s="580"/>
      <c r="I356" s="580"/>
      <c r="J356" s="580"/>
      <c r="K356" s="580"/>
    </row>
    <row r="357" ht="20.25" spans="1:11">
      <c r="A357" s="580"/>
      <c r="B357" s="580"/>
      <c r="C357" s="580"/>
      <c r="D357" s="580"/>
      <c r="E357" s="581"/>
      <c r="F357" s="602"/>
      <c r="G357" s="580"/>
      <c r="H357" s="580"/>
      <c r="I357" s="580"/>
      <c r="J357" s="580"/>
      <c r="K357" s="580"/>
    </row>
    <row r="358" ht="20.25" spans="1:11">
      <c r="A358" s="580"/>
      <c r="B358" s="580"/>
      <c r="C358" s="580"/>
      <c r="D358" s="580"/>
      <c r="E358" s="581"/>
      <c r="F358" s="602"/>
      <c r="G358" s="580"/>
      <c r="H358" s="580"/>
      <c r="I358" s="580"/>
      <c r="J358" s="580"/>
      <c r="K358" s="580"/>
    </row>
    <row r="359" ht="20.25" spans="1:11">
      <c r="A359" s="580"/>
      <c r="B359" s="580"/>
      <c r="C359" s="580"/>
      <c r="D359" s="580"/>
      <c r="E359" s="581"/>
      <c r="F359" s="602"/>
      <c r="G359" s="580"/>
      <c r="H359" s="580"/>
      <c r="I359" s="580"/>
      <c r="J359" s="580"/>
      <c r="K359" s="580"/>
    </row>
    <row r="360" ht="20.25" spans="1:11">
      <c r="A360" s="580"/>
      <c r="B360" s="580"/>
      <c r="C360" s="580"/>
      <c r="D360" s="580"/>
      <c r="E360" s="581"/>
      <c r="F360" s="602"/>
      <c r="G360" s="580"/>
      <c r="H360" s="580"/>
      <c r="I360" s="580"/>
      <c r="J360" s="580"/>
      <c r="K360" s="580"/>
    </row>
    <row r="361" ht="20.25" spans="1:11">
      <c r="A361" s="580"/>
      <c r="B361" s="580"/>
      <c r="C361" s="580"/>
      <c r="D361" s="580"/>
      <c r="E361" s="581"/>
      <c r="F361" s="602"/>
      <c r="G361" s="580"/>
      <c r="H361" s="580"/>
      <c r="I361" s="580"/>
      <c r="J361" s="580"/>
      <c r="K361" s="580"/>
    </row>
    <row r="362" ht="20.25" spans="1:11">
      <c r="A362" s="580"/>
      <c r="B362" s="580"/>
      <c r="C362" s="580"/>
      <c r="D362" s="580"/>
      <c r="E362" s="581"/>
      <c r="F362" s="602"/>
      <c r="G362" s="580"/>
      <c r="H362" s="580"/>
      <c r="I362" s="580"/>
      <c r="J362" s="580"/>
      <c r="K362" s="580"/>
    </row>
    <row r="363" ht="20.25" spans="1:11">
      <c r="A363" s="580"/>
      <c r="B363" s="580"/>
      <c r="C363" s="580"/>
      <c r="D363" s="580"/>
      <c r="E363" s="581"/>
      <c r="F363" s="602"/>
      <c r="G363" s="580"/>
      <c r="H363" s="580"/>
      <c r="I363" s="580"/>
      <c r="J363" s="580"/>
      <c r="K363" s="580"/>
    </row>
    <row r="364" ht="20.25" spans="1:11">
      <c r="A364" s="580"/>
      <c r="B364" s="580"/>
      <c r="C364" s="580"/>
      <c r="D364" s="580"/>
      <c r="E364" s="581"/>
      <c r="F364" s="602"/>
      <c r="G364" s="580"/>
      <c r="H364" s="580"/>
      <c r="I364" s="580"/>
      <c r="J364" s="580"/>
      <c r="K364" s="580"/>
    </row>
    <row r="365" ht="20.25" spans="1:11">
      <c r="A365" s="580"/>
      <c r="B365" s="580"/>
      <c r="C365" s="580"/>
      <c r="D365" s="580"/>
      <c r="E365" s="581"/>
      <c r="F365" s="602"/>
      <c r="G365" s="580"/>
      <c r="H365" s="580"/>
      <c r="I365" s="580"/>
      <c r="J365" s="580"/>
      <c r="K365" s="580"/>
    </row>
    <row r="366" ht="20.25" spans="1:11">
      <c r="A366" s="580"/>
      <c r="B366" s="580"/>
      <c r="C366" s="580"/>
      <c r="D366" s="580"/>
      <c r="E366" s="581"/>
      <c r="F366" s="602"/>
      <c r="G366" s="580"/>
      <c r="H366" s="580"/>
      <c r="I366" s="580"/>
      <c r="J366" s="580"/>
      <c r="K366" s="580"/>
    </row>
    <row r="367" ht="20.25" spans="1:11">
      <c r="A367" s="580"/>
      <c r="B367" s="580"/>
      <c r="C367" s="580"/>
      <c r="D367" s="580"/>
      <c r="E367" s="581"/>
      <c r="F367" s="602"/>
      <c r="G367" s="580"/>
      <c r="H367" s="580"/>
      <c r="I367" s="580"/>
      <c r="J367" s="580"/>
      <c r="K367" s="580"/>
    </row>
    <row r="368" ht="20.25" spans="1:11">
      <c r="A368" s="580"/>
      <c r="B368" s="580"/>
      <c r="C368" s="580"/>
      <c r="D368" s="580"/>
      <c r="E368" s="581"/>
      <c r="F368" s="602"/>
      <c r="G368" s="580"/>
      <c r="H368" s="580"/>
      <c r="I368" s="580"/>
      <c r="J368" s="580"/>
      <c r="K368" s="580"/>
    </row>
    <row r="369" ht="20.25" spans="1:11">
      <c r="A369" s="580"/>
      <c r="B369" s="580"/>
      <c r="C369" s="580"/>
      <c r="D369" s="580"/>
      <c r="E369" s="581"/>
      <c r="F369" s="602"/>
      <c r="G369" s="580"/>
      <c r="H369" s="580"/>
      <c r="I369" s="580"/>
      <c r="J369" s="580"/>
      <c r="K369" s="580"/>
    </row>
    <row r="370" ht="20.25" spans="1:11">
      <c r="A370" s="580"/>
      <c r="B370" s="580"/>
      <c r="C370" s="580"/>
      <c r="D370" s="580"/>
      <c r="E370" s="581"/>
      <c r="F370" s="602"/>
      <c r="G370" s="580"/>
      <c r="H370" s="580"/>
      <c r="I370" s="580"/>
      <c r="J370" s="580"/>
      <c r="K370" s="580"/>
    </row>
    <row r="371" ht="20.25" spans="1:11">
      <c r="A371" s="580"/>
      <c r="B371" s="580"/>
      <c r="C371" s="580"/>
      <c r="D371" s="580"/>
      <c r="E371" s="581"/>
      <c r="F371" s="602"/>
      <c r="G371" s="580"/>
      <c r="H371" s="580"/>
      <c r="I371" s="580"/>
      <c r="J371" s="580"/>
      <c r="K371" s="580"/>
    </row>
    <row r="372" ht="20.25" spans="1:11">
      <c r="A372" s="580"/>
      <c r="B372" s="580"/>
      <c r="C372" s="580"/>
      <c r="D372" s="580"/>
      <c r="E372" s="581"/>
      <c r="F372" s="602"/>
      <c r="G372" s="580"/>
      <c r="H372" s="580"/>
      <c r="I372" s="580"/>
      <c r="J372" s="580"/>
      <c r="K372" s="580"/>
    </row>
    <row r="373" ht="20.25" spans="1:11">
      <c r="A373" s="580"/>
      <c r="B373" s="580"/>
      <c r="C373" s="580"/>
      <c r="D373" s="580"/>
      <c r="E373" s="581"/>
      <c r="F373" s="602"/>
      <c r="G373" s="580"/>
      <c r="H373" s="580"/>
      <c r="I373" s="580"/>
      <c r="J373" s="580"/>
      <c r="K373" s="580"/>
    </row>
    <row r="374" ht="20.25" spans="1:11">
      <c r="A374" s="580"/>
      <c r="B374" s="580"/>
      <c r="C374" s="580"/>
      <c r="D374" s="580"/>
      <c r="E374" s="581"/>
      <c r="F374" s="602"/>
      <c r="G374" s="580"/>
      <c r="H374" s="580"/>
      <c r="I374" s="580"/>
      <c r="J374" s="580"/>
      <c r="K374" s="580"/>
    </row>
    <row r="375" ht="20.25" spans="1:11">
      <c r="A375" s="580"/>
      <c r="B375" s="580"/>
      <c r="C375" s="580"/>
      <c r="D375" s="580"/>
      <c r="E375" s="581"/>
      <c r="F375" s="602"/>
      <c r="G375" s="580"/>
      <c r="H375" s="580"/>
      <c r="I375" s="580"/>
      <c r="J375" s="580"/>
      <c r="K375" s="580"/>
    </row>
    <row r="376" ht="20.25" spans="1:11">
      <c r="A376" s="580"/>
      <c r="B376" s="580"/>
      <c r="C376" s="580"/>
      <c r="D376" s="580"/>
      <c r="E376" s="581"/>
      <c r="F376" s="602"/>
      <c r="G376" s="580"/>
      <c r="H376" s="580"/>
      <c r="I376" s="580"/>
      <c r="J376" s="580"/>
      <c r="K376" s="580"/>
    </row>
    <row r="377" ht="20.25" spans="1:11">
      <c r="A377" s="580"/>
      <c r="B377" s="580"/>
      <c r="C377" s="580"/>
      <c r="D377" s="580"/>
      <c r="E377" s="581"/>
      <c r="F377" s="602"/>
      <c r="G377" s="580"/>
      <c r="H377" s="580"/>
      <c r="I377" s="580"/>
      <c r="J377" s="580"/>
      <c r="K377" s="580"/>
    </row>
    <row r="378" ht="20.25" spans="1:11">
      <c r="A378" s="580"/>
      <c r="B378" s="580"/>
      <c r="C378" s="580"/>
      <c r="D378" s="580"/>
      <c r="E378" s="581"/>
      <c r="F378" s="602"/>
      <c r="G378" s="580"/>
      <c r="H378" s="580"/>
      <c r="I378" s="580"/>
      <c r="J378" s="580"/>
      <c r="K378" s="580"/>
    </row>
    <row r="379" ht="20.25" spans="1:11">
      <c r="A379" s="580"/>
      <c r="B379" s="580"/>
      <c r="C379" s="580"/>
      <c r="D379" s="580"/>
      <c r="E379" s="581"/>
      <c r="F379" s="602"/>
      <c r="G379" s="580"/>
      <c r="H379" s="580"/>
      <c r="I379" s="580"/>
      <c r="J379" s="580"/>
      <c r="K379" s="580"/>
    </row>
    <row r="380" ht="20.25" spans="1:11">
      <c r="A380" s="580"/>
      <c r="B380" s="580"/>
      <c r="C380" s="580"/>
      <c r="D380" s="580"/>
      <c r="E380" s="581"/>
      <c r="F380" s="602"/>
      <c r="G380" s="580"/>
      <c r="H380" s="580"/>
      <c r="I380" s="580"/>
      <c r="J380" s="580"/>
      <c r="K380" s="580"/>
    </row>
    <row r="381" ht="20.25" spans="1:11">
      <c r="A381" s="580"/>
      <c r="B381" s="580"/>
      <c r="C381" s="580"/>
      <c r="D381" s="580"/>
      <c r="E381" s="581"/>
      <c r="F381" s="602"/>
      <c r="G381" s="580"/>
      <c r="H381" s="580"/>
      <c r="I381" s="580"/>
      <c r="J381" s="580"/>
      <c r="K381" s="580"/>
    </row>
    <row r="382" ht="20.25" spans="1:11">
      <c r="A382" s="580"/>
      <c r="B382" s="580"/>
      <c r="C382" s="580"/>
      <c r="D382" s="580"/>
      <c r="E382" s="581"/>
      <c r="F382" s="602"/>
      <c r="G382" s="580"/>
      <c r="H382" s="580"/>
      <c r="I382" s="580"/>
      <c r="J382" s="580"/>
      <c r="K382" s="580"/>
    </row>
    <row r="383" ht="20.25" spans="1:11">
      <c r="A383" s="580"/>
      <c r="B383" s="580"/>
      <c r="C383" s="580"/>
      <c r="D383" s="580"/>
      <c r="E383" s="581"/>
      <c r="F383" s="602"/>
      <c r="G383" s="580"/>
      <c r="H383" s="580"/>
      <c r="I383" s="580"/>
      <c r="J383" s="580"/>
      <c r="K383" s="580"/>
    </row>
    <row r="384" ht="20.25" spans="1:11">
      <c r="A384" s="580"/>
      <c r="B384" s="580"/>
      <c r="C384" s="580"/>
      <c r="D384" s="580"/>
      <c r="E384" s="581"/>
      <c r="F384" s="602"/>
      <c r="G384" s="580"/>
      <c r="H384" s="580"/>
      <c r="I384" s="580"/>
      <c r="J384" s="580"/>
      <c r="K384" s="580"/>
    </row>
    <row r="385" ht="20.25" spans="1:11">
      <c r="A385" s="580"/>
      <c r="B385" s="580"/>
      <c r="C385" s="580"/>
      <c r="D385" s="580"/>
      <c r="E385" s="581"/>
      <c r="F385" s="602"/>
      <c r="G385" s="580"/>
      <c r="H385" s="580"/>
      <c r="I385" s="580"/>
      <c r="J385" s="580"/>
      <c r="K385" s="580"/>
    </row>
    <row r="386" ht="20.25" spans="1:11">
      <c r="A386" s="580"/>
      <c r="B386" s="580"/>
      <c r="C386" s="580"/>
      <c r="D386" s="580"/>
      <c r="E386" s="581"/>
      <c r="F386" s="602"/>
      <c r="G386" s="580"/>
      <c r="H386" s="580"/>
      <c r="I386" s="580"/>
      <c r="J386" s="580"/>
      <c r="K386" s="580"/>
    </row>
    <row r="387" ht="20.25" spans="1:11">
      <c r="A387" s="580"/>
      <c r="B387" s="580"/>
      <c r="C387" s="580"/>
      <c r="D387" s="580"/>
      <c r="E387" s="581"/>
      <c r="F387" s="602"/>
      <c r="G387" s="580"/>
      <c r="H387" s="580"/>
      <c r="I387" s="580"/>
      <c r="J387" s="580"/>
      <c r="K387" s="580"/>
    </row>
    <row r="388" ht="20.25" spans="1:11">
      <c r="A388" s="580"/>
      <c r="B388" s="580"/>
      <c r="C388" s="580"/>
      <c r="D388" s="580"/>
      <c r="E388" s="581"/>
      <c r="F388" s="602"/>
      <c r="G388" s="580"/>
      <c r="H388" s="580"/>
      <c r="I388" s="580"/>
      <c r="J388" s="580"/>
      <c r="K388" s="580"/>
    </row>
    <row r="389" ht="20.25" spans="1:11">
      <c r="A389" s="580"/>
      <c r="B389" s="580"/>
      <c r="C389" s="580"/>
      <c r="D389" s="580"/>
      <c r="E389" s="581"/>
      <c r="F389" s="602"/>
      <c r="G389" s="580"/>
      <c r="H389" s="580"/>
      <c r="I389" s="580"/>
      <c r="J389" s="580"/>
      <c r="K389" s="580"/>
    </row>
    <row r="390" ht="20.25" spans="1:11">
      <c r="A390" s="580"/>
      <c r="B390" s="580"/>
      <c r="C390" s="580"/>
      <c r="D390" s="580"/>
      <c r="E390" s="581"/>
      <c r="F390" s="602"/>
      <c r="G390" s="580"/>
      <c r="H390" s="580"/>
      <c r="I390" s="580"/>
      <c r="J390" s="580"/>
      <c r="K390" s="580"/>
    </row>
    <row r="391" ht="20.25" spans="1:11">
      <c r="A391" s="580"/>
      <c r="B391" s="580"/>
      <c r="C391" s="580"/>
      <c r="D391" s="580"/>
      <c r="E391" s="581"/>
      <c r="F391" s="602"/>
      <c r="G391" s="580"/>
      <c r="H391" s="580"/>
      <c r="I391" s="580"/>
      <c r="J391" s="580"/>
      <c r="K391" s="580"/>
    </row>
    <row r="392" ht="20.25" spans="1:11">
      <c r="A392" s="580"/>
      <c r="B392" s="580"/>
      <c r="C392" s="580"/>
      <c r="D392" s="580"/>
      <c r="E392" s="581"/>
      <c r="F392" s="602"/>
      <c r="G392" s="580"/>
      <c r="H392" s="580"/>
      <c r="I392" s="580"/>
      <c r="J392" s="580"/>
      <c r="K392" s="580"/>
    </row>
    <row r="393" ht="20.25" spans="1:11">
      <c r="A393" s="580"/>
      <c r="B393" s="580"/>
      <c r="C393" s="580"/>
      <c r="D393" s="580"/>
      <c r="E393" s="581"/>
      <c r="F393" s="602"/>
      <c r="G393" s="580"/>
      <c r="H393" s="580"/>
      <c r="I393" s="580"/>
      <c r="J393" s="580"/>
      <c r="K393" s="580"/>
    </row>
    <row r="394" ht="20.25" spans="1:11">
      <c r="A394" s="580"/>
      <c r="B394" s="580"/>
      <c r="C394" s="580"/>
      <c r="D394" s="580"/>
      <c r="E394" s="581"/>
      <c r="F394" s="602"/>
      <c r="G394" s="580"/>
      <c r="H394" s="580"/>
      <c r="I394" s="580"/>
      <c r="J394" s="580"/>
      <c r="K394" s="580"/>
    </row>
    <row r="395" ht="20.25" spans="1:11">
      <c r="A395" s="580"/>
      <c r="B395" s="580"/>
      <c r="C395" s="580"/>
      <c r="D395" s="580"/>
      <c r="E395" s="581"/>
      <c r="F395" s="602"/>
      <c r="G395" s="580"/>
      <c r="H395" s="580"/>
      <c r="I395" s="580"/>
      <c r="J395" s="580"/>
      <c r="K395" s="580"/>
    </row>
    <row r="396" ht="20.25" spans="1:11">
      <c r="A396" s="580"/>
      <c r="B396" s="580"/>
      <c r="C396" s="580"/>
      <c r="D396" s="580"/>
      <c r="E396" s="581"/>
      <c r="F396" s="602"/>
      <c r="G396" s="580"/>
      <c r="H396" s="580"/>
      <c r="I396" s="580"/>
      <c r="J396" s="580"/>
      <c r="K396" s="580"/>
    </row>
    <row r="397" ht="20.25" spans="1:11">
      <c r="A397" s="580"/>
      <c r="B397" s="580"/>
      <c r="C397" s="580"/>
      <c r="D397" s="580"/>
      <c r="E397" s="581"/>
      <c r="F397" s="602"/>
      <c r="G397" s="580"/>
      <c r="H397" s="580"/>
      <c r="I397" s="580"/>
      <c r="J397" s="580"/>
      <c r="K397" s="580"/>
    </row>
    <row r="398" ht="20.25" spans="1:11">
      <c r="A398" s="580"/>
      <c r="B398" s="580"/>
      <c r="C398" s="580"/>
      <c r="D398" s="580"/>
      <c r="E398" s="581"/>
      <c r="F398" s="602"/>
      <c r="G398" s="580"/>
      <c r="H398" s="580"/>
      <c r="I398" s="580"/>
      <c r="J398" s="580"/>
      <c r="K398" s="580"/>
    </row>
    <row r="399" ht="20.25" spans="1:11">
      <c r="A399" s="580"/>
      <c r="B399" s="580"/>
      <c r="C399" s="580"/>
      <c r="D399" s="580"/>
      <c r="E399" s="581"/>
      <c r="F399" s="602"/>
      <c r="G399" s="580"/>
      <c r="H399" s="580"/>
      <c r="I399" s="580"/>
      <c r="J399" s="580"/>
      <c r="K399" s="580"/>
    </row>
    <row r="400" ht="20.25" spans="1:11">
      <c r="A400" s="580"/>
      <c r="B400" s="580"/>
      <c r="C400" s="580"/>
      <c r="D400" s="580"/>
      <c r="E400" s="581"/>
      <c r="F400" s="602"/>
      <c r="G400" s="580"/>
      <c r="H400" s="580"/>
      <c r="I400" s="580"/>
      <c r="J400" s="580"/>
      <c r="K400" s="580"/>
    </row>
    <row r="401" ht="20.25" spans="1:11">
      <c r="A401" s="580"/>
      <c r="B401" s="580"/>
      <c r="C401" s="580"/>
      <c r="D401" s="580"/>
      <c r="E401" s="581"/>
      <c r="F401" s="602"/>
      <c r="G401" s="580"/>
      <c r="H401" s="580"/>
      <c r="I401" s="580"/>
      <c r="J401" s="580"/>
      <c r="K401" s="580"/>
    </row>
    <row r="402" ht="20.25" spans="1:11">
      <c r="A402" s="580"/>
      <c r="B402" s="580"/>
      <c r="C402" s="580"/>
      <c r="D402" s="580"/>
      <c r="E402" s="581"/>
      <c r="F402" s="602"/>
      <c r="G402" s="580"/>
      <c r="H402" s="580"/>
      <c r="I402" s="580"/>
      <c r="J402" s="580"/>
      <c r="K402" s="580"/>
    </row>
    <row r="403" ht="20.25" spans="1:11">
      <c r="A403" s="580"/>
      <c r="B403" s="580"/>
      <c r="C403" s="580"/>
      <c r="D403" s="580"/>
      <c r="E403" s="581"/>
      <c r="F403" s="602"/>
      <c r="G403" s="580"/>
      <c r="H403" s="580"/>
      <c r="I403" s="580"/>
      <c r="J403" s="580"/>
      <c r="K403" s="580"/>
    </row>
    <row r="404" ht="20.25" spans="1:11">
      <c r="A404" s="580"/>
      <c r="B404" s="580"/>
      <c r="C404" s="580"/>
      <c r="D404" s="580"/>
      <c r="E404" s="581"/>
      <c r="F404" s="602"/>
      <c r="G404" s="580"/>
      <c r="H404" s="580"/>
      <c r="I404" s="580"/>
      <c r="J404" s="580"/>
      <c r="K404" s="580"/>
    </row>
    <row r="405" ht="20.25" spans="1:11">
      <c r="A405" s="580"/>
      <c r="B405" s="580"/>
      <c r="C405" s="580"/>
      <c r="D405" s="580"/>
      <c r="E405" s="581"/>
      <c r="F405" s="602"/>
      <c r="G405" s="580"/>
      <c r="H405" s="580"/>
      <c r="I405" s="580"/>
      <c r="J405" s="580"/>
      <c r="K405" s="580"/>
    </row>
    <row r="406" ht="20.25" spans="1:11">
      <c r="A406" s="580"/>
      <c r="B406" s="580"/>
      <c r="C406" s="580"/>
      <c r="D406" s="580"/>
      <c r="E406" s="581"/>
      <c r="F406" s="602"/>
      <c r="G406" s="580"/>
      <c r="H406" s="580"/>
      <c r="I406" s="580"/>
      <c r="J406" s="580"/>
      <c r="K406" s="580"/>
    </row>
    <row r="407" ht="20.25" spans="1:11">
      <c r="A407" s="580"/>
      <c r="B407" s="580"/>
      <c r="C407" s="580"/>
      <c r="D407" s="580"/>
      <c r="E407" s="581"/>
      <c r="F407" s="602"/>
      <c r="G407" s="580"/>
      <c r="H407" s="580"/>
      <c r="I407" s="580"/>
      <c r="J407" s="580"/>
      <c r="K407" s="580"/>
    </row>
    <row r="408" ht="20.25" spans="1:11">
      <c r="A408" s="580"/>
      <c r="B408" s="580"/>
      <c r="C408" s="580"/>
      <c r="D408" s="580"/>
      <c r="E408" s="581"/>
      <c r="F408" s="602"/>
      <c r="G408" s="580"/>
      <c r="H408" s="580"/>
      <c r="I408" s="580"/>
      <c r="J408" s="580"/>
      <c r="K408" s="580"/>
    </row>
    <row r="409" ht="20.25" spans="1:11">
      <c r="A409" s="580"/>
      <c r="B409" s="580"/>
      <c r="C409" s="580"/>
      <c r="D409" s="580"/>
      <c r="E409" s="581"/>
      <c r="F409" s="602"/>
      <c r="G409" s="580"/>
      <c r="H409" s="580"/>
      <c r="I409" s="580"/>
      <c r="J409" s="580"/>
      <c r="K409" s="580"/>
    </row>
    <row r="410" ht="20.25" spans="1:11">
      <c r="A410" s="580"/>
      <c r="B410" s="580"/>
      <c r="C410" s="580"/>
      <c r="D410" s="580"/>
      <c r="E410" s="581"/>
      <c r="F410" s="602"/>
      <c r="G410" s="580"/>
      <c r="H410" s="580"/>
      <c r="I410" s="580"/>
      <c r="J410" s="580"/>
      <c r="K410" s="580"/>
    </row>
    <row r="411" ht="20.25" spans="1:11">
      <c r="A411" s="580"/>
      <c r="B411" s="580"/>
      <c r="C411" s="580"/>
      <c r="D411" s="580"/>
      <c r="E411" s="581"/>
      <c r="F411" s="602"/>
      <c r="G411" s="580"/>
      <c r="H411" s="580"/>
      <c r="I411" s="580"/>
      <c r="J411" s="580"/>
      <c r="K411" s="580"/>
    </row>
    <row r="412" ht="20.25" spans="1:11">
      <c r="A412" s="580"/>
      <c r="B412" s="580"/>
      <c r="C412" s="580"/>
      <c r="D412" s="580"/>
      <c r="E412" s="581"/>
      <c r="F412" s="602"/>
      <c r="G412" s="580"/>
      <c r="H412" s="580"/>
      <c r="I412" s="580"/>
      <c r="J412" s="580"/>
      <c r="K412" s="580"/>
    </row>
    <row r="413" ht="20.25" spans="1:11">
      <c r="A413" s="580"/>
      <c r="B413" s="580"/>
      <c r="C413" s="580"/>
      <c r="D413" s="580"/>
      <c r="E413" s="581"/>
      <c r="F413" s="602"/>
      <c r="G413" s="580"/>
      <c r="H413" s="580"/>
      <c r="I413" s="580"/>
      <c r="J413" s="580"/>
      <c r="K413" s="580"/>
    </row>
    <row r="414" ht="20.25" spans="1:11">
      <c r="A414" s="580"/>
      <c r="B414" s="580"/>
      <c r="C414" s="580"/>
      <c r="D414" s="580"/>
      <c r="E414" s="581"/>
      <c r="F414" s="602"/>
      <c r="G414" s="580"/>
      <c r="H414" s="580"/>
      <c r="I414" s="580"/>
      <c r="J414" s="580"/>
      <c r="K414" s="580"/>
    </row>
    <row r="415" ht="20.25" spans="1:11">
      <c r="A415" s="580"/>
      <c r="B415" s="580"/>
      <c r="C415" s="580"/>
      <c r="D415" s="580"/>
      <c r="E415" s="581"/>
      <c r="F415" s="602"/>
      <c r="G415" s="580"/>
      <c r="H415" s="580"/>
      <c r="I415" s="580"/>
      <c r="J415" s="580"/>
      <c r="K415" s="580"/>
    </row>
    <row r="416" ht="20.25" spans="1:11">
      <c r="A416" s="580"/>
      <c r="B416" s="580"/>
      <c r="C416" s="580"/>
      <c r="D416" s="580"/>
      <c r="E416" s="581"/>
      <c r="F416" s="602"/>
      <c r="G416" s="580"/>
      <c r="H416" s="580"/>
      <c r="I416" s="580"/>
      <c r="J416" s="580"/>
      <c r="K416" s="580"/>
    </row>
    <row r="417" ht="20.25" spans="1:11">
      <c r="A417" s="580"/>
      <c r="B417" s="580"/>
      <c r="C417" s="580"/>
      <c r="D417" s="580"/>
      <c r="E417" s="581"/>
      <c r="F417" s="602"/>
      <c r="G417" s="580"/>
      <c r="H417" s="580"/>
      <c r="I417" s="580"/>
      <c r="J417" s="580"/>
      <c r="K417" s="580"/>
    </row>
    <row r="418" ht="20.25" spans="1:11">
      <c r="A418" s="580"/>
      <c r="B418" s="580"/>
      <c r="C418" s="580"/>
      <c r="D418" s="580"/>
      <c r="E418" s="581"/>
      <c r="F418" s="602"/>
      <c r="G418" s="580"/>
      <c r="H418" s="580"/>
      <c r="I418" s="580"/>
      <c r="J418" s="580"/>
      <c r="K418" s="580"/>
    </row>
    <row r="419" ht="20.25" spans="1:11">
      <c r="A419" s="580"/>
      <c r="B419" s="580"/>
      <c r="C419" s="580"/>
      <c r="D419" s="580"/>
      <c r="E419" s="581"/>
      <c r="F419" s="602"/>
      <c r="G419" s="580"/>
      <c r="H419" s="580"/>
      <c r="I419" s="580"/>
      <c r="J419" s="580"/>
      <c r="K419" s="580"/>
    </row>
    <row r="420" ht="20.25" spans="1:11">
      <c r="A420" s="580"/>
      <c r="B420" s="580"/>
      <c r="C420" s="580"/>
      <c r="D420" s="580"/>
      <c r="E420" s="581"/>
      <c r="F420" s="602"/>
      <c r="G420" s="580"/>
      <c r="H420" s="580"/>
      <c r="I420" s="580"/>
      <c r="J420" s="580"/>
      <c r="K420" s="580"/>
    </row>
    <row r="421" ht="20.25" spans="1:11">
      <c r="A421" s="580"/>
      <c r="B421" s="580"/>
      <c r="C421" s="580"/>
      <c r="D421" s="580"/>
      <c r="E421" s="581"/>
      <c r="F421" s="602"/>
      <c r="G421" s="580"/>
      <c r="H421" s="580"/>
      <c r="I421" s="580"/>
      <c r="J421" s="580"/>
      <c r="K421" s="580"/>
    </row>
    <row r="422" ht="20.25" spans="1:11">
      <c r="A422" s="580"/>
      <c r="B422" s="580"/>
      <c r="C422" s="580"/>
      <c r="D422" s="580"/>
      <c r="E422" s="581"/>
      <c r="F422" s="602"/>
      <c r="G422" s="580"/>
      <c r="H422" s="580"/>
      <c r="I422" s="580"/>
      <c r="J422" s="580"/>
      <c r="K422" s="580"/>
    </row>
    <row r="423" ht="20.25" spans="1:11">
      <c r="A423" s="580"/>
      <c r="B423" s="580"/>
      <c r="C423" s="580"/>
      <c r="D423" s="580"/>
      <c r="E423" s="581"/>
      <c r="F423" s="602"/>
      <c r="G423" s="580"/>
      <c r="H423" s="580"/>
      <c r="I423" s="580"/>
      <c r="J423" s="580"/>
      <c r="K423" s="580"/>
    </row>
    <row r="424" ht="20.25" spans="1:11">
      <c r="A424" s="580"/>
      <c r="B424" s="580"/>
      <c r="C424" s="580"/>
      <c r="D424" s="580"/>
      <c r="E424" s="581"/>
      <c r="F424" s="602"/>
      <c r="G424" s="580"/>
      <c r="H424" s="580"/>
      <c r="I424" s="580"/>
      <c r="J424" s="580"/>
      <c r="K424" s="580"/>
    </row>
    <row r="425" ht="20.25" spans="1:11">
      <c r="A425" s="580"/>
      <c r="B425" s="580"/>
      <c r="C425" s="580"/>
      <c r="D425" s="580"/>
      <c r="E425" s="581"/>
      <c r="F425" s="602"/>
      <c r="G425" s="580"/>
      <c r="H425" s="580"/>
      <c r="I425" s="580"/>
      <c r="J425" s="580"/>
      <c r="K425" s="580"/>
    </row>
    <row r="426" ht="20.25" spans="1:11">
      <c r="A426" s="580"/>
      <c r="B426" s="580"/>
      <c r="C426" s="580"/>
      <c r="D426" s="580"/>
      <c r="E426" s="581"/>
      <c r="F426" s="602"/>
      <c r="G426" s="580"/>
      <c r="H426" s="580"/>
      <c r="I426" s="580"/>
      <c r="J426" s="580"/>
      <c r="K426" s="580"/>
    </row>
    <row r="427" ht="20.25" spans="1:11">
      <c r="A427" s="580"/>
      <c r="B427" s="580"/>
      <c r="C427" s="580"/>
      <c r="D427" s="580"/>
      <c r="E427" s="581"/>
      <c r="F427" s="602"/>
      <c r="G427" s="580"/>
      <c r="H427" s="580"/>
      <c r="I427" s="580"/>
      <c r="J427" s="580"/>
      <c r="K427" s="580"/>
    </row>
    <row r="428" ht="20.25" spans="1:11">
      <c r="A428" s="580"/>
      <c r="B428" s="580"/>
      <c r="C428" s="580"/>
      <c r="D428" s="580"/>
      <c r="E428" s="581"/>
      <c r="F428" s="602"/>
      <c r="G428" s="580"/>
      <c r="H428" s="580"/>
      <c r="I428" s="580"/>
      <c r="J428" s="580"/>
      <c r="K428" s="580"/>
    </row>
    <row r="429" ht="20.25" spans="1:11">
      <c r="A429" s="580"/>
      <c r="B429" s="580"/>
      <c r="C429" s="580"/>
      <c r="D429" s="580"/>
      <c r="E429" s="581"/>
      <c r="F429" s="602"/>
      <c r="G429" s="580"/>
      <c r="H429" s="580"/>
      <c r="I429" s="580"/>
      <c r="J429" s="580"/>
      <c r="K429" s="580"/>
    </row>
    <row r="430" ht="20.25" spans="1:11">
      <c r="A430" s="580"/>
      <c r="B430" s="580"/>
      <c r="C430" s="580"/>
      <c r="D430" s="580"/>
      <c r="E430" s="581"/>
      <c r="F430" s="602"/>
      <c r="G430" s="580"/>
      <c r="H430" s="580"/>
      <c r="I430" s="580"/>
      <c r="J430" s="580"/>
      <c r="K430" s="580"/>
    </row>
    <row r="431" ht="20.25" spans="1:11">
      <c r="A431" s="580"/>
      <c r="B431" s="580"/>
      <c r="C431" s="580"/>
      <c r="D431" s="580"/>
      <c r="E431" s="581"/>
      <c r="F431" s="602"/>
      <c r="G431" s="580"/>
      <c r="H431" s="580"/>
      <c r="I431" s="580"/>
      <c r="J431" s="580"/>
      <c r="K431" s="580"/>
    </row>
    <row r="432" ht="20.25" spans="1:11">
      <c r="A432" s="580"/>
      <c r="B432" s="580"/>
      <c r="C432" s="580"/>
      <c r="D432" s="580"/>
      <c r="E432" s="581"/>
      <c r="F432" s="602"/>
      <c r="G432" s="580"/>
      <c r="H432" s="580"/>
      <c r="I432" s="580"/>
      <c r="J432" s="580"/>
      <c r="K432" s="580"/>
    </row>
    <row r="433" ht="20.25" spans="1:11">
      <c r="A433" s="580"/>
      <c r="B433" s="580"/>
      <c r="C433" s="580"/>
      <c r="D433" s="580"/>
      <c r="E433" s="581"/>
      <c r="F433" s="602"/>
      <c r="G433" s="580"/>
      <c r="H433" s="580"/>
      <c r="I433" s="580"/>
      <c r="J433" s="580"/>
      <c r="K433" s="580"/>
    </row>
    <row r="434" ht="20.25" spans="1:11">
      <c r="A434" s="580"/>
      <c r="B434" s="580"/>
      <c r="C434" s="580"/>
      <c r="D434" s="580"/>
      <c r="E434" s="581"/>
      <c r="F434" s="602"/>
      <c r="G434" s="580"/>
      <c r="H434" s="580"/>
      <c r="I434" s="580"/>
      <c r="J434" s="580"/>
      <c r="K434" s="580"/>
    </row>
    <row r="435" ht="20.25" spans="1:11">
      <c r="A435" s="580"/>
      <c r="B435" s="580"/>
      <c r="C435" s="580"/>
      <c r="D435" s="580"/>
      <c r="E435" s="581"/>
      <c r="F435" s="602"/>
      <c r="G435" s="580"/>
      <c r="H435" s="580"/>
      <c r="I435" s="580"/>
      <c r="J435" s="580"/>
      <c r="K435" s="580"/>
    </row>
    <row r="436" ht="20.25" spans="1:11">
      <c r="A436" s="580"/>
      <c r="B436" s="580"/>
      <c r="C436" s="580"/>
      <c r="D436" s="580"/>
      <c r="E436" s="581"/>
      <c r="F436" s="602"/>
      <c r="G436" s="580"/>
      <c r="H436" s="580"/>
      <c r="I436" s="580"/>
      <c r="J436" s="580"/>
      <c r="K436" s="580"/>
    </row>
    <row r="437" ht="20.25" spans="1:11">
      <c r="A437" s="580"/>
      <c r="B437" s="580"/>
      <c r="C437" s="580"/>
      <c r="D437" s="580"/>
      <c r="E437" s="581"/>
      <c r="F437" s="602"/>
      <c r="G437" s="580"/>
      <c r="H437" s="580"/>
      <c r="I437" s="580"/>
      <c r="J437" s="580"/>
      <c r="K437" s="580"/>
    </row>
    <row r="438" ht="20.25" spans="1:11">
      <c r="A438" s="580"/>
      <c r="B438" s="580"/>
      <c r="C438" s="580"/>
      <c r="D438" s="580"/>
      <c r="E438" s="581"/>
      <c r="F438" s="602"/>
      <c r="G438" s="580"/>
      <c r="H438" s="580"/>
      <c r="I438" s="580"/>
      <c r="J438" s="580"/>
      <c r="K438" s="580"/>
    </row>
    <row r="439" ht="20.25" spans="1:11">
      <c r="A439" s="580"/>
      <c r="B439" s="580"/>
      <c r="C439" s="580"/>
      <c r="D439" s="580"/>
      <c r="E439" s="581"/>
      <c r="F439" s="602"/>
      <c r="G439" s="580"/>
      <c r="H439" s="580"/>
      <c r="I439" s="580"/>
      <c r="J439" s="580"/>
      <c r="K439" s="580"/>
    </row>
    <row r="440" ht="20.25" spans="1:11">
      <c r="A440" s="580"/>
      <c r="B440" s="580"/>
      <c r="C440" s="580"/>
      <c r="D440" s="580"/>
      <c r="E440" s="581"/>
      <c r="F440" s="602"/>
      <c r="G440" s="580"/>
      <c r="H440" s="580"/>
      <c r="I440" s="580"/>
      <c r="J440" s="580"/>
      <c r="K440" s="580"/>
    </row>
    <row r="441" ht="20.25" spans="1:11">
      <c r="A441" s="580"/>
      <c r="B441" s="580"/>
      <c r="C441" s="580"/>
      <c r="D441" s="580"/>
      <c r="E441" s="581"/>
      <c r="F441" s="602"/>
      <c r="G441" s="580"/>
      <c r="H441" s="580"/>
      <c r="I441" s="580"/>
      <c r="J441" s="580"/>
      <c r="K441" s="580"/>
    </row>
    <row r="442" ht="20.25" spans="1:11">
      <c r="A442" s="580"/>
      <c r="B442" s="580"/>
      <c r="C442" s="580"/>
      <c r="D442" s="580"/>
      <c r="E442" s="581"/>
      <c r="F442" s="602"/>
      <c r="G442" s="580"/>
      <c r="H442" s="580"/>
      <c r="I442" s="580"/>
      <c r="J442" s="580"/>
      <c r="K442" s="580"/>
    </row>
    <row r="443" ht="20.25" spans="1:11">
      <c r="A443" s="580"/>
      <c r="B443" s="580"/>
      <c r="C443" s="580"/>
      <c r="D443" s="580"/>
      <c r="E443" s="581"/>
      <c r="F443" s="602"/>
      <c r="G443" s="580"/>
      <c r="H443" s="580"/>
      <c r="I443" s="580"/>
      <c r="J443" s="580"/>
      <c r="K443" s="580"/>
    </row>
    <row r="444" ht="20.25" spans="1:11">
      <c r="A444" s="580"/>
      <c r="B444" s="580"/>
      <c r="C444" s="580"/>
      <c r="D444" s="580"/>
      <c r="E444" s="581"/>
      <c r="F444" s="602"/>
      <c r="G444" s="580"/>
      <c r="H444" s="580"/>
      <c r="I444" s="580"/>
      <c r="J444" s="580"/>
      <c r="K444" s="580"/>
    </row>
    <row r="445" ht="20.25" spans="1:11">
      <c r="A445" s="580"/>
      <c r="B445" s="580"/>
      <c r="C445" s="580"/>
      <c r="D445" s="580"/>
      <c r="E445" s="581"/>
      <c r="F445" s="602"/>
      <c r="G445" s="580"/>
      <c r="H445" s="580"/>
      <c r="I445" s="580"/>
      <c r="J445" s="580"/>
      <c r="K445" s="580"/>
    </row>
    <row r="446" ht="20.25" spans="1:11">
      <c r="A446" s="580"/>
      <c r="B446" s="580"/>
      <c r="C446" s="580"/>
      <c r="D446" s="580"/>
      <c r="E446" s="581"/>
      <c r="F446" s="602"/>
      <c r="G446" s="580"/>
      <c r="H446" s="580"/>
      <c r="I446" s="580"/>
      <c r="J446" s="580"/>
      <c r="K446" s="580"/>
    </row>
    <row r="447" ht="20.25" spans="1:11">
      <c r="A447" s="580"/>
      <c r="B447" s="580"/>
      <c r="C447" s="580"/>
      <c r="D447" s="580"/>
      <c r="E447" s="581"/>
      <c r="F447" s="602"/>
      <c r="G447" s="580"/>
      <c r="H447" s="580"/>
      <c r="I447" s="580"/>
      <c r="J447" s="580"/>
      <c r="K447" s="580"/>
    </row>
    <row r="448" ht="20.25" spans="1:11">
      <c r="A448" s="580"/>
      <c r="B448" s="580"/>
      <c r="C448" s="580"/>
      <c r="D448" s="580"/>
      <c r="E448" s="581"/>
      <c r="F448" s="602"/>
      <c r="G448" s="580"/>
      <c r="H448" s="580"/>
      <c r="I448" s="580"/>
      <c r="J448" s="580"/>
      <c r="K448" s="580"/>
    </row>
    <row r="449" ht="20.25" spans="1:11">
      <c r="A449" s="580"/>
      <c r="B449" s="580"/>
      <c r="C449" s="580"/>
      <c r="D449" s="580"/>
      <c r="E449" s="581"/>
      <c r="F449" s="602"/>
      <c r="G449" s="580"/>
      <c r="H449" s="580"/>
      <c r="I449" s="580"/>
      <c r="J449" s="580"/>
      <c r="K449" s="580"/>
    </row>
    <row r="450" ht="20.25" spans="1:11">
      <c r="A450" s="580"/>
      <c r="B450" s="580"/>
      <c r="C450" s="580"/>
      <c r="D450" s="580"/>
      <c r="E450" s="581"/>
      <c r="F450" s="602"/>
      <c r="G450" s="580"/>
      <c r="H450" s="580"/>
      <c r="I450" s="580"/>
      <c r="J450" s="580"/>
      <c r="K450" s="580"/>
    </row>
    <row r="451" ht="20.25" spans="1:11">
      <c r="A451" s="580"/>
      <c r="B451" s="580"/>
      <c r="C451" s="580"/>
      <c r="D451" s="580"/>
      <c r="E451" s="581"/>
      <c r="F451" s="602"/>
      <c r="G451" s="580"/>
      <c r="H451" s="580"/>
      <c r="I451" s="580"/>
      <c r="J451" s="580"/>
      <c r="K451" s="580"/>
    </row>
    <row r="452" ht="20.25" spans="1:11">
      <c r="A452" s="580"/>
      <c r="B452" s="580"/>
      <c r="C452" s="580"/>
      <c r="D452" s="580"/>
      <c r="E452" s="581"/>
      <c r="F452" s="602"/>
      <c r="G452" s="580"/>
      <c r="H452" s="580"/>
      <c r="I452" s="580"/>
      <c r="J452" s="580"/>
      <c r="K452" s="580"/>
    </row>
    <row r="453" ht="20.25" spans="1:11">
      <c r="A453" s="580"/>
      <c r="B453" s="580"/>
      <c r="C453" s="580"/>
      <c r="D453" s="580"/>
      <c r="E453" s="581"/>
      <c r="F453" s="602"/>
      <c r="G453" s="580"/>
      <c r="H453" s="580"/>
      <c r="I453" s="580"/>
      <c r="J453" s="580"/>
      <c r="K453" s="580"/>
    </row>
    <row r="454" ht="20.25" spans="1:11">
      <c r="A454" s="580"/>
      <c r="B454" s="580"/>
      <c r="C454" s="580"/>
      <c r="D454" s="580"/>
      <c r="E454" s="581"/>
      <c r="F454" s="602"/>
      <c r="G454" s="580"/>
      <c r="H454" s="580"/>
      <c r="I454" s="580"/>
      <c r="J454" s="580"/>
      <c r="K454" s="580"/>
    </row>
    <row r="455" ht="20.25" spans="1:11">
      <c r="A455" s="580"/>
      <c r="B455" s="580"/>
      <c r="C455" s="580"/>
      <c r="D455" s="580"/>
      <c r="E455" s="581"/>
      <c r="F455" s="602"/>
      <c r="G455" s="580"/>
      <c r="H455" s="580"/>
      <c r="I455" s="580"/>
      <c r="J455" s="580"/>
      <c r="K455" s="580"/>
    </row>
    <row r="456" ht="20.25" spans="1:11">
      <c r="A456" s="580"/>
      <c r="B456" s="580"/>
      <c r="C456" s="580"/>
      <c r="D456" s="580"/>
      <c r="E456" s="581"/>
      <c r="F456" s="602"/>
      <c r="G456" s="580"/>
      <c r="H456" s="580"/>
      <c r="I456" s="580"/>
      <c r="J456" s="580"/>
      <c r="K456" s="580"/>
    </row>
    <row r="457" ht="20.25" spans="1:11">
      <c r="A457" s="580"/>
      <c r="B457" s="580"/>
      <c r="C457" s="580"/>
      <c r="D457" s="580"/>
      <c r="E457" s="581"/>
      <c r="F457" s="602"/>
      <c r="G457" s="580"/>
      <c r="H457" s="580"/>
      <c r="I457" s="580"/>
      <c r="J457" s="580"/>
      <c r="K457" s="580"/>
    </row>
    <row r="458" ht="20.25" spans="1:11">
      <c r="A458" s="580"/>
      <c r="B458" s="580"/>
      <c r="C458" s="580"/>
      <c r="D458" s="580"/>
      <c r="E458" s="581"/>
      <c r="F458" s="602"/>
      <c r="G458" s="580"/>
      <c r="H458" s="580"/>
      <c r="I458" s="580"/>
      <c r="J458" s="580"/>
      <c r="K458" s="580"/>
    </row>
    <row r="459" ht="20.25" spans="1:11">
      <c r="A459" s="580"/>
      <c r="B459" s="580"/>
      <c r="C459" s="580"/>
      <c r="D459" s="580"/>
      <c r="E459" s="581"/>
      <c r="F459" s="602"/>
      <c r="G459" s="580"/>
      <c r="H459" s="580"/>
      <c r="I459" s="580"/>
      <c r="J459" s="580"/>
      <c r="K459" s="580"/>
    </row>
    <row r="460" ht="20.25" spans="1:11">
      <c r="A460" s="580"/>
      <c r="B460" s="580"/>
      <c r="C460" s="580"/>
      <c r="D460" s="580"/>
      <c r="E460" s="581"/>
      <c r="F460" s="602"/>
      <c r="G460" s="580"/>
      <c r="H460" s="580"/>
      <c r="I460" s="580"/>
      <c r="J460" s="580"/>
      <c r="K460" s="580"/>
    </row>
    <row r="461" ht="20.25" spans="1:11">
      <c r="A461" s="580"/>
      <c r="B461" s="580"/>
      <c r="C461" s="580"/>
      <c r="D461" s="580"/>
      <c r="E461" s="581"/>
      <c r="F461" s="602"/>
      <c r="G461" s="580"/>
      <c r="H461" s="580"/>
      <c r="I461" s="580"/>
      <c r="J461" s="580"/>
      <c r="K461" s="580"/>
    </row>
    <row r="462" ht="20.25" spans="1:11">
      <c r="A462" s="580"/>
      <c r="B462" s="580"/>
      <c r="C462" s="580"/>
      <c r="D462" s="580"/>
      <c r="E462" s="581"/>
      <c r="F462" s="602"/>
      <c r="G462" s="580"/>
      <c r="H462" s="580"/>
      <c r="I462" s="580"/>
      <c r="J462" s="580"/>
      <c r="K462" s="580"/>
    </row>
    <row r="463" ht="20.25" spans="1:11">
      <c r="A463" s="580"/>
      <c r="B463" s="580"/>
      <c r="C463" s="580"/>
      <c r="D463" s="580"/>
      <c r="E463" s="581"/>
      <c r="F463" s="602"/>
      <c r="G463" s="580"/>
      <c r="H463" s="580"/>
      <c r="I463" s="580"/>
      <c r="J463" s="580"/>
      <c r="K463" s="580"/>
    </row>
    <row r="464" ht="20.25" spans="1:11">
      <c r="A464" s="580"/>
      <c r="B464" s="580"/>
      <c r="C464" s="580"/>
      <c r="D464" s="580"/>
      <c r="E464" s="581"/>
      <c r="F464" s="602"/>
      <c r="G464" s="580"/>
      <c r="H464" s="580"/>
      <c r="I464" s="580"/>
      <c r="J464" s="580"/>
      <c r="K464" s="580"/>
    </row>
    <row r="465" ht="20.25" spans="1:11">
      <c r="A465" s="580"/>
      <c r="B465" s="580"/>
      <c r="C465" s="580"/>
      <c r="D465" s="580"/>
      <c r="E465" s="581"/>
      <c r="F465" s="602"/>
      <c r="G465" s="580"/>
      <c r="H465" s="580"/>
      <c r="I465" s="580"/>
      <c r="J465" s="580"/>
      <c r="K465" s="580"/>
    </row>
    <row r="466" ht="20.25" spans="1:11">
      <c r="A466" s="580"/>
      <c r="B466" s="580"/>
      <c r="C466" s="580"/>
      <c r="D466" s="580"/>
      <c r="E466" s="581"/>
      <c r="F466" s="602"/>
      <c r="G466" s="580"/>
      <c r="H466" s="580"/>
      <c r="I466" s="580"/>
      <c r="J466" s="580"/>
      <c r="K466" s="580"/>
    </row>
    <row r="467" ht="20.25" spans="1:11">
      <c r="A467" s="580"/>
      <c r="B467" s="580"/>
      <c r="C467" s="580"/>
      <c r="D467" s="580"/>
      <c r="E467" s="581"/>
      <c r="F467" s="602"/>
      <c r="G467" s="580"/>
      <c r="H467" s="580"/>
      <c r="I467" s="580"/>
      <c r="J467" s="580"/>
      <c r="K467" s="580"/>
    </row>
    <row r="468" ht="20.25" spans="1:11">
      <c r="A468" s="580"/>
      <c r="B468" s="580"/>
      <c r="C468" s="580"/>
      <c r="D468" s="580"/>
      <c r="E468" s="581"/>
      <c r="F468" s="602"/>
      <c r="G468" s="580"/>
      <c r="H468" s="580"/>
      <c r="I468" s="580"/>
      <c r="J468" s="580"/>
      <c r="K468" s="580"/>
    </row>
    <row r="469" ht="20.25" spans="1:11">
      <c r="A469" s="580"/>
      <c r="B469" s="580"/>
      <c r="C469" s="580"/>
      <c r="D469" s="580"/>
      <c r="E469" s="581"/>
      <c r="F469" s="602"/>
      <c r="G469" s="580"/>
      <c r="H469" s="580"/>
      <c r="I469" s="580"/>
      <c r="J469" s="580"/>
      <c r="K469" s="580"/>
    </row>
    <row r="470" ht="20.25" spans="1:11">
      <c r="A470" s="580"/>
      <c r="B470" s="580"/>
      <c r="C470" s="580"/>
      <c r="D470" s="580"/>
      <c r="E470" s="581"/>
      <c r="F470" s="602"/>
      <c r="G470" s="580"/>
      <c r="H470" s="580"/>
      <c r="I470" s="580"/>
      <c r="J470" s="580"/>
      <c r="K470" s="580"/>
    </row>
    <row r="471" ht="20.25" spans="1:11">
      <c r="A471" s="580"/>
      <c r="B471" s="580"/>
      <c r="C471" s="580"/>
      <c r="D471" s="580"/>
      <c r="E471" s="581"/>
      <c r="F471" s="602"/>
      <c r="G471" s="580"/>
      <c r="H471" s="580"/>
      <c r="I471" s="580"/>
      <c r="J471" s="580"/>
      <c r="K471" s="580"/>
    </row>
    <row r="472" ht="20.25" spans="1:11">
      <c r="A472" s="580"/>
      <c r="B472" s="580"/>
      <c r="C472" s="580"/>
      <c r="D472" s="580"/>
      <c r="E472" s="581"/>
      <c r="F472" s="602"/>
      <c r="G472" s="580"/>
      <c r="H472" s="580"/>
      <c r="I472" s="580"/>
      <c r="J472" s="580"/>
      <c r="K472" s="580"/>
    </row>
    <row r="473" ht="20.25" spans="1:11">
      <c r="A473" s="580"/>
      <c r="B473" s="580"/>
      <c r="C473" s="580"/>
      <c r="D473" s="580"/>
      <c r="E473" s="581"/>
      <c r="F473" s="602"/>
      <c r="G473" s="580"/>
      <c r="H473" s="580"/>
      <c r="I473" s="580"/>
      <c r="J473" s="580"/>
      <c r="K473" s="580"/>
    </row>
    <row r="474" ht="20.25" spans="1:11">
      <c r="A474" s="580"/>
      <c r="B474" s="580"/>
      <c r="C474" s="580"/>
      <c r="D474" s="580"/>
      <c r="E474" s="581"/>
      <c r="F474" s="602"/>
      <c r="G474" s="580"/>
      <c r="H474" s="580"/>
      <c r="I474" s="580"/>
      <c r="J474" s="580"/>
      <c r="K474" s="580"/>
    </row>
    <row r="475" ht="20.25" spans="1:11">
      <c r="A475" s="580"/>
      <c r="B475" s="580"/>
      <c r="C475" s="580"/>
      <c r="D475" s="580"/>
      <c r="E475" s="581"/>
      <c r="F475" s="602"/>
      <c r="G475" s="580"/>
      <c r="H475" s="580"/>
      <c r="I475" s="580"/>
      <c r="J475" s="580"/>
      <c r="K475" s="580"/>
    </row>
    <row r="476" ht="20.25" spans="1:11">
      <c r="A476" s="580"/>
      <c r="B476" s="580"/>
      <c r="C476" s="580"/>
      <c r="D476" s="580"/>
      <c r="E476" s="581"/>
      <c r="F476" s="602"/>
      <c r="G476" s="580"/>
      <c r="H476" s="580"/>
      <c r="I476" s="580"/>
      <c r="J476" s="580"/>
      <c r="K476" s="580"/>
    </row>
    <row r="477" ht="20.25" spans="1:11">
      <c r="A477" s="580"/>
      <c r="B477" s="580"/>
      <c r="C477" s="580"/>
      <c r="D477" s="580"/>
      <c r="E477" s="581"/>
      <c r="F477" s="602"/>
      <c r="G477" s="580"/>
      <c r="H477" s="580"/>
      <c r="I477" s="580"/>
      <c r="J477" s="580"/>
      <c r="K477" s="580"/>
    </row>
    <row r="478" ht="20.25" spans="1:11">
      <c r="A478" s="580"/>
      <c r="B478" s="580"/>
      <c r="C478" s="580"/>
      <c r="D478" s="580"/>
      <c r="E478" s="581"/>
      <c r="F478" s="602"/>
      <c r="G478" s="580"/>
      <c r="H478" s="580"/>
      <c r="I478" s="580"/>
      <c r="J478" s="580"/>
      <c r="K478" s="580"/>
    </row>
    <row r="479" ht="20.25" spans="1:11">
      <c r="A479" s="580"/>
      <c r="B479" s="580"/>
      <c r="C479" s="580"/>
      <c r="D479" s="580"/>
      <c r="E479" s="581"/>
      <c r="F479" s="602"/>
      <c r="G479" s="580"/>
      <c r="H479" s="580"/>
      <c r="I479" s="580"/>
      <c r="J479" s="580"/>
      <c r="K479" s="580"/>
    </row>
    <row r="480" ht="20.25" spans="1:11">
      <c r="A480" s="580"/>
      <c r="B480" s="580"/>
      <c r="C480" s="580"/>
      <c r="D480" s="580"/>
      <c r="E480" s="581"/>
      <c r="F480" s="602"/>
      <c r="G480" s="580"/>
      <c r="H480" s="580"/>
      <c r="I480" s="580"/>
      <c r="J480" s="580"/>
      <c r="K480" s="580"/>
    </row>
    <row r="481" ht="20.25" spans="1:11">
      <c r="A481" s="580"/>
      <c r="B481" s="580"/>
      <c r="C481" s="580"/>
      <c r="D481" s="580"/>
      <c r="E481" s="581"/>
      <c r="F481" s="602"/>
      <c r="G481" s="580"/>
      <c r="H481" s="580"/>
      <c r="I481" s="580"/>
      <c r="J481" s="580"/>
      <c r="K481" s="580"/>
    </row>
    <row r="482" ht="20.25" spans="1:11">
      <c r="A482" s="580"/>
      <c r="B482" s="580"/>
      <c r="C482" s="580"/>
      <c r="D482" s="580"/>
      <c r="E482" s="581"/>
      <c r="F482" s="602"/>
      <c r="G482" s="580"/>
      <c r="H482" s="580"/>
      <c r="I482" s="580"/>
      <c r="J482" s="580"/>
      <c r="K482" s="580"/>
    </row>
    <row r="483" ht="20.25" spans="1:11">
      <c r="A483" s="580"/>
      <c r="B483" s="580"/>
      <c r="C483" s="580"/>
      <c r="D483" s="580"/>
      <c r="E483" s="581"/>
      <c r="F483" s="602"/>
      <c r="G483" s="580"/>
      <c r="H483" s="580"/>
      <c r="I483" s="580"/>
      <c r="J483" s="580"/>
      <c r="K483" s="580"/>
    </row>
    <row r="484" ht="20.25" spans="1:11">
      <c r="A484" s="580"/>
      <c r="B484" s="580"/>
      <c r="C484" s="580"/>
      <c r="D484" s="580"/>
      <c r="E484" s="581"/>
      <c r="F484" s="602"/>
      <c r="G484" s="580"/>
      <c r="H484" s="580"/>
      <c r="I484" s="580"/>
      <c r="J484" s="580"/>
      <c r="K484" s="580"/>
    </row>
    <row r="485" ht="20.25" spans="1:11">
      <c r="A485" s="580"/>
      <c r="B485" s="580"/>
      <c r="C485" s="580"/>
      <c r="D485" s="580"/>
      <c r="E485" s="581"/>
      <c r="F485" s="602"/>
      <c r="G485" s="580"/>
      <c r="H485" s="580"/>
      <c r="I485" s="580"/>
      <c r="J485" s="580"/>
      <c r="K485" s="580"/>
    </row>
    <row r="486" ht="20.25" spans="1:11">
      <c r="A486" s="580"/>
      <c r="B486" s="580"/>
      <c r="C486" s="580"/>
      <c r="D486" s="580"/>
      <c r="E486" s="581"/>
      <c r="F486" s="602"/>
      <c r="G486" s="580"/>
      <c r="H486" s="580"/>
      <c r="I486" s="580"/>
      <c r="J486" s="580"/>
      <c r="K486" s="580"/>
    </row>
    <row r="487" ht="20.25" spans="1:11">
      <c r="A487" s="580"/>
      <c r="B487" s="580"/>
      <c r="C487" s="580"/>
      <c r="D487" s="580"/>
      <c r="E487" s="581"/>
      <c r="F487" s="602"/>
      <c r="G487" s="580"/>
      <c r="H487" s="580"/>
      <c r="I487" s="580"/>
      <c r="J487" s="580"/>
      <c r="K487" s="580"/>
    </row>
    <row r="488" ht="20.25" spans="1:11">
      <c r="A488" s="580"/>
      <c r="B488" s="580"/>
      <c r="C488" s="580"/>
      <c r="D488" s="580"/>
      <c r="E488" s="581"/>
      <c r="F488" s="602"/>
      <c r="G488" s="580"/>
      <c r="H488" s="580"/>
      <c r="I488" s="580"/>
      <c r="J488" s="580"/>
      <c r="K488" s="580"/>
    </row>
    <row r="489" ht="20.25" spans="1:11">
      <c r="A489" s="580"/>
      <c r="B489" s="580"/>
      <c r="C489" s="580"/>
      <c r="D489" s="580"/>
      <c r="E489" s="581"/>
      <c r="F489" s="602"/>
      <c r="G489" s="580"/>
      <c r="H489" s="580"/>
      <c r="I489" s="580"/>
      <c r="J489" s="580"/>
      <c r="K489" s="580"/>
    </row>
    <row r="490" ht="20.25" spans="1:11">
      <c r="A490" s="580"/>
      <c r="B490" s="580"/>
      <c r="C490" s="580"/>
      <c r="D490" s="580"/>
      <c r="E490" s="581"/>
      <c r="F490" s="602"/>
      <c r="G490" s="580"/>
      <c r="H490" s="580"/>
      <c r="I490" s="580"/>
      <c r="J490" s="580"/>
      <c r="K490" s="580"/>
    </row>
    <row r="491" ht="20.25" spans="1:11">
      <c r="A491" s="580"/>
      <c r="B491" s="580"/>
      <c r="C491" s="580"/>
      <c r="D491" s="580"/>
      <c r="E491" s="581"/>
      <c r="F491" s="602"/>
      <c r="G491" s="580"/>
      <c r="H491" s="580"/>
      <c r="I491" s="580"/>
      <c r="J491" s="580"/>
      <c r="K491" s="580"/>
    </row>
    <row r="492" ht="20.25" spans="1:11">
      <c r="A492" s="580"/>
      <c r="B492" s="580"/>
      <c r="C492" s="580"/>
      <c r="D492" s="580"/>
      <c r="E492" s="581"/>
      <c r="F492" s="602"/>
      <c r="G492" s="580"/>
      <c r="H492" s="580"/>
      <c r="I492" s="580"/>
      <c r="J492" s="580"/>
      <c r="K492" s="580"/>
    </row>
    <row r="493" ht="20.25" spans="1:11">
      <c r="A493" s="580"/>
      <c r="B493" s="580"/>
      <c r="C493" s="580"/>
      <c r="D493" s="580"/>
      <c r="E493" s="581"/>
      <c r="F493" s="602"/>
      <c r="G493" s="580"/>
      <c r="H493" s="580"/>
      <c r="I493" s="580"/>
      <c r="J493" s="580"/>
      <c r="K493" s="580"/>
    </row>
    <row r="494" ht="20.25" spans="1:11">
      <c r="A494" s="580"/>
      <c r="B494" s="580"/>
      <c r="C494" s="580"/>
      <c r="D494" s="580"/>
      <c r="E494" s="581"/>
      <c r="F494" s="602"/>
      <c r="G494" s="580"/>
      <c r="H494" s="580"/>
      <c r="I494" s="580"/>
      <c r="J494" s="580"/>
      <c r="K494" s="580"/>
    </row>
    <row r="495" ht="20.25" spans="1:11">
      <c r="A495" s="580"/>
      <c r="B495" s="580"/>
      <c r="C495" s="580"/>
      <c r="D495" s="580"/>
      <c r="E495" s="581"/>
      <c r="F495" s="602"/>
      <c r="G495" s="580"/>
      <c r="H495" s="580"/>
      <c r="I495" s="580"/>
      <c r="J495" s="580"/>
      <c r="K495" s="580"/>
    </row>
    <row r="496" ht="20.25" spans="1:11">
      <c r="A496" s="580"/>
      <c r="B496" s="580"/>
      <c r="C496" s="580"/>
      <c r="D496" s="580"/>
      <c r="E496" s="581"/>
      <c r="F496" s="602"/>
      <c r="G496" s="580"/>
      <c r="H496" s="580"/>
      <c r="I496" s="580"/>
      <c r="J496" s="580"/>
      <c r="K496" s="580"/>
    </row>
    <row r="497" ht="20.25" spans="1:11">
      <c r="A497" s="580"/>
      <c r="B497" s="580"/>
      <c r="C497" s="580"/>
      <c r="D497" s="580"/>
      <c r="E497" s="581"/>
      <c r="F497" s="602"/>
      <c r="G497" s="580"/>
      <c r="H497" s="580"/>
      <c r="I497" s="580"/>
      <c r="J497" s="580"/>
      <c r="K497" s="580"/>
    </row>
    <row r="498" ht="20.25" spans="1:11">
      <c r="A498" s="580"/>
      <c r="B498" s="580"/>
      <c r="C498" s="580"/>
      <c r="D498" s="580"/>
      <c r="E498" s="581"/>
      <c r="F498" s="602"/>
      <c r="G498" s="580"/>
      <c r="H498" s="580"/>
      <c r="I498" s="580"/>
      <c r="J498" s="580"/>
      <c r="K498" s="580"/>
    </row>
    <row r="499" ht="20.25" spans="1:11">
      <c r="A499" s="580"/>
      <c r="B499" s="580"/>
      <c r="C499" s="580"/>
      <c r="D499" s="580"/>
      <c r="E499" s="581"/>
      <c r="F499" s="602"/>
      <c r="G499" s="580"/>
      <c r="H499" s="580"/>
      <c r="I499" s="580"/>
      <c r="J499" s="580"/>
      <c r="K499" s="580"/>
    </row>
    <row r="500" ht="20.25" spans="1:11">
      <c r="A500" s="580"/>
      <c r="B500" s="580"/>
      <c r="C500" s="580"/>
      <c r="D500" s="580"/>
      <c r="E500" s="581"/>
      <c r="F500" s="602"/>
      <c r="G500" s="580"/>
      <c r="H500" s="580"/>
      <c r="I500" s="580"/>
      <c r="J500" s="580"/>
      <c r="K500" s="580"/>
    </row>
    <row r="501" ht="20.25" spans="1:11">
      <c r="A501" s="580"/>
      <c r="B501" s="580"/>
      <c r="C501" s="580"/>
      <c r="D501" s="580"/>
      <c r="E501" s="581"/>
      <c r="F501" s="602"/>
      <c r="G501" s="580"/>
      <c r="H501" s="580"/>
      <c r="I501" s="580"/>
      <c r="J501" s="580"/>
      <c r="K501" s="580"/>
    </row>
    <row r="502" ht="20.25" spans="1:11">
      <c r="A502" s="580"/>
      <c r="B502" s="580"/>
      <c r="C502" s="580"/>
      <c r="D502" s="580"/>
      <c r="E502" s="581"/>
      <c r="F502" s="602"/>
      <c r="G502" s="580"/>
      <c r="H502" s="580"/>
      <c r="I502" s="580"/>
      <c r="J502" s="580"/>
      <c r="K502" s="580"/>
    </row>
    <row r="503" ht="20.25" spans="1:11">
      <c r="A503" s="580"/>
      <c r="B503" s="580"/>
      <c r="C503" s="580"/>
      <c r="D503" s="580"/>
      <c r="E503" s="581"/>
      <c r="F503" s="602"/>
      <c r="G503" s="580"/>
      <c r="H503" s="580"/>
      <c r="I503" s="580"/>
      <c r="J503" s="580"/>
      <c r="K503" s="580"/>
    </row>
    <row r="504" ht="20.25" spans="1:11">
      <c r="A504" s="580"/>
      <c r="B504" s="580"/>
      <c r="C504" s="580"/>
      <c r="D504" s="580"/>
      <c r="E504" s="581"/>
      <c r="F504" s="602"/>
      <c r="G504" s="580"/>
      <c r="H504" s="580"/>
      <c r="I504" s="580"/>
      <c r="J504" s="580"/>
      <c r="K504" s="580"/>
    </row>
    <row r="505" ht="20.25" spans="1:11">
      <c r="A505" s="580"/>
      <c r="B505" s="580"/>
      <c r="C505" s="580"/>
      <c r="D505" s="580"/>
      <c r="E505" s="581"/>
      <c r="F505" s="602"/>
      <c r="G505" s="580"/>
      <c r="H505" s="580"/>
      <c r="I505" s="580"/>
      <c r="J505" s="580"/>
      <c r="K505" s="580"/>
    </row>
    <row r="506" ht="20.25" spans="1:11">
      <c r="A506" s="580"/>
      <c r="B506" s="580"/>
      <c r="C506" s="580"/>
      <c r="D506" s="580"/>
      <c r="E506" s="581"/>
      <c r="F506" s="602"/>
      <c r="G506" s="580"/>
      <c r="H506" s="580"/>
      <c r="I506" s="580"/>
      <c r="J506" s="580"/>
      <c r="K506" s="580"/>
    </row>
    <row r="507" ht="20.25" spans="1:11">
      <c r="A507" s="580"/>
      <c r="B507" s="580"/>
      <c r="C507" s="580"/>
      <c r="D507" s="580"/>
      <c r="E507" s="581"/>
      <c r="F507" s="602"/>
      <c r="G507" s="580"/>
      <c r="H507" s="580"/>
      <c r="I507" s="580"/>
      <c r="J507" s="580"/>
      <c r="K507" s="580"/>
    </row>
    <row r="508" ht="20.25" spans="1:11">
      <c r="A508" s="580"/>
      <c r="B508" s="580"/>
      <c r="C508" s="580"/>
      <c r="D508" s="580"/>
      <c r="E508" s="581"/>
      <c r="F508" s="602"/>
      <c r="G508" s="580"/>
      <c r="H508" s="580"/>
      <c r="I508" s="580"/>
      <c r="J508" s="580"/>
      <c r="K508" s="580"/>
    </row>
    <row r="509" ht="20.25" spans="1:11">
      <c r="A509" s="580"/>
      <c r="B509" s="580"/>
      <c r="C509" s="580"/>
      <c r="D509" s="580"/>
      <c r="E509" s="581"/>
      <c r="F509" s="602"/>
      <c r="G509" s="580"/>
      <c r="H509" s="580"/>
      <c r="I509" s="580"/>
      <c r="J509" s="580"/>
      <c r="K509" s="580"/>
    </row>
    <row r="510" ht="20.25" spans="1:11">
      <c r="A510" s="580"/>
      <c r="B510" s="580"/>
      <c r="C510" s="580"/>
      <c r="D510" s="580"/>
      <c r="E510" s="581"/>
      <c r="F510" s="602"/>
      <c r="G510" s="580"/>
      <c r="H510" s="580"/>
      <c r="I510" s="580"/>
      <c r="J510" s="580"/>
      <c r="K510" s="580"/>
    </row>
    <row r="511" ht="20.25" spans="1:11">
      <c r="A511" s="580"/>
      <c r="B511" s="580"/>
      <c r="C511" s="580"/>
      <c r="D511" s="580"/>
      <c r="E511" s="581"/>
      <c r="F511" s="602"/>
      <c r="G511" s="580"/>
      <c r="H511" s="580"/>
      <c r="I511" s="580"/>
      <c r="J511" s="580"/>
      <c r="K511" s="580"/>
    </row>
    <row r="512" ht="20.25" spans="1:11">
      <c r="A512" s="580"/>
      <c r="B512" s="580"/>
      <c r="C512" s="580"/>
      <c r="D512" s="580"/>
      <c r="E512" s="581"/>
      <c r="F512" s="602"/>
      <c r="G512" s="580"/>
      <c r="H512" s="580"/>
      <c r="I512" s="580"/>
      <c r="J512" s="580"/>
      <c r="K512" s="580"/>
    </row>
    <row r="513" ht="20.25" spans="1:11">
      <c r="A513" s="580"/>
      <c r="B513" s="580"/>
      <c r="C513" s="580"/>
      <c r="D513" s="580"/>
      <c r="E513" s="581"/>
      <c r="F513" s="602"/>
      <c r="G513" s="580"/>
      <c r="H513" s="580"/>
      <c r="I513" s="580"/>
      <c r="J513" s="580"/>
      <c r="K513" s="580"/>
    </row>
    <row r="514" ht="20.25" spans="1:11">
      <c r="A514" s="580"/>
      <c r="B514" s="580"/>
      <c r="C514" s="580"/>
      <c r="D514" s="580"/>
      <c r="E514" s="581"/>
      <c r="F514" s="602"/>
      <c r="G514" s="580"/>
      <c r="H514" s="580"/>
      <c r="I514" s="580"/>
      <c r="J514" s="580"/>
      <c r="K514" s="580"/>
    </row>
    <row r="515" ht="20.25" spans="1:11">
      <c r="A515" s="580"/>
      <c r="B515" s="580"/>
      <c r="C515" s="580"/>
      <c r="D515" s="580"/>
      <c r="E515" s="581"/>
      <c r="F515" s="602"/>
      <c r="G515" s="580"/>
      <c r="H515" s="580"/>
      <c r="I515" s="580"/>
      <c r="J515" s="580"/>
      <c r="K515" s="580"/>
    </row>
    <row r="516" ht="20.25" spans="1:11">
      <c r="A516" s="580"/>
      <c r="B516" s="580"/>
      <c r="C516" s="580"/>
      <c r="D516" s="580"/>
      <c r="E516" s="581"/>
      <c r="F516" s="602"/>
      <c r="G516" s="580"/>
      <c r="H516" s="580"/>
      <c r="I516" s="580"/>
      <c r="J516" s="580"/>
      <c r="K516" s="580"/>
    </row>
    <row r="517" ht="20.25" spans="1:11">
      <c r="A517" s="580"/>
      <c r="B517" s="580"/>
      <c r="C517" s="580"/>
      <c r="D517" s="580"/>
      <c r="E517" s="581"/>
      <c r="F517" s="602"/>
      <c r="G517" s="580"/>
      <c r="H517" s="580"/>
      <c r="I517" s="580"/>
      <c r="J517" s="580"/>
      <c r="K517" s="580"/>
    </row>
    <row r="518" ht="20.25" spans="1:11">
      <c r="A518" s="580"/>
      <c r="B518" s="580"/>
      <c r="C518" s="580"/>
      <c r="D518" s="580"/>
      <c r="E518" s="581"/>
      <c r="F518" s="602"/>
      <c r="G518" s="580"/>
      <c r="H518" s="580"/>
      <c r="I518" s="580"/>
      <c r="J518" s="580"/>
      <c r="K518" s="580"/>
    </row>
    <row r="519" ht="20.25" spans="1:11">
      <c r="A519" s="580"/>
      <c r="B519" s="580"/>
      <c r="C519" s="580"/>
      <c r="D519" s="580"/>
      <c r="E519" s="581"/>
      <c r="F519" s="602"/>
      <c r="G519" s="580"/>
      <c r="H519" s="580"/>
      <c r="I519" s="580"/>
      <c r="J519" s="580"/>
      <c r="K519" s="580"/>
    </row>
    <row r="520" ht="20.25" spans="1:11">
      <c r="A520" s="580"/>
      <c r="B520" s="580"/>
      <c r="C520" s="580"/>
      <c r="D520" s="580"/>
      <c r="E520" s="581"/>
      <c r="F520" s="602"/>
      <c r="G520" s="580"/>
      <c r="H520" s="580"/>
      <c r="I520" s="580"/>
      <c r="J520" s="580"/>
      <c r="K520" s="580"/>
    </row>
    <row r="521" ht="20.25" spans="1:11">
      <c r="A521" s="580"/>
      <c r="B521" s="580"/>
      <c r="C521" s="580"/>
      <c r="D521" s="580"/>
      <c r="E521" s="581"/>
      <c r="F521" s="602"/>
      <c r="G521" s="580"/>
      <c r="H521" s="580"/>
      <c r="I521" s="580"/>
      <c r="J521" s="580"/>
      <c r="K521" s="580"/>
    </row>
    <row r="522" ht="20.25" spans="1:11">
      <c r="A522" s="580"/>
      <c r="B522" s="580"/>
      <c r="C522" s="580"/>
      <c r="D522" s="580"/>
      <c r="E522" s="581"/>
      <c r="F522" s="602"/>
      <c r="G522" s="580"/>
      <c r="H522" s="580"/>
      <c r="I522" s="580"/>
      <c r="J522" s="580"/>
      <c r="K522" s="580"/>
    </row>
    <row r="523" ht="20.25" spans="1:11">
      <c r="A523" s="580"/>
      <c r="B523" s="580"/>
      <c r="C523" s="580"/>
      <c r="D523" s="580"/>
      <c r="E523" s="581"/>
      <c r="F523" s="602"/>
      <c r="G523" s="580"/>
      <c r="H523" s="580"/>
      <c r="I523" s="580"/>
      <c r="J523" s="580"/>
      <c r="K523" s="580"/>
    </row>
    <row r="524" ht="20.25" spans="1:11">
      <c r="A524" s="580"/>
      <c r="B524" s="580"/>
      <c r="C524" s="580"/>
      <c r="D524" s="580"/>
      <c r="E524" s="581"/>
      <c r="F524" s="602"/>
      <c r="G524" s="580"/>
      <c r="H524" s="580"/>
      <c r="I524" s="580"/>
      <c r="J524" s="580"/>
      <c r="K524" s="580"/>
    </row>
    <row r="525" ht="20.25" spans="1:11">
      <c r="A525" s="580"/>
      <c r="B525" s="580"/>
      <c r="C525" s="580"/>
      <c r="D525" s="580"/>
      <c r="E525" s="581"/>
      <c r="F525" s="602"/>
      <c r="G525" s="580"/>
      <c r="H525" s="580"/>
      <c r="I525" s="580"/>
      <c r="J525" s="580"/>
      <c r="K525" s="580"/>
    </row>
    <row r="526" ht="20.25" spans="1:11">
      <c r="A526" s="580"/>
      <c r="B526" s="580"/>
      <c r="C526" s="580"/>
      <c r="D526" s="580"/>
      <c r="E526" s="581"/>
      <c r="F526" s="602"/>
      <c r="G526" s="580"/>
      <c r="H526" s="580"/>
      <c r="I526" s="580"/>
      <c r="J526" s="580"/>
      <c r="K526" s="580"/>
    </row>
    <row r="527" ht="20.25" spans="1:11">
      <c r="A527" s="580"/>
      <c r="B527" s="580"/>
      <c r="C527" s="580"/>
      <c r="D527" s="580"/>
      <c r="E527" s="581"/>
      <c r="F527" s="602"/>
      <c r="G527" s="580"/>
      <c r="H527" s="580"/>
      <c r="I527" s="580"/>
      <c r="J527" s="580"/>
      <c r="K527" s="580"/>
    </row>
    <row r="528" ht="20.25" spans="1:11">
      <c r="A528" s="580"/>
      <c r="B528" s="580"/>
      <c r="C528" s="580"/>
      <c r="D528" s="580"/>
      <c r="E528" s="581"/>
      <c r="F528" s="602"/>
      <c r="G528" s="580"/>
      <c r="H528" s="580"/>
      <c r="I528" s="580"/>
      <c r="J528" s="580"/>
      <c r="K528" s="580"/>
    </row>
    <row r="529" ht="20.25" spans="1:11">
      <c r="A529" s="580"/>
      <c r="B529" s="580"/>
      <c r="C529" s="580"/>
      <c r="D529" s="580"/>
      <c r="E529" s="581"/>
      <c r="F529" s="602"/>
      <c r="G529" s="580"/>
      <c r="H529" s="580"/>
      <c r="I529" s="580"/>
      <c r="J529" s="580"/>
      <c r="K529" s="580"/>
    </row>
    <row r="530" ht="20.25" spans="1:11">
      <c r="A530" s="580"/>
      <c r="B530" s="580"/>
      <c r="C530" s="580"/>
      <c r="D530" s="580"/>
      <c r="E530" s="581"/>
      <c r="F530" s="602"/>
      <c r="G530" s="580"/>
      <c r="H530" s="580"/>
      <c r="I530" s="580"/>
      <c r="J530" s="580"/>
      <c r="K530" s="580"/>
    </row>
    <row r="531" ht="20.25" spans="1:11">
      <c r="A531" s="580"/>
      <c r="B531" s="580"/>
      <c r="C531" s="580"/>
      <c r="D531" s="580"/>
      <c r="E531" s="581"/>
      <c r="F531" s="602"/>
      <c r="G531" s="580"/>
      <c r="H531" s="580"/>
      <c r="I531" s="580"/>
      <c r="J531" s="580"/>
      <c r="K531" s="580"/>
    </row>
    <row r="532" ht="20.25" spans="1:11">
      <c r="A532" s="580"/>
      <c r="B532" s="580"/>
      <c r="C532" s="580"/>
      <c r="D532" s="580"/>
      <c r="E532" s="581"/>
      <c r="F532" s="602"/>
      <c r="G532" s="580"/>
      <c r="H532" s="580"/>
      <c r="I532" s="580"/>
      <c r="J532" s="580"/>
      <c r="K532" s="580"/>
    </row>
    <row r="533" ht="20.25" spans="1:11">
      <c r="A533" s="580"/>
      <c r="B533" s="580"/>
      <c r="C533" s="580"/>
      <c r="D533" s="580"/>
      <c r="E533" s="581"/>
      <c r="F533" s="602"/>
      <c r="G533" s="580"/>
      <c r="H533" s="580"/>
      <c r="I533" s="580"/>
      <c r="J533" s="580"/>
      <c r="K533" s="580"/>
    </row>
    <row r="534" ht="20.25" spans="1:11">
      <c r="A534" s="580"/>
      <c r="B534" s="580"/>
      <c r="C534" s="580"/>
      <c r="D534" s="580"/>
      <c r="E534" s="581"/>
      <c r="F534" s="602"/>
      <c r="G534" s="580"/>
      <c r="H534" s="580"/>
      <c r="I534" s="580"/>
      <c r="J534" s="580"/>
      <c r="K534" s="580"/>
    </row>
    <row r="535" ht="20.25" spans="1:11">
      <c r="A535" s="580"/>
      <c r="B535" s="580"/>
      <c r="C535" s="580"/>
      <c r="D535" s="580"/>
      <c r="E535" s="581"/>
      <c r="F535" s="602"/>
      <c r="G535" s="580"/>
      <c r="H535" s="580"/>
      <c r="I535" s="580"/>
      <c r="J535" s="580"/>
      <c r="K535" s="580"/>
    </row>
    <row r="536" ht="20.25" spans="1:11">
      <c r="A536" s="580"/>
      <c r="B536" s="580"/>
      <c r="C536" s="580"/>
      <c r="D536" s="580"/>
      <c r="E536" s="581"/>
      <c r="F536" s="602"/>
      <c r="G536" s="580"/>
      <c r="H536" s="580"/>
      <c r="I536" s="580"/>
      <c r="J536" s="580"/>
      <c r="K536" s="580"/>
    </row>
    <row r="537" ht="20.25" spans="1:11">
      <c r="A537" s="580"/>
      <c r="B537" s="580"/>
      <c r="C537" s="580"/>
      <c r="D537" s="580"/>
      <c r="E537" s="581"/>
      <c r="F537" s="602"/>
      <c r="G537" s="580"/>
      <c r="H537" s="580"/>
      <c r="I537" s="580"/>
      <c r="J537" s="580"/>
      <c r="K537" s="580"/>
    </row>
    <row r="538" ht="20.25" spans="1:11">
      <c r="A538" s="580"/>
      <c r="B538" s="580"/>
      <c r="C538" s="580"/>
      <c r="D538" s="580"/>
      <c r="E538" s="581"/>
      <c r="F538" s="602"/>
      <c r="G538" s="580"/>
      <c r="H538" s="580"/>
      <c r="I538" s="580"/>
      <c r="J538" s="580"/>
      <c r="K538" s="580"/>
    </row>
    <row r="539" ht="20.25" spans="1:11">
      <c r="A539" s="580"/>
      <c r="B539" s="580"/>
      <c r="C539" s="580"/>
      <c r="D539" s="580"/>
      <c r="E539" s="581"/>
      <c r="F539" s="602"/>
      <c r="G539" s="580"/>
      <c r="H539" s="580"/>
      <c r="I539" s="580"/>
      <c r="J539" s="580"/>
      <c r="K539" s="580"/>
    </row>
    <row r="540" ht="20.25" spans="1:11">
      <c r="A540" s="580"/>
      <c r="B540" s="580"/>
      <c r="C540" s="580"/>
      <c r="D540" s="580"/>
      <c r="E540" s="581"/>
      <c r="F540" s="602"/>
      <c r="G540" s="580"/>
      <c r="H540" s="580"/>
      <c r="I540" s="580"/>
      <c r="J540" s="580"/>
      <c r="K540" s="580"/>
    </row>
    <row r="541" ht="20.25" spans="1:11">
      <c r="A541" s="580"/>
      <c r="B541" s="580"/>
      <c r="C541" s="580"/>
      <c r="D541" s="580"/>
      <c r="E541" s="581"/>
      <c r="F541" s="602"/>
      <c r="G541" s="580"/>
      <c r="H541" s="580"/>
      <c r="I541" s="580"/>
      <c r="J541" s="580"/>
      <c r="K541" s="580"/>
    </row>
    <row r="542" ht="20.25" spans="1:11">
      <c r="A542" s="580"/>
      <c r="B542" s="580"/>
      <c r="C542" s="580"/>
      <c r="D542" s="580"/>
      <c r="E542" s="581"/>
      <c r="F542" s="602"/>
      <c r="G542" s="580"/>
      <c r="H542" s="580"/>
      <c r="I542" s="580"/>
      <c r="J542" s="580"/>
      <c r="K542" s="580"/>
    </row>
    <row r="543" ht="20.25" spans="1:11">
      <c r="A543" s="580"/>
      <c r="B543" s="580"/>
      <c r="C543" s="580"/>
      <c r="D543" s="580"/>
      <c r="E543" s="581"/>
      <c r="F543" s="602"/>
      <c r="G543" s="580"/>
      <c r="H543" s="580"/>
      <c r="I543" s="580"/>
      <c r="J543" s="580"/>
      <c r="K543" s="580"/>
    </row>
    <row r="544" ht="20.25" spans="1:11">
      <c r="A544" s="580"/>
      <c r="B544" s="580"/>
      <c r="C544" s="580"/>
      <c r="D544" s="580"/>
      <c r="E544" s="581"/>
      <c r="F544" s="602"/>
      <c r="G544" s="580"/>
      <c r="H544" s="580"/>
      <c r="I544" s="580"/>
      <c r="J544" s="580"/>
      <c r="K544" s="580"/>
    </row>
    <row r="545" ht="20.25" spans="1:11">
      <c r="A545" s="580"/>
      <c r="B545" s="580"/>
      <c r="C545" s="580"/>
      <c r="D545" s="580"/>
      <c r="E545" s="581"/>
      <c r="F545" s="602"/>
      <c r="G545" s="580"/>
      <c r="H545" s="580"/>
      <c r="I545" s="580"/>
      <c r="J545" s="580"/>
      <c r="K545" s="580"/>
    </row>
    <row r="546" ht="20.25" spans="1:11">
      <c r="A546" s="580"/>
      <c r="B546" s="580"/>
      <c r="C546" s="580"/>
      <c r="D546" s="580"/>
      <c r="E546" s="581"/>
      <c r="F546" s="602"/>
      <c r="G546" s="580"/>
      <c r="H546" s="580"/>
      <c r="I546" s="580"/>
      <c r="J546" s="580"/>
      <c r="K546" s="580"/>
    </row>
    <row r="547" ht="20.25" spans="1:11">
      <c r="A547" s="580"/>
      <c r="B547" s="580"/>
      <c r="C547" s="580"/>
      <c r="D547" s="580"/>
      <c r="E547" s="581"/>
      <c r="F547" s="602"/>
      <c r="G547" s="580"/>
      <c r="H547" s="580"/>
      <c r="I547" s="580"/>
      <c r="J547" s="580"/>
      <c r="K547" s="580"/>
    </row>
    <row r="548" ht="20.25" spans="1:11">
      <c r="A548" s="580"/>
      <c r="B548" s="580"/>
      <c r="C548" s="580"/>
      <c r="D548" s="580"/>
      <c r="E548" s="581"/>
      <c r="F548" s="602"/>
      <c r="G548" s="580"/>
      <c r="H548" s="580"/>
      <c r="I548" s="580"/>
      <c r="J548" s="580"/>
      <c r="K548" s="580"/>
    </row>
    <row r="549" ht="20.25" spans="1:11">
      <c r="A549" s="580"/>
      <c r="B549" s="580"/>
      <c r="C549" s="580"/>
      <c r="D549" s="580"/>
      <c r="E549" s="581"/>
      <c r="F549" s="602"/>
      <c r="G549" s="580"/>
      <c r="H549" s="580"/>
      <c r="I549" s="580"/>
      <c r="J549" s="580"/>
      <c r="K549" s="580"/>
    </row>
    <row r="550" ht="20.25" spans="1:11">
      <c r="A550" s="580"/>
      <c r="B550" s="580"/>
      <c r="C550" s="580"/>
      <c r="D550" s="580"/>
      <c r="E550" s="581"/>
      <c r="F550" s="602"/>
      <c r="G550" s="580"/>
      <c r="H550" s="580"/>
      <c r="I550" s="580"/>
      <c r="J550" s="580"/>
      <c r="K550" s="580"/>
    </row>
    <row r="551" ht="20.25" spans="1:11">
      <c r="A551" s="580"/>
      <c r="B551" s="580"/>
      <c r="C551" s="580"/>
      <c r="D551" s="580"/>
      <c r="E551" s="581"/>
      <c r="F551" s="602"/>
      <c r="G551" s="580"/>
      <c r="H551" s="580"/>
      <c r="I551" s="580"/>
      <c r="J551" s="580"/>
      <c r="K551" s="580"/>
    </row>
    <row r="552" ht="20.25" spans="1:11">
      <c r="A552" s="580"/>
      <c r="B552" s="580"/>
      <c r="C552" s="580"/>
      <c r="D552" s="580"/>
      <c r="E552" s="581"/>
      <c r="F552" s="602"/>
      <c r="G552" s="580"/>
      <c r="H552" s="580"/>
      <c r="I552" s="580"/>
      <c r="J552" s="580"/>
      <c r="K552" s="580"/>
    </row>
    <row r="553" ht="20.25" spans="1:11">
      <c r="A553" s="580"/>
      <c r="B553" s="580"/>
      <c r="C553" s="580"/>
      <c r="D553" s="580"/>
      <c r="E553" s="581"/>
      <c r="F553" s="602"/>
      <c r="G553" s="580"/>
      <c r="H553" s="580"/>
      <c r="I553" s="580"/>
      <c r="J553" s="580"/>
      <c r="K553" s="580"/>
    </row>
    <row r="554" ht="20.25" spans="1:11">
      <c r="A554" s="580"/>
      <c r="B554" s="580"/>
      <c r="C554" s="580"/>
      <c r="D554" s="580"/>
      <c r="E554" s="581"/>
      <c r="F554" s="602"/>
      <c r="G554" s="580"/>
      <c r="H554" s="580"/>
      <c r="I554" s="580"/>
      <c r="J554" s="580"/>
      <c r="K554" s="580"/>
    </row>
    <row r="555" ht="20.25" spans="1:11">
      <c r="A555" s="580"/>
      <c r="B555" s="580"/>
      <c r="C555" s="580"/>
      <c r="D555" s="580"/>
      <c r="E555" s="581"/>
      <c r="F555" s="602"/>
      <c r="G555" s="580"/>
      <c r="H555" s="580"/>
      <c r="I555" s="580"/>
      <c r="J555" s="580"/>
      <c r="K555" s="580"/>
    </row>
    <row r="556" ht="20.25" spans="1:11">
      <c r="A556" s="580"/>
      <c r="B556" s="580"/>
      <c r="C556" s="580"/>
      <c r="D556" s="580"/>
      <c r="E556" s="581"/>
      <c r="F556" s="602"/>
      <c r="G556" s="580"/>
      <c r="H556" s="580"/>
      <c r="I556" s="580"/>
      <c r="J556" s="580"/>
      <c r="K556" s="580"/>
    </row>
    <row r="557" ht="20.25" spans="1:11">
      <c r="A557" s="580"/>
      <c r="B557" s="580"/>
      <c r="C557" s="580"/>
      <c r="D557" s="580"/>
      <c r="E557" s="581"/>
      <c r="F557" s="602"/>
      <c r="G557" s="580"/>
      <c r="H557" s="580"/>
      <c r="I557" s="580"/>
      <c r="J557" s="580"/>
      <c r="K557" s="580"/>
    </row>
    <row r="558" ht="20.25" spans="1:11">
      <c r="A558" s="580"/>
      <c r="B558" s="580"/>
      <c r="C558" s="580"/>
      <c r="D558" s="580"/>
      <c r="E558" s="581"/>
      <c r="F558" s="602"/>
      <c r="G558" s="580"/>
      <c r="H558" s="580"/>
      <c r="I558" s="580"/>
      <c r="J558" s="580"/>
      <c r="K558" s="580"/>
    </row>
    <row r="559" ht="20.25" spans="1:11">
      <c r="A559" s="580"/>
      <c r="B559" s="580"/>
      <c r="C559" s="580"/>
      <c r="D559" s="580"/>
      <c r="E559" s="581"/>
      <c r="F559" s="602"/>
      <c r="G559" s="580"/>
      <c r="H559" s="580"/>
      <c r="I559" s="580"/>
      <c r="J559" s="580"/>
      <c r="K559" s="580"/>
    </row>
    <row r="560" ht="20.25" spans="1:11">
      <c r="A560" s="580"/>
      <c r="B560" s="580"/>
      <c r="C560" s="580"/>
      <c r="D560" s="580"/>
      <c r="E560" s="581"/>
      <c r="F560" s="602"/>
      <c r="G560" s="580"/>
      <c r="H560" s="580"/>
      <c r="I560" s="580"/>
      <c r="J560" s="580"/>
      <c r="K560" s="580"/>
    </row>
    <row r="561" ht="20.25" spans="1:11">
      <c r="A561" s="580"/>
      <c r="B561" s="580"/>
      <c r="C561" s="580"/>
      <c r="D561" s="580"/>
      <c r="E561" s="581"/>
      <c r="F561" s="602"/>
      <c r="G561" s="580"/>
      <c r="H561" s="580"/>
      <c r="I561" s="580"/>
      <c r="J561" s="580"/>
      <c r="K561" s="580"/>
    </row>
    <row r="562" ht="20.25" spans="1:11">
      <c r="A562" s="580"/>
      <c r="B562" s="580"/>
      <c r="C562" s="580"/>
      <c r="D562" s="580"/>
      <c r="E562" s="581"/>
      <c r="F562" s="602"/>
      <c r="G562" s="580"/>
      <c r="H562" s="580"/>
      <c r="I562" s="580"/>
      <c r="J562" s="580"/>
      <c r="K562" s="580"/>
    </row>
    <row r="563" ht="20.25" spans="1:11">
      <c r="A563" s="580"/>
      <c r="B563" s="580"/>
      <c r="C563" s="580"/>
      <c r="D563" s="580"/>
      <c r="E563" s="581"/>
      <c r="F563" s="602"/>
      <c r="G563" s="580"/>
      <c r="H563" s="580"/>
      <c r="I563" s="580"/>
      <c r="J563" s="580"/>
      <c r="K563" s="580"/>
    </row>
    <row r="564" ht="20.25" spans="1:11">
      <c r="A564" s="580"/>
      <c r="B564" s="580"/>
      <c r="C564" s="580"/>
      <c r="D564" s="580"/>
      <c r="E564" s="581"/>
      <c r="F564" s="602"/>
      <c r="G564" s="580"/>
      <c r="H564" s="580"/>
      <c r="I564" s="580"/>
      <c r="J564" s="580"/>
      <c r="K564" s="580"/>
    </row>
    <row r="565" ht="20.25" spans="1:11">
      <c r="A565" s="580"/>
      <c r="B565" s="580"/>
      <c r="C565" s="580"/>
      <c r="D565" s="580"/>
      <c r="E565" s="581"/>
      <c r="F565" s="602"/>
      <c r="G565" s="580"/>
      <c r="H565" s="580"/>
      <c r="I565" s="580"/>
      <c r="J565" s="580"/>
      <c r="K565" s="580"/>
    </row>
    <row r="566" ht="20.25" spans="1:11">
      <c r="A566" s="580"/>
      <c r="B566" s="580"/>
      <c r="C566" s="580"/>
      <c r="D566" s="580"/>
      <c r="E566" s="581"/>
      <c r="F566" s="602"/>
      <c r="G566" s="580"/>
      <c r="H566" s="580"/>
      <c r="I566" s="580"/>
      <c r="J566" s="580"/>
      <c r="K566" s="580"/>
    </row>
    <row r="567" ht="20.25" spans="1:11">
      <c r="A567" s="580"/>
      <c r="B567" s="580"/>
      <c r="C567" s="580"/>
      <c r="D567" s="580"/>
      <c r="E567" s="581"/>
      <c r="F567" s="602"/>
      <c r="G567" s="580"/>
      <c r="H567" s="580"/>
      <c r="I567" s="580"/>
      <c r="J567" s="580"/>
      <c r="K567" s="580"/>
    </row>
    <row r="568" ht="20.25" spans="1:11">
      <c r="A568" s="580"/>
      <c r="B568" s="580"/>
      <c r="C568" s="580"/>
      <c r="D568" s="580"/>
      <c r="E568" s="581"/>
      <c r="F568" s="602"/>
      <c r="G568" s="580"/>
      <c r="H568" s="580"/>
      <c r="I568" s="580"/>
      <c r="J568" s="580"/>
      <c r="K568" s="580"/>
    </row>
    <row r="569" ht="20.25" spans="1:11">
      <c r="A569" s="580"/>
      <c r="B569" s="580"/>
      <c r="C569" s="580"/>
      <c r="D569" s="580"/>
      <c r="E569" s="581"/>
      <c r="F569" s="602"/>
      <c r="G569" s="580"/>
      <c r="H569" s="580"/>
      <c r="I569" s="580"/>
      <c r="J569" s="580"/>
      <c r="K569" s="580"/>
    </row>
    <row r="570" ht="20.25" spans="1:11">
      <c r="A570" s="580"/>
      <c r="B570" s="580"/>
      <c r="C570" s="580"/>
      <c r="D570" s="580"/>
      <c r="E570" s="581"/>
      <c r="F570" s="602"/>
      <c r="G570" s="580"/>
      <c r="H570" s="580"/>
      <c r="I570" s="580"/>
      <c r="J570" s="580"/>
      <c r="K570" s="580"/>
    </row>
    <row r="571" ht="20.25" spans="1:11">
      <c r="A571" s="580"/>
      <c r="B571" s="580"/>
      <c r="C571" s="580"/>
      <c r="D571" s="580"/>
      <c r="E571" s="581"/>
      <c r="F571" s="602"/>
      <c r="G571" s="580"/>
      <c r="H571" s="580"/>
      <c r="I571" s="580"/>
      <c r="J571" s="580"/>
      <c r="K571" s="580"/>
    </row>
    <row r="572" ht="20.25" spans="1:11">
      <c r="A572" s="580"/>
      <c r="B572" s="580"/>
      <c r="C572" s="580"/>
      <c r="D572" s="580"/>
      <c r="E572" s="581"/>
      <c r="F572" s="602"/>
      <c r="G572" s="580"/>
      <c r="H572" s="580"/>
      <c r="I572" s="580"/>
      <c r="J572" s="580"/>
      <c r="K572" s="580"/>
    </row>
    <row r="573" ht="20.25" spans="1:11">
      <c r="A573" s="580"/>
      <c r="B573" s="580"/>
      <c r="C573" s="580"/>
      <c r="D573" s="580"/>
      <c r="E573" s="581"/>
      <c r="F573" s="602"/>
      <c r="G573" s="580"/>
      <c r="H573" s="580"/>
      <c r="I573" s="580"/>
      <c r="J573" s="580"/>
      <c r="K573" s="580"/>
    </row>
    <row r="574" ht="20.25" spans="1:11">
      <c r="A574" s="580"/>
      <c r="B574" s="580"/>
      <c r="C574" s="580"/>
      <c r="D574" s="580"/>
      <c r="E574" s="581"/>
      <c r="F574" s="602"/>
      <c r="G574" s="580"/>
      <c r="H574" s="580"/>
      <c r="I574" s="580"/>
      <c r="J574" s="580"/>
      <c r="K574" s="580"/>
    </row>
    <row r="575" ht="20.25" spans="1:11">
      <c r="A575" s="580"/>
      <c r="B575" s="580"/>
      <c r="C575" s="580"/>
      <c r="D575" s="580"/>
      <c r="E575" s="581"/>
      <c r="F575" s="602"/>
      <c r="G575" s="580"/>
      <c r="H575" s="580"/>
      <c r="I575" s="580"/>
      <c r="J575" s="580"/>
      <c r="K575" s="580"/>
    </row>
    <row r="576" ht="20.25" spans="1:11">
      <c r="A576" s="580"/>
      <c r="B576" s="580"/>
      <c r="C576" s="580"/>
      <c r="D576" s="580"/>
      <c r="E576" s="581"/>
      <c r="F576" s="602"/>
      <c r="G576" s="580"/>
      <c r="H576" s="580"/>
      <c r="I576" s="580"/>
      <c r="J576" s="580"/>
      <c r="K576" s="580"/>
    </row>
    <row r="577" ht="20.25" spans="1:11">
      <c r="A577" s="580"/>
      <c r="B577" s="580"/>
      <c r="C577" s="580"/>
      <c r="D577" s="580"/>
      <c r="E577" s="581"/>
      <c r="F577" s="602"/>
      <c r="G577" s="580"/>
      <c r="H577" s="580"/>
      <c r="I577" s="580"/>
      <c r="J577" s="580"/>
      <c r="K577" s="580"/>
    </row>
    <row r="578" ht="20.25" spans="1:11">
      <c r="A578" s="580"/>
      <c r="B578" s="580"/>
      <c r="C578" s="580"/>
      <c r="D578" s="580"/>
      <c r="E578" s="581"/>
      <c r="F578" s="602"/>
      <c r="G578" s="580"/>
      <c r="H578" s="580"/>
      <c r="I578" s="580"/>
      <c r="J578" s="580"/>
      <c r="K578" s="580"/>
    </row>
    <row r="579" ht="20.25" spans="1:11">
      <c r="A579" s="580"/>
      <c r="B579" s="580"/>
      <c r="C579" s="580"/>
      <c r="D579" s="580"/>
      <c r="E579" s="581"/>
      <c r="F579" s="602"/>
      <c r="G579" s="580"/>
      <c r="H579" s="580"/>
      <c r="I579" s="580"/>
      <c r="J579" s="580"/>
      <c r="K579" s="580"/>
    </row>
    <row r="580" ht="20.25" spans="1:11">
      <c r="A580" s="580"/>
      <c r="B580" s="580"/>
      <c r="C580" s="580"/>
      <c r="D580" s="580"/>
      <c r="E580" s="581"/>
      <c r="F580" s="602"/>
      <c r="G580" s="580"/>
      <c r="H580" s="580"/>
      <c r="I580" s="580"/>
      <c r="J580" s="580"/>
      <c r="K580" s="580"/>
    </row>
    <row r="581" ht="20.25" spans="1:11">
      <c r="A581" s="580"/>
      <c r="B581" s="580"/>
      <c r="C581" s="580"/>
      <c r="D581" s="580"/>
      <c r="E581" s="581"/>
      <c r="F581" s="602"/>
      <c r="G581" s="580"/>
      <c r="H581" s="580"/>
      <c r="I581" s="580"/>
      <c r="J581" s="580"/>
      <c r="K581" s="580"/>
    </row>
    <row r="582" ht="20.25" spans="1:11">
      <c r="A582" s="580"/>
      <c r="B582" s="580"/>
      <c r="C582" s="580"/>
      <c r="D582" s="580"/>
      <c r="E582" s="581"/>
      <c r="F582" s="602"/>
      <c r="G582" s="580"/>
      <c r="H582" s="580"/>
      <c r="I582" s="580"/>
      <c r="J582" s="580"/>
      <c r="K582" s="580"/>
    </row>
    <row r="583" ht="20.25" spans="1:11">
      <c r="A583" s="580"/>
      <c r="B583" s="580"/>
      <c r="C583" s="580"/>
      <c r="D583" s="580"/>
      <c r="E583" s="581"/>
      <c r="F583" s="602"/>
      <c r="G583" s="580"/>
      <c r="H583" s="580"/>
      <c r="I583" s="580"/>
      <c r="J583" s="580"/>
      <c r="K583" s="580"/>
    </row>
    <row r="584" ht="20.25" spans="1:11">
      <c r="A584" s="580"/>
      <c r="B584" s="580"/>
      <c r="C584" s="580"/>
      <c r="D584" s="580"/>
      <c r="E584" s="581"/>
      <c r="F584" s="602"/>
      <c r="G584" s="580"/>
      <c r="H584" s="580"/>
      <c r="I584" s="580"/>
      <c r="J584" s="580"/>
      <c r="K584" s="580"/>
    </row>
    <row r="585" ht="20.25" spans="1:11">
      <c r="A585" s="580"/>
      <c r="B585" s="580"/>
      <c r="C585" s="580"/>
      <c r="D585" s="580"/>
      <c r="E585" s="581"/>
      <c r="F585" s="602"/>
      <c r="G585" s="580"/>
      <c r="H585" s="580"/>
      <c r="I585" s="580"/>
      <c r="J585" s="580"/>
      <c r="K585" s="580"/>
    </row>
    <row r="586" ht="20.25" spans="1:11">
      <c r="A586" s="580"/>
      <c r="B586" s="580"/>
      <c r="C586" s="580"/>
      <c r="D586" s="580"/>
      <c r="E586" s="581"/>
      <c r="F586" s="602"/>
      <c r="G586" s="580"/>
      <c r="H586" s="580"/>
      <c r="I586" s="580"/>
      <c r="J586" s="580"/>
      <c r="K586" s="580"/>
    </row>
    <row r="587" ht="20.25" spans="1:11">
      <c r="A587" s="580"/>
      <c r="B587" s="580"/>
      <c r="C587" s="580"/>
      <c r="D587" s="580"/>
      <c r="E587" s="581"/>
      <c r="F587" s="602"/>
      <c r="G587" s="580"/>
      <c r="H587" s="580"/>
      <c r="I587" s="580"/>
      <c r="J587" s="580"/>
      <c r="K587" s="580"/>
    </row>
    <row r="588" ht="20.25" spans="1:11">
      <c r="A588" s="580"/>
      <c r="B588" s="580"/>
      <c r="C588" s="580"/>
      <c r="D588" s="580"/>
      <c r="E588" s="581"/>
      <c r="F588" s="602"/>
      <c r="G588" s="580"/>
      <c r="H588" s="580"/>
      <c r="I588" s="580"/>
      <c r="J588" s="580"/>
      <c r="K588" s="580"/>
    </row>
    <row r="589" ht="20.25" spans="1:11">
      <c r="A589" s="580"/>
      <c r="B589" s="580"/>
      <c r="C589" s="580"/>
      <c r="D589" s="580"/>
      <c r="E589" s="581"/>
      <c r="F589" s="602"/>
      <c r="G589" s="580"/>
      <c r="H589" s="580"/>
      <c r="I589" s="580"/>
      <c r="J589" s="580"/>
      <c r="K589" s="580"/>
    </row>
    <row r="590" ht="20.25" spans="1:11">
      <c r="A590" s="580"/>
      <c r="B590" s="580"/>
      <c r="C590" s="580"/>
      <c r="D590" s="580"/>
      <c r="E590" s="581"/>
      <c r="F590" s="602"/>
      <c r="G590" s="580"/>
      <c r="H590" s="580"/>
      <c r="I590" s="580"/>
      <c r="J590" s="580"/>
      <c r="K590" s="580"/>
    </row>
    <row r="591" ht="20.25" spans="1:11">
      <c r="A591" s="580"/>
      <c r="B591" s="580"/>
      <c r="C591" s="580"/>
      <c r="D591" s="580"/>
      <c r="E591" s="581"/>
      <c r="F591" s="602"/>
      <c r="G591" s="580"/>
      <c r="H591" s="580"/>
      <c r="I591" s="580"/>
      <c r="J591" s="580"/>
      <c r="K591" s="580"/>
    </row>
    <row r="592" ht="20.25" spans="1:11">
      <c r="A592" s="580"/>
      <c r="B592" s="580"/>
      <c r="C592" s="580"/>
      <c r="D592" s="580"/>
      <c r="E592" s="581"/>
      <c r="F592" s="602"/>
      <c r="G592" s="580"/>
      <c r="H592" s="580"/>
      <c r="I592" s="580"/>
      <c r="J592" s="580"/>
      <c r="K592" s="580"/>
    </row>
    <row r="593" ht="20.25" spans="1:11">
      <c r="A593" s="580"/>
      <c r="B593" s="580"/>
      <c r="C593" s="580"/>
      <c r="D593" s="580"/>
      <c r="E593" s="581"/>
      <c r="F593" s="602"/>
      <c r="G593" s="580"/>
      <c r="H593" s="580"/>
      <c r="I593" s="580"/>
      <c r="J593" s="580"/>
      <c r="K593" s="580"/>
    </row>
    <row r="594" ht="20.25" spans="1:11">
      <c r="A594" s="580"/>
      <c r="B594" s="580"/>
      <c r="C594" s="580"/>
      <c r="D594" s="580"/>
      <c r="E594" s="581"/>
      <c r="F594" s="602"/>
      <c r="G594" s="580"/>
      <c r="H594" s="580"/>
      <c r="I594" s="580"/>
      <c r="J594" s="580"/>
      <c r="K594" s="580"/>
    </row>
    <row r="595" ht="20.25" spans="1:11">
      <c r="A595" s="580"/>
      <c r="B595" s="580"/>
      <c r="C595" s="580"/>
      <c r="D595" s="580"/>
      <c r="E595" s="581"/>
      <c r="F595" s="602"/>
      <c r="G595" s="580"/>
      <c r="H595" s="580"/>
      <c r="I595" s="580"/>
      <c r="J595" s="580"/>
      <c r="K595" s="580"/>
    </row>
    <row r="596" ht="20.25" spans="1:11">
      <c r="A596" s="580"/>
      <c r="B596" s="580"/>
      <c r="C596" s="580"/>
      <c r="D596" s="580"/>
      <c r="E596" s="581"/>
      <c r="F596" s="602"/>
      <c r="G596" s="580"/>
      <c r="H596" s="580"/>
      <c r="I596" s="580"/>
      <c r="J596" s="580"/>
      <c r="K596" s="580"/>
    </row>
    <row r="597" ht="20.25" spans="1:11">
      <c r="A597" s="580"/>
      <c r="B597" s="580"/>
      <c r="C597" s="580"/>
      <c r="D597" s="580"/>
      <c r="E597" s="581"/>
      <c r="F597" s="602"/>
      <c r="G597" s="580"/>
      <c r="H597" s="580"/>
      <c r="I597" s="580"/>
      <c r="J597" s="580"/>
      <c r="K597" s="580"/>
    </row>
    <row r="598" ht="20.25" spans="1:11">
      <c r="A598" s="580"/>
      <c r="B598" s="580"/>
      <c r="C598" s="580"/>
      <c r="D598" s="580"/>
      <c r="E598" s="581"/>
      <c r="F598" s="602"/>
      <c r="G598" s="580"/>
      <c r="H598" s="580"/>
      <c r="I598" s="580"/>
      <c r="J598" s="580"/>
      <c r="K598" s="580"/>
    </row>
    <row r="599" ht="20.25" spans="1:11">
      <c r="A599" s="580"/>
      <c r="B599" s="580"/>
      <c r="C599" s="580"/>
      <c r="D599" s="580"/>
      <c r="E599" s="581"/>
      <c r="F599" s="602"/>
      <c r="G599" s="580"/>
      <c r="H599" s="580"/>
      <c r="I599" s="580"/>
      <c r="J599" s="580"/>
      <c r="K599" s="580"/>
    </row>
    <row r="600" ht="20.25" spans="1:11">
      <c r="A600" s="580"/>
      <c r="B600" s="580"/>
      <c r="C600" s="580"/>
      <c r="D600" s="580"/>
      <c r="E600" s="581"/>
      <c r="F600" s="602"/>
      <c r="G600" s="580"/>
      <c r="H600" s="580"/>
      <c r="I600" s="580"/>
      <c r="J600" s="580"/>
      <c r="K600" s="580"/>
    </row>
    <row r="601" ht="20.25" spans="1:11">
      <c r="A601" s="580"/>
      <c r="B601" s="580"/>
      <c r="C601" s="580"/>
      <c r="D601" s="580"/>
      <c r="E601" s="581"/>
      <c r="F601" s="602"/>
      <c r="G601" s="580"/>
      <c r="H601" s="580"/>
      <c r="I601" s="580"/>
      <c r="J601" s="580"/>
      <c r="K601" s="580"/>
    </row>
    <row r="602" ht="20.25" spans="1:11">
      <c r="A602" s="580"/>
      <c r="B602" s="580"/>
      <c r="C602" s="580"/>
      <c r="D602" s="580"/>
      <c r="E602" s="581"/>
      <c r="F602" s="602"/>
      <c r="G602" s="580"/>
      <c r="H602" s="580"/>
      <c r="I602" s="580"/>
      <c r="J602" s="580"/>
      <c r="K602" s="580"/>
    </row>
    <row r="603" ht="20.25" spans="1:11">
      <c r="A603" s="580"/>
      <c r="B603" s="580"/>
      <c r="C603" s="580"/>
      <c r="D603" s="580"/>
      <c r="E603" s="581"/>
      <c r="F603" s="602"/>
      <c r="G603" s="580"/>
      <c r="H603" s="580"/>
      <c r="I603" s="580"/>
      <c r="J603" s="580"/>
      <c r="K603" s="580"/>
    </row>
    <row r="604" ht="20.25" spans="1:11">
      <c r="A604" s="580"/>
      <c r="B604" s="580"/>
      <c r="C604" s="580"/>
      <c r="D604" s="580"/>
      <c r="E604" s="581"/>
      <c r="F604" s="602"/>
      <c r="G604" s="580"/>
      <c r="H604" s="580"/>
      <c r="I604" s="580"/>
      <c r="J604" s="580"/>
      <c r="K604" s="580"/>
    </row>
    <row r="605" ht="20.25" spans="1:11">
      <c r="A605" s="580"/>
      <c r="B605" s="580"/>
      <c r="C605" s="580"/>
      <c r="D605" s="580"/>
      <c r="E605" s="581"/>
      <c r="F605" s="602"/>
      <c r="G605" s="580"/>
      <c r="H605" s="580"/>
      <c r="I605" s="580"/>
      <c r="J605" s="580"/>
      <c r="K605" s="580"/>
    </row>
    <row r="606" ht="20.25" spans="1:11">
      <c r="A606" s="580"/>
      <c r="B606" s="580"/>
      <c r="C606" s="580"/>
      <c r="D606" s="580"/>
      <c r="E606" s="581"/>
      <c r="F606" s="602"/>
      <c r="G606" s="580"/>
      <c r="H606" s="580"/>
      <c r="I606" s="580"/>
      <c r="J606" s="580"/>
      <c r="K606" s="580"/>
    </row>
    <row r="607" ht="20.25" spans="1:11">
      <c r="A607" s="580"/>
      <c r="B607" s="580"/>
      <c r="C607" s="580"/>
      <c r="D607" s="580"/>
      <c r="E607" s="581"/>
      <c r="F607" s="602"/>
      <c r="G607" s="580"/>
      <c r="H607" s="580"/>
      <c r="I607" s="580"/>
      <c r="J607" s="580"/>
      <c r="K607" s="580"/>
    </row>
    <row r="608" ht="20.25" spans="1:11">
      <c r="A608" s="580"/>
      <c r="B608" s="580"/>
      <c r="C608" s="580"/>
      <c r="D608" s="580"/>
      <c r="E608" s="581"/>
      <c r="F608" s="602"/>
      <c r="G608" s="580"/>
      <c r="H608" s="580"/>
      <c r="I608" s="580"/>
      <c r="J608" s="580"/>
      <c r="K608" s="580"/>
    </row>
    <row r="609" ht="20.25" spans="1:11">
      <c r="A609" s="580"/>
      <c r="B609" s="580"/>
      <c r="C609" s="580"/>
      <c r="D609" s="580"/>
      <c r="E609" s="581"/>
      <c r="F609" s="602"/>
      <c r="G609" s="580"/>
      <c r="H609" s="580"/>
      <c r="I609" s="580"/>
      <c r="J609" s="580"/>
      <c r="K609" s="580"/>
    </row>
    <row r="610" ht="20.25" spans="1:11">
      <c r="A610" s="580"/>
      <c r="B610" s="580"/>
      <c r="C610" s="580"/>
      <c r="D610" s="580"/>
      <c r="E610" s="581"/>
      <c r="F610" s="602"/>
      <c r="G610" s="580"/>
      <c r="H610" s="580"/>
      <c r="I610" s="580"/>
      <c r="J610" s="580"/>
      <c r="K610" s="580"/>
    </row>
    <row r="611" ht="20.25" spans="1:11">
      <c r="A611" s="580"/>
      <c r="B611" s="580"/>
      <c r="C611" s="580"/>
      <c r="D611" s="580"/>
      <c r="E611" s="581"/>
      <c r="F611" s="602"/>
      <c r="G611" s="580"/>
      <c r="H611" s="580"/>
      <c r="I611" s="580"/>
      <c r="J611" s="580"/>
      <c r="K611" s="580"/>
    </row>
    <row r="612" ht="20.25" spans="1:11">
      <c r="A612" s="580"/>
      <c r="B612" s="580"/>
      <c r="C612" s="580"/>
      <c r="D612" s="580"/>
      <c r="E612" s="581"/>
      <c r="F612" s="602"/>
      <c r="G612" s="580"/>
      <c r="H612" s="580"/>
      <c r="I612" s="580"/>
      <c r="J612" s="580"/>
      <c r="K612" s="580"/>
    </row>
    <row r="613" ht="20.25" spans="1:11">
      <c r="A613" s="580"/>
      <c r="B613" s="580"/>
      <c r="C613" s="580"/>
      <c r="D613" s="580"/>
      <c r="E613" s="581"/>
      <c r="F613" s="602"/>
      <c r="G613" s="580"/>
      <c r="H613" s="580"/>
      <c r="I613" s="580"/>
      <c r="J613" s="580"/>
      <c r="K613" s="580"/>
    </row>
    <row r="614" ht="20.25" spans="1:11">
      <c r="A614" s="580"/>
      <c r="B614" s="580"/>
      <c r="C614" s="580"/>
      <c r="D614" s="580"/>
      <c r="E614" s="581"/>
      <c r="F614" s="602"/>
      <c r="G614" s="580"/>
      <c r="H614" s="580"/>
      <c r="I614" s="580"/>
      <c r="J614" s="580"/>
      <c r="K614" s="580"/>
    </row>
    <row r="615" ht="20.25" spans="1:11">
      <c r="A615" s="580"/>
      <c r="B615" s="580"/>
      <c r="C615" s="580"/>
      <c r="D615" s="580"/>
      <c r="E615" s="581"/>
      <c r="F615" s="602"/>
      <c r="G615" s="580"/>
      <c r="H615" s="580"/>
      <c r="I615" s="580"/>
      <c r="J615" s="580"/>
      <c r="K615" s="580"/>
    </row>
    <row r="616" ht="20.25" spans="1:11">
      <c r="A616" s="580"/>
      <c r="B616" s="580"/>
      <c r="C616" s="580"/>
      <c r="D616" s="580"/>
      <c r="E616" s="581"/>
      <c r="F616" s="602"/>
      <c r="G616" s="580"/>
      <c r="H616" s="580"/>
      <c r="I616" s="580"/>
      <c r="J616" s="580"/>
      <c r="K616" s="580"/>
    </row>
    <row r="617" ht="20.25" spans="1:11">
      <c r="A617" s="580"/>
      <c r="B617" s="580"/>
      <c r="C617" s="580"/>
      <c r="D617" s="580"/>
      <c r="E617" s="581"/>
      <c r="F617" s="602"/>
      <c r="G617" s="580"/>
      <c r="H617" s="580"/>
      <c r="I617" s="580"/>
      <c r="J617" s="580"/>
      <c r="K617" s="580"/>
    </row>
    <row r="618" ht="20.25" spans="1:11">
      <c r="A618" s="580"/>
      <c r="B618" s="580"/>
      <c r="C618" s="580"/>
      <c r="D618" s="580"/>
      <c r="E618" s="581"/>
      <c r="F618" s="602"/>
      <c r="G618" s="580"/>
      <c r="H618" s="580"/>
      <c r="I618" s="580"/>
      <c r="J618" s="580"/>
      <c r="K618" s="580"/>
    </row>
    <row r="619" ht="20.25" spans="1:11">
      <c r="A619" s="580"/>
      <c r="B619" s="580"/>
      <c r="C619" s="580"/>
      <c r="D619" s="580"/>
      <c r="E619" s="581"/>
      <c r="F619" s="602"/>
      <c r="G619" s="580"/>
      <c r="H619" s="580"/>
      <c r="I619" s="580"/>
      <c r="J619" s="580"/>
      <c r="K619" s="580"/>
    </row>
    <row r="620" ht="20.25" spans="1:11">
      <c r="A620" s="580"/>
      <c r="B620" s="580"/>
      <c r="C620" s="580"/>
      <c r="D620" s="580"/>
      <c r="E620" s="581"/>
      <c r="F620" s="602"/>
      <c r="G620" s="580"/>
      <c r="H620" s="580"/>
      <c r="I620" s="580"/>
      <c r="J620" s="580"/>
      <c r="K620" s="580"/>
    </row>
    <row r="621" ht="20.25" spans="1:11">
      <c r="A621" s="580"/>
      <c r="B621" s="580"/>
      <c r="C621" s="580"/>
      <c r="D621" s="580"/>
      <c r="E621" s="581"/>
      <c r="F621" s="602"/>
      <c r="G621" s="580"/>
      <c r="H621" s="580"/>
      <c r="I621" s="580"/>
      <c r="J621" s="580"/>
      <c r="K621" s="580"/>
    </row>
    <row r="622" ht="20.25" spans="1:11">
      <c r="A622" s="580"/>
      <c r="B622" s="580"/>
      <c r="C622" s="580"/>
      <c r="D622" s="580"/>
      <c r="E622" s="581"/>
      <c r="F622" s="602"/>
      <c r="G622" s="580"/>
      <c r="H622" s="580"/>
      <c r="I622" s="580"/>
      <c r="J622" s="580"/>
      <c r="K622" s="580"/>
    </row>
    <row r="623" ht="20.25" spans="1:11">
      <c r="A623" s="580"/>
      <c r="B623" s="580"/>
      <c r="C623" s="580"/>
      <c r="D623" s="580"/>
      <c r="E623" s="581"/>
      <c r="F623" s="602"/>
      <c r="G623" s="580"/>
      <c r="H623" s="580"/>
      <c r="I623" s="580"/>
      <c r="J623" s="580"/>
      <c r="K623" s="580"/>
    </row>
    <row r="624" ht="20.25" spans="1:11">
      <c r="A624" s="580"/>
      <c r="B624" s="580"/>
      <c r="C624" s="580"/>
      <c r="D624" s="580"/>
      <c r="E624" s="581"/>
      <c r="F624" s="602"/>
      <c r="G624" s="580"/>
      <c r="H624" s="580"/>
      <c r="I624" s="580"/>
      <c r="J624" s="580"/>
      <c r="K624" s="580"/>
    </row>
    <row r="625" ht="20.25" spans="1:11">
      <c r="A625" s="580"/>
      <c r="B625" s="580"/>
      <c r="C625" s="580"/>
      <c r="D625" s="580"/>
      <c r="E625" s="581"/>
      <c r="F625" s="602"/>
      <c r="G625" s="580"/>
      <c r="H625" s="580"/>
      <c r="I625" s="580"/>
      <c r="J625" s="580"/>
      <c r="K625" s="580"/>
    </row>
    <row r="626" ht="20.25" spans="1:11">
      <c r="A626" s="580"/>
      <c r="B626" s="580"/>
      <c r="C626" s="580"/>
      <c r="D626" s="580"/>
      <c r="E626" s="581"/>
      <c r="F626" s="602"/>
      <c r="G626" s="580"/>
      <c r="H626" s="580"/>
      <c r="I626" s="580"/>
      <c r="J626" s="580"/>
      <c r="K626" s="580"/>
    </row>
    <row r="627" ht="20.25" spans="1:11">
      <c r="A627" s="580"/>
      <c r="B627" s="580"/>
      <c r="C627" s="580"/>
      <c r="D627" s="580"/>
      <c r="E627" s="581"/>
      <c r="F627" s="602"/>
      <c r="G627" s="580"/>
      <c r="H627" s="580"/>
      <c r="I627" s="580"/>
      <c r="J627" s="580"/>
      <c r="K627" s="580"/>
    </row>
    <row r="628" ht="20.25" spans="1:11">
      <c r="A628" s="580"/>
      <c r="B628" s="580"/>
      <c r="C628" s="580"/>
      <c r="D628" s="580"/>
      <c r="E628" s="581"/>
      <c r="F628" s="602"/>
      <c r="G628" s="580"/>
      <c r="H628" s="580"/>
      <c r="I628" s="580"/>
      <c r="J628" s="580"/>
      <c r="K628" s="580"/>
    </row>
    <row r="629" ht="20.25" spans="1:11">
      <c r="A629" s="580"/>
      <c r="B629" s="580"/>
      <c r="C629" s="580"/>
      <c r="D629" s="580"/>
      <c r="E629" s="581"/>
      <c r="F629" s="602"/>
      <c r="G629" s="580"/>
      <c r="H629" s="580"/>
      <c r="I629" s="580"/>
      <c r="J629" s="580"/>
      <c r="K629" s="580"/>
    </row>
    <row r="630" ht="20.25" spans="1:11">
      <c r="A630" s="580"/>
      <c r="B630" s="580"/>
      <c r="C630" s="580"/>
      <c r="D630" s="580"/>
      <c r="E630" s="581"/>
      <c r="F630" s="602"/>
      <c r="G630" s="580"/>
      <c r="H630" s="580"/>
      <c r="I630" s="580"/>
      <c r="J630" s="580"/>
      <c r="K630" s="580"/>
    </row>
    <row r="631" ht="20.25" spans="1:11">
      <c r="A631" s="580"/>
      <c r="B631" s="580"/>
      <c r="C631" s="580"/>
      <c r="D631" s="580"/>
      <c r="E631" s="581"/>
      <c r="F631" s="602"/>
      <c r="G631" s="580"/>
      <c r="H631" s="580"/>
      <c r="I631" s="580"/>
      <c r="J631" s="580"/>
      <c r="K631" s="580"/>
    </row>
    <row r="632" ht="20.25" spans="1:11">
      <c r="A632" s="580"/>
      <c r="B632" s="580"/>
      <c r="C632" s="580"/>
      <c r="D632" s="580"/>
      <c r="E632" s="581"/>
      <c r="F632" s="602"/>
      <c r="G632" s="580"/>
      <c r="H632" s="580"/>
      <c r="I632" s="580"/>
      <c r="J632" s="580"/>
      <c r="K632" s="580"/>
    </row>
    <row r="633" ht="20.25" spans="1:11">
      <c r="A633" s="580"/>
      <c r="B633" s="580"/>
      <c r="C633" s="580"/>
      <c r="D633" s="580"/>
      <c r="E633" s="581"/>
      <c r="F633" s="602"/>
      <c r="G633" s="580"/>
      <c r="H633" s="580"/>
      <c r="I633" s="580"/>
      <c r="J633" s="580"/>
      <c r="K633" s="580"/>
    </row>
    <row r="634" ht="20.25" spans="1:11">
      <c r="A634" s="580"/>
      <c r="B634" s="580"/>
      <c r="C634" s="580"/>
      <c r="D634" s="580"/>
      <c r="E634" s="581"/>
      <c r="F634" s="602"/>
      <c r="G634" s="580"/>
      <c r="H634" s="580"/>
      <c r="I634" s="580"/>
      <c r="J634" s="580"/>
      <c r="K634" s="580"/>
    </row>
    <row r="635" ht="20.25" spans="1:11">
      <c r="A635" s="580"/>
      <c r="B635" s="580"/>
      <c r="C635" s="580"/>
      <c r="D635" s="580"/>
      <c r="E635" s="581"/>
      <c r="F635" s="602"/>
      <c r="G635" s="580"/>
      <c r="H635" s="580"/>
      <c r="I635" s="580"/>
      <c r="J635" s="580"/>
      <c r="K635" s="580"/>
    </row>
    <row r="636" ht="20.25" spans="1:11">
      <c r="A636" s="580"/>
      <c r="B636" s="580"/>
      <c r="C636" s="580"/>
      <c r="D636" s="580"/>
      <c r="E636" s="581"/>
      <c r="F636" s="602"/>
      <c r="G636" s="580"/>
      <c r="H636" s="580"/>
      <c r="I636" s="580"/>
      <c r="J636" s="580"/>
      <c r="K636" s="580"/>
    </row>
    <row r="637" ht="20.25" spans="1:11">
      <c r="A637" s="580"/>
      <c r="B637" s="580"/>
      <c r="C637" s="580"/>
      <c r="D637" s="580"/>
      <c r="E637" s="581"/>
      <c r="F637" s="602"/>
      <c r="G637" s="580"/>
      <c r="H637" s="580"/>
      <c r="I637" s="580"/>
      <c r="J637" s="580"/>
      <c r="K637" s="580"/>
    </row>
    <row r="638" ht="20.25" spans="1:11">
      <c r="A638" s="580"/>
      <c r="B638" s="580"/>
      <c r="C638" s="580"/>
      <c r="D638" s="580"/>
      <c r="E638" s="581"/>
      <c r="F638" s="602"/>
      <c r="G638" s="580"/>
      <c r="H638" s="580"/>
      <c r="I638" s="580"/>
      <c r="J638" s="580"/>
      <c r="K638" s="580"/>
    </row>
    <row r="639" ht="20.25" spans="1:11">
      <c r="A639" s="580"/>
      <c r="B639" s="580"/>
      <c r="C639" s="580"/>
      <c r="D639" s="580"/>
      <c r="E639" s="581"/>
      <c r="F639" s="602"/>
      <c r="G639" s="580"/>
      <c r="H639" s="580"/>
      <c r="I639" s="580"/>
      <c r="J639" s="580"/>
      <c r="K639" s="580"/>
    </row>
    <row r="640" ht="20.25" spans="1:11">
      <c r="A640" s="580"/>
      <c r="B640" s="580"/>
      <c r="C640" s="580"/>
      <c r="D640" s="580"/>
      <c r="E640" s="581"/>
      <c r="F640" s="602"/>
      <c r="G640" s="580"/>
      <c r="H640" s="580"/>
      <c r="I640" s="580"/>
      <c r="J640" s="580"/>
      <c r="K640" s="580"/>
    </row>
    <row r="641" ht="20.25" spans="1:11">
      <c r="A641" s="580"/>
      <c r="B641" s="580"/>
      <c r="C641" s="580"/>
      <c r="D641" s="580"/>
      <c r="E641" s="581"/>
      <c r="F641" s="602"/>
      <c r="G641" s="580"/>
      <c r="H641" s="580"/>
      <c r="I641" s="580"/>
      <c r="J641" s="580"/>
      <c r="K641" s="580"/>
    </row>
    <row r="642" ht="20.25" spans="1:11">
      <c r="A642" s="580"/>
      <c r="B642" s="580"/>
      <c r="C642" s="580"/>
      <c r="D642" s="580"/>
      <c r="E642" s="581"/>
      <c r="F642" s="602"/>
      <c r="G642" s="580"/>
      <c r="H642" s="580"/>
      <c r="I642" s="580"/>
      <c r="J642" s="580"/>
      <c r="K642" s="580"/>
    </row>
    <row r="643" ht="20.25" spans="1:11">
      <c r="A643" s="580"/>
      <c r="B643" s="580"/>
      <c r="C643" s="580"/>
      <c r="D643" s="580"/>
      <c r="E643" s="581"/>
      <c r="F643" s="602"/>
      <c r="G643" s="580"/>
      <c r="H643" s="580"/>
      <c r="I643" s="580"/>
      <c r="J643" s="580"/>
      <c r="K643" s="580"/>
    </row>
    <row r="644" ht="20.25" spans="1:11">
      <c r="A644" s="580"/>
      <c r="B644" s="580"/>
      <c r="C644" s="580"/>
      <c r="D644" s="580"/>
      <c r="E644" s="581"/>
      <c r="F644" s="602"/>
      <c r="G644" s="580"/>
      <c r="H644" s="580"/>
      <c r="I644" s="580"/>
      <c r="J644" s="580"/>
      <c r="K644" s="580"/>
    </row>
    <row r="645" ht="20.25" spans="1:11">
      <c r="A645" s="580"/>
      <c r="B645" s="580"/>
      <c r="C645" s="580"/>
      <c r="D645" s="580"/>
      <c r="E645" s="581"/>
      <c r="F645" s="602"/>
      <c r="G645" s="580"/>
      <c r="H645" s="580"/>
      <c r="I645" s="580"/>
      <c r="J645" s="580"/>
      <c r="K645" s="580"/>
    </row>
    <row r="646" ht="20.25" spans="1:11">
      <c r="A646" s="580"/>
      <c r="B646" s="580"/>
      <c r="C646" s="580"/>
      <c r="D646" s="580"/>
      <c r="E646" s="581"/>
      <c r="F646" s="602"/>
      <c r="G646" s="580"/>
      <c r="H646" s="580"/>
      <c r="I646" s="580"/>
      <c r="J646" s="580"/>
      <c r="K646" s="580"/>
    </row>
    <row r="647" ht="20.25" spans="1:11">
      <c r="A647" s="580"/>
      <c r="B647" s="580"/>
      <c r="C647" s="580"/>
      <c r="D647" s="580"/>
      <c r="E647" s="581"/>
      <c r="F647" s="602"/>
      <c r="G647" s="580"/>
      <c r="H647" s="580"/>
      <c r="I647" s="580"/>
      <c r="J647" s="580"/>
      <c r="K647" s="580"/>
    </row>
    <row r="648" ht="20.25" spans="1:11">
      <c r="A648" s="580"/>
      <c r="B648" s="580"/>
      <c r="C648" s="580"/>
      <c r="D648" s="580"/>
      <c r="E648" s="581"/>
      <c r="F648" s="602"/>
      <c r="G648" s="580"/>
      <c r="H648" s="580"/>
      <c r="I648" s="580"/>
      <c r="J648" s="580"/>
      <c r="K648" s="580"/>
    </row>
    <row r="649" ht="20.25" spans="1:11">
      <c r="A649" s="580"/>
      <c r="B649" s="580"/>
      <c r="C649" s="580"/>
      <c r="D649" s="580"/>
      <c r="E649" s="581"/>
      <c r="F649" s="602"/>
      <c r="G649" s="580"/>
      <c r="H649" s="580"/>
      <c r="I649" s="580"/>
      <c r="J649" s="580"/>
      <c r="K649" s="580"/>
    </row>
    <row r="650" ht="20.25" spans="1:11">
      <c r="A650" s="580"/>
      <c r="B650" s="580"/>
      <c r="C650" s="580"/>
      <c r="D650" s="580"/>
      <c r="E650" s="581"/>
      <c r="F650" s="602"/>
      <c r="G650" s="580"/>
      <c r="H650" s="580"/>
      <c r="I650" s="580"/>
      <c r="J650" s="580"/>
      <c r="K650" s="580"/>
    </row>
    <row r="651" ht="20.25" spans="1:11">
      <c r="A651" s="580"/>
      <c r="B651" s="580"/>
      <c r="C651" s="580"/>
      <c r="D651" s="580"/>
      <c r="E651" s="581"/>
      <c r="F651" s="602"/>
      <c r="G651" s="580"/>
      <c r="H651" s="580"/>
      <c r="I651" s="580"/>
      <c r="J651" s="580"/>
      <c r="K651" s="580"/>
    </row>
    <row r="652" ht="20.25" spans="1:11">
      <c r="A652" s="580"/>
      <c r="B652" s="580"/>
      <c r="C652" s="580"/>
      <c r="D652" s="580"/>
      <c r="E652" s="581"/>
      <c r="F652" s="602"/>
      <c r="G652" s="580"/>
      <c r="H652" s="580"/>
      <c r="I652" s="580"/>
      <c r="J652" s="580"/>
      <c r="K652" s="580"/>
    </row>
    <row r="653" ht="20.25" spans="1:11">
      <c r="A653" s="580"/>
      <c r="B653" s="580"/>
      <c r="C653" s="580"/>
      <c r="D653" s="580"/>
      <c r="E653" s="581"/>
      <c r="F653" s="602"/>
      <c r="G653" s="580"/>
      <c r="H653" s="580"/>
      <c r="I653" s="580"/>
      <c r="J653" s="580"/>
      <c r="K653" s="580"/>
    </row>
    <row r="654" ht="20.25" spans="1:11">
      <c r="A654" s="580"/>
      <c r="B654" s="580"/>
      <c r="C654" s="580"/>
      <c r="D654" s="580"/>
      <c r="E654" s="581"/>
      <c r="F654" s="602"/>
      <c r="G654" s="580"/>
      <c r="H654" s="580"/>
      <c r="I654" s="580"/>
      <c r="J654" s="580"/>
      <c r="K654" s="580"/>
    </row>
    <row r="655" ht="20.25" spans="1:11">
      <c r="A655" s="580"/>
      <c r="B655" s="580"/>
      <c r="C655" s="580"/>
      <c r="D655" s="580"/>
      <c r="E655" s="581"/>
      <c r="F655" s="602"/>
      <c r="G655" s="580"/>
      <c r="H655" s="580"/>
      <c r="I655" s="580"/>
      <c r="J655" s="580"/>
      <c r="K655" s="580"/>
    </row>
    <row r="656" ht="20.25" spans="1:11">
      <c r="A656" s="580"/>
      <c r="B656" s="580"/>
      <c r="C656" s="580"/>
      <c r="D656" s="580"/>
      <c r="E656" s="581"/>
      <c r="F656" s="602"/>
      <c r="G656" s="580"/>
      <c r="H656" s="580"/>
      <c r="I656" s="580"/>
      <c r="J656" s="580"/>
      <c r="K656" s="580"/>
    </row>
    <row r="657" ht="20.25" spans="1:11">
      <c r="A657" s="580"/>
      <c r="B657" s="580"/>
      <c r="C657" s="580"/>
      <c r="D657" s="580"/>
      <c r="E657" s="581"/>
      <c r="F657" s="602"/>
      <c r="G657" s="580"/>
      <c r="H657" s="580"/>
      <c r="I657" s="580"/>
      <c r="J657" s="580"/>
      <c r="K657" s="580"/>
    </row>
    <row r="658" ht="20.25" spans="1:11">
      <c r="A658" s="580"/>
      <c r="B658" s="580"/>
      <c r="C658" s="580"/>
      <c r="D658" s="580"/>
      <c r="E658" s="581"/>
      <c r="F658" s="602"/>
      <c r="G658" s="580"/>
      <c r="H658" s="580"/>
      <c r="I658" s="580"/>
      <c r="J658" s="580"/>
      <c r="K658" s="580"/>
    </row>
    <row r="659" ht="20.25" spans="1:11">
      <c r="A659" s="580"/>
      <c r="B659" s="580"/>
      <c r="C659" s="580"/>
      <c r="D659" s="580"/>
      <c r="E659" s="581"/>
      <c r="F659" s="602"/>
      <c r="G659" s="580"/>
      <c r="H659" s="580"/>
      <c r="I659" s="580"/>
      <c r="J659" s="580"/>
      <c r="K659" s="580"/>
    </row>
    <row r="660" ht="20.25" spans="1:11">
      <c r="A660" s="580"/>
      <c r="B660" s="580"/>
      <c r="C660" s="580"/>
      <c r="D660" s="580"/>
      <c r="E660" s="581"/>
      <c r="F660" s="602"/>
      <c r="G660" s="580"/>
      <c r="H660" s="580"/>
      <c r="I660" s="580"/>
      <c r="J660" s="580"/>
      <c r="K660" s="580"/>
    </row>
    <row r="661" ht="20.25" spans="1:11">
      <c r="A661" s="580"/>
      <c r="B661" s="580"/>
      <c r="C661" s="580"/>
      <c r="D661" s="580"/>
      <c r="E661" s="581"/>
      <c r="F661" s="602"/>
      <c r="G661" s="580"/>
      <c r="H661" s="580"/>
      <c r="I661" s="580"/>
      <c r="J661" s="580"/>
      <c r="K661" s="580"/>
    </row>
    <row r="662" ht="20.25" spans="1:11">
      <c r="A662" s="580"/>
      <c r="B662" s="580"/>
      <c r="C662" s="580"/>
      <c r="D662" s="580"/>
      <c r="E662" s="581"/>
      <c r="F662" s="602"/>
      <c r="G662" s="580"/>
      <c r="H662" s="580"/>
      <c r="I662" s="580"/>
      <c r="J662" s="580"/>
      <c r="K662" s="580"/>
    </row>
    <row r="663" ht="20.25" spans="1:11">
      <c r="A663" s="580"/>
      <c r="B663" s="580"/>
      <c r="C663" s="580"/>
      <c r="D663" s="580"/>
      <c r="E663" s="581"/>
      <c r="F663" s="602"/>
      <c r="G663" s="580"/>
      <c r="H663" s="580"/>
      <c r="I663" s="580"/>
      <c r="J663" s="580"/>
      <c r="K663" s="580"/>
    </row>
    <row r="664" ht="20.25" spans="1:11">
      <c r="A664" s="580"/>
      <c r="B664" s="580"/>
      <c r="C664" s="580"/>
      <c r="D664" s="580"/>
      <c r="E664" s="581"/>
      <c r="F664" s="602"/>
      <c r="G664" s="580"/>
      <c r="H664" s="580"/>
      <c r="I664" s="580"/>
      <c r="J664" s="580"/>
      <c r="K664" s="580"/>
    </row>
    <row r="665" ht="20.25" spans="1:11">
      <c r="A665" s="580"/>
      <c r="B665" s="580"/>
      <c r="C665" s="580"/>
      <c r="D665" s="580"/>
      <c r="E665" s="581"/>
      <c r="F665" s="602"/>
      <c r="G665" s="580"/>
      <c r="H665" s="580"/>
      <c r="I665" s="580"/>
      <c r="J665" s="580"/>
      <c r="K665" s="580"/>
    </row>
    <row r="666" ht="20.25" spans="1:11">
      <c r="A666" s="580"/>
      <c r="B666" s="580"/>
      <c r="C666" s="580"/>
      <c r="D666" s="580"/>
      <c r="E666" s="581"/>
      <c r="F666" s="602"/>
      <c r="G666" s="580"/>
      <c r="H666" s="580"/>
      <c r="I666" s="580"/>
      <c r="J666" s="580"/>
      <c r="K666" s="580"/>
    </row>
    <row r="667" ht="20.25" spans="1:11">
      <c r="A667" s="580"/>
      <c r="B667" s="580"/>
      <c r="C667" s="580"/>
      <c r="D667" s="580"/>
      <c r="E667" s="581"/>
      <c r="F667" s="602"/>
      <c r="G667" s="580"/>
      <c r="H667" s="580"/>
      <c r="I667" s="580"/>
      <c r="J667" s="580"/>
      <c r="K667" s="580"/>
    </row>
    <row r="668" ht="20.25" spans="1:11">
      <c r="A668" s="580"/>
      <c r="B668" s="580"/>
      <c r="C668" s="580"/>
      <c r="D668" s="580"/>
      <c r="E668" s="581"/>
      <c r="F668" s="602"/>
      <c r="G668" s="580"/>
      <c r="H668" s="580"/>
      <c r="I668" s="580"/>
      <c r="J668" s="580"/>
      <c r="K668" s="580"/>
    </row>
    <row r="669" ht="20.25" spans="1:11">
      <c r="A669" s="580"/>
      <c r="B669" s="580"/>
      <c r="C669" s="580"/>
      <c r="D669" s="580"/>
      <c r="E669" s="581"/>
      <c r="F669" s="602"/>
      <c r="G669" s="580"/>
      <c r="H669" s="580"/>
      <c r="I669" s="580"/>
      <c r="J669" s="580"/>
      <c r="K669" s="580"/>
    </row>
    <row r="670" ht="20.25" spans="1:11">
      <c r="A670" s="580"/>
      <c r="B670" s="580"/>
      <c r="C670" s="580"/>
      <c r="D670" s="580"/>
      <c r="E670" s="581"/>
      <c r="F670" s="602"/>
      <c r="G670" s="580"/>
      <c r="H670" s="580"/>
      <c r="I670" s="580"/>
      <c r="J670" s="580"/>
      <c r="K670" s="580"/>
    </row>
    <row r="671" ht="20.25" spans="1:11">
      <c r="A671" s="580"/>
      <c r="B671" s="580"/>
      <c r="C671" s="580"/>
      <c r="D671" s="580"/>
      <c r="E671" s="581"/>
      <c r="F671" s="602"/>
      <c r="G671" s="580"/>
      <c r="H671" s="580"/>
      <c r="I671" s="580"/>
      <c r="J671" s="580"/>
      <c r="K671" s="580"/>
    </row>
    <row r="672" ht="20.25" spans="1:11">
      <c r="A672" s="580"/>
      <c r="B672" s="580"/>
      <c r="C672" s="580"/>
      <c r="D672" s="580"/>
      <c r="E672" s="581"/>
      <c r="F672" s="602"/>
      <c r="G672" s="580"/>
      <c r="H672" s="580"/>
      <c r="I672" s="580"/>
      <c r="J672" s="580"/>
      <c r="K672" s="580"/>
    </row>
    <row r="673" ht="20.25" spans="1:11">
      <c r="A673" s="580"/>
      <c r="B673" s="580"/>
      <c r="C673" s="580"/>
      <c r="D673" s="580"/>
      <c r="E673" s="581"/>
      <c r="F673" s="602"/>
      <c r="G673" s="580"/>
      <c r="H673" s="580"/>
      <c r="I673" s="580"/>
      <c r="J673" s="580"/>
      <c r="K673" s="580"/>
    </row>
    <row r="674" ht="20.25" spans="1:11">
      <c r="A674" s="580"/>
      <c r="B674" s="580"/>
      <c r="C674" s="580"/>
      <c r="D674" s="580"/>
      <c r="E674" s="581"/>
      <c r="F674" s="602"/>
      <c r="G674" s="580"/>
      <c r="H674" s="580"/>
      <c r="I674" s="580"/>
      <c r="J674" s="580"/>
      <c r="K674" s="580"/>
    </row>
    <row r="675" ht="20.25" spans="1:11">
      <c r="A675" s="580"/>
      <c r="B675" s="580"/>
      <c r="C675" s="580"/>
      <c r="D675" s="580"/>
      <c r="E675" s="581"/>
      <c r="F675" s="602"/>
      <c r="G675" s="580"/>
      <c r="H675" s="580"/>
      <c r="I675" s="580"/>
      <c r="J675" s="580"/>
      <c r="K675" s="580"/>
    </row>
    <row r="676" ht="20.25" spans="1:11">
      <c r="A676" s="580"/>
      <c r="B676" s="580"/>
      <c r="C676" s="580"/>
      <c r="D676" s="580"/>
      <c r="E676" s="581"/>
      <c r="F676" s="602"/>
      <c r="G676" s="580"/>
      <c r="H676" s="580"/>
      <c r="I676" s="580"/>
      <c r="J676" s="580"/>
      <c r="K676" s="580"/>
    </row>
    <row r="677" ht="20.25" spans="1:11">
      <c r="A677" s="580"/>
      <c r="B677" s="580"/>
      <c r="C677" s="580"/>
      <c r="D677" s="580"/>
      <c r="E677" s="581"/>
      <c r="F677" s="602"/>
      <c r="G677" s="580"/>
      <c r="H677" s="580"/>
      <c r="I677" s="580"/>
      <c r="J677" s="580"/>
      <c r="K677" s="580"/>
    </row>
    <row r="678" ht="20.25" spans="1:11">
      <c r="A678" s="580"/>
      <c r="B678" s="580"/>
      <c r="C678" s="580"/>
      <c r="D678" s="580"/>
      <c r="E678" s="581"/>
      <c r="F678" s="602"/>
      <c r="G678" s="580"/>
      <c r="H678" s="580"/>
      <c r="I678" s="580"/>
      <c r="J678" s="580"/>
      <c r="K678" s="580"/>
    </row>
    <row r="679" ht="20.25" spans="1:11">
      <c r="A679" s="580"/>
      <c r="B679" s="580"/>
      <c r="C679" s="580"/>
      <c r="D679" s="580"/>
      <c r="E679" s="581"/>
      <c r="F679" s="602"/>
      <c r="G679" s="580"/>
      <c r="H679" s="580"/>
      <c r="I679" s="580"/>
      <c r="J679" s="580"/>
      <c r="K679" s="580"/>
    </row>
    <row r="680" ht="20.25" spans="1:11">
      <c r="A680" s="580"/>
      <c r="B680" s="580"/>
      <c r="C680" s="580"/>
      <c r="D680" s="580"/>
      <c r="E680" s="581"/>
      <c r="F680" s="602"/>
      <c r="G680" s="580"/>
      <c r="H680" s="580"/>
      <c r="I680" s="580"/>
      <c r="J680" s="580"/>
      <c r="K680" s="580"/>
    </row>
    <row r="681" ht="20.25" spans="1:11">
      <c r="A681" s="580"/>
      <c r="B681" s="580"/>
      <c r="C681" s="580"/>
      <c r="D681" s="580"/>
      <c r="E681" s="581"/>
      <c r="F681" s="602"/>
      <c r="G681" s="580"/>
      <c r="H681" s="580"/>
      <c r="I681" s="580"/>
      <c r="J681" s="580"/>
      <c r="K681" s="580"/>
    </row>
    <row r="682" ht="20.25" spans="1:11">
      <c r="A682" s="580"/>
      <c r="B682" s="580"/>
      <c r="C682" s="580"/>
      <c r="D682" s="580"/>
      <c r="E682" s="581"/>
      <c r="F682" s="602"/>
      <c r="G682" s="580"/>
      <c r="H682" s="580"/>
      <c r="I682" s="580"/>
      <c r="J682" s="580"/>
      <c r="K682" s="580"/>
    </row>
    <row r="683" ht="20.25" spans="1:11">
      <c r="A683" s="580"/>
      <c r="B683" s="580"/>
      <c r="C683" s="580"/>
      <c r="D683" s="580"/>
      <c r="E683" s="581"/>
      <c r="F683" s="602"/>
      <c r="G683" s="580"/>
      <c r="H683" s="580"/>
      <c r="I683" s="580"/>
      <c r="J683" s="580"/>
      <c r="K683" s="580"/>
    </row>
    <row r="684" ht="20.25" spans="1:11">
      <c r="A684" s="580"/>
      <c r="B684" s="580"/>
      <c r="C684" s="580"/>
      <c r="D684" s="580"/>
      <c r="E684" s="581"/>
      <c r="F684" s="602"/>
      <c r="G684" s="580"/>
      <c r="H684" s="580"/>
      <c r="I684" s="580"/>
      <c r="J684" s="580"/>
      <c r="K684" s="580"/>
    </row>
    <row r="685" ht="20.25" spans="1:11">
      <c r="A685" s="580"/>
      <c r="B685" s="580"/>
      <c r="C685" s="580"/>
      <c r="D685" s="580"/>
      <c r="E685" s="581"/>
      <c r="F685" s="602"/>
      <c r="G685" s="580"/>
      <c r="H685" s="580"/>
      <c r="I685" s="580"/>
      <c r="J685" s="580"/>
      <c r="K685" s="580"/>
    </row>
    <row r="686" ht="20.25" spans="1:11">
      <c r="A686" s="580"/>
      <c r="B686" s="580"/>
      <c r="C686" s="580"/>
      <c r="D686" s="580"/>
      <c r="E686" s="581"/>
      <c r="F686" s="602"/>
      <c r="G686" s="580"/>
      <c r="H686" s="580"/>
      <c r="I686" s="580"/>
      <c r="J686" s="580"/>
      <c r="K686" s="580"/>
    </row>
    <row r="687" ht="20.25" spans="1:11">
      <c r="A687" s="580"/>
      <c r="B687" s="580"/>
      <c r="C687" s="580"/>
      <c r="D687" s="580"/>
      <c r="E687" s="581"/>
      <c r="F687" s="602"/>
      <c r="G687" s="580"/>
      <c r="H687" s="580"/>
      <c r="I687" s="580"/>
      <c r="J687" s="580"/>
      <c r="K687" s="580"/>
    </row>
    <row r="688" ht="20.25" spans="1:11">
      <c r="A688" s="580"/>
      <c r="B688" s="580"/>
      <c r="C688" s="580"/>
      <c r="D688" s="580"/>
      <c r="E688" s="581"/>
      <c r="F688" s="602"/>
      <c r="G688" s="580"/>
      <c r="H688" s="580"/>
      <c r="I688" s="580"/>
      <c r="J688" s="580"/>
      <c r="K688" s="580"/>
    </row>
    <row r="689" ht="20.25" spans="1:11">
      <c r="A689" s="580"/>
      <c r="B689" s="580"/>
      <c r="C689" s="580"/>
      <c r="D689" s="580"/>
      <c r="E689" s="581"/>
      <c r="F689" s="602"/>
      <c r="G689" s="580"/>
      <c r="H689" s="580"/>
      <c r="I689" s="580"/>
      <c r="J689" s="580"/>
      <c r="K689" s="580"/>
    </row>
    <row r="690" ht="20.25" spans="1:11">
      <c r="A690" s="580"/>
      <c r="B690" s="580"/>
      <c r="C690" s="580"/>
      <c r="D690" s="580"/>
      <c r="E690" s="581"/>
      <c r="F690" s="602"/>
      <c r="G690" s="580"/>
      <c r="H690" s="580"/>
      <c r="I690" s="580"/>
      <c r="J690" s="580"/>
      <c r="K690" s="580"/>
    </row>
    <row r="691" ht="20.25" spans="1:11">
      <c r="A691" s="580"/>
      <c r="B691" s="580"/>
      <c r="C691" s="580"/>
      <c r="D691" s="580"/>
      <c r="E691" s="581"/>
      <c r="F691" s="602"/>
      <c r="G691" s="580"/>
      <c r="H691" s="580"/>
      <c r="I691" s="580"/>
      <c r="J691" s="580"/>
      <c r="K691" s="580"/>
    </row>
    <row r="692" ht="20.25" spans="1:11">
      <c r="A692" s="580"/>
      <c r="B692" s="580"/>
      <c r="C692" s="580"/>
      <c r="D692" s="580"/>
      <c r="E692" s="581"/>
      <c r="F692" s="602"/>
      <c r="G692" s="580"/>
      <c r="H692" s="580"/>
      <c r="I692" s="580"/>
      <c r="J692" s="580"/>
      <c r="K692" s="580"/>
    </row>
    <row r="693" ht="20.25" spans="1:11">
      <c r="A693" s="580"/>
      <c r="B693" s="580"/>
      <c r="C693" s="580"/>
      <c r="D693" s="580"/>
      <c r="E693" s="581"/>
      <c r="F693" s="602"/>
      <c r="G693" s="580"/>
      <c r="H693" s="580"/>
      <c r="I693" s="580"/>
      <c r="J693" s="580"/>
      <c r="K693" s="580"/>
    </row>
    <row r="694" ht="20.25" spans="1:11">
      <c r="A694" s="580"/>
      <c r="B694" s="580"/>
      <c r="C694" s="580"/>
      <c r="D694" s="580"/>
      <c r="E694" s="581"/>
      <c r="F694" s="602"/>
      <c r="G694" s="580"/>
      <c r="H694" s="580"/>
      <c r="I694" s="580"/>
      <c r="J694" s="580"/>
      <c r="K694" s="580"/>
    </row>
    <row r="695" ht="20.25" spans="1:11">
      <c r="A695" s="580"/>
      <c r="B695" s="580"/>
      <c r="C695" s="580"/>
      <c r="D695" s="580"/>
      <c r="E695" s="581"/>
      <c r="F695" s="602"/>
      <c r="G695" s="580"/>
      <c r="H695" s="580"/>
      <c r="I695" s="580"/>
      <c r="J695" s="580"/>
      <c r="K695" s="580"/>
    </row>
    <row r="696" ht="20.25" spans="1:11">
      <c r="A696" s="580"/>
      <c r="B696" s="580"/>
      <c r="C696" s="580"/>
      <c r="D696" s="580"/>
      <c r="E696" s="581"/>
      <c r="F696" s="602"/>
      <c r="G696" s="580"/>
      <c r="H696" s="580"/>
      <c r="I696" s="580"/>
      <c r="J696" s="580"/>
      <c r="K696" s="580"/>
    </row>
    <row r="697" ht="20.25" spans="1:11">
      <c r="A697" s="580"/>
      <c r="B697" s="580"/>
      <c r="C697" s="580"/>
      <c r="D697" s="580"/>
      <c r="E697" s="581"/>
      <c r="F697" s="602"/>
      <c r="G697" s="580"/>
      <c r="H697" s="580"/>
      <c r="I697" s="580"/>
      <c r="J697" s="580"/>
      <c r="K697" s="580"/>
    </row>
    <row r="698" ht="20.25" spans="1:11">
      <c r="A698" s="580"/>
      <c r="B698" s="580"/>
      <c r="C698" s="580"/>
      <c r="D698" s="580"/>
      <c r="E698" s="581"/>
      <c r="F698" s="602"/>
      <c r="G698" s="580"/>
      <c r="H698" s="580"/>
      <c r="I698" s="580"/>
      <c r="J698" s="580"/>
      <c r="K698" s="580"/>
    </row>
    <row r="699" ht="20.25" spans="1:11">
      <c r="A699" s="580"/>
      <c r="B699" s="580"/>
      <c r="C699" s="580"/>
      <c r="D699" s="580"/>
      <c r="E699" s="581"/>
      <c r="F699" s="602"/>
      <c r="G699" s="580"/>
      <c r="H699" s="580"/>
      <c r="I699" s="580"/>
      <c r="J699" s="580"/>
      <c r="K699" s="580"/>
    </row>
    <row r="700" ht="20.25" spans="1:11">
      <c r="A700" s="580"/>
      <c r="B700" s="580"/>
      <c r="C700" s="580"/>
      <c r="D700" s="580"/>
      <c r="E700" s="581"/>
      <c r="F700" s="602"/>
      <c r="G700" s="580"/>
      <c r="H700" s="580"/>
      <c r="I700" s="580"/>
      <c r="J700" s="580"/>
      <c r="K700" s="580"/>
    </row>
    <row r="701" ht="20.25" spans="1:11">
      <c r="A701" s="580"/>
      <c r="B701" s="580"/>
      <c r="C701" s="580"/>
      <c r="D701" s="580"/>
      <c r="E701" s="581"/>
      <c r="F701" s="602"/>
      <c r="G701" s="580"/>
      <c r="H701" s="580"/>
      <c r="I701" s="580"/>
      <c r="J701" s="580"/>
      <c r="K701" s="580"/>
    </row>
    <row r="702" ht="20.25" spans="1:11">
      <c r="A702" s="580"/>
      <c r="B702" s="580"/>
      <c r="C702" s="580"/>
      <c r="D702" s="580"/>
      <c r="E702" s="581"/>
      <c r="F702" s="602"/>
      <c r="G702" s="580"/>
      <c r="H702" s="580"/>
      <c r="I702" s="580"/>
      <c r="J702" s="580"/>
      <c r="K702" s="580"/>
    </row>
    <row r="703" ht="20.25" spans="1:11">
      <c r="A703" s="580"/>
      <c r="B703" s="580"/>
      <c r="C703" s="580"/>
      <c r="D703" s="580"/>
      <c r="E703" s="581"/>
      <c r="F703" s="602"/>
      <c r="G703" s="580"/>
      <c r="H703" s="580"/>
      <c r="I703" s="580"/>
      <c r="J703" s="580"/>
      <c r="K703" s="580"/>
    </row>
    <row r="704" ht="20.25" spans="1:11">
      <c r="A704" s="580"/>
      <c r="B704" s="580"/>
      <c r="C704" s="580"/>
      <c r="D704" s="580"/>
      <c r="E704" s="581"/>
      <c r="F704" s="602"/>
      <c r="G704" s="580"/>
      <c r="H704" s="580"/>
      <c r="I704" s="580"/>
      <c r="J704" s="580"/>
      <c r="K704" s="580"/>
    </row>
    <row r="705" ht="20.25" spans="1:11">
      <c r="A705" s="580"/>
      <c r="B705" s="580"/>
      <c r="C705" s="580"/>
      <c r="D705" s="580"/>
      <c r="E705" s="581"/>
      <c r="F705" s="602"/>
      <c r="G705" s="580"/>
      <c r="H705" s="580"/>
      <c r="I705" s="580"/>
      <c r="J705" s="580"/>
      <c r="K705" s="580"/>
    </row>
    <row r="706" ht="20.25" spans="1:11">
      <c r="A706" s="580"/>
      <c r="B706" s="580"/>
      <c r="C706" s="580"/>
      <c r="D706" s="580"/>
      <c r="E706" s="581"/>
      <c r="F706" s="602"/>
      <c r="G706" s="580"/>
      <c r="H706" s="580"/>
      <c r="I706" s="580"/>
      <c r="J706" s="580"/>
      <c r="K706" s="580"/>
    </row>
    <row r="707" ht="20.25" spans="1:11">
      <c r="A707" s="580"/>
      <c r="B707" s="580"/>
      <c r="C707" s="580"/>
      <c r="D707" s="580"/>
      <c r="E707" s="581"/>
      <c r="F707" s="602"/>
      <c r="G707" s="580"/>
      <c r="H707" s="580"/>
      <c r="I707" s="580"/>
      <c r="J707" s="580"/>
      <c r="K707" s="580"/>
    </row>
    <row r="708" ht="20.25" spans="1:11">
      <c r="A708" s="580"/>
      <c r="B708" s="580"/>
      <c r="C708" s="580"/>
      <c r="D708" s="580"/>
      <c r="E708" s="581"/>
      <c r="F708" s="602"/>
      <c r="G708" s="580"/>
      <c r="H708" s="580"/>
      <c r="I708" s="580"/>
      <c r="J708" s="580"/>
      <c r="K708" s="580"/>
    </row>
    <row r="709" ht="20.25" spans="1:11">
      <c r="A709" s="580"/>
      <c r="B709" s="580"/>
      <c r="C709" s="580"/>
      <c r="D709" s="580"/>
      <c r="E709" s="581"/>
      <c r="F709" s="602"/>
      <c r="G709" s="580"/>
      <c r="H709" s="580"/>
      <c r="I709" s="580"/>
      <c r="J709" s="580"/>
      <c r="K709" s="580"/>
    </row>
    <row r="710" ht="20.25" spans="1:11">
      <c r="A710" s="580"/>
      <c r="B710" s="580"/>
      <c r="C710" s="580"/>
      <c r="D710" s="580"/>
      <c r="E710" s="581"/>
      <c r="F710" s="602"/>
      <c r="G710" s="580"/>
      <c r="H710" s="580"/>
      <c r="I710" s="580"/>
      <c r="J710" s="580"/>
      <c r="K710" s="580"/>
    </row>
    <row r="711" ht="20.25" spans="1:11">
      <c r="A711" s="580"/>
      <c r="B711" s="580"/>
      <c r="C711" s="580"/>
      <c r="D711" s="580"/>
      <c r="E711" s="581"/>
      <c r="F711" s="602"/>
      <c r="G711" s="580"/>
      <c r="H711" s="580"/>
      <c r="I711" s="580"/>
      <c r="J711" s="580"/>
      <c r="K711" s="580"/>
    </row>
    <row r="712" ht="20.25" spans="1:11">
      <c r="A712" s="580"/>
      <c r="B712" s="580"/>
      <c r="C712" s="580"/>
      <c r="D712" s="580"/>
      <c r="E712" s="581"/>
      <c r="F712" s="602"/>
      <c r="G712" s="580"/>
      <c r="H712" s="580"/>
      <c r="I712" s="580"/>
      <c r="J712" s="580"/>
      <c r="K712" s="580"/>
    </row>
    <row r="713" ht="20.25" spans="1:11">
      <c r="A713" s="580"/>
      <c r="B713" s="580"/>
      <c r="C713" s="580"/>
      <c r="D713" s="580"/>
      <c r="E713" s="581"/>
      <c r="F713" s="602"/>
      <c r="G713" s="580"/>
      <c r="H713" s="580"/>
      <c r="I713" s="580"/>
      <c r="J713" s="580"/>
      <c r="K713" s="580"/>
    </row>
    <row r="714" ht="20.25" spans="1:11">
      <c r="A714" s="580"/>
      <c r="B714" s="580"/>
      <c r="C714" s="580"/>
      <c r="D714" s="580"/>
      <c r="E714" s="581"/>
      <c r="F714" s="602"/>
      <c r="G714" s="580"/>
      <c r="H714" s="580"/>
      <c r="I714" s="580"/>
      <c r="J714" s="580"/>
      <c r="K714" s="580"/>
    </row>
    <row r="715" ht="20.25" spans="1:11">
      <c r="A715" s="580"/>
      <c r="B715" s="580"/>
      <c r="C715" s="580"/>
      <c r="D715" s="580"/>
      <c r="E715" s="581"/>
      <c r="F715" s="602"/>
      <c r="G715" s="580"/>
      <c r="H715" s="580"/>
      <c r="I715" s="580"/>
      <c r="J715" s="580"/>
      <c r="K715" s="580"/>
    </row>
    <row r="716" ht="20.25" spans="1:11">
      <c r="A716" s="580"/>
      <c r="B716" s="580"/>
      <c r="C716" s="580"/>
      <c r="D716" s="580"/>
      <c r="E716" s="581"/>
      <c r="F716" s="602"/>
      <c r="G716" s="580"/>
      <c r="H716" s="580"/>
      <c r="I716" s="580"/>
      <c r="J716" s="580"/>
      <c r="K716" s="580"/>
    </row>
    <row r="717" ht="20.25" spans="1:11">
      <c r="A717" s="580"/>
      <c r="B717" s="580"/>
      <c r="C717" s="580"/>
      <c r="D717" s="580"/>
      <c r="E717" s="581"/>
      <c r="F717" s="602"/>
      <c r="G717" s="580"/>
      <c r="H717" s="580"/>
      <c r="I717" s="580"/>
      <c r="J717" s="580"/>
      <c r="K717" s="580"/>
    </row>
    <row r="718" ht="20.25" spans="1:11">
      <c r="A718" s="580"/>
      <c r="B718" s="580"/>
      <c r="C718" s="580"/>
      <c r="D718" s="580"/>
      <c r="E718" s="581"/>
      <c r="F718" s="602"/>
      <c r="G718" s="580"/>
      <c r="H718" s="580"/>
      <c r="I718" s="580"/>
      <c r="J718" s="580"/>
      <c r="K718" s="580"/>
    </row>
    <row r="719" ht="20.25" spans="1:11">
      <c r="A719" s="580"/>
      <c r="B719" s="580"/>
      <c r="C719" s="580"/>
      <c r="D719" s="580"/>
      <c r="E719" s="581"/>
      <c r="F719" s="602"/>
      <c r="G719" s="580"/>
      <c r="H719" s="580"/>
      <c r="I719" s="580"/>
      <c r="J719" s="580"/>
      <c r="K719" s="580"/>
    </row>
    <row r="720" ht="20.25" spans="1:11">
      <c r="A720" s="580"/>
      <c r="B720" s="580"/>
      <c r="C720" s="580"/>
      <c r="D720" s="580"/>
      <c r="E720" s="581"/>
      <c r="F720" s="602"/>
      <c r="G720" s="580"/>
      <c r="H720" s="580"/>
      <c r="I720" s="580"/>
      <c r="J720" s="580"/>
      <c r="K720" s="580"/>
    </row>
    <row r="721" ht="20.25" spans="1:11">
      <c r="A721" s="580"/>
      <c r="B721" s="580"/>
      <c r="C721" s="580"/>
      <c r="D721" s="580"/>
      <c r="E721" s="581"/>
      <c r="F721" s="602"/>
      <c r="G721" s="580"/>
      <c r="H721" s="580"/>
      <c r="I721" s="580"/>
      <c r="J721" s="580"/>
      <c r="K721" s="580"/>
    </row>
    <row r="722" ht="20.25" spans="1:11">
      <c r="A722" s="580"/>
      <c r="B722" s="580"/>
      <c r="C722" s="580"/>
      <c r="D722" s="580"/>
      <c r="E722" s="581"/>
      <c r="F722" s="602"/>
      <c r="G722" s="580"/>
      <c r="H722" s="580"/>
      <c r="I722" s="580"/>
      <c r="J722" s="580"/>
      <c r="K722" s="580"/>
    </row>
    <row r="723" ht="20.25" spans="1:11">
      <c r="A723" s="580"/>
      <c r="B723" s="580"/>
      <c r="C723" s="580"/>
      <c r="D723" s="580"/>
      <c r="E723" s="581"/>
      <c r="F723" s="602"/>
      <c r="G723" s="580"/>
      <c r="H723" s="580"/>
      <c r="I723" s="580"/>
      <c r="J723" s="580"/>
      <c r="K723" s="580"/>
    </row>
    <row r="724" ht="20.25" spans="1:11">
      <c r="A724" s="580"/>
      <c r="B724" s="580"/>
      <c r="C724" s="580"/>
      <c r="D724" s="580"/>
      <c r="E724" s="581"/>
      <c r="F724" s="602"/>
      <c r="G724" s="580"/>
      <c r="H724" s="580"/>
      <c r="I724" s="580"/>
      <c r="J724" s="580"/>
      <c r="K724" s="580"/>
    </row>
    <row r="725" ht="20.25" spans="1:11">
      <c r="A725" s="580"/>
      <c r="B725" s="580"/>
      <c r="C725" s="580"/>
      <c r="D725" s="580"/>
      <c r="E725" s="581"/>
      <c r="F725" s="602"/>
      <c r="G725" s="580"/>
      <c r="H725" s="580"/>
      <c r="I725" s="580"/>
      <c r="J725" s="580"/>
      <c r="K725" s="580"/>
    </row>
    <row r="726" ht="20.25" spans="1:11">
      <c r="A726" s="580"/>
      <c r="B726" s="580"/>
      <c r="C726" s="580"/>
      <c r="D726" s="580"/>
      <c r="E726" s="581"/>
      <c r="F726" s="602"/>
      <c r="G726" s="580"/>
      <c r="H726" s="580"/>
      <c r="I726" s="580"/>
      <c r="J726" s="580"/>
      <c r="K726" s="580"/>
    </row>
    <row r="727" ht="20.25" spans="1:11">
      <c r="A727" s="580"/>
      <c r="B727" s="580"/>
      <c r="C727" s="580"/>
      <c r="D727" s="580"/>
      <c r="E727" s="581"/>
      <c r="F727" s="602"/>
      <c r="G727" s="580"/>
      <c r="H727" s="580"/>
      <c r="I727" s="580"/>
      <c r="J727" s="580"/>
      <c r="K727" s="580"/>
    </row>
    <row r="728" ht="20.25" spans="1:11">
      <c r="A728" s="580"/>
      <c r="B728" s="580"/>
      <c r="C728" s="580"/>
      <c r="D728" s="580"/>
      <c r="E728" s="581"/>
      <c r="F728" s="602"/>
      <c r="G728" s="580"/>
      <c r="H728" s="580"/>
      <c r="I728" s="580"/>
      <c r="J728" s="580"/>
      <c r="K728" s="580"/>
    </row>
    <row r="729" ht="20.25" spans="1:11">
      <c r="A729" s="580"/>
      <c r="B729" s="580"/>
      <c r="C729" s="580"/>
      <c r="D729" s="580"/>
      <c r="E729" s="581"/>
      <c r="F729" s="602"/>
      <c r="G729" s="580"/>
      <c r="H729" s="580"/>
      <c r="I729" s="580"/>
      <c r="J729" s="580"/>
      <c r="K729" s="580"/>
    </row>
    <row r="730" ht="20.25" spans="1:11">
      <c r="A730" s="580"/>
      <c r="B730" s="580"/>
      <c r="C730" s="580"/>
      <c r="D730" s="580"/>
      <c r="E730" s="581"/>
      <c r="F730" s="602"/>
      <c r="G730" s="580"/>
      <c r="H730" s="580"/>
      <c r="I730" s="580"/>
      <c r="J730" s="580"/>
      <c r="K730" s="580"/>
    </row>
    <row r="731" ht="20.25" spans="1:11">
      <c r="A731" s="580"/>
      <c r="B731" s="580"/>
      <c r="C731" s="580"/>
      <c r="D731" s="580"/>
      <c r="E731" s="581"/>
      <c r="F731" s="602"/>
      <c r="G731" s="580"/>
      <c r="H731" s="580"/>
      <c r="I731" s="580"/>
      <c r="J731" s="580"/>
      <c r="K731" s="580"/>
    </row>
    <row r="732" ht="20.25" spans="1:11">
      <c r="A732" s="580"/>
      <c r="B732" s="580"/>
      <c r="C732" s="580"/>
      <c r="D732" s="580"/>
      <c r="E732" s="581"/>
      <c r="F732" s="602"/>
      <c r="G732" s="580"/>
      <c r="H732" s="580"/>
      <c r="I732" s="580"/>
      <c r="J732" s="580"/>
      <c r="K732" s="580"/>
    </row>
    <row r="733" ht="20.25" spans="1:11">
      <c r="A733" s="580"/>
      <c r="B733" s="580"/>
      <c r="C733" s="580"/>
      <c r="D733" s="580"/>
      <c r="E733" s="581"/>
      <c r="F733" s="602"/>
      <c r="G733" s="580"/>
      <c r="H733" s="580"/>
      <c r="I733" s="580"/>
      <c r="J733" s="580"/>
      <c r="K733" s="580"/>
    </row>
    <row r="734" ht="20.25" spans="1:11">
      <c r="A734" s="580"/>
      <c r="B734" s="580"/>
      <c r="C734" s="580"/>
      <c r="D734" s="580"/>
      <c r="E734" s="581"/>
      <c r="F734" s="602"/>
      <c r="G734" s="580"/>
      <c r="H734" s="580"/>
      <c r="I734" s="580"/>
      <c r="J734" s="580"/>
      <c r="K734" s="580"/>
    </row>
    <row r="735" ht="20.25" spans="1:11">
      <c r="A735" s="580"/>
      <c r="B735" s="580"/>
      <c r="C735" s="580"/>
      <c r="D735" s="580"/>
      <c r="E735" s="581"/>
      <c r="F735" s="602"/>
      <c r="G735" s="580"/>
      <c r="H735" s="580"/>
      <c r="I735" s="580"/>
      <c r="J735" s="580"/>
      <c r="K735" s="580"/>
    </row>
    <row r="736" ht="20.25" spans="1:11">
      <c r="A736" s="580"/>
      <c r="B736" s="580"/>
      <c r="C736" s="580"/>
      <c r="D736" s="580"/>
      <c r="E736" s="581"/>
      <c r="F736" s="602"/>
      <c r="G736" s="580"/>
      <c r="H736" s="580"/>
      <c r="I736" s="580"/>
      <c r="J736" s="580"/>
      <c r="K736" s="580"/>
    </row>
    <row r="737" ht="20.25" spans="1:11">
      <c r="A737" s="580"/>
      <c r="B737" s="580"/>
      <c r="C737" s="580"/>
      <c r="D737" s="580"/>
      <c r="E737" s="581"/>
      <c r="F737" s="602"/>
      <c r="G737" s="580"/>
      <c r="H737" s="580"/>
      <c r="I737" s="580"/>
      <c r="J737" s="580"/>
      <c r="K737" s="580"/>
    </row>
    <row r="738" ht="20.25" spans="1:11">
      <c r="A738" s="580"/>
      <c r="B738" s="580"/>
      <c r="C738" s="580"/>
      <c r="D738" s="580"/>
      <c r="E738" s="581"/>
      <c r="F738" s="602"/>
      <c r="G738" s="580"/>
      <c r="H738" s="580"/>
      <c r="I738" s="580"/>
      <c r="J738" s="580"/>
      <c r="K738" s="580"/>
    </row>
    <row r="739" ht="20.25" spans="1:11">
      <c r="A739" s="580"/>
      <c r="B739" s="580"/>
      <c r="C739" s="580"/>
      <c r="D739" s="580"/>
      <c r="E739" s="581"/>
      <c r="F739" s="602"/>
      <c r="G739" s="580"/>
      <c r="H739" s="580"/>
      <c r="I739" s="580"/>
      <c r="J739" s="580"/>
      <c r="K739" s="580"/>
    </row>
    <row r="740" ht="20.25" spans="1:11">
      <c r="A740" s="580"/>
      <c r="B740" s="580"/>
      <c r="C740" s="580"/>
      <c r="D740" s="580"/>
      <c r="E740" s="581"/>
      <c r="F740" s="602"/>
      <c r="G740" s="580"/>
      <c r="H740" s="580"/>
      <c r="I740" s="580"/>
      <c r="J740" s="580"/>
      <c r="K740" s="580"/>
    </row>
    <row r="741" ht="20.25" spans="1:11">
      <c r="A741" s="580"/>
      <c r="B741" s="580"/>
      <c r="C741" s="580"/>
      <c r="D741" s="580"/>
      <c r="E741" s="581"/>
      <c r="F741" s="602"/>
      <c r="G741" s="580"/>
      <c r="H741" s="580"/>
      <c r="I741" s="580"/>
      <c r="J741" s="580"/>
      <c r="K741" s="580"/>
    </row>
    <row r="742" ht="20.25" spans="1:11">
      <c r="A742" s="580"/>
      <c r="B742" s="580"/>
      <c r="C742" s="580"/>
      <c r="D742" s="580"/>
      <c r="E742" s="581"/>
      <c r="F742" s="602"/>
      <c r="G742" s="580"/>
      <c r="H742" s="580"/>
      <c r="I742" s="580"/>
      <c r="J742" s="580"/>
      <c r="K742" s="580"/>
    </row>
    <row r="743" ht="20.25" spans="1:11">
      <c r="A743" s="580"/>
      <c r="B743" s="580"/>
      <c r="C743" s="580"/>
      <c r="D743" s="580"/>
      <c r="E743" s="581"/>
      <c r="F743" s="602"/>
      <c r="G743" s="580"/>
      <c r="H743" s="580"/>
      <c r="I743" s="580"/>
      <c r="J743" s="580"/>
      <c r="K743" s="580"/>
    </row>
    <row r="744" ht="20.25" spans="1:11">
      <c r="A744" s="580"/>
      <c r="B744" s="580"/>
      <c r="C744" s="580"/>
      <c r="D744" s="580"/>
      <c r="E744" s="581"/>
      <c r="F744" s="602"/>
      <c r="G744" s="580"/>
      <c r="H744" s="580"/>
      <c r="I744" s="580"/>
      <c r="J744" s="580"/>
      <c r="K744" s="580"/>
    </row>
    <row r="745" ht="20.25" spans="1:11">
      <c r="A745" s="580"/>
      <c r="B745" s="580"/>
      <c r="C745" s="580"/>
      <c r="D745" s="580"/>
      <c r="E745" s="581"/>
      <c r="F745" s="602"/>
      <c r="G745" s="580"/>
      <c r="H745" s="580"/>
      <c r="I745" s="580"/>
      <c r="J745" s="580"/>
      <c r="K745" s="580"/>
    </row>
    <row r="746" ht="20.25" spans="1:11">
      <c r="A746" s="580"/>
      <c r="B746" s="580"/>
      <c r="C746" s="580"/>
      <c r="D746" s="580"/>
      <c r="E746" s="581"/>
      <c r="F746" s="602"/>
      <c r="G746" s="580"/>
      <c r="H746" s="580"/>
      <c r="I746" s="580"/>
      <c r="J746" s="580"/>
      <c r="K746" s="580"/>
    </row>
    <row r="747" ht="20.25" spans="1:11">
      <c r="A747" s="580"/>
      <c r="B747" s="580"/>
      <c r="C747" s="580"/>
      <c r="D747" s="580"/>
      <c r="E747" s="581"/>
      <c r="F747" s="602"/>
      <c r="G747" s="580"/>
      <c r="H747" s="580"/>
      <c r="I747" s="580"/>
      <c r="J747" s="580"/>
      <c r="K747" s="580"/>
    </row>
    <row r="748" ht="20.25" spans="1:11">
      <c r="A748" s="580"/>
      <c r="B748" s="580"/>
      <c r="C748" s="580"/>
      <c r="D748" s="580"/>
      <c r="E748" s="581"/>
      <c r="F748" s="602"/>
      <c r="G748" s="580"/>
      <c r="H748" s="580"/>
      <c r="I748" s="580"/>
      <c r="J748" s="580"/>
      <c r="K748" s="580"/>
    </row>
    <row r="749" ht="20.25" spans="1:11">
      <c r="A749" s="580"/>
      <c r="B749" s="580"/>
      <c r="C749" s="580"/>
      <c r="D749" s="580"/>
      <c r="E749" s="581"/>
      <c r="F749" s="602"/>
      <c r="G749" s="580"/>
      <c r="H749" s="580"/>
      <c r="I749" s="580"/>
      <c r="J749" s="580"/>
      <c r="K749" s="580"/>
    </row>
    <row r="750" ht="20.25" spans="1:11">
      <c r="A750" s="580"/>
      <c r="B750" s="580"/>
      <c r="C750" s="580"/>
      <c r="D750" s="580"/>
      <c r="E750" s="581"/>
      <c r="F750" s="602"/>
      <c r="G750" s="580"/>
      <c r="H750" s="580"/>
      <c r="I750" s="580"/>
      <c r="J750" s="580"/>
      <c r="K750" s="580"/>
    </row>
    <row r="751" ht="20.25" spans="1:11">
      <c r="A751" s="580"/>
      <c r="B751" s="580"/>
      <c r="C751" s="580"/>
      <c r="D751" s="580"/>
      <c r="E751" s="581"/>
      <c r="F751" s="602"/>
      <c r="G751" s="580"/>
      <c r="H751" s="580"/>
      <c r="I751" s="580"/>
      <c r="J751" s="580"/>
      <c r="K751" s="580"/>
    </row>
    <row r="752" ht="20.25" spans="1:11">
      <c r="A752" s="580"/>
      <c r="B752" s="580"/>
      <c r="C752" s="580"/>
      <c r="D752" s="580"/>
      <c r="E752" s="581"/>
      <c r="F752" s="602"/>
      <c r="G752" s="580"/>
      <c r="H752" s="580"/>
      <c r="I752" s="580"/>
      <c r="J752" s="580"/>
      <c r="K752" s="580"/>
    </row>
    <row r="753" ht="20.25" spans="1:11">
      <c r="A753" s="580"/>
      <c r="B753" s="580"/>
      <c r="C753" s="580"/>
      <c r="D753" s="580"/>
      <c r="E753" s="581"/>
      <c r="F753" s="602"/>
      <c r="G753" s="580"/>
      <c r="H753" s="580"/>
      <c r="I753" s="580"/>
      <c r="J753" s="580"/>
      <c r="K753" s="580"/>
    </row>
    <row r="754" ht="20.25" spans="1:11">
      <c r="A754" s="580"/>
      <c r="B754" s="580"/>
      <c r="C754" s="580"/>
      <c r="D754" s="580"/>
      <c r="E754" s="581"/>
      <c r="F754" s="602"/>
      <c r="G754" s="580"/>
      <c r="H754" s="580"/>
      <c r="I754" s="580"/>
      <c r="J754" s="580"/>
      <c r="K754" s="580"/>
    </row>
    <row r="755" ht="20.25" spans="1:11">
      <c r="A755" s="580"/>
      <c r="B755" s="580"/>
      <c r="C755" s="580"/>
      <c r="D755" s="580"/>
      <c r="E755" s="581"/>
      <c r="F755" s="602"/>
      <c r="G755" s="580"/>
      <c r="H755" s="580"/>
      <c r="I755" s="580"/>
      <c r="J755" s="580"/>
      <c r="K755" s="580"/>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482" customWidth="1"/>
    <col min="2" max="2" width="4.375" style="482" customWidth="1"/>
    <col min="3" max="3" width="3.875" style="482" customWidth="1"/>
    <col min="4" max="4" width="5" style="482" customWidth="1"/>
    <col min="5" max="5" width="7.625" style="482" customWidth="1"/>
    <col min="6" max="6" width="7.5" style="482" customWidth="1"/>
    <col min="7" max="7" width="5.625" style="482" customWidth="1"/>
    <col min="8" max="8" width="8" style="482" customWidth="1"/>
    <col min="9" max="9" width="3.25" style="482" customWidth="1"/>
    <col min="10" max="10" width="4.875" style="482" customWidth="1"/>
    <col min="11" max="11" width="4.75" style="482" customWidth="1"/>
    <col min="12" max="12" width="6.75" style="482" customWidth="1"/>
    <col min="13" max="13" width="0.625" style="482" hidden="1" customWidth="1"/>
    <col min="14" max="14" width="3.75" style="482" customWidth="1"/>
    <col min="15" max="15" width="6.625" style="482" customWidth="1"/>
    <col min="16" max="16" width="4.5" style="482" customWidth="1"/>
    <col min="17" max="17" width="7" style="482" customWidth="1"/>
    <col min="18" max="18" width="5.125" style="482" customWidth="1"/>
    <col min="19" max="19" width="4.75" style="482" customWidth="1"/>
    <col min="20" max="20" width="5.625" style="482" customWidth="1"/>
    <col min="21" max="21" width="4.875" style="482" customWidth="1"/>
    <col min="22" max="22" width="5.25" style="483" customWidth="1"/>
    <col min="23" max="23" width="4.875" style="483" customWidth="1"/>
    <col min="24" max="24" width="9.25" style="483" customWidth="1"/>
    <col min="25" max="25" width="9.5" style="482" customWidth="1"/>
    <col min="26" max="26" width="9.875" style="482" customWidth="1"/>
    <col min="27" max="28" width="10" style="482" customWidth="1"/>
    <col min="29" max="29" width="6.625" style="482" customWidth="1"/>
    <col min="30" max="30" width="6.5" style="482" customWidth="1"/>
    <col min="31" max="31" width="9" style="482"/>
    <col min="32" max="32" width="8.5" style="482" customWidth="1"/>
    <col min="33" max="33" width="6.375" style="482" customWidth="1"/>
    <col min="34" max="34" width="5.75" style="482" customWidth="1"/>
    <col min="35" max="35" width="12.625" style="482" customWidth="1"/>
    <col min="36" max="36" width="8.375" style="483" customWidth="1"/>
    <col min="37" max="37" width="24.875" style="482" customWidth="1"/>
    <col min="38" max="38" width="9" style="482"/>
    <col min="39" max="39" width="37.5" style="482" customWidth="1"/>
    <col min="40" max="16384" width="9" style="482"/>
  </cols>
  <sheetData>
    <row r="1" ht="18.75" spans="1:19">
      <c r="A1" s="484" t="s">
        <v>608</v>
      </c>
      <c r="B1" s="484"/>
      <c r="C1" s="484"/>
      <c r="D1" s="484"/>
      <c r="E1" s="484"/>
      <c r="F1" s="484"/>
      <c r="G1" s="484"/>
      <c r="H1" s="484"/>
      <c r="I1" s="484"/>
      <c r="J1" s="484"/>
      <c r="K1" s="484"/>
      <c r="L1" s="484"/>
      <c r="M1" s="484"/>
      <c r="N1" s="484"/>
      <c r="O1" s="484"/>
      <c r="P1" s="484"/>
      <c r="Q1" s="484"/>
      <c r="R1" s="484"/>
      <c r="S1" s="513"/>
    </row>
    <row r="2" ht="20.1" customHeight="1" spans="1:18">
      <c r="A2" s="485" t="s">
        <v>533</v>
      </c>
      <c r="B2" s="485"/>
      <c r="C2" s="485"/>
      <c r="D2" s="486" t="e">
        <f>'免漆门板单 (2)'!C4</f>
        <v>#REF!</v>
      </c>
      <c r="E2" s="486"/>
      <c r="F2" s="486"/>
      <c r="G2" s="486" t="str">
        <f>'免漆门板单 (2)'!F4</f>
        <v>版本型录号</v>
      </c>
      <c r="H2" s="486"/>
      <c r="I2" s="486" t="e">
        <f>#REF!</f>
        <v>#REF!</v>
      </c>
      <c r="J2" s="486"/>
      <c r="K2" s="486"/>
      <c r="L2" s="486"/>
      <c r="M2" s="496"/>
      <c r="N2" s="497" t="s">
        <v>609</v>
      </c>
      <c r="O2" s="497"/>
      <c r="P2" s="498" t="e">
        <f>'免漆门板单 (2)'!K6</f>
        <v>#REF!</v>
      </c>
      <c r="Q2" s="498"/>
      <c r="R2" s="498"/>
    </row>
    <row r="3" ht="20.1" customHeight="1" spans="1:31">
      <c r="A3" s="485" t="s">
        <v>535</v>
      </c>
      <c r="B3" s="485"/>
      <c r="C3" s="485"/>
      <c r="D3" s="486" t="e">
        <f>'免漆门板单 (2)'!C5</f>
        <v>#REF!</v>
      </c>
      <c r="E3" s="486"/>
      <c r="F3" s="486"/>
      <c r="G3" s="486" t="s">
        <v>57</v>
      </c>
      <c r="H3" s="486"/>
      <c r="I3" s="499">
        <f>'免漆门板单 (2)'!H5</f>
        <v>0</v>
      </c>
      <c r="J3" s="486"/>
      <c r="K3" s="486"/>
      <c r="L3" s="486"/>
      <c r="M3" s="496"/>
      <c r="N3" s="496" t="s">
        <v>610</v>
      </c>
      <c r="O3" s="500"/>
      <c r="P3" s="498" t="e">
        <f>'免漆门板单 (2)'!K5</f>
        <v>#REF!</v>
      </c>
      <c r="Q3" s="498"/>
      <c r="R3" s="498"/>
      <c r="S3" s="514"/>
      <c r="T3" s="515"/>
      <c r="U3" s="516"/>
      <c r="V3" s="516"/>
      <c r="W3" s="516"/>
      <c r="X3" s="516"/>
      <c r="Y3" s="516"/>
      <c r="Z3" s="516"/>
      <c r="AA3" s="516"/>
      <c r="AB3" s="516"/>
      <c r="AC3" s="516"/>
      <c r="AD3" s="516"/>
      <c r="AE3" s="521"/>
    </row>
    <row r="4" ht="20.1" customHeight="1" spans="1:31">
      <c r="A4" s="486" t="s">
        <v>483</v>
      </c>
      <c r="B4" s="486" t="s">
        <v>23</v>
      </c>
      <c r="C4" s="486" t="s">
        <v>481</v>
      </c>
      <c r="D4" s="486"/>
      <c r="E4" s="486" t="s">
        <v>482</v>
      </c>
      <c r="F4" s="486"/>
      <c r="G4" s="486" t="s">
        <v>83</v>
      </c>
      <c r="H4" s="486" t="s">
        <v>314</v>
      </c>
      <c r="I4" s="486" t="s">
        <v>483</v>
      </c>
      <c r="J4" s="486" t="s">
        <v>23</v>
      </c>
      <c r="K4" s="486" t="s">
        <v>481</v>
      </c>
      <c r="L4" s="486"/>
      <c r="M4" s="486"/>
      <c r="N4" s="498" t="s">
        <v>611</v>
      </c>
      <c r="O4" s="498"/>
      <c r="P4" s="498"/>
      <c r="Q4" s="486" t="s">
        <v>83</v>
      </c>
      <c r="R4" s="486" t="s">
        <v>314</v>
      </c>
      <c r="S4" s="514"/>
      <c r="T4" s="515"/>
      <c r="U4" s="517"/>
      <c r="V4" s="517"/>
      <c r="W4" s="518"/>
      <c r="X4" s="518"/>
      <c r="Y4" s="518"/>
      <c r="Z4" s="516"/>
      <c r="AA4" s="516"/>
      <c r="AB4" s="516"/>
      <c r="AC4" s="516"/>
      <c r="AD4" s="516"/>
      <c r="AE4" s="522"/>
    </row>
    <row r="5" ht="20.1" customHeight="1" spans="1:18">
      <c r="A5" s="487" t="s">
        <v>612</v>
      </c>
      <c r="B5" s="486">
        <v>1</v>
      </c>
      <c r="C5" s="486" t="s">
        <v>613</v>
      </c>
      <c r="D5" s="486"/>
      <c r="E5" s="487" t="str">
        <f>VLOOKUP('免漆门板单 (2)'!C6,'免漆门板单 (2)'!V9:Y25,3,FALSE)</f>
        <v>暖白双贴三聚氰胺E0级刨花板（竖纹）</v>
      </c>
      <c r="F5" s="487"/>
      <c r="G5" s="488" t="b">
        <f>IF('免漆门板单 (2)'!L3=1,'免漆门板单 (2)'!Q42,IF('免漆门板单 (2)'!L3=2,'免漆门板单 (2)'!Q43,IF('免漆门板单 (2)'!L3=3,'免漆门板单 (2)'!Q44)))</f>
        <v>0</v>
      </c>
      <c r="H5" s="486" t="s">
        <v>485</v>
      </c>
      <c r="I5" s="501" t="s">
        <v>614</v>
      </c>
      <c r="J5" s="486">
        <v>1</v>
      </c>
      <c r="K5" s="487" t="s">
        <v>350</v>
      </c>
      <c r="L5" s="487"/>
      <c r="M5" s="486"/>
      <c r="N5" s="502" t="str">
        <f>VLOOKUP('免漆门板单 (2)'!C6,'免漆门板单 (2)'!V9:Y25,4,FALSE)</f>
        <v>2.0*22暖白PVC</v>
      </c>
      <c r="O5" s="502"/>
      <c r="P5" s="502"/>
      <c r="Q5" s="519">
        <f>IF(N5="T型铝封边",'免漆门板单 (2)'!M38,'免漆门板单 (2)'!L38)</f>
        <v>0</v>
      </c>
      <c r="R5" s="486" t="s">
        <v>486</v>
      </c>
    </row>
    <row r="6" ht="20.1" customHeight="1" spans="1:18">
      <c r="A6" s="487"/>
      <c r="B6" s="486"/>
      <c r="C6" s="486"/>
      <c r="D6" s="486"/>
      <c r="E6" s="487"/>
      <c r="F6" s="487"/>
      <c r="G6" s="488"/>
      <c r="H6" s="486"/>
      <c r="I6" s="503"/>
      <c r="J6" s="486"/>
      <c r="K6" s="487"/>
      <c r="L6" s="487"/>
      <c r="M6" s="486"/>
      <c r="N6" s="502"/>
      <c r="O6" s="502"/>
      <c r="P6" s="502"/>
      <c r="Q6" s="519"/>
      <c r="R6" s="486"/>
    </row>
    <row r="7" ht="20.1" customHeight="1" spans="1:18">
      <c r="A7" s="487"/>
      <c r="B7" s="486"/>
      <c r="C7" s="486"/>
      <c r="D7" s="486"/>
      <c r="E7" s="487"/>
      <c r="F7" s="487"/>
      <c r="G7" s="488"/>
      <c r="H7" s="486"/>
      <c r="I7" s="503"/>
      <c r="J7" s="486"/>
      <c r="K7" s="487"/>
      <c r="L7" s="487"/>
      <c r="M7" s="486"/>
      <c r="N7" s="502"/>
      <c r="O7" s="502"/>
      <c r="P7" s="502"/>
      <c r="Q7" s="519"/>
      <c r="R7" s="486"/>
    </row>
    <row r="8" ht="24.75" customHeight="1" spans="1:18">
      <c r="A8" s="487"/>
      <c r="B8" s="486"/>
      <c r="C8" s="486"/>
      <c r="D8" s="486"/>
      <c r="E8" s="487"/>
      <c r="F8" s="487"/>
      <c r="G8" s="488"/>
      <c r="H8" s="486"/>
      <c r="I8" s="503"/>
      <c r="J8" s="486">
        <v>2</v>
      </c>
      <c r="K8" s="486" t="str">
        <f>IF(N5="T型铝封边","普施宝免钉胶","热熔胶")</f>
        <v>热熔胶</v>
      </c>
      <c r="L8" s="486"/>
      <c r="M8" s="486"/>
      <c r="N8" s="486" t="str">
        <f>IF(N5="T型铝封边","","丽凯8803A")</f>
        <v>丽凯8803A</v>
      </c>
      <c r="O8" s="486"/>
      <c r="P8" s="486"/>
      <c r="Q8" s="519">
        <f>IF(N5="T型铝封边",Q5/12,Q5*4.1)</f>
        <v>0</v>
      </c>
      <c r="R8" s="486" t="str">
        <f>IF(N5="T型铝封边","支","克")</f>
        <v>克</v>
      </c>
    </row>
    <row r="9" ht="40.5" customHeight="1" spans="1:18">
      <c r="A9" s="487"/>
      <c r="B9" s="486"/>
      <c r="C9" s="486"/>
      <c r="D9" s="486"/>
      <c r="E9" s="486"/>
      <c r="F9" s="486"/>
      <c r="G9" s="486"/>
      <c r="H9" s="486"/>
      <c r="I9" s="503"/>
      <c r="J9" s="486"/>
      <c r="K9" s="486"/>
      <c r="L9" s="486"/>
      <c r="M9" s="486"/>
      <c r="N9" s="486"/>
      <c r="O9" s="486"/>
      <c r="P9" s="486"/>
      <c r="Q9" s="520"/>
      <c r="R9" s="486"/>
    </row>
    <row r="10" ht="20.1" customHeight="1" spans="1:18">
      <c r="A10" s="487"/>
      <c r="B10" s="486"/>
      <c r="C10" s="486"/>
      <c r="D10" s="486"/>
      <c r="E10" s="486"/>
      <c r="F10" s="486"/>
      <c r="G10" s="486"/>
      <c r="H10" s="486"/>
      <c r="I10" s="503"/>
      <c r="J10" s="486"/>
      <c r="K10" s="487"/>
      <c r="L10" s="487"/>
      <c r="M10" s="487"/>
      <c r="N10" s="504"/>
      <c r="O10" s="504"/>
      <c r="P10" s="504"/>
      <c r="Q10" s="486"/>
      <c r="R10" s="486"/>
    </row>
    <row r="11" ht="20.1" customHeight="1" spans="1:18">
      <c r="A11" s="487"/>
      <c r="B11" s="486"/>
      <c r="C11" s="486"/>
      <c r="D11" s="486"/>
      <c r="E11" s="486"/>
      <c r="F11" s="486"/>
      <c r="G11" s="486"/>
      <c r="H11" s="486"/>
      <c r="I11" s="503"/>
      <c r="J11" s="486"/>
      <c r="K11" s="487"/>
      <c r="L11" s="487"/>
      <c r="M11" s="487"/>
      <c r="N11" s="504"/>
      <c r="O11" s="504"/>
      <c r="P11" s="504"/>
      <c r="Q11" s="486"/>
      <c r="R11" s="486"/>
    </row>
    <row r="12" ht="20.1" customHeight="1" spans="1:18">
      <c r="A12" s="487"/>
      <c r="B12" s="486"/>
      <c r="C12" s="486"/>
      <c r="D12" s="486"/>
      <c r="E12" s="486"/>
      <c r="F12" s="486"/>
      <c r="G12" s="486"/>
      <c r="H12" s="486"/>
      <c r="I12" s="503"/>
      <c r="J12" s="486">
        <v>6</v>
      </c>
      <c r="K12" s="487" t="s">
        <v>382</v>
      </c>
      <c r="L12" s="487"/>
      <c r="M12" s="487"/>
      <c r="N12" s="504" t="s">
        <v>615</v>
      </c>
      <c r="O12" s="504"/>
      <c r="P12" s="504"/>
      <c r="Q12" s="486"/>
      <c r="R12" s="486" t="s">
        <v>486</v>
      </c>
    </row>
    <row r="13" ht="20.1" customHeight="1" spans="1:18">
      <c r="A13" s="487"/>
      <c r="B13" s="486"/>
      <c r="C13" s="486"/>
      <c r="D13" s="486"/>
      <c r="E13" s="486"/>
      <c r="F13" s="486"/>
      <c r="G13" s="486"/>
      <c r="H13" s="486"/>
      <c r="I13" s="503"/>
      <c r="J13" s="486">
        <v>7</v>
      </c>
      <c r="K13" s="505" t="s">
        <v>616</v>
      </c>
      <c r="L13" s="506"/>
      <c r="M13" s="506"/>
      <c r="N13" s="506"/>
      <c r="O13" s="506"/>
      <c r="P13" s="507"/>
      <c r="Q13" s="486"/>
      <c r="R13" s="486" t="s">
        <v>617</v>
      </c>
    </row>
    <row r="14" ht="20.1" customHeight="1" spans="1:18">
      <c r="A14" s="487"/>
      <c r="B14" s="486"/>
      <c r="C14" s="486"/>
      <c r="D14" s="486"/>
      <c r="E14" s="486"/>
      <c r="F14" s="486"/>
      <c r="G14" s="486"/>
      <c r="H14" s="486"/>
      <c r="I14" s="508"/>
      <c r="J14" s="486"/>
      <c r="K14" s="487"/>
      <c r="L14" s="487"/>
      <c r="M14" s="487"/>
      <c r="N14" s="486"/>
      <c r="O14" s="486"/>
      <c r="P14" s="486"/>
      <c r="Q14" s="486"/>
      <c r="R14" s="486"/>
    </row>
    <row r="15" ht="20.1" customHeight="1" spans="1:18">
      <c r="A15" s="487"/>
      <c r="B15" s="486"/>
      <c r="C15" s="486"/>
      <c r="D15" s="486"/>
      <c r="E15" s="486"/>
      <c r="F15" s="486"/>
      <c r="G15" s="486"/>
      <c r="H15" s="486"/>
      <c r="I15" s="487"/>
      <c r="J15" s="486"/>
      <c r="K15" s="486"/>
      <c r="L15" s="486"/>
      <c r="M15" s="486"/>
      <c r="N15" s="486"/>
      <c r="O15" s="486"/>
      <c r="P15" s="486"/>
      <c r="Q15" s="520"/>
      <c r="R15" s="486"/>
    </row>
    <row r="16" ht="20.1" customHeight="1" spans="1:18">
      <c r="A16" s="487"/>
      <c r="B16" s="486"/>
      <c r="C16" s="486"/>
      <c r="D16" s="486"/>
      <c r="E16" s="486"/>
      <c r="F16" s="486"/>
      <c r="G16" s="486"/>
      <c r="H16" s="486"/>
      <c r="I16" s="487"/>
      <c r="J16" s="486"/>
      <c r="K16" s="486"/>
      <c r="L16" s="486"/>
      <c r="M16" s="486"/>
      <c r="N16" s="486"/>
      <c r="O16" s="486"/>
      <c r="P16" s="486"/>
      <c r="Q16" s="520"/>
      <c r="R16" s="486"/>
    </row>
    <row r="17" ht="15" customHeight="1" spans="1:18">
      <c r="A17" s="489"/>
      <c r="B17" s="489"/>
      <c r="C17" s="489"/>
      <c r="D17" s="489"/>
      <c r="E17" s="489"/>
      <c r="F17" s="489"/>
      <c r="G17" s="489"/>
      <c r="H17" s="489"/>
      <c r="I17" s="489"/>
      <c r="J17" s="489"/>
      <c r="K17" s="489"/>
      <c r="L17" s="489"/>
      <c r="M17" s="509"/>
      <c r="N17" s="509"/>
      <c r="O17" s="509"/>
      <c r="P17" s="509"/>
      <c r="Q17" s="509"/>
      <c r="R17" s="509"/>
    </row>
    <row r="18" ht="15" customHeight="1" spans="1:18">
      <c r="A18" s="490"/>
      <c r="B18" s="490"/>
      <c r="C18" s="489"/>
      <c r="D18" s="491" t="s">
        <v>495</v>
      </c>
      <c r="E18" s="491"/>
      <c r="F18" s="492"/>
      <c r="G18" s="492"/>
      <c r="H18" s="492"/>
      <c r="I18" s="510"/>
      <c r="J18" s="511"/>
      <c r="K18" s="510"/>
      <c r="L18" s="491" t="s">
        <v>298</v>
      </c>
      <c r="M18" s="491"/>
      <c r="N18" s="492"/>
      <c r="O18" s="492"/>
      <c r="P18" s="509"/>
      <c r="Q18" s="509"/>
      <c r="R18" s="509"/>
    </row>
    <row r="19" ht="15" customHeight="1" spans="1:18">
      <c r="A19" s="490"/>
      <c r="B19" s="490"/>
      <c r="C19" s="489"/>
      <c r="D19" s="491"/>
      <c r="E19" s="491"/>
      <c r="F19" s="491"/>
      <c r="G19" s="491"/>
      <c r="H19" s="493"/>
      <c r="I19" s="510"/>
      <c r="J19" s="511"/>
      <c r="K19" s="510"/>
      <c r="L19" s="491"/>
      <c r="M19" s="491"/>
      <c r="N19" s="512"/>
      <c r="O19" s="512"/>
      <c r="P19" s="509"/>
      <c r="Q19" s="509"/>
      <c r="R19" s="509"/>
    </row>
    <row r="20" ht="15" customHeight="1" spans="1:18">
      <c r="A20" s="490"/>
      <c r="B20" s="490"/>
      <c r="C20" s="489"/>
      <c r="D20" s="491" t="s">
        <v>618</v>
      </c>
      <c r="E20" s="491"/>
      <c r="F20" s="494"/>
      <c r="G20" s="494"/>
      <c r="H20" s="494"/>
      <c r="I20" s="510"/>
      <c r="J20" s="511"/>
      <c r="K20" s="511" t="s">
        <v>619</v>
      </c>
      <c r="L20" s="511"/>
      <c r="M20" s="511"/>
      <c r="N20" s="492"/>
      <c r="O20" s="492"/>
      <c r="P20" s="509"/>
      <c r="Q20" s="509"/>
      <c r="R20" s="509"/>
    </row>
    <row r="21" spans="1:18">
      <c r="A21" s="495"/>
      <c r="B21" s="495"/>
      <c r="C21" s="495"/>
      <c r="D21" s="495"/>
      <c r="E21" s="495"/>
      <c r="F21" s="495"/>
      <c r="G21" s="495"/>
      <c r="H21" s="495"/>
      <c r="I21" s="495"/>
      <c r="J21" s="495"/>
      <c r="K21" s="495"/>
      <c r="L21" s="495"/>
      <c r="M21" s="495"/>
      <c r="N21" s="495"/>
      <c r="O21" s="495"/>
      <c r="P21" s="495"/>
      <c r="Q21" s="495"/>
      <c r="R21" s="495"/>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C5:D8"/>
    <mergeCell ref="E5:F8"/>
    <mergeCell ref="K5:L7"/>
    <mergeCell ref="N5:P7"/>
  </mergeCells>
  <pageMargins left="0.0777777777777778" right="0.0777777777777778" top="0.590277777777778" bottom="0.984027777777778" header="0.511805555555556" footer="0.511805555555556"/>
  <pageSetup paperSize="9" scale="95"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19</vt:i4>
      </vt:variant>
    </vt:vector>
  </HeadingPairs>
  <TitlesOfParts>
    <vt:vector size="19" baseType="lpstr">
      <vt:lpstr>@kbtasto@she3#</vt:lpstr>
      <vt:lpstr>交接表</vt:lpstr>
      <vt:lpstr>Sheet1</vt:lpstr>
      <vt:lpstr>免漆</vt:lpstr>
      <vt:lpstr>免漆门板单</vt:lpstr>
      <vt:lpstr>免漆料单</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2016-08-30T05:10:00Z</cp:lastPrinted>
  <dcterms:modified xsi:type="dcterms:W3CDTF">2017-10-19T10:39:23Z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