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firstSheet="1" activeTab="2"/>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<sst xmlns="http://schemas.openxmlformats.org/spreadsheetml/2006/main" count="1366">
  <si>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</si>
  <si>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</si>
  <si>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</si>
  <si>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</si>
  <si>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</si>
  <si>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</si>
  <si>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</si>
  <si>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</si>
  <si>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</si>
  <si>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</si>
  <si>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</si>
  <si>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</si>
  <si>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</si>
  <si>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</si>
  <si>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</si>
  <si>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</si>
  <si>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</si>
  <si>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</si>
  <si>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</si>
  <si>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</si>
  <si>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</si>
  <si>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</si>
  <si>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</si>
  <si>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</si>
  <si>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</si>
  <si>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</si>
  <si>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</si>
  <si>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</si>
  <si>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</si>
  <si>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</si>
  <si>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</si>
  <si>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</si>
  <si>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</si>
  <si>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</si>
  <si>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</si>
  <si>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</si>
  <si>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</si>
  <si>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</si>
  <si>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</si>
  <si>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</si>
  <si>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</si>
  <si>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</si>
  <si>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</si>
  <si>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</si>
  <si>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</si>
  <si>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</si>
  <si>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</si>
  <si>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</si>
  <si>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</si>
  <si>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</si>
  <si>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</si>
  <si>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</si>
  <si>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</si>
  <si>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</si>
  <si>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</si>
  <si>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</si>
  <si>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</si>
  <si>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</si>
  <si>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</si>
  <si>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</si>
  <si>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</si>
  <si>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</si>
  <si>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</si>
  <si>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</si>
  <si>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材料</t>
  </si>
  <si>
    <t>16厚米黄</t>
  </si>
  <si>
    <t>版本型录号</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</si>
  <si>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</si>
  <si>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</si>
  <si>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</si>
  <si>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</si>
  <si>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</si>
  <si>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</si>
  <si>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</si>
  <si>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</si>
  <si>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</si>
  <si>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</si>
  <si>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</si>
  <si>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</si>
  <si>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</si>
  <si>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</si>
  <si>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</si>
  <si>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</si>
  <si>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</si>
  <si>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</si>
  <si>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</si>
  <si>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</si>
  <si>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</si>
  <si>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</si>
  <si>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</si>
  <si>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</si>
  <si>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</si>
  <si>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</si>
  <si>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</si>
  <si>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</si>
  <si>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</si>
  <si>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</si>
  <si>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</si>
  <si>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</si>
  <si>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</si>
  <si>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铣灶台槽</t>
  </si>
  <si>
    <t>浮士德</t>
  </si>
  <si>
    <t>卡帝亚</t>
  </si>
  <si>
    <t>16厚暖白</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</si>
  <si>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</si>
  <si>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</si>
  <si>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</si>
  <si>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</si>
  <si>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</si>
  <si>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</si>
  <si>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</si>
  <si>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</si>
  <si>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</si>
  <si>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</si>
  <si>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</si>
  <si>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</si>
  <si>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</si>
  <si>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</si>
  <si>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</si>
  <si>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</si>
  <si>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</si>
  <si>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</si>
  <si>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</si>
  <si>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</si>
  <si>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</si>
  <si>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</si>
  <si>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</si>
  <si>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</si>
  <si>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</si>
  <si>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</si>
  <si>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</si>
  <si>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</si>
  <si>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</si>
  <si>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</si>
  <si>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</si>
  <si>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</si>
  <si>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</si>
  <si>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</si>
  <si>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</si>
  <si>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</si>
  <si>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</si>
  <si>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</si>
  <si>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</si>
  <si>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</si>
  <si>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</si>
  <si>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</si>
  <si>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</si>
  <si>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</si>
  <si>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</si>
  <si>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</si>
  <si>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</si>
  <si>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</si>
  <si>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</si>
  <si>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</si>
  <si>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</si>
  <si>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</si>
  <si>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</si>
  <si>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</si>
  <si>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</si>
  <si>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</si>
  <si>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</si>
  <si>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</si>
  <si>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</si>
  <si>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</si>
  <si>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</si>
  <si>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</si>
  <si>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</si>
  <si>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</si>
  <si>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</si>
  <si>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</si>
  <si>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</si>
  <si>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</si>
  <si>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制单人: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</si>
  <si>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</si>
  <si>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</si>
  <si>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</si>
  <si>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</si>
  <si>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</si>
  <si>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</si>
  <si>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</si>
  <si>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</si>
  <si>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</si>
  <si>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</si>
  <si>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</si>
  <si>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</si>
  <si>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</si>
  <si>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</si>
  <si>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</si>
  <si>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</si>
  <si>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</si>
  <si>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</si>
  <si>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</si>
  <si>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</si>
  <si>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</si>
  <si>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</si>
  <si>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</si>
  <si>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</si>
  <si>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</si>
  <si>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</si>
  <si>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</si>
  <si>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</si>
  <si>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</si>
  <si>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</si>
  <si>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</si>
  <si>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制单人：</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</si>
  <si>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</si>
  <si>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</si>
  <si>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</si>
  <si>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</si>
  <si>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</si>
  <si>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</si>
  <si>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</si>
  <si>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</si>
  <si>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</si>
  <si>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</si>
  <si>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</si>
  <si>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</si>
  <si>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</si>
  <si>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</si>
  <si>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</si>
  <si>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</si>
  <si>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</si>
  <si>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</si>
  <si>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</si>
  <si>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</si>
  <si>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</si>
  <si>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</si>
  <si>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</si>
  <si>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</si>
  <si>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</si>
  <si>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</si>
  <si>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</si>
  <si>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</si>
  <si>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</si>
  <si>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</si>
  <si>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</si>
  <si>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</si>
  <si>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</si>
  <si>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</si>
  <si>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</si>
  <si>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</si>
  <si>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</si>
  <si>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</si>
  <si>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</si>
  <si>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</si>
  <si>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</si>
  <si>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</si>
  <si>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</si>
  <si>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</si>
  <si>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</si>
  <si>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</si>
  <si>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</si>
  <si>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</si>
  <si>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</si>
  <si>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</si>
  <si>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</si>
  <si>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</si>
  <si>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</si>
  <si>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</si>
  <si>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</si>
  <si>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</si>
  <si>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</si>
  <si>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</si>
  <si>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</si>
  <si>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</si>
  <si>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</si>
  <si>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</si>
  <si>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</si>
  <si>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</si>
  <si>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</si>
  <si>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</si>
  <si>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</si>
  <si>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</si>
  <si>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</si>
  <si>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</si>
  <si>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</si>
  <si>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</si>
  <si>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</si>
  <si>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</si>
  <si>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</si>
  <si>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</si>
  <si>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</si>
  <si>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</si>
  <si>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</si>
  <si>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</si>
  <si>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</si>
  <si>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</si>
  <si>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</si>
  <si>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</si>
  <si>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</si>
  <si>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</si>
  <si>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</si>
  <si>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</si>
  <si>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</si>
  <si>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</si>
  <si>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</si>
  <si>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</si>
  <si>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</si>
  <si>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</si>
  <si>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</si>
  <si>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</si>
  <si>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</si>
  <si>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</si>
  <si>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</si>
  <si>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</si>
  <si>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</si>
  <si>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</si>
  <si>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</si>
  <si>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</si>
  <si>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</si>
  <si>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</si>
  <si>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</si>
  <si>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</si>
  <si>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</si>
  <si>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</si>
  <si>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</si>
  <si>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</si>
  <si>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</si>
  <si>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</si>
  <si>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</si>
  <si>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</si>
  <si>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</si>
  <si>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</si>
  <si>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</si>
  <si>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</si>
  <si>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</si>
  <si>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</si>
  <si>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</si>
  <si>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</si>
  <si>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</si>
  <si>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</si>
  <si>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</si>
  <si>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</si>
  <si>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</si>
  <si>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</si>
  <si>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</si>
  <si>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铝横梁（氧化铝LC-932）3米/支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</si>
  <si>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</si>
  <si>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</si>
  <si>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</si>
  <si>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</si>
  <si>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</si>
  <si>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</si>
  <si>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</si>
  <si>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</si>
  <si>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</si>
  <si>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</si>
  <si>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</si>
  <si>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</si>
  <si>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</si>
  <si>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</si>
  <si>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</si>
  <si>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</si>
  <si>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</si>
  <si>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</si>
  <si>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</si>
  <si>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</si>
  <si>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</si>
  <si>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</si>
  <si>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</si>
  <si>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</si>
  <si>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</si>
  <si>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</si>
  <si>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</si>
  <si>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</si>
  <si>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</si>
  <si>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</si>
  <si>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</si>
  <si>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</si>
  <si>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</si>
  <si>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</si>
  <si>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</si>
  <si>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</si>
  <si>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</si>
  <si>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</si>
  <si>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</si>
  <si>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</si>
  <si>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</si>
  <si>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</si>
  <si>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</si>
  <si>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</si>
  <si>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</si>
  <si>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</si>
  <si>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</si>
  <si>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</si>
  <si>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</si>
  <si>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</si>
  <si>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</si>
  <si>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</si>
  <si>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</si>
  <si>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</si>
  <si>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</si>
  <si>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</si>
  <si>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</si>
  <si>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</si>
  <si>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</si>
  <si>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</si>
  <si>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</si>
  <si>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</si>
  <si>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</si>
  <si>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</si>
  <si>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</si>
  <si>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</si>
  <si>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</si>
  <si>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</si>
  <si>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</si>
  <si>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</si>
  <si>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拆解员：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</si>
  <si>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</si>
  <si>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</si>
  <si>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</si>
  <si>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</si>
  <si>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</si>
  <si>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</si>
  <si>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</si>
  <si>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</si>
  <si>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</si>
  <si>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</si>
  <si>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</si>
  <si>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</si>
  <si>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</si>
  <si>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</si>
  <si>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</si>
  <si>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</si>
  <si>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</si>
  <si>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</si>
  <si>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</si>
  <si>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</si>
  <si>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</si>
  <si>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</si>
  <si>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</si>
  <si>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</si>
  <si>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</si>
  <si>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</si>
  <si>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</si>
  <si>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</si>
  <si>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</si>
  <si>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</si>
  <si>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</si>
  <si>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</si>
  <si>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</si>
  <si>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</si>
  <si>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</si>
  <si>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</si>
  <si>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</si>
  <si>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</si>
  <si>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</si>
  <si>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</si>
  <si>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</si>
  <si>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</si>
  <si>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</si>
  <si>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</si>
  <si>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</si>
  <si>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</si>
  <si>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</si>
  <si>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</si>
  <si>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</si>
  <si>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</si>
  <si>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</si>
  <si>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</si>
  <si>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</si>
  <si>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</si>
  <si>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</si>
  <si>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</si>
  <si>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</si>
  <si>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</si>
  <si>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</si>
  <si>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</si>
  <si>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拆解人</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</si>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</sst>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176" formatCode="[$-F800]dddd\,\ mmmm\ dd\,\ yyyy"/>
    <numFmt numFmtId="41" formatCode="_ * #,##0_ ;_ * \-#,##0_ ;_ * &quot;-&quot;_ ;_ @_ "/>
    <numFmt numFmtId="177" formatCode="yyyy&quot;年&quot;m&quot;月&quot;d&quot;日&quot;;@"/>
    <numFmt numFmtId="42" formatCode="_ &quot;￥&quot;* #,##0_ ;_ &quot;￥&quot;* \-#,##0_ ;_ &quot;￥&quot;* &quot;-&quot;_ ;_ @_ "/>
    <numFmt numFmtId="44" formatCode="_ &quot;￥&quot;* #,##0.00_ ;_ &quot;￥&quot;* \-#,##0.00_ ;_ &quot;￥&quot;* &quot;-&quot;??_ ;_ @_ "/>
    <numFmt numFmtId="43" formatCode="_ * #,##0.00_ ;_ * \-#,##0.00_ ;_ * &quot;-&quot;??_ ;_ @_ "/>
    <numFmt numFmtId="178" formatCode="0&quot;高&quot;"/>
    <numFmt numFmtId="179" formatCode="0.0"/>
    <numFmt numFmtId="180" formatCode="0.00_);[Red]\(0.00\)"/>
    <numFmt numFmtId="181" formatCode="0.0_ "/>
    <numFmt numFmtId="182" formatCode="0.00_ "/>
    <numFmt numFmtId="183" formatCode="0.0_);[Red]\(0.0\)"/>
    <numFmt numFmtId="184" formatCode="0_);\(0\)"/>
    <numFmt numFmtId="185" formatCode="0_ "/>
    <numFmt numFmtId="186" formatCode="0_);[Red]\(0\)"/>
    <numFmt numFmtId="187" formatCode="0.000_ "/>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sz val="11"/>
      <color theme="1"/>
      <name val="宋体"/>
      <charset val="0"/>
      <scheme val="minor"/>
    </font>
    <font>
      <sz val="11"/>
      <color theme="0"/>
      <name val="宋体"/>
      <charset val="0"/>
      <scheme val="minor"/>
    </font>
    <font>
      <b/>
      <sz val="11"/>
      <color theme="1"/>
      <name val="宋体"/>
      <charset val="0"/>
      <scheme val="minor"/>
    </font>
    <font>
      <u/>
      <sz val="11"/>
      <color rgb="FF800080"/>
      <name val="宋体"/>
      <charset val="0"/>
      <scheme val="minor"/>
    </font>
    <font>
      <sz val="11"/>
      <color rgb="FF9C0006"/>
      <name val="宋体"/>
      <charset val="134"/>
      <scheme val="minor"/>
    </font>
    <font>
      <sz val="11"/>
      <color rgb="FF006100"/>
      <name val="宋体"/>
      <charset val="0"/>
      <scheme val="minor"/>
    </font>
    <font>
      <b/>
      <sz val="18"/>
      <color theme="3"/>
      <name val="宋体"/>
      <charset val="134"/>
      <scheme val="minor"/>
    </font>
    <font>
      <sz val="11"/>
      <color rgb="FF3F3F76"/>
      <name val="宋体"/>
      <charset val="0"/>
      <scheme val="minor"/>
    </font>
    <font>
      <b/>
      <sz val="11"/>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sz val="9"/>
      <color indexed="20"/>
      <name val="宋体"/>
      <charset val="134"/>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indexed="45"/>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style="medium">
        <color auto="1"/>
      </right>
      <top/>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89">
    <xf numFmtId="0" fontId="0" fillId="0" borderId="0">
      <alignment vertical="center"/>
    </xf>
    <xf numFmtId="42" fontId="1" fillId="0" borderId="0" applyFont="0" applyFill="0" applyBorder="0" applyAlignment="0" applyProtection="0">
      <alignment vertical="center"/>
    </xf>
    <xf numFmtId="0" fontId="80" fillId="23" borderId="0" applyNumberFormat="0" applyBorder="0" applyAlignment="0" applyProtection="0">
      <alignment vertical="center"/>
    </xf>
    <xf numFmtId="0" fontId="87" fillId="26" borderId="110"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0" fillId="21" borderId="0" applyNumberFormat="0" applyBorder="0" applyAlignment="0" applyProtection="0">
      <alignment vertical="center"/>
    </xf>
    <xf numFmtId="0" fontId="84" fillId="24" borderId="0" applyNumberFormat="0" applyBorder="0" applyAlignment="0" applyProtection="0">
      <alignment vertical="center"/>
    </xf>
    <xf numFmtId="43" fontId="1" fillId="0" borderId="0" applyFont="0" applyFill="0" applyBorder="0" applyAlignment="0" applyProtection="0">
      <alignment vertical="center"/>
    </xf>
    <xf numFmtId="0" fontId="81" fillId="27" borderId="0" applyNumberFormat="0" applyBorder="0" applyAlignment="0" applyProtection="0">
      <alignment vertical="center"/>
    </xf>
    <xf numFmtId="0" fontId="89" fillId="0" borderId="0" applyNumberFormat="0" applyFill="0" applyBorder="0" applyAlignment="0" applyProtection="0">
      <alignment vertical="center"/>
    </xf>
    <xf numFmtId="9" fontId="1" fillId="0" borderId="0" applyFont="0" applyFill="0" applyBorder="0" applyAlignment="0" applyProtection="0">
      <alignment vertical="center"/>
    </xf>
    <xf numFmtId="0" fontId="83" fillId="0" borderId="0" applyNumberFormat="0" applyFill="0" applyBorder="0" applyAlignment="0" applyProtection="0">
      <alignment vertical="center"/>
    </xf>
    <xf numFmtId="0" fontId="1" fillId="30" borderId="112" applyNumberFormat="0" applyFont="0" applyAlignment="0" applyProtection="0">
      <alignment vertical="center"/>
    </xf>
    <xf numFmtId="0" fontId="1" fillId="0" borderId="0">
      <alignment vertical="center"/>
    </xf>
    <xf numFmtId="0" fontId="93" fillId="0" borderId="0" applyNumberFormat="0" applyFill="0" applyBorder="0" applyAlignment="0" applyProtection="0">
      <alignment vertical="center"/>
    </xf>
    <xf numFmtId="0" fontId="30" fillId="0" borderId="0">
      <alignment vertical="center"/>
    </xf>
    <xf numFmtId="0" fontId="81" fillId="33" borderId="0" applyNumberFormat="0" applyBorder="0" applyAlignment="0" applyProtection="0">
      <alignment vertical="center"/>
    </xf>
    <xf numFmtId="0" fontId="88" fillId="0" borderId="0" applyNumberFormat="0" applyFill="0" applyBorder="0" applyAlignment="0" applyProtection="0">
      <alignment vertical="center"/>
    </xf>
    <xf numFmtId="0" fontId="86" fillId="0" borderId="0" applyNumberFormat="0" applyFill="0" applyBorder="0" applyAlignment="0" applyProtection="0">
      <alignment vertical="center"/>
    </xf>
    <xf numFmtId="0" fontId="0" fillId="0" borderId="0"/>
    <xf numFmtId="0" fontId="0" fillId="0" borderId="0">
      <alignment vertical="center"/>
    </xf>
    <xf numFmtId="0" fontId="95" fillId="0" borderId="0" applyNumberFormat="0" applyFill="0" applyBorder="0" applyAlignment="0" applyProtection="0">
      <alignment vertical="center"/>
    </xf>
    <xf numFmtId="0" fontId="97" fillId="0" borderId="113" applyNumberFormat="0" applyFill="0" applyAlignment="0" applyProtection="0">
      <alignment vertical="center"/>
    </xf>
    <xf numFmtId="0" fontId="92" fillId="0" borderId="113" applyNumberFormat="0" applyFill="0" applyAlignment="0" applyProtection="0">
      <alignment vertical="center"/>
    </xf>
    <xf numFmtId="0" fontId="81" fillId="31" borderId="0" applyNumberFormat="0" applyBorder="0" applyAlignment="0" applyProtection="0">
      <alignment vertical="center"/>
    </xf>
    <xf numFmtId="0" fontId="88" fillId="0" borderId="116" applyNumberFormat="0" applyFill="0" applyAlignment="0" applyProtection="0">
      <alignment vertical="center"/>
    </xf>
    <xf numFmtId="0" fontId="81" fillId="40" borderId="0" applyNumberFormat="0" applyBorder="0" applyAlignment="0" applyProtection="0">
      <alignment vertical="center"/>
    </xf>
    <xf numFmtId="0" fontId="96" fillId="29" borderId="114" applyNumberFormat="0" applyAlignment="0" applyProtection="0">
      <alignment vertical="center"/>
    </xf>
    <xf numFmtId="0" fontId="91" fillId="29" borderId="110" applyNumberFormat="0" applyAlignment="0" applyProtection="0">
      <alignment vertical="center"/>
    </xf>
    <xf numFmtId="0" fontId="98" fillId="38" borderId="115" applyNumberFormat="0" applyAlignment="0" applyProtection="0">
      <alignment vertical="center"/>
    </xf>
    <xf numFmtId="0" fontId="80" fillId="34" borderId="0" applyNumberFormat="0" applyBorder="0" applyAlignment="0" applyProtection="0">
      <alignment vertical="center"/>
    </xf>
    <xf numFmtId="0" fontId="81" fillId="37" borderId="0" applyNumberFormat="0" applyBorder="0" applyAlignment="0" applyProtection="0">
      <alignment vertical="center"/>
    </xf>
    <xf numFmtId="0" fontId="90" fillId="0" borderId="111" applyNumberFormat="0" applyFill="0" applyAlignment="0" applyProtection="0">
      <alignment vertical="center"/>
    </xf>
    <xf numFmtId="0" fontId="82" fillId="0" borderId="109" applyNumberFormat="0" applyFill="0" applyAlignment="0" applyProtection="0">
      <alignment vertical="center"/>
    </xf>
    <xf numFmtId="0" fontId="85" fillId="25" borderId="0" applyNumberFormat="0" applyBorder="0" applyAlignment="0" applyProtection="0">
      <alignment vertical="center"/>
    </xf>
    <xf numFmtId="0" fontId="0" fillId="0" borderId="0"/>
    <xf numFmtId="0" fontId="94" fillId="36" borderId="0" applyNumberFormat="0" applyBorder="0" applyAlignment="0" applyProtection="0">
      <alignment vertical="center"/>
    </xf>
    <xf numFmtId="0" fontId="80" fillId="3" borderId="0" applyNumberFormat="0" applyBorder="0" applyAlignment="0" applyProtection="0">
      <alignment vertical="center"/>
    </xf>
    <xf numFmtId="0" fontId="81" fillId="28" borderId="0" applyNumberFormat="0" applyBorder="0" applyAlignment="0" applyProtection="0">
      <alignment vertical="center"/>
    </xf>
    <xf numFmtId="0" fontId="0" fillId="0" borderId="0"/>
    <xf numFmtId="0" fontId="80" fillId="35" borderId="0" applyNumberFormat="0" applyBorder="0" applyAlignment="0" applyProtection="0">
      <alignment vertical="center"/>
    </xf>
    <xf numFmtId="0" fontId="80" fillId="18" borderId="0" applyNumberFormat="0" applyBorder="0" applyAlignment="0" applyProtection="0">
      <alignment vertical="center"/>
    </xf>
    <xf numFmtId="0" fontId="80" fillId="10" borderId="0" applyNumberFormat="0" applyBorder="0" applyAlignment="0" applyProtection="0">
      <alignment vertical="center"/>
    </xf>
    <xf numFmtId="0" fontId="80" fillId="39" borderId="0" applyNumberFormat="0" applyBorder="0" applyAlignment="0" applyProtection="0">
      <alignment vertical="center"/>
    </xf>
    <xf numFmtId="0" fontId="81" fillId="42" borderId="0" applyNumberFormat="0" applyBorder="0" applyAlignment="0" applyProtection="0">
      <alignment vertical="center"/>
    </xf>
    <xf numFmtId="0" fontId="81" fillId="32" borderId="0" applyNumberFormat="0" applyBorder="0" applyAlignment="0" applyProtection="0">
      <alignment vertical="center"/>
    </xf>
    <xf numFmtId="0" fontId="80" fillId="43" borderId="0" applyNumberFormat="0" applyBorder="0" applyAlignment="0" applyProtection="0">
      <alignment vertical="center"/>
    </xf>
    <xf numFmtId="0" fontId="80" fillId="41" borderId="0" applyNumberFormat="0" applyBorder="0" applyAlignment="0" applyProtection="0">
      <alignment vertical="center"/>
    </xf>
    <xf numFmtId="0" fontId="81" fillId="22" borderId="0" applyNumberFormat="0" applyBorder="0" applyAlignment="0" applyProtection="0">
      <alignment vertical="center"/>
    </xf>
    <xf numFmtId="0" fontId="0" fillId="0" borderId="0">
      <alignment vertical="center"/>
    </xf>
    <xf numFmtId="0" fontId="80" fillId="44" borderId="0" applyNumberFormat="0" applyBorder="0" applyAlignment="0" applyProtection="0">
      <alignment vertical="center"/>
    </xf>
    <xf numFmtId="0" fontId="81" fillId="46" borderId="0" applyNumberFormat="0" applyBorder="0" applyAlignment="0" applyProtection="0">
      <alignment vertical="center"/>
    </xf>
    <xf numFmtId="0" fontId="81" fillId="45" borderId="0" applyNumberFormat="0" applyBorder="0" applyAlignment="0" applyProtection="0">
      <alignment vertical="center"/>
    </xf>
    <xf numFmtId="0" fontId="0" fillId="0" borderId="0"/>
    <xf numFmtId="0" fontId="0" fillId="0" borderId="0">
      <alignment vertical="center"/>
    </xf>
    <xf numFmtId="0" fontId="80" fillId="5" borderId="0" applyNumberFormat="0" applyBorder="0" applyAlignment="0" applyProtection="0">
      <alignment vertical="center"/>
    </xf>
    <xf numFmtId="0" fontId="0" fillId="0" borderId="0"/>
    <xf numFmtId="0" fontId="81" fillId="47" borderId="0" applyNumberFormat="0" applyBorder="0" applyAlignment="0" applyProtection="0">
      <alignment vertical="center"/>
    </xf>
    <xf numFmtId="0" fontId="99" fillId="48" borderId="0" applyNumberFormat="0" applyBorder="0" applyAlignment="0" applyProtection="0">
      <alignment vertical="center"/>
    </xf>
    <xf numFmtId="0" fontId="1"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30" fillId="0" borderId="0">
      <alignment vertical="center"/>
    </xf>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0" fillId="49" borderId="0" applyNumberFormat="0" applyBorder="0" applyAlignment="0" applyProtection="0">
      <alignment vertical="center"/>
    </xf>
    <xf numFmtId="0" fontId="100" fillId="49" borderId="0" applyNumberFormat="0" applyBorder="0" applyAlignment="0" applyProtection="0">
      <alignment vertical="center"/>
    </xf>
  </cellStyleXfs>
  <cellXfs count="1153">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horizontal="left" vertical="center"/>
    </xf>
    <xf numFmtId="0" fontId="3" fillId="3" borderId="2" xfId="80" applyFont="1" applyFill="1" applyBorder="1" applyAlignment="1">
      <alignment horizontal="center" vertical="center"/>
    </xf>
    <xf numFmtId="177" fontId="3" fillId="3" borderId="2" xfId="80" applyNumberFormat="1" applyFont="1" applyFill="1" applyBorder="1" applyAlignment="1">
      <alignment horizontal="center" vertical="center"/>
    </xf>
    <xf numFmtId="176"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1" fillId="0" borderId="2" xfId="80" applyFont="1" applyFill="1" applyBorder="1">
      <alignment vertical="center"/>
    </xf>
    <xf numFmtId="0" fontId="1" fillId="2" borderId="2" xfId="80" applyFont="1" applyFill="1" applyBorder="1">
      <alignment vertical="center"/>
    </xf>
    <xf numFmtId="0" fontId="9" fillId="0" borderId="3" xfId="80" applyFont="1" applyFill="1" applyBorder="1" applyAlignment="1">
      <alignment horizontal="center" vertical="center" wrapText="1"/>
    </xf>
    <xf numFmtId="0" fontId="1" fillId="0" borderId="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77" fontId="3" fillId="3" borderId="2"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10" fillId="5" borderId="17"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7" fontId="3" fillId="3" borderId="0" xfId="0"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3" fillId="0" borderId="12" xfId="0"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3" fillId="0" borderId="15" xfId="0" applyFont="1" applyFill="1" applyBorder="1" applyAlignment="1">
      <alignment horizontal="center" vertical="center"/>
    </xf>
    <xf numFmtId="0" fontId="6" fillId="0" borderId="2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4"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4" applyFont="1"/>
    <xf numFmtId="0" fontId="0" fillId="0" borderId="0" xfId="54" applyFont="1"/>
    <xf numFmtId="0" fontId="0" fillId="0" borderId="0" xfId="54" applyFont="1" applyBorder="1"/>
    <xf numFmtId="0" fontId="0" fillId="0" borderId="1" xfId="54" applyFont="1" applyBorder="1"/>
    <xf numFmtId="0" fontId="13" fillId="0" borderId="0" xfId="54" applyFont="1" applyAlignment="1">
      <alignment horizontal="center"/>
    </xf>
    <xf numFmtId="0" fontId="14" fillId="0" borderId="0" xfId="54" applyFont="1" applyAlignment="1">
      <alignment horizontal="center"/>
    </xf>
    <xf numFmtId="0" fontId="15" fillId="0" borderId="0" xfId="54" applyFont="1" applyAlignment="1">
      <alignment horizontal="center"/>
    </xf>
    <xf numFmtId="0" fontId="16" fillId="0" borderId="0" xfId="54" applyFont="1"/>
    <xf numFmtId="0" fontId="0" fillId="0" borderId="1" xfId="54" applyFont="1" applyBorder="1" applyAlignment="1">
      <alignment horizontal="center"/>
    </xf>
    <xf numFmtId="0" fontId="0" fillId="0" borderId="0" xfId="54" applyFont="1" applyBorder="1" applyAlignment="1">
      <alignment horizontal="center"/>
    </xf>
    <xf numFmtId="0" fontId="16" fillId="0" borderId="1" xfId="54" applyFont="1" applyBorder="1" applyAlignment="1">
      <alignment horizontal="center"/>
    </xf>
    <xf numFmtId="177" fontId="17" fillId="0" borderId="1" xfId="54" applyNumberFormat="1" applyFont="1" applyBorder="1" applyAlignment="1">
      <alignment horizontal="center"/>
    </xf>
    <xf numFmtId="0" fontId="0" fillId="0" borderId="0" xfId="54" applyFont="1" applyBorder="1" applyAlignment="1">
      <alignment horizontal="left"/>
    </xf>
    <xf numFmtId="0" fontId="0" fillId="0" borderId="17"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7" fillId="0" borderId="17" xfId="54" applyFont="1" applyBorder="1" applyAlignment="1">
      <alignment horizontal="center"/>
    </xf>
    <xf numFmtId="0" fontId="0" fillId="0" borderId="1" xfId="54" applyFont="1" applyBorder="1" applyAlignment="1"/>
    <xf numFmtId="0" fontId="0" fillId="0" borderId="2" xfId="54" applyFont="1" applyBorder="1" applyAlignment="1">
      <alignment horizontal="center"/>
    </xf>
    <xf numFmtId="0" fontId="16" fillId="0" borderId="2" xfId="54" applyNumberFormat="1" applyFont="1" applyBorder="1"/>
    <xf numFmtId="0" fontId="16" fillId="0" borderId="2" xfId="54" applyFont="1" applyBorder="1" applyAlignment="1">
      <alignment horizontal="center"/>
    </xf>
    <xf numFmtId="0" fontId="0" fillId="0" borderId="25" xfId="54" applyFont="1" applyBorder="1" applyAlignment="1">
      <alignment horizontal="center"/>
    </xf>
    <xf numFmtId="0" fontId="0" fillId="0" borderId="24" xfId="54" applyFont="1" applyBorder="1" applyAlignment="1">
      <alignment horizontal="center"/>
    </xf>
    <xf numFmtId="0" fontId="16" fillId="0" borderId="15" xfId="54" applyFont="1" applyFill="1" applyBorder="1" applyAlignment="1">
      <alignment horizontal="center"/>
    </xf>
    <xf numFmtId="179" fontId="16" fillId="0" borderId="2" xfId="54" applyNumberFormat="1" applyFont="1" applyBorder="1"/>
    <xf numFmtId="0" fontId="0" fillId="0" borderId="2" xfId="54" applyFont="1" applyBorder="1"/>
    <xf numFmtId="0" fontId="0" fillId="0" borderId="2" xfId="54" applyNumberFormat="1" applyFont="1" applyBorder="1"/>
    <xf numFmtId="0" fontId="16" fillId="0" borderId="2" xfId="54" applyFont="1" applyBorder="1"/>
    <xf numFmtId="0" fontId="0" fillId="6" borderId="2" xfId="54" applyNumberFormat="1" applyFont="1" applyFill="1" applyBorder="1"/>
    <xf numFmtId="0" fontId="0" fillId="6" borderId="2" xfId="54" applyFont="1" applyFill="1" applyBorder="1" applyAlignment="1">
      <alignment horizontal="center"/>
    </xf>
    <xf numFmtId="0" fontId="16" fillId="6" borderId="2" xfId="54" applyFont="1" applyFill="1" applyBorder="1"/>
    <xf numFmtId="0" fontId="0" fillId="6" borderId="25" xfId="54" applyFont="1" applyFill="1" applyBorder="1" applyAlignment="1">
      <alignment horizontal="center"/>
    </xf>
    <xf numFmtId="0" fontId="0" fillId="6" borderId="24" xfId="54" applyFont="1" applyFill="1" applyBorder="1" applyAlignment="1">
      <alignment horizontal="center"/>
    </xf>
    <xf numFmtId="0" fontId="18" fillId="2" borderId="2" xfId="54" applyNumberFormat="1" applyFont="1" applyFill="1" applyBorder="1"/>
    <xf numFmtId="0" fontId="0" fillId="2" borderId="2" xfId="54" applyFont="1" applyFill="1" applyBorder="1" applyAlignment="1">
      <alignment horizontal="center"/>
    </xf>
    <xf numFmtId="0" fontId="17" fillId="0" borderId="25" xfId="54" applyFont="1" applyBorder="1" applyAlignment="1">
      <alignment horizontal="center"/>
    </xf>
    <xf numFmtId="0" fontId="17" fillId="2" borderId="2" xfId="54" applyNumberFormat="1" applyFont="1" applyFill="1" applyBorder="1" applyAlignment="1">
      <alignment wrapText="1"/>
    </xf>
    <xf numFmtId="0" fontId="16" fillId="2" borderId="2" xfId="54" applyFont="1" applyFill="1" applyBorder="1"/>
    <xf numFmtId="0" fontId="19" fillId="0" borderId="0" xfId="54" applyFont="1" applyBorder="1" applyAlignment="1">
      <alignment horizontal="center"/>
    </xf>
    <xf numFmtId="58" fontId="20" fillId="0" borderId="0" xfId="54" applyNumberFormat="1" applyFont="1" applyBorder="1"/>
    <xf numFmtId="0" fontId="21" fillId="0" borderId="0" xfId="54" applyFont="1"/>
    <xf numFmtId="0" fontId="12" fillId="0" borderId="0" xfId="54" applyFont="1" applyBorder="1" applyAlignment="1">
      <alignment horizontal="center"/>
    </xf>
    <xf numFmtId="0" fontId="20" fillId="0" borderId="0" xfId="54" applyFont="1" applyBorder="1" applyAlignment="1">
      <alignment horizontal="center"/>
    </xf>
    <xf numFmtId="0" fontId="0" fillId="0" borderId="0" xfId="54" applyNumberFormat="1" applyFont="1" applyBorder="1"/>
    <xf numFmtId="58" fontId="22" fillId="0" borderId="0" xfId="54" applyNumberFormat="1" applyFont="1" applyBorder="1"/>
    <xf numFmtId="177" fontId="23" fillId="0" borderId="0" xfId="54" applyNumberFormat="1" applyFont="1" applyBorder="1" applyAlignment="1">
      <alignment horizontal="center"/>
    </xf>
    <xf numFmtId="0" fontId="24" fillId="0" borderId="0" xfId="54" applyFont="1" applyBorder="1" applyAlignment="1">
      <alignment horizontal="center"/>
    </xf>
    <xf numFmtId="0" fontId="12" fillId="0" borderId="0" xfId="54" applyFont="1" applyBorder="1"/>
    <xf numFmtId="0" fontId="22" fillId="0" borderId="0" xfId="54" applyFont="1" applyBorder="1" applyAlignment="1">
      <alignment horizontal="center"/>
    </xf>
    <xf numFmtId="0" fontId="24" fillId="0" borderId="0" xfId="54" applyFont="1" applyBorder="1"/>
    <xf numFmtId="0" fontId="24" fillId="0" borderId="0" xfId="54" applyFont="1"/>
    <xf numFmtId="0" fontId="25" fillId="0" borderId="0" xfId="54" applyFont="1"/>
    <xf numFmtId="177" fontId="17" fillId="0" borderId="17" xfId="54" applyNumberFormat="1" applyFont="1" applyBorder="1" applyAlignment="1">
      <alignment horizontal="center"/>
    </xf>
    <xf numFmtId="0" fontId="17" fillId="0" borderId="24" xfId="54" applyFont="1" applyBorder="1" applyAlignment="1">
      <alignment horizontal="center"/>
    </xf>
    <xf numFmtId="0" fontId="12" fillId="0" borderId="0" xfId="20" applyFont="1"/>
    <xf numFmtId="0" fontId="0" fillId="0" borderId="0" xfId="20" applyFont="1"/>
    <xf numFmtId="0" fontId="0" fillId="0" borderId="0" xfId="20" applyFont="1" applyBorder="1"/>
    <xf numFmtId="0" fontId="0" fillId="0" borderId="1" xfId="20" applyFont="1" applyBorder="1"/>
    <xf numFmtId="0" fontId="13" fillId="0" borderId="0" xfId="20" applyFont="1" applyAlignment="1">
      <alignment horizontal="center"/>
    </xf>
    <xf numFmtId="0" fontId="14" fillId="0" borderId="0" xfId="20" applyFont="1" applyAlignment="1">
      <alignment horizontal="center"/>
    </xf>
    <xf numFmtId="0" fontId="15" fillId="0" borderId="0" xfId="20" applyFont="1" applyAlignment="1">
      <alignment horizontal="center"/>
    </xf>
    <xf numFmtId="0" fontId="16" fillId="0" borderId="0" xfId="20" applyFont="1"/>
    <xf numFmtId="0" fontId="0" fillId="0" borderId="1" xfId="20" applyFont="1" applyBorder="1" applyAlignment="1">
      <alignment horizontal="center"/>
    </xf>
    <xf numFmtId="0" fontId="0" fillId="0" borderId="0" xfId="20" applyFont="1" applyBorder="1" applyAlignment="1">
      <alignment horizontal="center"/>
    </xf>
    <xf numFmtId="0" fontId="16" fillId="0" borderId="1" xfId="20" applyFont="1" applyBorder="1" applyAlignment="1">
      <alignment horizontal="center"/>
    </xf>
    <xf numFmtId="177" fontId="17" fillId="0" borderId="1" xfId="20" applyNumberFormat="1" applyFont="1" applyBorder="1" applyAlignment="1">
      <alignment horizontal="center"/>
    </xf>
    <xf numFmtId="0" fontId="0" fillId="0" borderId="0" xfId="20" applyFont="1" applyBorder="1" applyAlignment="1">
      <alignment horizontal="left"/>
    </xf>
    <xf numFmtId="0" fontId="0" fillId="0" borderId="0" xfId="20" applyFont="1" applyAlignment="1">
      <alignment horizontal="center"/>
    </xf>
    <xf numFmtId="0" fontId="0" fillId="0" borderId="17" xfId="20" applyFont="1" applyBorder="1" applyAlignment="1">
      <alignment horizontal="center"/>
    </xf>
    <xf numFmtId="0" fontId="0" fillId="0" borderId="0" xfId="20" applyFont="1" applyBorder="1" applyAlignment="1"/>
    <xf numFmtId="0" fontId="0" fillId="0" borderId="2" xfId="20" applyFont="1" applyBorder="1" applyAlignment="1">
      <alignment horizontal="center"/>
    </xf>
    <xf numFmtId="0" fontId="20" fillId="0" borderId="2" xfId="20" applyNumberFormat="1" applyFont="1" applyBorder="1" applyAlignment="1">
      <alignment horizontal="center"/>
    </xf>
    <xf numFmtId="0" fontId="20" fillId="0" borderId="2" xfId="20" applyFont="1" applyBorder="1" applyAlignment="1">
      <alignment horizontal="center"/>
    </xf>
    <xf numFmtId="0" fontId="12" fillId="0" borderId="2" xfId="20" applyFont="1" applyBorder="1" applyAlignment="1">
      <alignment horizontal="center"/>
    </xf>
    <xf numFmtId="0" fontId="12" fillId="0" borderId="2" xfId="20" applyNumberFormat="1" applyFont="1" applyBorder="1" applyAlignment="1">
      <alignment horizontal="center"/>
    </xf>
    <xf numFmtId="0" fontId="12" fillId="0" borderId="2" xfId="20" applyNumberFormat="1" applyFont="1" applyBorder="1"/>
    <xf numFmtId="0" fontId="20" fillId="0" borderId="2" xfId="20" applyNumberFormat="1" applyFont="1" applyBorder="1"/>
    <xf numFmtId="0" fontId="0" fillId="4" borderId="2" xfId="20" applyNumberFormat="1" applyFont="1" applyFill="1" applyBorder="1"/>
    <xf numFmtId="0" fontId="12" fillId="4" borderId="2" xfId="20" applyFont="1" applyFill="1" applyBorder="1" applyAlignment="1">
      <alignment horizontal="center"/>
    </xf>
    <xf numFmtId="0" fontId="0" fillId="4" borderId="2" xfId="20" applyFont="1" applyFill="1" applyBorder="1" applyAlignment="1">
      <alignment horizontal="center"/>
    </xf>
    <xf numFmtId="0" fontId="20" fillId="4" borderId="2" xfId="20" applyFont="1" applyFill="1" applyBorder="1" applyAlignment="1">
      <alignment horizontal="center"/>
    </xf>
    <xf numFmtId="0" fontId="0" fillId="0" borderId="2" xfId="20" applyNumberFormat="1" applyFont="1" applyBorder="1"/>
    <xf numFmtId="0" fontId="16" fillId="0" borderId="2" xfId="20" applyFont="1" applyBorder="1" applyAlignment="1">
      <alignment horizontal="center"/>
    </xf>
    <xf numFmtId="0" fontId="17" fillId="2" borderId="2" xfId="20" applyNumberFormat="1" applyFont="1" applyFill="1" applyBorder="1"/>
    <xf numFmtId="0" fontId="0" fillId="2" borderId="2" xfId="20" applyFont="1" applyFill="1" applyBorder="1" applyAlignment="1">
      <alignment horizontal="center"/>
    </xf>
    <xf numFmtId="0" fontId="16" fillId="2" borderId="2" xfId="20" applyFont="1" applyFill="1" applyBorder="1" applyAlignment="1">
      <alignment horizontal="center"/>
    </xf>
    <xf numFmtId="0" fontId="26" fillId="7" borderId="19" xfId="20" applyNumberFormat="1" applyFont="1" applyFill="1" applyBorder="1" applyAlignment="1">
      <alignment horizontal="center"/>
    </xf>
    <xf numFmtId="0" fontId="0" fillId="7" borderId="19" xfId="20" applyNumberFormat="1" applyFont="1" applyFill="1" applyBorder="1" applyAlignment="1">
      <alignment horizontal="center"/>
    </xf>
    <xf numFmtId="0" fontId="0" fillId="7" borderId="0" xfId="20" applyNumberFormat="1" applyFont="1" applyFill="1" applyBorder="1" applyAlignment="1">
      <alignment horizontal="center"/>
    </xf>
    <xf numFmtId="0" fontId="19" fillId="0" borderId="0" xfId="20" applyFont="1" applyBorder="1" applyAlignment="1">
      <alignment horizontal="center"/>
    </xf>
    <xf numFmtId="58" fontId="20" fillId="0" borderId="0" xfId="20" applyNumberFormat="1" applyFont="1" applyBorder="1"/>
    <xf numFmtId="0" fontId="21" fillId="0" borderId="0" xfId="20" applyFont="1"/>
    <xf numFmtId="0" fontId="12" fillId="0" borderId="0" xfId="20" applyFont="1" applyBorder="1" applyAlignment="1">
      <alignment horizontal="center"/>
    </xf>
    <xf numFmtId="0" fontId="20" fillId="0" borderId="0" xfId="20" applyFont="1" applyBorder="1" applyAlignment="1">
      <alignment horizontal="center"/>
    </xf>
    <xf numFmtId="0" fontId="0" fillId="0" borderId="0" xfId="20" applyNumberFormat="1" applyFont="1" applyBorder="1"/>
    <xf numFmtId="58" fontId="22" fillId="0" borderId="0" xfId="20" applyNumberFormat="1" applyFont="1" applyBorder="1"/>
    <xf numFmtId="14" fontId="17" fillId="0" borderId="0" xfId="20" applyNumberFormat="1" applyFont="1" applyBorder="1" applyAlignment="1">
      <alignment horizontal="center"/>
    </xf>
    <xf numFmtId="0" fontId="17" fillId="0" borderId="0" xfId="20" applyFont="1" applyBorder="1" applyAlignment="1">
      <alignment horizontal="center"/>
    </xf>
    <xf numFmtId="0" fontId="24" fillId="0" borderId="0" xfId="20" applyFont="1" applyBorder="1" applyAlignment="1">
      <alignment horizontal="center"/>
    </xf>
    <xf numFmtId="0" fontId="12" fillId="0" borderId="0" xfId="20" applyFont="1" applyBorder="1"/>
    <xf numFmtId="0" fontId="22" fillId="0" borderId="0" xfId="20" applyFont="1" applyBorder="1" applyAlignment="1">
      <alignment horizontal="center"/>
    </xf>
    <xf numFmtId="0" fontId="24" fillId="0" borderId="0" xfId="20" applyFont="1" applyBorder="1"/>
    <xf numFmtId="0" fontId="24" fillId="0" borderId="0" xfId="20" applyFont="1"/>
    <xf numFmtId="0" fontId="25" fillId="0" borderId="0" xfId="20" applyFont="1"/>
    <xf numFmtId="177" fontId="0" fillId="0" borderId="17" xfId="20" applyNumberFormat="1" applyFont="1" applyBorder="1" applyAlignment="1">
      <alignment horizontal="center"/>
    </xf>
    <xf numFmtId="0" fontId="0" fillId="4" borderId="0" xfId="20" applyFont="1" applyFill="1" applyAlignment="1">
      <alignment horizontal="center"/>
    </xf>
    <xf numFmtId="180" fontId="0" fillId="0" borderId="0" xfId="54" applyNumberFormat="1" applyFont="1" applyBorder="1"/>
    <xf numFmtId="0" fontId="0" fillId="0" borderId="0" xfId="54" applyFont="1" applyBorder="1" applyAlignment="1">
      <alignment horizontal="center" vertical="center"/>
    </xf>
    <xf numFmtId="0" fontId="24" fillId="0" borderId="0" xfId="54" applyFont="1" applyAlignment="1">
      <alignment horizontal="center" vertical="center"/>
    </xf>
    <xf numFmtId="0" fontId="0" fillId="0" borderId="0" xfId="54" applyFont="1" applyFill="1" applyBorder="1" applyAlignment="1">
      <alignment horizontal="center" vertical="center"/>
    </xf>
    <xf numFmtId="0" fontId="0" fillId="0" borderId="26" xfId="54" applyFont="1" applyFill="1" applyBorder="1" applyAlignment="1">
      <alignment horizontal="center" vertical="center"/>
    </xf>
    <xf numFmtId="0" fontId="0" fillId="0" borderId="27" xfId="54" applyFont="1" applyFill="1" applyBorder="1" applyAlignment="1">
      <alignment horizontal="center" vertical="center"/>
    </xf>
    <xf numFmtId="0" fontId="0" fillId="0" borderId="28" xfId="54" applyFont="1" applyFill="1" applyBorder="1" applyAlignment="1">
      <alignment horizontal="center" vertical="center"/>
    </xf>
    <xf numFmtId="0" fontId="0" fillId="0" borderId="12" xfId="54" applyFont="1" applyFill="1" applyBorder="1" applyAlignment="1">
      <alignment horizontal="center" vertical="center"/>
    </xf>
    <xf numFmtId="180" fontId="0" fillId="0" borderId="29" xfId="54" applyNumberFormat="1" applyFont="1" applyFill="1" applyBorder="1" applyAlignment="1">
      <alignment horizontal="center" vertical="center"/>
    </xf>
    <xf numFmtId="0" fontId="17" fillId="8" borderId="30" xfId="54" applyFont="1" applyFill="1" applyBorder="1" applyAlignment="1">
      <alignment horizontal="center" vertical="center" wrapText="1"/>
    </xf>
    <xf numFmtId="0" fontId="17" fillId="8" borderId="2" xfId="54" applyFont="1" applyFill="1" applyBorder="1" applyAlignment="1">
      <alignment horizontal="center" vertical="center"/>
    </xf>
    <xf numFmtId="180" fontId="17" fillId="8" borderId="25" xfId="54" applyNumberFormat="1" applyFont="1" applyFill="1" applyBorder="1" applyAlignment="1">
      <alignment horizontal="center" vertical="center"/>
    </xf>
    <xf numFmtId="0" fontId="17" fillId="8" borderId="28" xfId="54" applyFont="1" applyFill="1" applyBorder="1" applyAlignment="1">
      <alignment horizontal="center" vertical="center" wrapText="1"/>
    </xf>
    <xf numFmtId="0" fontId="17" fillId="8" borderId="31" xfId="54" applyFont="1" applyFill="1" applyBorder="1" applyAlignment="1">
      <alignment horizontal="center" vertical="center" wrapText="1"/>
    </xf>
    <xf numFmtId="0" fontId="17" fillId="8" borderId="32" xfId="54" applyFont="1" applyFill="1" applyBorder="1" applyAlignment="1">
      <alignment horizontal="center" vertical="center" wrapText="1"/>
    </xf>
    <xf numFmtId="0" fontId="17" fillId="0" borderId="9" xfId="54" applyFont="1" applyFill="1" applyBorder="1" applyAlignment="1">
      <alignment horizontal="center" vertical="center"/>
    </xf>
    <xf numFmtId="0" fontId="17" fillId="0" borderId="20" xfId="54" applyFont="1" applyFill="1" applyBorder="1" applyAlignment="1">
      <alignment horizontal="center" vertical="center"/>
    </xf>
    <xf numFmtId="0" fontId="17" fillId="0" borderId="2" xfId="54" applyFont="1" applyFill="1" applyBorder="1" applyAlignment="1">
      <alignment horizontal="center" vertical="center"/>
    </xf>
    <xf numFmtId="180" fontId="17" fillId="0" borderId="25" xfId="54" applyNumberFormat="1" applyFont="1" applyFill="1" applyBorder="1" applyAlignment="1">
      <alignment horizontal="center" vertical="center"/>
    </xf>
    <xf numFmtId="0" fontId="17" fillId="0" borderId="21" xfId="54" applyFont="1" applyFill="1" applyBorder="1" applyAlignment="1">
      <alignment horizontal="center" vertical="center"/>
    </xf>
    <xf numFmtId="0" fontId="17" fillId="0" borderId="22" xfId="54" applyFont="1" applyFill="1" applyBorder="1" applyAlignment="1">
      <alignment horizontal="center" vertical="center"/>
    </xf>
    <xf numFmtId="0" fontId="17" fillId="0" borderId="10" xfId="54" applyFont="1" applyFill="1" applyBorder="1" applyAlignment="1">
      <alignment horizontal="center" vertical="center"/>
    </xf>
    <xf numFmtId="0" fontId="17" fillId="0" borderId="23" xfId="54" applyFont="1" applyFill="1" applyBorder="1" applyAlignment="1">
      <alignment horizontal="center" vertical="center"/>
    </xf>
    <xf numFmtId="0" fontId="17" fillId="8" borderId="9" xfId="54" applyFont="1" applyFill="1" applyBorder="1" applyAlignment="1">
      <alignment horizontal="center" vertical="center" wrapText="1"/>
    </xf>
    <xf numFmtId="0" fontId="17" fillId="8" borderId="20" xfId="54" applyFont="1" applyFill="1" applyBorder="1" applyAlignment="1">
      <alignment horizontal="center" vertical="center" wrapText="1"/>
    </xf>
    <xf numFmtId="0" fontId="17" fillId="8" borderId="25" xfId="54" applyFont="1" applyFill="1" applyBorder="1" applyAlignment="1">
      <alignment horizontal="center" vertical="center"/>
    </xf>
    <xf numFmtId="0" fontId="17" fillId="8" borderId="21" xfId="54" applyFont="1" applyFill="1" applyBorder="1" applyAlignment="1">
      <alignment horizontal="center" vertical="center" wrapText="1"/>
    </xf>
    <xf numFmtId="0" fontId="17" fillId="8" borderId="22" xfId="54" applyFont="1" applyFill="1" applyBorder="1" applyAlignment="1">
      <alignment horizontal="center" vertical="center" wrapText="1"/>
    </xf>
    <xf numFmtId="0" fontId="17" fillId="8" borderId="10" xfId="54" applyFont="1" applyFill="1" applyBorder="1" applyAlignment="1">
      <alignment horizontal="center" vertical="center" wrapText="1"/>
    </xf>
    <xf numFmtId="0" fontId="17" fillId="8" borderId="23" xfId="54" applyFont="1" applyFill="1" applyBorder="1" applyAlignment="1">
      <alignment horizontal="center" vertical="center" wrapText="1"/>
    </xf>
    <xf numFmtId="0" fontId="17" fillId="8" borderId="24" xfId="54" applyFont="1" applyFill="1" applyBorder="1" applyAlignment="1">
      <alignment horizontal="center" vertical="center"/>
    </xf>
    <xf numFmtId="0" fontId="17" fillId="8" borderId="2" xfId="54" applyFont="1" applyFill="1" applyBorder="1" applyAlignment="1">
      <alignment horizontal="center" vertical="center" wrapText="1"/>
    </xf>
    <xf numFmtId="0" fontId="17" fillId="8" borderId="33" xfId="54" applyFont="1" applyFill="1" applyBorder="1" applyAlignment="1">
      <alignment horizontal="center" vertical="center" wrapText="1"/>
    </xf>
    <xf numFmtId="0" fontId="17" fillId="8" borderId="34" xfId="54" applyFont="1" applyFill="1" applyBorder="1" applyAlignment="1">
      <alignment horizontal="center" vertical="center" wrapText="1"/>
    </xf>
    <xf numFmtId="0" fontId="17" fillId="8" borderId="35" xfId="54" applyFont="1" applyFill="1" applyBorder="1" applyAlignment="1">
      <alignment horizontal="center" vertical="center"/>
    </xf>
    <xf numFmtId="0" fontId="17" fillId="8" borderId="36" xfId="54" applyFont="1" applyFill="1" applyBorder="1" applyAlignment="1">
      <alignment horizontal="center" vertical="center"/>
    </xf>
    <xf numFmtId="180" fontId="17" fillId="8" borderId="34" xfId="54" applyNumberFormat="1" applyFont="1" applyFill="1" applyBorder="1" applyAlignment="1">
      <alignment horizontal="center" vertical="center"/>
    </xf>
    <xf numFmtId="0" fontId="17" fillId="8" borderId="34" xfId="54" applyFont="1" applyFill="1" applyBorder="1" applyAlignment="1">
      <alignment horizontal="center" vertical="center"/>
    </xf>
    <xf numFmtId="0" fontId="27" fillId="0" borderId="0" xfId="54" applyFont="1" applyFill="1"/>
    <xf numFmtId="180" fontId="27" fillId="0" borderId="0" xfId="54" applyNumberFormat="1" applyFont="1" applyFill="1"/>
    <xf numFmtId="0" fontId="27" fillId="0" borderId="0" xfId="54" applyFont="1" applyFill="1" applyAlignment="1">
      <alignment horizontal="center" vertical="center"/>
    </xf>
    <xf numFmtId="0" fontId="0" fillId="0" borderId="0" xfId="54" applyFont="1" applyFill="1" applyAlignment="1">
      <alignment horizontal="center" vertical="center"/>
    </xf>
    <xf numFmtId="0" fontId="0" fillId="0" borderId="1" xfId="54" applyFont="1" applyFill="1" applyBorder="1" applyAlignment="1">
      <alignment horizontal="center" vertical="center"/>
    </xf>
    <xf numFmtId="180" fontId="0" fillId="0" borderId="0" xfId="54" applyNumberFormat="1" applyFont="1" applyFill="1" applyAlignment="1">
      <alignment horizontal="center" vertical="center"/>
    </xf>
    <xf numFmtId="0" fontId="0" fillId="0" borderId="0" xfId="54" applyFont="1" applyFill="1" applyAlignment="1">
      <alignment vertical="center"/>
    </xf>
    <xf numFmtId="177" fontId="0" fillId="0" borderId="1" xfId="54" applyNumberFormat="1" applyFont="1" applyFill="1" applyBorder="1" applyAlignment="1">
      <alignment horizontal="center" vertical="center"/>
    </xf>
    <xf numFmtId="0" fontId="0" fillId="0" borderId="0" xfId="54" applyFont="1" applyFill="1" applyBorder="1"/>
    <xf numFmtId="180" fontId="0" fillId="0" borderId="0" xfId="54" applyNumberFormat="1" applyFont="1" applyFill="1" applyBorder="1"/>
    <xf numFmtId="0" fontId="0" fillId="4" borderId="0" xfId="54" applyFont="1" applyFill="1" applyBorder="1" applyAlignment="1">
      <alignment horizontal="center" vertical="center"/>
    </xf>
    <xf numFmtId="177" fontId="0" fillId="4" borderId="0" xfId="54" applyNumberFormat="1" applyFont="1" applyFill="1" applyBorder="1" applyAlignment="1">
      <alignment horizontal="center" vertical="center"/>
    </xf>
    <xf numFmtId="177" fontId="0" fillId="0" borderId="27" xfId="54" applyNumberFormat="1" applyFont="1" applyFill="1" applyBorder="1" applyAlignment="1">
      <alignment horizontal="center" vertical="center"/>
    </xf>
    <xf numFmtId="177" fontId="0" fillId="0" borderId="12" xfId="54" applyNumberFormat="1" applyFont="1" applyFill="1" applyBorder="1" applyAlignment="1">
      <alignment horizontal="center" vertical="center"/>
    </xf>
    <xf numFmtId="180" fontId="0" fillId="0" borderId="27" xfId="54" applyNumberFormat="1" applyFont="1" applyFill="1" applyBorder="1" applyAlignment="1">
      <alignment horizontal="center" vertical="center"/>
    </xf>
    <xf numFmtId="181" fontId="17" fillId="8" borderId="25" xfId="54" applyNumberFormat="1" applyFont="1" applyFill="1" applyBorder="1" applyAlignment="1">
      <alignment horizontal="center" vertical="center"/>
    </xf>
    <xf numFmtId="0" fontId="17" fillId="8" borderId="17" xfId="54" applyFont="1" applyFill="1" applyBorder="1" applyAlignment="1">
      <alignment horizontal="center" vertical="center"/>
    </xf>
    <xf numFmtId="180" fontId="17" fillId="8" borderId="2" xfId="54" applyNumberFormat="1" applyFont="1" applyFill="1" applyBorder="1" applyAlignment="1">
      <alignment horizontal="center"/>
    </xf>
    <xf numFmtId="180" fontId="17" fillId="8" borderId="2" xfId="54" applyNumberFormat="1" applyFont="1" applyFill="1" applyBorder="1" applyAlignment="1">
      <alignment horizontal="center" vertical="center"/>
    </xf>
    <xf numFmtId="0" fontId="17" fillId="8" borderId="24" xfId="54" applyFont="1" applyFill="1" applyBorder="1" applyAlignment="1">
      <alignment horizontal="center" vertical="center" wrapText="1"/>
    </xf>
    <xf numFmtId="0" fontId="28" fillId="8" borderId="9" xfId="54" applyFont="1" applyFill="1" applyBorder="1" applyAlignment="1">
      <alignment horizontal="center" vertical="center" wrapText="1"/>
    </xf>
    <xf numFmtId="0" fontId="28" fillId="8" borderId="19" xfId="54" applyFont="1" applyFill="1" applyBorder="1" applyAlignment="1">
      <alignment horizontal="center" vertical="center" wrapText="1"/>
    </xf>
    <xf numFmtId="0" fontId="28" fillId="8" borderId="20" xfId="54" applyFont="1" applyFill="1" applyBorder="1" applyAlignment="1">
      <alignment horizontal="center" vertical="center" wrapText="1"/>
    </xf>
    <xf numFmtId="0" fontId="28" fillId="8" borderId="21" xfId="54" applyFont="1" applyFill="1" applyBorder="1" applyAlignment="1">
      <alignment horizontal="center" vertical="center" wrapText="1"/>
    </xf>
    <xf numFmtId="0" fontId="28" fillId="8" borderId="0" xfId="54" applyFont="1" applyFill="1" applyBorder="1" applyAlignment="1">
      <alignment horizontal="center" vertical="center" wrapText="1"/>
    </xf>
    <xf numFmtId="0" fontId="28" fillId="8" borderId="22" xfId="54" applyFont="1" applyFill="1" applyBorder="1" applyAlignment="1">
      <alignment horizontal="center" vertical="center" wrapText="1"/>
    </xf>
    <xf numFmtId="0" fontId="28" fillId="8" borderId="10" xfId="54" applyFont="1" applyFill="1" applyBorder="1" applyAlignment="1">
      <alignment horizontal="center" vertical="center" wrapText="1"/>
    </xf>
    <xf numFmtId="0" fontId="28" fillId="8" borderId="1" xfId="54" applyFont="1" applyFill="1" applyBorder="1" applyAlignment="1">
      <alignment horizontal="center" vertical="center" wrapText="1"/>
    </xf>
    <xf numFmtId="0" fontId="28" fillId="8" borderId="23" xfId="54" applyFont="1" applyFill="1" applyBorder="1" applyAlignment="1">
      <alignment horizontal="center" vertical="center" wrapText="1"/>
    </xf>
    <xf numFmtId="0" fontId="17" fillId="8" borderId="25" xfId="54" applyFont="1" applyFill="1" applyBorder="1" applyAlignment="1">
      <alignment horizontal="center" vertical="center" wrapText="1"/>
    </xf>
    <xf numFmtId="0" fontId="27" fillId="0" borderId="0" xfId="54" applyFont="1" applyFill="1" applyBorder="1"/>
    <xf numFmtId="180" fontId="27"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0" fontId="27" fillId="0" borderId="0" xfId="54" applyNumberFormat="1" applyFont="1" applyFill="1" applyBorder="1" applyAlignment="1">
      <alignment horizontal="center"/>
    </xf>
    <xf numFmtId="0" fontId="12" fillId="0" borderId="0" xfId="54"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7" xfId="54" applyFont="1" applyFill="1" applyBorder="1" applyAlignment="1">
      <alignment horizontal="center" vertical="center"/>
    </xf>
    <xf numFmtId="0" fontId="0" fillId="0" borderId="38" xfId="54" applyFont="1" applyFill="1" applyBorder="1" applyAlignment="1">
      <alignment horizontal="center" vertical="center"/>
    </xf>
    <xf numFmtId="0" fontId="17" fillId="0" borderId="0" xfId="54" applyFont="1" applyBorder="1" applyAlignment="1">
      <alignment vertical="center"/>
    </xf>
    <xf numFmtId="0" fontId="17" fillId="0" borderId="0" xfId="54" applyFont="1" applyBorder="1" applyAlignment="1">
      <alignment horizontal="center" vertical="center"/>
    </xf>
    <xf numFmtId="0" fontId="17" fillId="8" borderId="39" xfId="54" applyFont="1" applyFill="1" applyBorder="1" applyAlignment="1">
      <alignment horizontal="center" vertical="center"/>
    </xf>
    <xf numFmtId="0" fontId="0" fillId="9" borderId="25" xfId="54" applyFont="1" applyFill="1" applyBorder="1" applyAlignment="1">
      <alignment horizontal="center" vertical="center"/>
    </xf>
    <xf numFmtId="0" fontId="0" fillId="9" borderId="17" xfId="54" applyFont="1" applyFill="1" applyBorder="1" applyAlignment="1">
      <alignment horizontal="center" vertical="center"/>
    </xf>
    <xf numFmtId="0" fontId="31" fillId="9" borderId="12" xfId="54" applyFont="1" applyFill="1" applyBorder="1" applyAlignment="1">
      <alignment horizontal="center" vertical="center" wrapText="1"/>
    </xf>
    <xf numFmtId="0" fontId="31" fillId="9" borderId="2" xfId="54" applyFont="1" applyFill="1" applyBorder="1" applyAlignment="1">
      <alignment vertical="center" wrapText="1"/>
    </xf>
    <xf numFmtId="0" fontId="31" fillId="9" borderId="2" xfId="54" applyFont="1" applyFill="1" applyBorder="1" applyAlignment="1">
      <alignment horizontal="center" vertical="center"/>
    </xf>
    <xf numFmtId="0" fontId="31" fillId="9" borderId="15" xfId="54" applyFont="1" applyFill="1" applyBorder="1" applyAlignment="1">
      <alignment horizontal="center" vertical="center" wrapText="1"/>
    </xf>
    <xf numFmtId="0" fontId="31" fillId="9" borderId="16" xfId="54" applyFont="1" applyFill="1" applyBorder="1" applyAlignment="1">
      <alignment horizontal="center" vertical="center" wrapText="1"/>
    </xf>
    <xf numFmtId="0" fontId="0" fillId="9" borderId="15" xfId="54" applyFont="1" applyFill="1" applyBorder="1" applyAlignment="1">
      <alignment horizontal="center" vertical="center" wrapText="1"/>
    </xf>
    <xf numFmtId="0" fontId="0" fillId="9" borderId="2" xfId="54" applyFont="1" applyFill="1" applyBorder="1" applyAlignment="1">
      <alignment horizontal="center" vertical="center"/>
    </xf>
    <xf numFmtId="0" fontId="17" fillId="8" borderId="40" xfId="54" applyFont="1" applyFill="1" applyBorder="1" applyAlignment="1">
      <alignment horizontal="center" vertical="center"/>
    </xf>
    <xf numFmtId="0" fontId="31" fillId="10" borderId="12" xfId="54" applyFont="1" applyFill="1" applyBorder="1" applyAlignment="1">
      <alignment horizontal="center" vertical="center" wrapText="1"/>
    </xf>
    <xf numFmtId="0" fontId="31" fillId="10" borderId="2" xfId="54" applyFont="1" applyFill="1" applyBorder="1" applyAlignment="1">
      <alignment horizontal="center" vertical="center"/>
    </xf>
    <xf numFmtId="0" fontId="31" fillId="10" borderId="15" xfId="54" applyFont="1" applyFill="1" applyBorder="1" applyAlignment="1">
      <alignment horizontal="center" vertical="center" wrapText="1"/>
    </xf>
    <xf numFmtId="0" fontId="17" fillId="8" borderId="41" xfId="54" applyFont="1" applyFill="1" applyBorder="1" applyAlignment="1">
      <alignment horizontal="center" vertical="center"/>
    </xf>
    <xf numFmtId="0" fontId="31" fillId="10" borderId="16" xfId="54" applyFont="1" applyFill="1" applyBorder="1" applyAlignment="1">
      <alignment horizontal="center" vertical="center" wrapText="1"/>
    </xf>
    <xf numFmtId="0" fontId="31" fillId="10" borderId="2" xfId="54" applyFont="1" applyFill="1" applyBorder="1"/>
    <xf numFmtId="0" fontId="0" fillId="0" borderId="2" xfId="54" applyFont="1" applyBorder="1" applyAlignment="1">
      <alignment horizontal="center" vertical="center"/>
    </xf>
    <xf numFmtId="0" fontId="0" fillId="10" borderId="2"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2" xfId="54" applyFont="1" applyFill="1" applyBorder="1" applyAlignment="1">
      <alignment horizontal="left" vertical="center"/>
    </xf>
    <xf numFmtId="0" fontId="0" fillId="9" borderId="24" xfId="54" applyFont="1" applyFill="1" applyBorder="1" applyAlignment="1">
      <alignment horizontal="center" vertical="center"/>
    </xf>
    <xf numFmtId="0" fontId="31" fillId="9" borderId="2" xfId="54" applyFont="1" applyFill="1" applyBorder="1"/>
    <xf numFmtId="0" fontId="0" fillId="9" borderId="2" xfId="54" applyFont="1" applyFill="1" applyBorder="1"/>
    <xf numFmtId="0" fontId="0" fillId="10" borderId="2" xfId="54" applyFont="1" applyFill="1" applyBorder="1"/>
    <xf numFmtId="0" fontId="0" fillId="11" borderId="0" xfId="54" applyFont="1" applyFill="1" applyAlignment="1">
      <alignment horizontal="left" vertical="center"/>
    </xf>
    <xf numFmtId="0" fontId="32" fillId="10" borderId="0" xfId="54" applyFont="1" applyFill="1" applyAlignment="1">
      <alignment vertical="center"/>
    </xf>
    <xf numFmtId="0" fontId="32"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12" fillId="0" borderId="0" xfId="61" applyFont="1" applyAlignment="1">
      <alignment vertical="center"/>
    </xf>
    <xf numFmtId="0" fontId="0" fillId="0" borderId="0" xfId="61" applyFont="1"/>
    <xf numFmtId="0" fontId="0" fillId="0" borderId="0" xfId="61" applyFont="1" applyBorder="1"/>
    <xf numFmtId="0" fontId="0" fillId="0" borderId="1" xfId="61" applyFont="1" applyBorder="1"/>
    <xf numFmtId="0" fontId="13" fillId="0" borderId="0" xfId="61" applyFont="1" applyAlignment="1">
      <alignment horizontal="right"/>
    </xf>
    <xf numFmtId="0" fontId="15" fillId="0" borderId="0" xfId="61" applyFont="1" applyAlignment="1">
      <alignment horizontal="center"/>
    </xf>
    <xf numFmtId="0" fontId="0" fillId="0" borderId="0" xfId="61" applyFont="1" applyBorder="1" applyAlignment="1">
      <alignment horizontal="center"/>
    </xf>
    <xf numFmtId="0" fontId="0" fillId="0" borderId="1" xfId="61" applyFont="1" applyBorder="1" applyAlignment="1">
      <alignment horizontal="center"/>
    </xf>
    <xf numFmtId="0" fontId="0" fillId="0" borderId="0" xfId="61" applyFont="1" applyAlignment="1">
      <alignment horizontal="center"/>
    </xf>
    <xf numFmtId="0" fontId="16" fillId="0" borderId="17" xfId="61" applyFont="1" applyBorder="1" applyAlignment="1">
      <alignment horizontal="center"/>
    </xf>
    <xf numFmtId="14" fontId="0" fillId="0" borderId="17" xfId="61" applyNumberFormat="1" applyFont="1" applyBorder="1" applyAlignment="1">
      <alignment horizontal="center"/>
    </xf>
    <xf numFmtId="0" fontId="0" fillId="0" borderId="17" xfId="61" applyFont="1" applyBorder="1" applyAlignment="1">
      <alignment horizontal="center"/>
    </xf>
    <xf numFmtId="0" fontId="16" fillId="2" borderId="1" xfId="61" applyFont="1" applyFill="1" applyBorder="1" applyAlignment="1">
      <alignment horizontal="center"/>
    </xf>
    <xf numFmtId="0" fontId="15" fillId="0" borderId="42" xfId="61" applyFont="1" applyBorder="1" applyAlignment="1">
      <alignment horizontal="center"/>
    </xf>
    <xf numFmtId="0" fontId="0" fillId="0" borderId="43" xfId="61" applyFont="1" applyBorder="1" applyAlignment="1">
      <alignment horizontal="center" vertical="center"/>
    </xf>
    <xf numFmtId="0" fontId="0" fillId="0" borderId="44" xfId="61" applyFont="1" applyBorder="1" applyAlignment="1">
      <alignment horizontal="center" vertical="center"/>
    </xf>
    <xf numFmtId="0" fontId="33" fillId="0" borderId="45" xfId="61" applyFont="1" applyBorder="1" applyAlignment="1">
      <alignment horizontal="center" vertical="center"/>
    </xf>
    <xf numFmtId="0" fontId="0" fillId="0" borderId="46" xfId="61" applyFont="1" applyBorder="1" applyAlignment="1">
      <alignment horizontal="center" vertical="center"/>
    </xf>
    <xf numFmtId="0" fontId="0" fillId="0" borderId="47" xfId="61" applyFont="1" applyBorder="1" applyAlignment="1">
      <alignment horizontal="center" vertical="center"/>
    </xf>
    <xf numFmtId="0" fontId="0" fillId="14" borderId="47" xfId="61" applyFont="1" applyFill="1" applyBorder="1" applyAlignment="1">
      <alignment horizontal="center" vertical="center"/>
    </xf>
    <xf numFmtId="0" fontId="0" fillId="0" borderId="48" xfId="61" applyFont="1" applyBorder="1" applyAlignment="1">
      <alignment horizontal="center" vertical="center"/>
    </xf>
    <xf numFmtId="0" fontId="16" fillId="0" borderId="46" xfId="61" applyNumberFormat="1" applyFont="1" applyBorder="1" applyAlignment="1">
      <alignment horizontal="center"/>
    </xf>
    <xf numFmtId="0" fontId="0" fillId="0" borderId="47" xfId="61" applyFont="1" applyBorder="1" applyAlignment="1">
      <alignment horizontal="center"/>
    </xf>
    <xf numFmtId="0" fontId="0" fillId="14" borderId="47" xfId="61" applyFont="1" applyFill="1" applyBorder="1" applyAlignment="1">
      <alignment horizontal="center"/>
    </xf>
    <xf numFmtId="0" fontId="17" fillId="0" borderId="48" xfId="61" applyFont="1" applyBorder="1" applyAlignment="1">
      <alignment horizontal="center" vertical="center"/>
    </xf>
    <xf numFmtId="0" fontId="0" fillId="0" borderId="46" xfId="61" applyNumberFormat="1" applyFont="1" applyBorder="1" applyAlignment="1">
      <alignment horizontal="center"/>
    </xf>
    <xf numFmtId="0" fontId="0" fillId="0" borderId="49" xfId="61" applyNumberFormat="1" applyFont="1" applyBorder="1" applyAlignment="1">
      <alignment horizontal="center"/>
    </xf>
    <xf numFmtId="0" fontId="16" fillId="0" borderId="50" xfId="61" applyFont="1" applyBorder="1" applyAlignment="1">
      <alignment horizontal="center"/>
    </xf>
    <xf numFmtId="0" fontId="0" fillId="0" borderId="50" xfId="61" applyFont="1" applyBorder="1" applyAlignment="1">
      <alignment horizontal="center"/>
    </xf>
    <xf numFmtId="0" fontId="0" fillId="0" borderId="51" xfId="61" applyNumberFormat="1" applyFont="1" applyBorder="1" applyAlignment="1">
      <alignment horizontal="center"/>
    </xf>
    <xf numFmtId="0" fontId="0" fillId="0" borderId="52" xfId="61" applyFont="1" applyBorder="1" applyAlignment="1">
      <alignment horizontal="center" vertical="center"/>
    </xf>
    <xf numFmtId="0" fontId="0" fillId="0" borderId="52" xfId="61" applyFont="1" applyBorder="1" applyAlignment="1">
      <alignment horizontal="center"/>
    </xf>
    <xf numFmtId="0" fontId="0" fillId="14" borderId="52" xfId="61" applyFont="1" applyFill="1" applyBorder="1" applyAlignment="1">
      <alignment horizontal="center"/>
    </xf>
    <xf numFmtId="0" fontId="0" fillId="0" borderId="53" xfId="61" applyFont="1" applyBorder="1" applyAlignment="1">
      <alignment horizontal="center" vertical="center"/>
    </xf>
    <xf numFmtId="0" fontId="34"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9" fillId="0" borderId="0" xfId="61" applyFont="1" applyBorder="1" applyAlignment="1">
      <alignment horizontal="center"/>
    </xf>
    <xf numFmtId="58" fontId="20" fillId="0" borderId="0" xfId="61" applyNumberFormat="1" applyFont="1" applyBorder="1"/>
    <xf numFmtId="0" fontId="21" fillId="0" borderId="0" xfId="61" applyFont="1"/>
    <xf numFmtId="0" fontId="12" fillId="0" borderId="0" xfId="61" applyFont="1"/>
    <xf numFmtId="0" fontId="12" fillId="0" borderId="0" xfId="61" applyFont="1" applyBorder="1" applyAlignment="1">
      <alignment horizontal="center"/>
    </xf>
    <xf numFmtId="0" fontId="20" fillId="0" borderId="0" xfId="61" applyFont="1" applyBorder="1" applyAlignment="1">
      <alignment horizontal="center"/>
    </xf>
    <xf numFmtId="0" fontId="0" fillId="0" borderId="0" xfId="61" applyNumberFormat="1" applyFont="1" applyBorder="1"/>
    <xf numFmtId="0" fontId="24" fillId="0" borderId="0" xfId="61" applyFont="1"/>
    <xf numFmtId="0" fontId="33" fillId="0" borderId="1" xfId="61" applyFont="1" applyBorder="1" applyAlignment="1">
      <alignment horizontal="center"/>
    </xf>
    <xf numFmtId="177" fontId="0" fillId="0" borderId="17" xfId="61" applyNumberFormat="1" applyFont="1" applyBorder="1" applyAlignment="1">
      <alignment horizontal="center"/>
    </xf>
    <xf numFmtId="177" fontId="35" fillId="0" borderId="0" xfId="61" applyNumberFormat="1" applyFont="1" applyBorder="1" applyAlignment="1">
      <alignment horizontal="center"/>
    </xf>
    <xf numFmtId="177" fontId="0" fillId="0" borderId="0" xfId="61" applyNumberFormat="1" applyFont="1" applyBorder="1" applyAlignment="1">
      <alignment horizontal="center"/>
    </xf>
    <xf numFmtId="0" fontId="33" fillId="0" borderId="54" xfId="61" applyFont="1" applyBorder="1" applyAlignment="1">
      <alignment horizontal="center" vertical="center"/>
    </xf>
    <xf numFmtId="0" fontId="33" fillId="0" borderId="55" xfId="61" applyFont="1" applyBorder="1" applyAlignment="1">
      <alignment horizontal="center" vertical="center"/>
    </xf>
    <xf numFmtId="0" fontId="0" fillId="0" borderId="56" xfId="61" applyFont="1" applyBorder="1" applyAlignment="1">
      <alignment horizontal="center" vertical="center"/>
    </xf>
    <xf numFmtId="0" fontId="0" fillId="0" borderId="57" xfId="61" applyFont="1" applyBorder="1" applyAlignment="1">
      <alignment horizontal="center" vertical="center"/>
    </xf>
    <xf numFmtId="0" fontId="17" fillId="0" borderId="0" xfId="61" applyFont="1" applyFill="1" applyBorder="1" applyAlignment="1">
      <alignment horizontal="center"/>
    </xf>
    <xf numFmtId="0" fontId="23" fillId="0" borderId="0" xfId="61" applyFont="1" applyFill="1" applyBorder="1" applyAlignment="1">
      <alignment horizontal="center"/>
    </xf>
    <xf numFmtId="0" fontId="17" fillId="0" borderId="56" xfId="61" applyFont="1" applyBorder="1" applyAlignment="1">
      <alignment horizontal="center" vertical="center"/>
    </xf>
    <xf numFmtId="0" fontId="23" fillId="0" borderId="48" xfId="61" applyFont="1" applyBorder="1" applyAlignment="1">
      <alignment horizontal="center" vertical="center"/>
    </xf>
    <xf numFmtId="0" fontId="23" fillId="0" borderId="57" xfId="61" applyFont="1" applyBorder="1" applyAlignment="1">
      <alignment horizontal="center" vertical="center"/>
    </xf>
    <xf numFmtId="0" fontId="0" fillId="0" borderId="58" xfId="61" applyFont="1" applyBorder="1" applyAlignment="1">
      <alignment horizontal="center" vertical="center"/>
    </xf>
    <xf numFmtId="0" fontId="0" fillId="0" borderId="59" xfId="61" applyFont="1" applyBorder="1" applyAlignment="1">
      <alignment horizontal="center" vertical="center"/>
    </xf>
    <xf numFmtId="0" fontId="0" fillId="15" borderId="0" xfId="61" applyFont="1" applyFill="1" applyAlignment="1">
      <alignment vertical="center"/>
    </xf>
    <xf numFmtId="0" fontId="17" fillId="0" borderId="0" xfId="61" applyFont="1" applyBorder="1" applyAlignment="1">
      <alignment horizontal="center" vertical="center"/>
    </xf>
    <xf numFmtId="0" fontId="12" fillId="0" borderId="0" xfId="61" applyFont="1" applyBorder="1" applyAlignment="1">
      <alignment vertical="center"/>
    </xf>
    <xf numFmtId="0" fontId="12" fillId="15" borderId="0" xfId="61" applyFont="1" applyFill="1" applyAlignment="1">
      <alignment vertical="center"/>
    </xf>
    <xf numFmtId="0" fontId="12" fillId="0" borderId="0" xfId="61"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82" fontId="0" fillId="0" borderId="0" xfId="54" applyNumberFormat="1" applyFont="1" applyBorder="1"/>
    <xf numFmtId="58" fontId="0" fillId="0" borderId="27" xfId="54" applyNumberFormat="1" applyFont="1" applyFill="1" applyBorder="1" applyAlignment="1">
      <alignment horizontal="center" vertical="center"/>
    </xf>
    <xf numFmtId="0" fontId="0" fillId="0" borderId="30" xfId="54" applyFont="1" applyFill="1" applyBorder="1" applyAlignment="1">
      <alignment horizontal="center" vertical="center"/>
    </xf>
    <xf numFmtId="0" fontId="0" fillId="0" borderId="2" xfId="54" applyFont="1" applyFill="1" applyBorder="1" applyAlignment="1">
      <alignment horizontal="center" vertical="center"/>
    </xf>
    <xf numFmtId="180" fontId="0" fillId="0" borderId="2" xfId="54" applyNumberFormat="1" applyFont="1" applyFill="1" applyBorder="1" applyAlignment="1">
      <alignment horizontal="center" vertical="center"/>
    </xf>
    <xf numFmtId="0" fontId="0" fillId="0" borderId="2" xfId="54" applyNumberFormat="1" applyFont="1" applyFill="1" applyBorder="1" applyAlignment="1">
      <alignment horizontal="center" vertical="center"/>
    </xf>
    <xf numFmtId="0" fontId="0" fillId="0" borderId="2" xfId="54" applyFont="1" applyFill="1" applyBorder="1" applyAlignment="1">
      <alignment horizontal="center" vertical="center" wrapText="1"/>
    </xf>
    <xf numFmtId="0" fontId="17" fillId="0" borderId="30" xfId="54" applyFont="1" applyFill="1" applyBorder="1" applyAlignment="1">
      <alignment horizontal="center" vertical="center" wrapText="1"/>
    </xf>
    <xf numFmtId="0" fontId="17" fillId="0" borderId="2" xfId="54" applyFont="1" applyFill="1" applyBorder="1" applyAlignment="1">
      <alignment horizontal="center" vertical="center" wrapText="1"/>
    </xf>
    <xf numFmtId="183" fontId="27" fillId="0" borderId="2" xfId="54" applyNumberFormat="1" applyFont="1" applyFill="1" applyBorder="1" applyAlignment="1">
      <alignment horizontal="center" vertical="center"/>
    </xf>
    <xf numFmtId="0" fontId="38" fillId="0" borderId="2" xfId="54" applyFont="1" applyFill="1" applyBorder="1" applyAlignment="1">
      <alignment horizontal="center" vertical="center"/>
    </xf>
    <xf numFmtId="180" fontId="17" fillId="0" borderId="2" xfId="54"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4" applyFont="1" applyFill="1" applyBorder="1" applyAlignment="1">
      <alignment horizontal="center" vertical="center"/>
    </xf>
    <xf numFmtId="182" fontId="17" fillId="0" borderId="2" xfId="54" applyNumberFormat="1" applyFont="1" applyFill="1" applyBorder="1" applyAlignment="1">
      <alignment horizontal="center" vertical="center"/>
    </xf>
    <xf numFmtId="0" fontId="27" fillId="0" borderId="30" xfId="54" applyFont="1" applyFill="1" applyBorder="1" applyAlignment="1">
      <alignment horizontal="center" vertical="center"/>
    </xf>
    <xf numFmtId="0" fontId="27" fillId="0" borderId="60" xfId="54" applyFont="1" applyFill="1" applyBorder="1" applyAlignment="1">
      <alignment horizontal="center" vertical="center"/>
    </xf>
    <xf numFmtId="0" fontId="27" fillId="0" borderId="34" xfId="54" applyFont="1" applyFill="1" applyBorder="1" applyAlignment="1">
      <alignment horizontal="center" vertical="center"/>
    </xf>
    <xf numFmtId="180" fontId="27" fillId="0" borderId="34" xfId="54" applyNumberFormat="1" applyFont="1" applyFill="1" applyBorder="1" applyAlignment="1">
      <alignment horizontal="center" vertical="center"/>
    </xf>
    <xf numFmtId="180" fontId="0" fillId="0" borderId="0" xfId="54" applyNumberFormat="1" applyFont="1" applyFill="1"/>
    <xf numFmtId="0" fontId="0" fillId="16" borderId="26" xfId="54" applyFont="1" applyFill="1" applyBorder="1" applyAlignment="1">
      <alignment vertical="center"/>
    </xf>
    <xf numFmtId="0" fontId="39" fillId="17" borderId="27" xfId="64" applyFont="1" applyFill="1" applyBorder="1" applyAlignment="1">
      <alignment vertical="center" wrapText="1"/>
    </xf>
    <xf numFmtId="0" fontId="0" fillId="0" borderId="39" xfId="54" applyFont="1" applyFill="1" applyBorder="1" applyAlignment="1">
      <alignment horizontal="center" vertical="center"/>
    </xf>
    <xf numFmtId="0" fontId="0" fillId="16" borderId="30" xfId="54" applyFont="1" applyFill="1" applyBorder="1" applyAlignment="1">
      <alignment vertical="center"/>
    </xf>
    <xf numFmtId="0" fontId="39" fillId="17" borderId="2" xfId="64" applyFont="1" applyFill="1" applyBorder="1" applyAlignment="1">
      <alignment vertical="center" wrapText="1"/>
    </xf>
    <xf numFmtId="0" fontId="34" fillId="16" borderId="0" xfId="54" applyFont="1" applyFill="1" applyBorder="1" applyAlignment="1">
      <alignment horizontal="center" vertical="center"/>
    </xf>
    <xf numFmtId="0" fontId="0" fillId="16" borderId="30" xfId="54" applyFont="1" applyFill="1" applyBorder="1" applyAlignment="1">
      <alignment horizontal="center" vertical="center"/>
    </xf>
    <xf numFmtId="0" fontId="40" fillId="8" borderId="2" xfId="64" applyFont="1" applyFill="1" applyBorder="1" applyAlignment="1">
      <alignment vertical="center" wrapText="1"/>
    </xf>
    <xf numFmtId="0" fontId="40" fillId="8" borderId="2" xfId="64" applyFont="1" applyFill="1" applyBorder="1" applyAlignment="1">
      <alignment horizontal="center" vertical="center" wrapText="1"/>
    </xf>
    <xf numFmtId="0" fontId="38" fillId="0" borderId="39" xfId="54" applyFont="1" applyFill="1" applyBorder="1" applyAlignment="1">
      <alignment horizontal="center" vertical="center"/>
    </xf>
    <xf numFmtId="0" fontId="17" fillId="0" borderId="39" xfId="54" applyFont="1" applyFill="1" applyBorder="1" applyAlignment="1">
      <alignment horizontal="center" vertical="center"/>
    </xf>
    <xf numFmtId="0" fontId="27" fillId="0" borderId="39" xfId="54" applyFont="1" applyFill="1" applyBorder="1" applyAlignment="1">
      <alignment horizontal="center" vertical="center"/>
    </xf>
    <xf numFmtId="0" fontId="27" fillId="0" borderId="41" xfId="54" applyFont="1" applyFill="1" applyBorder="1" applyAlignment="1">
      <alignment horizontal="center" vertical="center"/>
    </xf>
    <xf numFmtId="0" fontId="0" fillId="16" borderId="60" xfId="54" applyFont="1" applyFill="1" applyBorder="1" applyAlignment="1">
      <alignment horizontal="center" vertical="center"/>
    </xf>
    <xf numFmtId="0" fontId="40" fillId="8" borderId="34" xfId="64" applyFont="1" applyFill="1" applyBorder="1" applyAlignment="1">
      <alignment vertical="center" wrapText="1"/>
    </xf>
    <xf numFmtId="0" fontId="40" fillId="8" borderId="34" xfId="64" applyFont="1" applyFill="1" applyBorder="1" applyAlignment="1">
      <alignment horizontal="center" vertical="center" wrapText="1"/>
    </xf>
    <xf numFmtId="0" fontId="0" fillId="16" borderId="26" xfId="54" applyFont="1" applyFill="1" applyBorder="1" applyAlignment="1">
      <alignment horizontal="center" vertical="center"/>
    </xf>
    <xf numFmtId="0" fontId="40" fillId="8" borderId="27" xfId="54" applyFont="1" applyFill="1" applyBorder="1" applyAlignment="1">
      <alignment vertical="center" wrapText="1"/>
    </xf>
    <xf numFmtId="0" fontId="40" fillId="8" borderId="27" xfId="54" applyFont="1" applyFill="1" applyBorder="1" applyAlignment="1">
      <alignment horizontal="center" vertical="center" wrapText="1"/>
    </xf>
    <xf numFmtId="0" fontId="40" fillId="8" borderId="2" xfId="54" applyFont="1" applyFill="1" applyBorder="1" applyAlignment="1">
      <alignment vertical="center" wrapText="1"/>
    </xf>
    <xf numFmtId="0" fontId="40" fillId="8" borderId="2" xfId="54" applyFont="1" applyFill="1" applyBorder="1" applyAlignment="1">
      <alignment horizontal="center" vertical="center" wrapText="1"/>
    </xf>
    <xf numFmtId="0" fontId="40" fillId="8" borderId="34" xfId="54" applyFont="1" applyFill="1" applyBorder="1" applyAlignment="1">
      <alignment vertical="center" wrapText="1"/>
    </xf>
    <xf numFmtId="0" fontId="40" fillId="8" borderId="34" xfId="54" applyFont="1" applyFill="1" applyBorder="1" applyAlignment="1">
      <alignment horizontal="center" vertical="center" wrapText="1"/>
    </xf>
    <xf numFmtId="0" fontId="39" fillId="17" borderId="27" xfId="54" applyFont="1" applyFill="1" applyBorder="1" applyAlignment="1">
      <alignment vertical="center" wrapText="1"/>
    </xf>
    <xf numFmtId="0" fontId="39" fillId="17" borderId="2" xfId="54" applyFont="1" applyFill="1" applyBorder="1" applyAlignment="1">
      <alignment vertical="center" wrapText="1"/>
    </xf>
    <xf numFmtId="0" fontId="39" fillId="17" borderId="2" xfId="64" applyFont="1" applyFill="1" applyBorder="1" applyAlignment="1">
      <alignment horizontal="center" vertical="center" wrapText="1"/>
    </xf>
    <xf numFmtId="0" fontId="40" fillId="8" borderId="27" xfId="54" applyFont="1" applyFill="1" applyBorder="1" applyAlignment="1">
      <alignment horizontal="center" vertical="center"/>
    </xf>
    <xf numFmtId="0" fontId="40" fillId="8" borderId="2" xfId="54" applyFont="1" applyFill="1" applyBorder="1" applyAlignment="1">
      <alignment horizontal="center" vertical="center"/>
    </xf>
    <xf numFmtId="0" fontId="40" fillId="8" borderId="34" xfId="54" applyFont="1" applyFill="1" applyBorder="1" applyAlignment="1">
      <alignment horizontal="center" vertical="center"/>
    </xf>
    <xf numFmtId="0" fontId="0" fillId="0" borderId="27" xfId="54" applyFont="1" applyBorder="1"/>
    <xf numFmtId="0" fontId="41" fillId="17" borderId="27" xfId="64" applyFont="1" applyFill="1" applyBorder="1" applyAlignment="1">
      <alignment horizontal="center" vertical="center" wrapText="1"/>
    </xf>
    <xf numFmtId="0" fontId="41" fillId="17" borderId="37" xfId="64" applyFont="1" applyFill="1" applyBorder="1" applyAlignment="1">
      <alignment horizontal="center" vertical="center" wrapText="1"/>
    </xf>
    <xf numFmtId="0" fontId="39" fillId="17" borderId="39" xfId="64" applyFont="1" applyFill="1" applyBorder="1" applyAlignment="1">
      <alignment horizontal="center" vertical="center" wrapText="1"/>
    </xf>
    <xf numFmtId="0" fontId="40" fillId="0" borderId="2" xfId="64" applyFont="1" applyFill="1" applyBorder="1" applyAlignment="1">
      <alignment horizontal="center" vertical="center" wrapText="1"/>
    </xf>
    <xf numFmtId="182" fontId="0" fillId="0" borderId="2" xfId="54" applyNumberFormat="1" applyFont="1" applyBorder="1"/>
    <xf numFmtId="182" fontId="0" fillId="0" borderId="39" xfId="54" applyNumberFormat="1" applyFont="1" applyBorder="1"/>
    <xf numFmtId="0" fontId="40" fillId="0" borderId="34" xfId="64" applyFont="1" applyFill="1" applyBorder="1" applyAlignment="1">
      <alignment horizontal="center" vertical="center" wrapText="1"/>
    </xf>
    <xf numFmtId="0" fontId="0" fillId="0" borderId="34" xfId="54" applyFont="1" applyBorder="1"/>
    <xf numFmtId="182" fontId="0" fillId="0" borderId="34" xfId="54" applyNumberFormat="1" applyFont="1" applyBorder="1"/>
    <xf numFmtId="182" fontId="0" fillId="0" borderId="41" xfId="54" applyNumberFormat="1" applyFont="1" applyBorder="1"/>
    <xf numFmtId="182" fontId="0" fillId="0" borderId="27" xfId="54" applyNumberFormat="1" applyFont="1" applyBorder="1"/>
    <xf numFmtId="182" fontId="0" fillId="0" borderId="37" xfId="54" applyNumberFormat="1" applyFont="1" applyBorder="1"/>
    <xf numFmtId="0" fontId="0" fillId="16" borderId="0" xfId="54" applyFont="1" applyFill="1"/>
    <xf numFmtId="182" fontId="0" fillId="16" borderId="0" xfId="54" applyNumberFormat="1" applyFont="1" applyFill="1" applyAlignment="1">
      <alignment vertical="center"/>
    </xf>
    <xf numFmtId="182" fontId="0" fillId="16" borderId="0" xfId="54" applyNumberFormat="1" applyFont="1" applyFill="1"/>
    <xf numFmtId="0" fontId="13" fillId="0" borderId="0" xfId="54" applyFont="1" applyAlignment="1">
      <alignment horizontal="right"/>
    </xf>
    <xf numFmtId="0" fontId="35" fillId="0" borderId="0" xfId="54" applyFont="1" applyAlignment="1">
      <alignment horizontal="center"/>
    </xf>
    <xf numFmtId="0" fontId="16" fillId="0" borderId="17" xfId="54" applyFont="1" applyBorder="1" applyAlignment="1">
      <alignment horizontal="center"/>
    </xf>
    <xf numFmtId="58" fontId="0" fillId="0" borderId="17" xfId="54" applyNumberFormat="1" applyFont="1" applyBorder="1" applyAlignment="1">
      <alignment horizontal="center"/>
    </xf>
    <xf numFmtId="0" fontId="42" fillId="0" borderId="1" xfId="54" applyFont="1" applyBorder="1" applyAlignment="1">
      <alignment horizontal="center"/>
    </xf>
    <xf numFmtId="0" fontId="34" fillId="0" borderId="42" xfId="54" applyFont="1" applyBorder="1" applyAlignment="1">
      <alignment horizontal="center" vertical="center"/>
    </xf>
    <xf numFmtId="0" fontId="0"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45" xfId="54" applyFont="1" applyBorder="1" applyAlignment="1">
      <alignment horizontal="center" vertical="center"/>
    </xf>
    <xf numFmtId="0" fontId="33" fillId="0" borderId="27" xfId="54" applyFont="1" applyBorder="1" applyAlignment="1">
      <alignment horizontal="center" vertical="center"/>
    </xf>
    <xf numFmtId="0" fontId="27" fillId="0" borderId="46" xfId="54" applyFont="1" applyBorder="1" applyAlignment="1">
      <alignment horizontal="center" vertical="center"/>
    </xf>
    <xf numFmtId="0" fontId="0" fillId="0" borderId="47" xfId="54" applyFont="1" applyBorder="1" applyAlignment="1">
      <alignment horizontal="center" vertical="center"/>
    </xf>
    <xf numFmtId="0" fontId="0" fillId="0" borderId="61" xfId="54" applyFont="1" applyBorder="1" applyAlignment="1">
      <alignment horizontal="center" vertical="center"/>
    </xf>
    <xf numFmtId="0" fontId="16" fillId="0" borderId="46" xfId="54" applyNumberFormat="1" applyFont="1" applyBorder="1" applyAlignment="1">
      <alignment horizontal="center"/>
    </xf>
    <xf numFmtId="0" fontId="16" fillId="0" borderId="47" xfId="54" applyFont="1" applyBorder="1" applyAlignment="1">
      <alignment horizontal="center"/>
    </xf>
    <xf numFmtId="0" fontId="0" fillId="0" borderId="47" xfId="54" applyFont="1" applyBorder="1" applyAlignment="1">
      <alignment horizontal="center"/>
    </xf>
    <xf numFmtId="0" fontId="0" fillId="0" borderId="47" xfId="54" applyFont="1" applyFill="1" applyBorder="1" applyAlignment="1">
      <alignment horizontal="center"/>
    </xf>
    <xf numFmtId="182" fontId="17" fillId="0" borderId="48" xfId="54" applyNumberFormat="1" applyFont="1" applyBorder="1" applyAlignment="1">
      <alignment horizontal="center" vertical="center"/>
    </xf>
    <xf numFmtId="0" fontId="17" fillId="0" borderId="48" xfId="54" applyFont="1" applyBorder="1" applyAlignment="1">
      <alignment horizontal="center" vertical="center"/>
    </xf>
    <xf numFmtId="0" fontId="17" fillId="0" borderId="46" xfId="54" applyNumberFormat="1" applyFont="1" applyBorder="1" applyAlignment="1">
      <alignment horizontal="center"/>
    </xf>
    <xf numFmtId="0" fontId="0" fillId="0" borderId="46" xfId="54" applyNumberFormat="1" applyFont="1" applyBorder="1" applyAlignment="1">
      <alignment horizontal="center"/>
    </xf>
    <xf numFmtId="0" fontId="0" fillId="0" borderId="49" xfId="54" applyNumberFormat="1" applyFont="1" applyBorder="1" applyAlignment="1">
      <alignment horizontal="center"/>
    </xf>
    <xf numFmtId="0" fontId="16" fillId="0" borderId="50" xfId="54" applyFont="1" applyBorder="1" applyAlignment="1">
      <alignment horizontal="center"/>
    </xf>
    <xf numFmtId="0" fontId="0" fillId="0" borderId="50" xfId="54" applyFont="1" applyBorder="1" applyAlignment="1">
      <alignment horizontal="center"/>
    </xf>
    <xf numFmtId="185" fontId="23" fillId="0" borderId="46" xfId="54" applyNumberFormat="1" applyFont="1" applyBorder="1" applyAlignment="1">
      <alignment horizontal="center"/>
    </xf>
    <xf numFmtId="185" fontId="0" fillId="0" borderId="46" xfId="54" applyNumberFormat="1" applyFont="1" applyBorder="1" applyAlignment="1">
      <alignment horizontal="center"/>
    </xf>
    <xf numFmtId="0" fontId="0" fillId="0" borderId="51" xfId="54" applyNumberFormat="1" applyFont="1" applyBorder="1" applyAlignment="1">
      <alignment horizontal="center"/>
    </xf>
    <xf numFmtId="0" fontId="0" fillId="0" borderId="52" xfId="54" applyFont="1" applyBorder="1" applyAlignment="1">
      <alignment horizontal="center" vertical="center"/>
    </xf>
    <xf numFmtId="0" fontId="0" fillId="0" borderId="52" xfId="54" applyFont="1" applyBorder="1" applyAlignment="1">
      <alignment horizontal="center"/>
    </xf>
    <xf numFmtId="0" fontId="17" fillId="0" borderId="53" xfId="54" applyFont="1" applyBorder="1" applyAlignment="1">
      <alignment horizontal="right" vertical="center"/>
    </xf>
    <xf numFmtId="0" fontId="24" fillId="16" borderId="0" xfId="54" applyFont="1" applyFill="1"/>
    <xf numFmtId="0" fontId="33" fillId="0" borderId="1" xfId="54" applyFont="1" applyBorder="1" applyAlignment="1">
      <alignment horizontal="center"/>
    </xf>
    <xf numFmtId="177" fontId="17" fillId="8" borderId="17" xfId="54" applyNumberFormat="1" applyFont="1" applyFill="1" applyBorder="1" applyAlignment="1">
      <alignment horizontal="center"/>
    </xf>
    <xf numFmtId="177" fontId="33" fillId="0" borderId="0" xfId="54" applyNumberFormat="1" applyFont="1" applyBorder="1" applyAlignment="1">
      <alignment horizontal="center"/>
    </xf>
    <xf numFmtId="0" fontId="43" fillId="0" borderId="27" xfId="54" applyFont="1" applyBorder="1" applyAlignment="1">
      <alignment horizontal="center" vertical="center"/>
    </xf>
    <xf numFmtId="0" fontId="43" fillId="0" borderId="37" xfId="54" applyFont="1" applyBorder="1" applyAlignment="1">
      <alignment horizontal="center" vertical="center"/>
    </xf>
    <xf numFmtId="182" fontId="0" fillId="2" borderId="62" xfId="54" applyNumberFormat="1" applyFont="1" applyFill="1" applyBorder="1" applyAlignment="1">
      <alignment horizontal="center" vertical="center"/>
    </xf>
    <xf numFmtId="182" fontId="0" fillId="2" borderId="0" xfId="54" applyNumberFormat="1" applyFont="1" applyFill="1" applyBorder="1" applyAlignment="1">
      <alignment horizontal="center" vertical="center"/>
    </xf>
    <xf numFmtId="182" fontId="0" fillId="2" borderId="0" xfId="54" applyNumberFormat="1" applyFont="1" applyFill="1" applyAlignment="1">
      <alignment horizontal="center" vertical="center"/>
    </xf>
    <xf numFmtId="0" fontId="0" fillId="0" borderId="63" xfId="54" applyFont="1" applyBorder="1" applyAlignment="1">
      <alignment horizontal="center" vertical="center"/>
    </xf>
    <xf numFmtId="0" fontId="0" fillId="0" borderId="64" xfId="54" applyFont="1" applyBorder="1" applyAlignment="1">
      <alignment horizontal="center" vertical="center"/>
    </xf>
    <xf numFmtId="182" fontId="17" fillId="16" borderId="0" xfId="54" applyNumberFormat="1" applyFont="1" applyFill="1" applyBorder="1" applyAlignment="1">
      <alignment horizontal="center" vertical="center"/>
    </xf>
    <xf numFmtId="182" fontId="17" fillId="16" borderId="0" xfId="54" applyNumberFormat="1" applyFont="1" applyFill="1" applyBorder="1" applyAlignment="1">
      <alignment horizontal="center"/>
    </xf>
    <xf numFmtId="182" fontId="23" fillId="16" borderId="0" xfId="54" applyNumberFormat="1" applyFont="1" applyFill="1" applyBorder="1" applyAlignment="1">
      <alignment horizontal="center"/>
    </xf>
    <xf numFmtId="182" fontId="23" fillId="16" borderId="0" xfId="54" applyNumberFormat="1" applyFont="1" applyFill="1" applyAlignment="1">
      <alignment vertical="center" wrapText="1"/>
    </xf>
    <xf numFmtId="0" fontId="17" fillId="0" borderId="56" xfId="54" applyFont="1" applyBorder="1" applyAlignment="1">
      <alignment horizontal="center" vertical="center"/>
    </xf>
    <xf numFmtId="0" fontId="23" fillId="0" borderId="48" xfId="54" applyFont="1" applyBorder="1" applyAlignment="1">
      <alignment horizontal="center" vertical="center"/>
    </xf>
    <xf numFmtId="0" fontId="23" fillId="0" borderId="57" xfId="54" applyFont="1" applyBorder="1" applyAlignment="1">
      <alignment horizontal="center" vertical="center"/>
    </xf>
    <xf numFmtId="0" fontId="27" fillId="0" borderId="48" xfId="54" applyFont="1" applyBorder="1" applyAlignment="1">
      <alignment horizontal="center" vertical="center"/>
    </xf>
    <xf numFmtId="0" fontId="27" fillId="0" borderId="57" xfId="54" applyFont="1" applyBorder="1" applyAlignment="1">
      <alignment horizontal="center" vertical="center"/>
    </xf>
    <xf numFmtId="0" fontId="0" fillId="0" borderId="48" xfId="54" applyFont="1" applyBorder="1" applyAlignment="1">
      <alignment horizontal="center" vertical="center"/>
    </xf>
    <xf numFmtId="0" fontId="0" fillId="0" borderId="57" xfId="54" applyFont="1" applyBorder="1" applyAlignment="1">
      <alignment horizontal="center" vertical="center"/>
    </xf>
    <xf numFmtId="0" fontId="17" fillId="0" borderId="57" xfId="54" applyFont="1" applyBorder="1" applyAlignment="1">
      <alignment horizontal="center" vertical="center"/>
    </xf>
    <xf numFmtId="0" fontId="17" fillId="0" borderId="65" xfId="54" applyFont="1" applyBorder="1" applyAlignment="1">
      <alignment horizontal="right" vertical="center"/>
    </xf>
    <xf numFmtId="182" fontId="17" fillId="0" borderId="59" xfId="54" applyNumberFormat="1" applyFont="1" applyBorder="1" applyAlignment="1">
      <alignment horizontal="left" vertical="center"/>
    </xf>
    <xf numFmtId="182" fontId="0" fillId="16" borderId="0" xfId="54" applyNumberFormat="1" applyFont="1" applyFill="1" applyBorder="1" applyAlignment="1">
      <alignment horizontal="center" vertical="center"/>
    </xf>
    <xf numFmtId="182" fontId="17" fillId="16" borderId="0" xfId="54" applyNumberFormat="1" applyFont="1" applyFill="1" applyBorder="1" applyAlignment="1">
      <alignment horizontal="center" wrapText="1"/>
    </xf>
    <xf numFmtId="0" fontId="12" fillId="16" borderId="0" xfId="54"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4" applyFont="1" applyBorder="1" applyAlignment="1">
      <alignment horizontal="center" vertical="center"/>
    </xf>
    <xf numFmtId="14" fontId="3" fillId="0" borderId="2" xfId="64"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47" xfId="65" applyFont="1" applyFill="1" applyBorder="1" applyAlignment="1">
      <alignment vertical="center"/>
    </xf>
    <xf numFmtId="0" fontId="0" fillId="0" borderId="47" xfId="65" applyFont="1" applyFill="1" applyBorder="1" applyAlignment="1">
      <alignment horizontal="center" vertical="center"/>
    </xf>
    <xf numFmtId="0" fontId="0" fillId="0" borderId="47" xfId="65" applyFont="1" applyFill="1" applyBorder="1" applyAlignment="1">
      <alignment horizontal="center" vertical="center" wrapText="1"/>
    </xf>
    <xf numFmtId="181" fontId="0" fillId="0" borderId="47"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77" fontId="0" fillId="0" borderId="1" xfId="65" applyNumberFormat="1" applyFont="1" applyFill="1" applyBorder="1" applyAlignment="1">
      <alignment horizontal="center" vertical="center"/>
    </xf>
    <xf numFmtId="0" fontId="0" fillId="0" borderId="0" xfId="65" applyFont="1" applyFill="1" applyBorder="1"/>
    <xf numFmtId="177" fontId="23" fillId="0" borderId="47" xfId="65" applyNumberFormat="1" applyFont="1" applyFill="1" applyBorder="1" applyAlignment="1">
      <alignment vertical="center"/>
    </xf>
    <xf numFmtId="177" fontId="23" fillId="0" borderId="47" xfId="65" applyNumberFormat="1" applyFont="1" applyFill="1" applyBorder="1" applyAlignment="1">
      <alignment horizontal="left" vertical="center"/>
    </xf>
    <xf numFmtId="0" fontId="17" fillId="0" borderId="47" xfId="65" applyFont="1" applyFill="1" applyBorder="1" applyAlignment="1">
      <alignment horizontal="center" vertical="center"/>
    </xf>
    <xf numFmtId="14" fontId="0" fillId="0" borderId="47" xfId="65" applyNumberFormat="1" applyFont="1" applyFill="1" applyBorder="1" applyAlignment="1">
      <alignment horizontal="center" vertical="center"/>
    </xf>
    <xf numFmtId="0" fontId="17" fillId="0" borderId="47" xfId="65" applyFont="1" applyFill="1" applyBorder="1" applyAlignment="1">
      <alignment vertical="center"/>
    </xf>
    <xf numFmtId="0" fontId="0" fillId="0" borderId="50" xfId="65" applyFont="1" applyFill="1" applyBorder="1" applyAlignment="1">
      <alignment horizontal="center" vertical="center" wrapText="1"/>
    </xf>
    <xf numFmtId="0" fontId="33" fillId="0" borderId="47"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47"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85" fontId="0" fillId="0" borderId="47" xfId="65" applyNumberFormat="1" applyFont="1" applyFill="1" applyBorder="1" applyAlignment="1">
      <alignment horizontal="center" vertical="center"/>
    </xf>
    <xf numFmtId="0" fontId="0" fillId="0" borderId="47" xfId="65" applyFont="1" applyFill="1" applyBorder="1"/>
    <xf numFmtId="0" fontId="33" fillId="0" borderId="0" xfId="65" applyFont="1" applyBorder="1" applyAlignment="1">
      <alignment horizontal="center"/>
    </xf>
    <xf numFmtId="177"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7" xfId="83" applyFont="1" applyBorder="1" applyAlignment="1">
      <alignment horizontal="center"/>
    </xf>
    <xf numFmtId="14" fontId="0" fillId="0" borderId="17"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3" xfId="83" applyFont="1" applyBorder="1" applyAlignment="1">
      <alignment horizontal="center" vertical="center"/>
    </xf>
    <xf numFmtId="0" fontId="0" fillId="0" borderId="44" xfId="83" applyFont="1" applyBorder="1" applyAlignment="1">
      <alignment horizontal="center" vertical="center"/>
    </xf>
    <xf numFmtId="0" fontId="33" fillId="0" borderId="45" xfId="83" applyFont="1" applyBorder="1" applyAlignment="1">
      <alignment horizontal="center" vertical="center"/>
    </xf>
    <xf numFmtId="0" fontId="27" fillId="0" borderId="46" xfId="83" applyFont="1" applyBorder="1" applyAlignment="1">
      <alignment horizontal="center" vertical="center"/>
    </xf>
    <xf numFmtId="0" fontId="0" fillId="0" borderId="47" xfId="83" applyFont="1" applyBorder="1" applyAlignment="1">
      <alignment horizontal="center" vertical="center"/>
    </xf>
    <xf numFmtId="0" fontId="0" fillId="0" borderId="47" xfId="83" applyFont="1" applyFill="1" applyBorder="1" applyAlignment="1">
      <alignment horizontal="center" vertical="center"/>
    </xf>
    <xf numFmtId="0" fontId="0" fillId="14" borderId="47" xfId="83" applyFont="1" applyFill="1" applyBorder="1" applyAlignment="1">
      <alignment horizontal="center" vertical="center"/>
    </xf>
    <xf numFmtId="0" fontId="0" fillId="0" borderId="48" xfId="83" applyFont="1" applyBorder="1" applyAlignment="1">
      <alignment horizontal="center" vertical="center"/>
    </xf>
    <xf numFmtId="0" fontId="16" fillId="0" borderId="46" xfId="83" applyNumberFormat="1" applyFont="1" applyBorder="1" applyAlignment="1">
      <alignment horizontal="center"/>
    </xf>
    <xf numFmtId="0" fontId="16" fillId="0" borderId="47" xfId="83" applyFont="1" applyBorder="1" applyAlignment="1">
      <alignment horizontal="center"/>
    </xf>
    <xf numFmtId="0" fontId="0" fillId="0" borderId="47" xfId="83" applyFont="1" applyBorder="1" applyAlignment="1">
      <alignment horizontal="center"/>
    </xf>
    <xf numFmtId="0" fontId="0" fillId="0" borderId="47" xfId="83" applyFont="1" applyFill="1" applyBorder="1" applyAlignment="1">
      <alignment horizontal="center"/>
    </xf>
    <xf numFmtId="0" fontId="0" fillId="14" borderId="47" xfId="83" applyFont="1" applyFill="1" applyBorder="1" applyAlignment="1">
      <alignment horizontal="center"/>
    </xf>
    <xf numFmtId="185" fontId="16" fillId="0" borderId="46" xfId="83" applyNumberFormat="1" applyFont="1" applyBorder="1" applyAlignment="1">
      <alignment horizontal="center"/>
    </xf>
    <xf numFmtId="0" fontId="0" fillId="0" borderId="46" xfId="83" applyNumberFormat="1" applyFont="1" applyBorder="1" applyAlignment="1">
      <alignment horizontal="center"/>
    </xf>
    <xf numFmtId="0" fontId="27" fillId="0" borderId="46"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77"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7" xfId="83" applyFont="1" applyBorder="1" applyAlignment="1">
      <alignment horizontal="center"/>
    </xf>
    <xf numFmtId="177" fontId="17" fillId="0" borderId="17" xfId="83" applyNumberFormat="1" applyFont="1" applyBorder="1" applyAlignment="1">
      <alignment horizontal="center"/>
    </xf>
    <xf numFmtId="0" fontId="0" fillId="0" borderId="17" xfId="83" applyFont="1" applyBorder="1"/>
    <xf numFmtId="177"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82"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5" applyFont="1" applyBorder="1" applyAlignment="1">
      <alignment horizontal="center" vertical="center"/>
    </xf>
    <xf numFmtId="0" fontId="45" fillId="2" borderId="2" xfId="55" applyFont="1" applyFill="1" applyBorder="1" applyAlignment="1">
      <alignment horizontal="center" vertical="center"/>
    </xf>
    <xf numFmtId="0" fontId="3" fillId="0" borderId="2" xfId="55" applyFont="1" applyFill="1" applyBorder="1" applyAlignment="1">
      <alignment horizontal="center" vertical="center"/>
    </xf>
    <xf numFmtId="14" fontId="3" fillId="0" borderId="2" xfId="55" applyNumberFormat="1" applyFont="1" applyBorder="1" applyAlignment="1">
      <alignment horizontal="center" vertical="center"/>
    </xf>
    <xf numFmtId="0" fontId="3" fillId="2" borderId="2" xfId="55" applyFont="1" applyFill="1" applyBorder="1" applyAlignment="1">
      <alignment horizontal="center" vertical="center"/>
    </xf>
    <xf numFmtId="0" fontId="3" fillId="0" borderId="25" xfId="68" applyFont="1" applyBorder="1" applyAlignment="1">
      <alignment horizontal="center"/>
    </xf>
    <xf numFmtId="0" fontId="36" fillId="2" borderId="1" xfId="68" applyFont="1" applyFill="1" applyBorder="1" applyAlignment="1">
      <alignment horizontal="center" vertical="center"/>
    </xf>
    <xf numFmtId="0" fontId="3" fillId="0" borderId="24"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2" xfId="80" applyFill="1" applyBorder="1">
      <alignment vertical="center"/>
    </xf>
    <xf numFmtId="0" fontId="1" fillId="2" borderId="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2" xfId="80" applyFill="1" applyBorder="1" applyAlignment="1">
      <alignment horizontal="center" vertical="center"/>
    </xf>
    <xf numFmtId="0" fontId="47" fillId="0" borderId="0" xfId="80" applyFont="1" applyFill="1">
      <alignment vertical="center"/>
    </xf>
    <xf numFmtId="0" fontId="47" fillId="2" borderId="0" xfId="80" applyFont="1" applyFill="1">
      <alignment vertical="center"/>
    </xf>
    <xf numFmtId="0" fontId="6" fillId="0" borderId="0" xfId="60" applyFont="1" applyFill="1">
      <alignment vertical="center"/>
    </xf>
    <xf numFmtId="0" fontId="6" fillId="0" borderId="0" xfId="60" applyFont="1" applyFill="1" applyBorder="1" applyAlignment="1">
      <alignment horizontal="center" vertical="center"/>
    </xf>
    <xf numFmtId="0" fontId="6" fillId="0" borderId="0" xfId="0" applyFont="1">
      <alignment vertical="center"/>
    </xf>
    <xf numFmtId="0" fontId="1" fillId="0" borderId="0" xfId="60">
      <alignment vertical="center"/>
    </xf>
    <xf numFmtId="0" fontId="1" fillId="0" borderId="0" xfId="60" applyFill="1">
      <alignment vertical="center"/>
    </xf>
    <xf numFmtId="0" fontId="1" fillId="0" borderId="0" xfId="60" applyFill="1" applyAlignment="1">
      <alignment horizontal="center" vertical="center"/>
    </xf>
    <xf numFmtId="0" fontId="1" fillId="0" borderId="0" xfId="60" applyFill="1" applyAlignment="1">
      <alignment horizontal="center" vertical="center" wrapText="1"/>
    </xf>
    <xf numFmtId="0" fontId="1" fillId="0" borderId="0" xfId="60" applyFill="1" applyAlignment="1">
      <alignment vertical="center" wrapText="1"/>
    </xf>
    <xf numFmtId="0" fontId="4" fillId="0" borderId="0" xfId="60" applyFont="1" applyFill="1" applyBorder="1" applyAlignment="1">
      <alignment horizontal="center" vertical="center"/>
    </xf>
    <xf numFmtId="177" fontId="4" fillId="0" borderId="0" xfId="60" applyNumberFormat="1" applyFont="1" applyFill="1" applyBorder="1" applyAlignment="1">
      <alignment horizontal="center" vertical="center"/>
    </xf>
    <xf numFmtId="0" fontId="4" fillId="0" borderId="42" xfId="60" applyFont="1" applyFill="1" applyBorder="1" applyAlignment="1">
      <alignment horizontal="center" vertical="center"/>
    </xf>
    <xf numFmtId="0" fontId="5" fillId="0" borderId="43" xfId="60" applyFont="1" applyFill="1" applyBorder="1" applyAlignment="1">
      <alignment horizontal="center" vertical="center"/>
    </xf>
    <xf numFmtId="0" fontId="5" fillId="0" borderId="44" xfId="60" applyFont="1" applyFill="1" applyBorder="1" applyAlignment="1">
      <alignment horizontal="center" vertical="center" wrapText="1"/>
    </xf>
    <xf numFmtId="0" fontId="5" fillId="0" borderId="44" xfId="60" applyFont="1" applyFill="1" applyBorder="1" applyAlignment="1">
      <alignment horizontal="center" vertical="center"/>
    </xf>
    <xf numFmtId="182" fontId="5" fillId="0" borderId="44" xfId="60" applyNumberFormat="1" applyFont="1" applyFill="1" applyBorder="1" applyAlignment="1">
      <alignment horizontal="center" vertical="center" wrapText="1"/>
    </xf>
    <xf numFmtId="0" fontId="5" fillId="0" borderId="51" xfId="60" applyFont="1" applyFill="1" applyBorder="1" applyAlignment="1">
      <alignment horizontal="center" vertical="center"/>
    </xf>
    <xf numFmtId="0" fontId="5" fillId="0" borderId="52" xfId="60" applyFont="1" applyFill="1" applyBorder="1" applyAlignment="1">
      <alignment horizontal="center" vertical="center" wrapText="1"/>
    </xf>
    <xf numFmtId="0" fontId="5" fillId="0" borderId="52" xfId="60" applyFont="1" applyFill="1" applyBorder="1" applyAlignment="1">
      <alignment horizontal="center" vertical="center"/>
    </xf>
    <xf numFmtId="182" fontId="5" fillId="0" borderId="52" xfId="60" applyNumberFormat="1" applyFont="1" applyFill="1" applyBorder="1" applyAlignment="1">
      <alignment horizontal="center" vertical="center" wrapText="1"/>
    </xf>
    <xf numFmtId="0" fontId="5" fillId="0" borderId="69" xfId="60"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4" xfId="0" applyFont="1" applyBorder="1" applyAlignment="1">
      <alignment horizontal="left" vertical="center"/>
    </xf>
    <xf numFmtId="0" fontId="5" fillId="0" borderId="71" xfId="60"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47" xfId="0" applyFont="1" applyBorder="1" applyAlignment="1">
      <alignment horizontal="left" vertical="center"/>
    </xf>
    <xf numFmtId="0" fontId="48" fillId="0" borderId="72" xfId="50" applyFont="1" applyFill="1" applyBorder="1" applyAlignment="1">
      <alignment horizontal="center" vertical="center"/>
    </xf>
    <xf numFmtId="0" fontId="6" fillId="0" borderId="44" xfId="60" applyFont="1" applyFill="1" applyBorder="1" applyAlignment="1">
      <alignment horizontal="left" vertical="center"/>
    </xf>
    <xf numFmtId="0" fontId="6" fillId="0" borderId="47" xfId="60" applyFont="1" applyFill="1" applyBorder="1" applyAlignment="1">
      <alignment horizontal="left" vertical="center"/>
    </xf>
    <xf numFmtId="0" fontId="6" fillId="0" borderId="52" xfId="60" applyFont="1" applyFill="1" applyBorder="1" applyAlignment="1">
      <alignment horizontal="left" vertical="center"/>
    </xf>
    <xf numFmtId="0" fontId="48" fillId="0" borderId="70" xfId="60" applyFont="1" applyFill="1" applyBorder="1" applyAlignment="1">
      <alignment horizontal="center" vertical="center"/>
    </xf>
    <xf numFmtId="0" fontId="1" fillId="0" borderId="66" xfId="60" applyFill="1" applyBorder="1" applyAlignment="1">
      <alignment horizontal="center" vertical="center"/>
    </xf>
    <xf numFmtId="0" fontId="48" fillId="0" borderId="66" xfId="60" applyFont="1" applyFill="1" applyBorder="1" applyAlignment="1">
      <alignment horizontal="center" vertical="center"/>
    </xf>
    <xf numFmtId="0" fontId="5" fillId="0" borderId="73" xfId="60"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60" applyFont="1" applyFill="1" applyBorder="1" applyAlignment="1">
      <alignment horizontal="center" vertical="center"/>
    </xf>
    <xf numFmtId="0" fontId="6" fillId="0" borderId="43" xfId="60" applyFont="1" applyFill="1" applyBorder="1" applyAlignment="1">
      <alignment horizontal="center" vertical="center"/>
    </xf>
    <xf numFmtId="0" fontId="17" fillId="0" borderId="44" xfId="50" applyFont="1" applyFill="1" applyBorder="1" applyAlignment="1">
      <alignment horizontal="center" vertical="center" wrapText="1"/>
    </xf>
    <xf numFmtId="0" fontId="6" fillId="0" borderId="46" xfId="60" applyFont="1" applyFill="1" applyBorder="1" applyAlignment="1">
      <alignment horizontal="center" vertical="center"/>
    </xf>
    <xf numFmtId="0" fontId="17" fillId="0" borderId="47" xfId="50" applyFont="1" applyFill="1" applyBorder="1" applyAlignment="1">
      <alignment horizontal="center" vertical="center" wrapText="1"/>
    </xf>
    <xf numFmtId="0" fontId="6" fillId="0" borderId="68" xfId="60" applyFont="1" applyFill="1" applyBorder="1" applyAlignment="1">
      <alignment horizontal="left" vertical="center"/>
    </xf>
    <xf numFmtId="0" fontId="6" fillId="0" borderId="51" xfId="60"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60" applyFill="1" applyBorder="1" applyAlignment="1">
      <alignment horizontal="center" vertical="center"/>
    </xf>
    <xf numFmtId="0" fontId="1" fillId="0" borderId="72" xfId="60" applyFill="1" applyBorder="1" applyAlignment="1">
      <alignment horizontal="center" vertical="center"/>
    </xf>
    <xf numFmtId="0" fontId="6" fillId="0" borderId="52" xfId="0" applyFont="1" applyBorder="1" applyAlignment="1">
      <alignment horizontal="left" vertical="center"/>
    </xf>
    <xf numFmtId="0" fontId="6" fillId="0" borderId="69" xfId="60"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60"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60"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2" xfId="50" applyFont="1" applyFill="1" applyBorder="1" applyAlignment="1">
      <alignment horizontal="center" vertical="center"/>
    </xf>
    <xf numFmtId="0" fontId="9" fillId="2" borderId="2" xfId="60" applyFont="1" applyFill="1" applyBorder="1" applyAlignment="1">
      <alignment horizontal="left" vertical="center"/>
    </xf>
    <xf numFmtId="0" fontId="48" fillId="0" borderId="43" xfId="50" applyFont="1" applyFill="1" applyBorder="1" applyAlignment="1">
      <alignment horizontal="center" vertical="center"/>
    </xf>
    <xf numFmtId="0" fontId="48" fillId="0" borderId="44" xfId="50" applyFont="1" applyFill="1" applyBorder="1" applyAlignment="1">
      <alignment horizontal="center" vertical="center" wrapText="1"/>
    </xf>
    <xf numFmtId="0" fontId="48" fillId="0" borderId="46" xfId="50" applyFont="1" applyFill="1" applyBorder="1" applyAlignment="1">
      <alignment horizontal="center" vertical="center"/>
    </xf>
    <xf numFmtId="0" fontId="48" fillId="0" borderId="47"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60" applyFont="1" applyFill="1" applyBorder="1" applyAlignment="1">
      <alignment vertical="center"/>
    </xf>
    <xf numFmtId="0" fontId="5" fillId="0" borderId="78" xfId="60" applyFont="1" applyFill="1" applyBorder="1" applyAlignment="1">
      <alignment horizontal="center" vertical="center"/>
    </xf>
    <xf numFmtId="0" fontId="5" fillId="0" borderId="79" xfId="60" applyFont="1" applyFill="1" applyBorder="1" applyAlignment="1">
      <alignment horizontal="center" vertical="center" wrapText="1"/>
    </xf>
    <xf numFmtId="0" fontId="5" fillId="0" borderId="80" xfId="60" applyFont="1" applyFill="1" applyBorder="1" applyAlignment="1">
      <alignment horizontal="center" vertical="center" wrapText="1"/>
    </xf>
    <xf numFmtId="0" fontId="5" fillId="0" borderId="56" xfId="60" applyFont="1" applyFill="1" applyBorder="1" applyAlignment="1">
      <alignment horizontal="center" vertical="center"/>
    </xf>
    <xf numFmtId="0" fontId="5" fillId="0" borderId="47" xfId="60" applyFont="1" applyFill="1" applyBorder="1" applyAlignment="1">
      <alignment horizontal="center" vertical="center"/>
    </xf>
    <xf numFmtId="0" fontId="5" fillId="0" borderId="81" xfId="60" applyFont="1" applyFill="1" applyBorder="1" applyAlignment="1">
      <alignment horizontal="center" vertical="center"/>
    </xf>
    <xf numFmtId="0" fontId="5" fillId="0" borderId="82" xfId="60" applyFont="1" applyFill="1" applyBorder="1" applyAlignment="1">
      <alignment horizontal="center" vertical="center" wrapText="1"/>
    </xf>
    <xf numFmtId="0" fontId="37" fillId="0" borderId="83" xfId="60" applyFont="1" applyFill="1" applyBorder="1" applyAlignment="1">
      <alignment horizontal="center" vertical="center" wrapText="1"/>
    </xf>
    <xf numFmtId="0" fontId="6" fillId="0" borderId="78" xfId="0" applyFont="1" applyBorder="1" applyAlignment="1">
      <alignment horizontal="center" vertical="center"/>
    </xf>
    <xf numFmtId="0" fontId="6" fillId="0" borderId="24"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60" applyFont="1" applyFill="1" applyBorder="1" applyAlignment="1">
      <alignment horizontal="center" vertical="center"/>
    </xf>
    <xf numFmtId="0" fontId="6" fillId="0" borderId="85" xfId="60" applyFont="1" applyFill="1" applyBorder="1" applyAlignment="1">
      <alignment horizontal="center" vertical="center" wrapText="1"/>
    </xf>
    <xf numFmtId="0" fontId="6" fillId="0" borderId="86" xfId="60" applyFont="1" applyFill="1" applyBorder="1" applyAlignment="1">
      <alignment horizontal="center" vertical="center" wrapText="1"/>
    </xf>
    <xf numFmtId="0" fontId="6" fillId="0" borderId="56" xfId="60" applyFont="1" applyFill="1" applyBorder="1" applyAlignment="1">
      <alignment horizontal="left" vertical="center"/>
    </xf>
    <xf numFmtId="0" fontId="1" fillId="0" borderId="2" xfId="60" applyFill="1" applyBorder="1" applyAlignment="1">
      <alignment horizontal="center" vertical="center"/>
    </xf>
    <xf numFmtId="0" fontId="6" fillId="0" borderId="84" xfId="60" applyFont="1" applyFill="1" applyBorder="1" applyAlignment="1">
      <alignment horizontal="center" vertical="center"/>
    </xf>
    <xf numFmtId="0" fontId="6" fillId="0" borderId="87" xfId="60" applyFont="1" applyFill="1" applyBorder="1" applyAlignment="1">
      <alignment horizontal="center" vertical="center" wrapText="1"/>
    </xf>
    <xf numFmtId="0" fontId="6" fillId="0" borderId="81" xfId="60" applyFont="1" applyFill="1" applyBorder="1" applyAlignment="1">
      <alignment horizontal="center" vertical="center"/>
    </xf>
    <xf numFmtId="0" fontId="6" fillId="0" borderId="88" xfId="60" applyFont="1" applyFill="1" applyBorder="1" applyAlignment="1">
      <alignment horizontal="center" vertical="center" wrapText="1"/>
    </xf>
    <xf numFmtId="0" fontId="6" fillId="0" borderId="83" xfId="60" applyFont="1" applyFill="1" applyBorder="1" applyAlignment="1">
      <alignment horizontal="center" vertical="center" wrapText="1"/>
    </xf>
    <xf numFmtId="0" fontId="6" fillId="0" borderId="24" xfId="60" applyFont="1" applyBorder="1" applyAlignment="1">
      <alignment horizontal="center" vertical="center" wrapText="1"/>
    </xf>
    <xf numFmtId="0" fontId="0" fillId="0" borderId="2" xfId="0" applyBorder="1">
      <alignment vertical="center"/>
    </xf>
    <xf numFmtId="0" fontId="6" fillId="0" borderId="89" xfId="60" applyFont="1" applyFill="1" applyBorder="1" applyAlignment="1">
      <alignment horizontal="center" vertical="center" wrapText="1"/>
    </xf>
    <xf numFmtId="0" fontId="6" fillId="0" borderId="90" xfId="60" applyFont="1" applyFill="1" applyBorder="1" applyAlignment="1">
      <alignment horizontal="center" vertical="center"/>
    </xf>
    <xf numFmtId="0" fontId="6" fillId="0" borderId="81" xfId="0" applyFont="1" applyBorder="1" applyAlignment="1">
      <alignment horizontal="center" vertical="center"/>
    </xf>
    <xf numFmtId="0" fontId="9" fillId="0" borderId="2" xfId="60" applyFont="1" applyBorder="1" applyAlignment="1">
      <alignment horizontal="center" vertical="center" wrapText="1"/>
    </xf>
    <xf numFmtId="0" fontId="6" fillId="0" borderId="2" xfId="60" applyFont="1" applyBorder="1" applyAlignment="1">
      <alignment horizontal="left" vertical="center"/>
    </xf>
    <xf numFmtId="0" fontId="1" fillId="0" borderId="2" xfId="60" applyBorder="1">
      <alignment vertical="center"/>
    </xf>
    <xf numFmtId="0" fontId="6" fillId="0" borderId="24" xfId="0" applyFont="1" applyBorder="1" applyAlignment="1">
      <alignment horizontal="left" vertical="center"/>
    </xf>
    <xf numFmtId="0" fontId="6" fillId="0" borderId="56" xfId="0" applyFont="1" applyBorder="1" applyAlignment="1">
      <alignment horizontal="left" vertical="center"/>
    </xf>
    <xf numFmtId="0" fontId="6" fillId="0" borderId="0" xfId="60" applyFont="1" applyFill="1" applyAlignment="1">
      <alignment horizontal="center" vertical="center"/>
    </xf>
    <xf numFmtId="0" fontId="5" fillId="0" borderId="91" xfId="60" applyFont="1" applyFill="1" applyBorder="1" applyAlignment="1">
      <alignment horizontal="center" vertical="center" wrapText="1"/>
    </xf>
    <xf numFmtId="0" fontId="5" fillId="0" borderId="92" xfId="60" applyFont="1" applyFill="1" applyBorder="1" applyAlignment="1">
      <alignment horizontal="center" vertical="center" wrapText="1"/>
    </xf>
    <xf numFmtId="0" fontId="5" fillId="0" borderId="93" xfId="60" applyFont="1" applyFill="1" applyBorder="1" applyAlignment="1">
      <alignment horizontal="center" vertical="center" wrapText="1"/>
    </xf>
    <xf numFmtId="0" fontId="6" fillId="0" borderId="0" xfId="60" applyFont="1" applyFill="1" applyAlignment="1">
      <alignment horizontal="center" vertical="center" wrapText="1"/>
    </xf>
    <xf numFmtId="0" fontId="5" fillId="0" borderId="94" xfId="60" applyFont="1" applyFill="1" applyBorder="1" applyAlignment="1">
      <alignment horizontal="center" vertical="center" wrapText="1"/>
    </xf>
    <xf numFmtId="0" fontId="5" fillId="0" borderId="95" xfId="60" applyFont="1" applyFill="1" applyBorder="1" applyAlignment="1">
      <alignment horizontal="center" vertical="center" wrapText="1"/>
    </xf>
    <xf numFmtId="0" fontId="5" fillId="0" borderId="96" xfId="60" applyFont="1" applyFill="1" applyBorder="1" applyAlignment="1">
      <alignment horizontal="center" vertical="center" wrapText="1"/>
    </xf>
    <xf numFmtId="182" fontId="1" fillId="0" borderId="2" xfId="60" applyNumberFormat="1" applyBorder="1" applyAlignment="1">
      <alignment horizontal="center" vertical="center" wrapText="1"/>
    </xf>
    <xf numFmtId="0" fontId="1" fillId="0" borderId="25" xfId="60" applyFill="1" applyBorder="1" applyAlignment="1">
      <alignment horizontal="center" vertical="center"/>
    </xf>
    <xf numFmtId="182" fontId="1" fillId="0" borderId="97" xfId="60" applyNumberFormat="1" applyFill="1" applyBorder="1" applyAlignment="1">
      <alignment horizontal="right" vertical="center" wrapText="1"/>
    </xf>
    <xf numFmtId="182" fontId="1" fillId="0" borderId="98" xfId="60" applyNumberFormat="1" applyFill="1" applyBorder="1" applyAlignment="1">
      <alignment horizontal="right" vertical="center" wrapText="1"/>
    </xf>
    <xf numFmtId="182" fontId="1" fillId="0" borderId="89" xfId="60" applyNumberFormat="1" applyFill="1" applyBorder="1" applyAlignment="1">
      <alignment horizontal="center" vertical="center" wrapText="1"/>
    </xf>
    <xf numFmtId="182" fontId="1" fillId="0" borderId="80" xfId="60" applyNumberFormat="1" applyFill="1" applyBorder="1" applyAlignment="1">
      <alignment horizontal="right" vertical="center" wrapText="1"/>
    </xf>
    <xf numFmtId="182" fontId="1" fillId="0" borderId="87" xfId="60" applyNumberFormat="1" applyFill="1" applyBorder="1" applyAlignment="1">
      <alignment horizontal="center" vertical="center" wrapText="1"/>
    </xf>
    <xf numFmtId="0" fontId="1" fillId="0" borderId="0" xfId="60" applyFill="1" applyBorder="1" applyAlignment="1">
      <alignment horizontal="center" vertical="center"/>
    </xf>
    <xf numFmtId="182" fontId="1" fillId="0" borderId="88" xfId="60" applyNumberFormat="1" applyFill="1" applyBorder="1" applyAlignment="1">
      <alignment horizontal="center" vertical="center" wrapText="1"/>
    </xf>
    <xf numFmtId="0" fontId="1" fillId="0" borderId="0" xfId="60" applyAlignment="1">
      <alignment horizontal="center" vertical="center"/>
    </xf>
    <xf numFmtId="0" fontId="9" fillId="0" borderId="2" xfId="60" applyFont="1" applyBorder="1" applyAlignment="1">
      <alignment horizontal="center" vertical="center"/>
    </xf>
    <xf numFmtId="0" fontId="6" fillId="0" borderId="0" xfId="60"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60" applyFont="1" applyFill="1" applyBorder="1" applyAlignment="1">
      <alignment horizontal="center" vertical="center" wrapText="1"/>
    </xf>
    <xf numFmtId="0" fontId="6" fillId="0" borderId="85" xfId="60" applyFont="1" applyFill="1" applyBorder="1" applyAlignment="1">
      <alignment horizontal="left" vertical="center"/>
    </xf>
    <xf numFmtId="0" fontId="6" fillId="0" borderId="50" xfId="60" applyFont="1" applyFill="1" applyBorder="1" applyAlignment="1">
      <alignment horizontal="left" vertical="center"/>
    </xf>
    <xf numFmtId="0" fontId="6" fillId="0" borderId="24"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5" xfId="0" applyFont="1" applyBorder="1" applyAlignment="1">
      <alignment horizontal="center" vertical="center"/>
    </xf>
    <xf numFmtId="0" fontId="52" fillId="0" borderId="24" xfId="0" applyFont="1" applyBorder="1" applyAlignment="1">
      <alignment horizontal="center" vertical="center"/>
    </xf>
    <xf numFmtId="0" fontId="52" fillId="0" borderId="2" xfId="0" applyFont="1" applyBorder="1" applyAlignment="1">
      <alignment horizontal="center" vertical="center"/>
    </xf>
    <xf numFmtId="14" fontId="52" fillId="0" borderId="25" xfId="0" applyNumberFormat="1" applyFont="1" applyBorder="1" applyAlignment="1">
      <alignment horizontal="center" vertical="center"/>
    </xf>
    <xf numFmtId="0" fontId="0" fillId="0" borderId="25" xfId="0" applyFont="1" applyBorder="1" applyAlignment="1">
      <alignment horizontal="center" vertical="center"/>
    </xf>
    <xf numFmtId="0" fontId="0" fillId="0" borderId="24"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85"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19"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5"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47"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5"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47" xfId="0" applyFont="1" applyFill="1" applyBorder="1" applyAlignment="1">
      <alignment horizontal="center" vertical="center"/>
    </xf>
    <xf numFmtId="181" fontId="55" fillId="0" borderId="47"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81"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47"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1" fontId="55" fillId="0" borderId="68" xfId="0" applyNumberFormat="1" applyFont="1" applyFill="1" applyBorder="1" applyAlignment="1">
      <alignment horizontal="center" vertical="center" wrapText="1"/>
    </xf>
    <xf numFmtId="186" fontId="55" fillId="0" borderId="47" xfId="0" applyNumberFormat="1" applyFont="1" applyFill="1" applyBorder="1" applyAlignment="1">
      <alignment horizontal="center" vertical="center" wrapText="1"/>
    </xf>
    <xf numFmtId="0" fontId="0" fillId="0" borderId="68" xfId="0" applyBorder="1">
      <alignment vertical="center"/>
    </xf>
    <xf numFmtId="0" fontId="59" fillId="0" borderId="47"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47"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47"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47" xfId="0" applyFont="1" applyFill="1" applyBorder="1" applyAlignment="1">
      <alignment vertical="center" wrapText="1"/>
    </xf>
    <xf numFmtId="0" fontId="55" fillId="0" borderId="68" xfId="0" applyFont="1" applyFill="1" applyBorder="1" applyAlignment="1">
      <alignment horizontal="center" vertical="center"/>
    </xf>
    <xf numFmtId="0" fontId="56" fillId="0" borderId="47" xfId="0" applyFont="1" applyFill="1" applyBorder="1" applyAlignment="1">
      <alignment horizontal="center" vertical="center" wrapText="1"/>
    </xf>
    <xf numFmtId="187" fontId="55" fillId="0" borderId="47" xfId="0" applyNumberFormat="1" applyFont="1" applyFill="1" applyBorder="1" applyAlignment="1">
      <alignment horizontal="center" vertical="center" wrapText="1"/>
    </xf>
    <xf numFmtId="0" fontId="60" fillId="0" borderId="47" xfId="0" applyFont="1" applyFill="1" applyBorder="1" applyAlignment="1">
      <alignment horizontal="center" vertical="center" wrapText="1"/>
    </xf>
    <xf numFmtId="0" fontId="54" fillId="0" borderId="47" xfId="0" applyFont="1" applyFill="1" applyBorder="1" applyAlignment="1">
      <alignment vertical="center" wrapText="1"/>
    </xf>
    <xf numFmtId="0" fontId="54" fillId="0" borderId="47"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0" borderId="47" xfId="7" applyFont="1" applyFill="1" applyBorder="1" applyAlignment="1">
      <alignment horizontal="center" vertical="center" wrapText="1"/>
    </xf>
    <xf numFmtId="0" fontId="55" fillId="0" borderId="24"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4"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4" fontId="55" fillId="0" borderId="47" xfId="0" applyNumberFormat="1" applyFont="1" applyFill="1" applyBorder="1" applyAlignment="1">
      <alignment horizontal="center" vertical="center" wrapText="1"/>
    </xf>
    <xf numFmtId="184" fontId="55" fillId="0" borderId="47" xfId="7" applyNumberFormat="1" applyFont="1" applyFill="1" applyBorder="1" applyAlignment="1">
      <alignment horizontal="center" vertical="center" wrapText="1"/>
    </xf>
    <xf numFmtId="0" fontId="66" fillId="0" borderId="47" xfId="0" applyFont="1" applyFill="1" applyBorder="1" applyAlignment="1">
      <alignment horizontal="center" vertical="center" wrapText="1"/>
    </xf>
    <xf numFmtId="0" fontId="67" fillId="0" borderId="47"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47" xfId="7" applyFont="1" applyFill="1" applyBorder="1" applyAlignment="1">
      <alignment vertical="center" wrapText="1"/>
    </xf>
    <xf numFmtId="0" fontId="55" fillId="0" borderId="47"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0" xfId="0" applyFont="1" applyFill="1" applyBorder="1" applyAlignment="1">
      <alignment horizontal="center" vertical="center"/>
    </xf>
    <xf numFmtId="0" fontId="55" fillId="0" borderId="12" xfId="0" applyFont="1" applyFill="1" applyBorder="1" applyAlignment="1">
      <alignment horizontal="center" vertical="center"/>
    </xf>
    <xf numFmtId="0" fontId="55" fillId="0" borderId="23" xfId="0" applyFont="1" applyFill="1" applyBorder="1" applyAlignment="1">
      <alignment horizontal="center" vertical="center"/>
    </xf>
    <xf numFmtId="0" fontId="55" fillId="0" borderId="16"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86"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86" fontId="58" fillId="0" borderId="12" xfId="0" applyNumberFormat="1" applyFont="1" applyFill="1" applyBorder="1" applyAlignment="1">
      <alignment horizontal="center" vertical="center"/>
    </xf>
    <xf numFmtId="186" fontId="58" fillId="0" borderId="16"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5"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7" xfId="0" applyFont="1" applyFill="1" applyBorder="1" applyAlignment="1">
      <alignment horizontal="center" vertical="center"/>
    </xf>
    <xf numFmtId="0" fontId="39" fillId="0" borderId="17" xfId="0" applyFont="1" applyFill="1" applyBorder="1" applyAlignment="1">
      <alignment vertical="center"/>
    </xf>
    <xf numFmtId="0" fontId="55" fillId="0" borderId="46"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47" xfId="0" applyFont="1" applyFill="1" applyBorder="1" applyAlignment="1">
      <alignment horizontal="center" vertical="center"/>
    </xf>
    <xf numFmtId="0" fontId="55" fillId="0" borderId="67" xfId="0" applyFont="1" applyBorder="1" applyAlignment="1">
      <alignment vertical="center"/>
    </xf>
    <xf numFmtId="0" fontId="55" fillId="0" borderId="47" xfId="0" applyFont="1" applyFill="1" applyBorder="1" applyAlignment="1">
      <alignment vertical="center"/>
    </xf>
    <xf numFmtId="178" fontId="55" fillId="0" borderId="48" xfId="0" applyNumberFormat="1" applyFont="1" applyFill="1" applyBorder="1" applyAlignment="1">
      <alignment vertical="center"/>
    </xf>
    <xf numFmtId="0" fontId="55" fillId="8" borderId="47" xfId="0"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0" fontId="55" fillId="0" borderId="56" xfId="0" applyFont="1" applyFill="1" applyBorder="1" applyAlignment="1">
      <alignment horizontal="center"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55" fillId="0" borderId="61" xfId="0" applyFont="1" applyFill="1" applyBorder="1" applyAlignment="1">
      <alignment vertical="center"/>
    </xf>
    <xf numFmtId="0" fontId="71" fillId="0" borderId="47" xfId="0" applyFont="1" applyFill="1" applyBorder="1" applyAlignment="1">
      <alignment horizontal="center" vertical="center"/>
    </xf>
    <xf numFmtId="0" fontId="55" fillId="0" borderId="48" xfId="0" applyFont="1" applyFill="1" applyBorder="1" applyAlignment="1">
      <alignment vertical="center"/>
    </xf>
    <xf numFmtId="0" fontId="55" fillId="8" borderId="50" xfId="0" applyFont="1" applyFill="1" applyBorder="1" applyAlignment="1">
      <alignment vertical="center"/>
    </xf>
    <xf numFmtId="0" fontId="55" fillId="0" borderId="100" xfId="0" applyFont="1" applyFill="1" applyBorder="1" applyAlignment="1">
      <alignment vertical="center"/>
    </xf>
    <xf numFmtId="0" fontId="55" fillId="0" borderId="63" xfId="0" applyFont="1" applyFill="1" applyBorder="1" applyAlignment="1">
      <alignment horizontal="center" vertical="center"/>
    </xf>
    <xf numFmtId="0" fontId="55" fillId="0" borderId="85" xfId="0" applyFont="1" applyFill="1" applyBorder="1" applyAlignment="1">
      <alignment horizontal="center" vertical="center"/>
    </xf>
    <xf numFmtId="0" fontId="55" fillId="0" borderId="67" xfId="0" applyFont="1" applyFill="1" applyBorder="1" applyAlignment="1">
      <alignment vertical="center"/>
    </xf>
    <xf numFmtId="14" fontId="55" fillId="0" borderId="0" xfId="0" applyNumberFormat="1" applyFont="1" applyFill="1" applyBorder="1" applyAlignment="1">
      <alignment vertical="center"/>
    </xf>
    <xf numFmtId="0" fontId="67" fillId="19" borderId="47"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8" borderId="48" xfId="0" applyFont="1" applyFill="1" applyBorder="1" applyAlignment="1">
      <alignment vertical="center"/>
    </xf>
    <xf numFmtId="0" fontId="55" fillId="0" borderId="65" xfId="0" applyFont="1" applyFill="1" applyBorder="1" applyAlignment="1">
      <alignment vertical="center"/>
    </xf>
    <xf numFmtId="0" fontId="55" fillId="8" borderId="53" xfId="0" applyFont="1" applyFill="1" applyBorder="1" applyAlignment="1">
      <alignment vertical="center"/>
    </xf>
    <xf numFmtId="0" fontId="55" fillId="0" borderId="52" xfId="0" applyFont="1" applyFill="1" applyBorder="1" applyAlignment="1">
      <alignment horizontal="center" vertical="center"/>
    </xf>
    <xf numFmtId="0" fontId="55" fillId="0" borderId="53" xfId="0"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77"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77"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4" xfId="0" applyFont="1" applyFill="1" applyBorder="1" applyAlignment="1">
      <alignment horizontal="center" vertical="center"/>
    </xf>
    <xf numFmtId="180" fontId="55" fillId="0" borderId="0" xfId="0" applyNumberFormat="1" applyFont="1" applyFill="1" applyBorder="1" applyAlignment="1">
      <alignment vertical="center" wrapText="1"/>
    </xf>
    <xf numFmtId="180" fontId="55" fillId="0" borderId="0" xfId="0" applyNumberFormat="1" applyFont="1" applyFill="1" applyBorder="1" applyAlignment="1">
      <alignment horizontal="center" vertical="center"/>
    </xf>
    <xf numFmtId="0" fontId="55" fillId="0" borderId="84" xfId="0" applyFont="1" applyFill="1" applyBorder="1" applyAlignment="1">
      <alignment horizontal="center" vertical="center"/>
    </xf>
    <xf numFmtId="180" fontId="55" fillId="0" borderId="2" xfId="0" applyNumberFormat="1" applyFont="1" applyFill="1" applyBorder="1" applyAlignment="1">
      <alignment horizontal="center" vertical="center"/>
    </xf>
    <xf numFmtId="180" fontId="55" fillId="0" borderId="12" xfId="0" applyNumberFormat="1" applyFont="1" applyFill="1" applyBorder="1" applyAlignment="1">
      <alignment horizontal="center" vertical="center"/>
    </xf>
    <xf numFmtId="180" fontId="55" fillId="0" borderId="25" xfId="0" applyNumberFormat="1" applyFont="1" applyFill="1" applyBorder="1" applyAlignment="1">
      <alignment horizontal="center" vertical="center"/>
    </xf>
    <xf numFmtId="0" fontId="55" fillId="0" borderId="103" xfId="0" applyFont="1" applyBorder="1">
      <alignment vertical="center"/>
    </xf>
    <xf numFmtId="0" fontId="55" fillId="0" borderId="101" xfId="0" applyFont="1" applyBorder="1">
      <alignment vertical="center"/>
    </xf>
    <xf numFmtId="0" fontId="55" fillId="0" borderId="42" xfId="0" applyFont="1" applyBorder="1">
      <alignment vertical="center"/>
    </xf>
    <xf numFmtId="0" fontId="55" fillId="0" borderId="81" xfId="0" applyFont="1" applyFill="1" applyBorder="1" applyAlignment="1">
      <alignment horizontal="center"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0"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0"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4"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77" fontId="55" fillId="0" borderId="0" xfId="0" applyNumberFormat="1" applyFont="1" applyBorder="1" applyAlignment="1">
      <alignment horizontal="center" vertical="center"/>
    </xf>
    <xf numFmtId="180" fontId="58" fillId="16" borderId="0" xfId="0" applyNumberFormat="1" applyFont="1" applyFill="1" applyBorder="1" applyAlignment="1">
      <alignment horizontal="center" vertical="center"/>
    </xf>
    <xf numFmtId="180"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0" xfId="0" applyFont="1" applyFill="1" applyBorder="1" applyAlignment="1">
      <alignment horizontal="left" vertical="center"/>
    </xf>
    <xf numFmtId="0" fontId="55" fillId="11" borderId="19" xfId="0" applyFont="1" applyFill="1" applyBorder="1" applyAlignment="1">
      <alignment horizontal="left" vertical="center"/>
    </xf>
    <xf numFmtId="0" fontId="55" fillId="19" borderId="25" xfId="0" applyFont="1" applyFill="1" applyBorder="1">
      <alignment vertical="center"/>
    </xf>
    <xf numFmtId="0" fontId="55" fillId="19" borderId="17" xfId="0" applyFont="1" applyFill="1" applyBorder="1">
      <alignment vertical="center"/>
    </xf>
    <xf numFmtId="0" fontId="55" fillId="19" borderId="24" xfId="0" applyFont="1" applyFill="1" applyBorder="1">
      <alignment vertical="center"/>
    </xf>
    <xf numFmtId="0" fontId="39" fillId="19" borderId="17" xfId="0" applyFont="1" applyFill="1" applyBorder="1" applyAlignment="1">
      <alignment vertical="center"/>
    </xf>
    <xf numFmtId="0" fontId="72" fillId="19" borderId="16" xfId="0" applyFont="1" applyFill="1" applyBorder="1" applyAlignment="1">
      <alignment horizontal="center" vertical="center" wrapText="1"/>
    </xf>
    <xf numFmtId="0" fontId="73" fillId="19" borderId="16" xfId="0" applyFont="1" applyFill="1" applyBorder="1" applyAlignment="1">
      <alignment horizontal="center" vertical="center"/>
    </xf>
    <xf numFmtId="0" fontId="17" fillId="0" borderId="104" xfId="0" applyFont="1" applyBorder="1" applyAlignment="1">
      <alignment horizontal="center" vertical="center"/>
    </xf>
    <xf numFmtId="0" fontId="17" fillId="0" borderId="47" xfId="0" applyFont="1" applyBorder="1" applyAlignment="1">
      <alignment horizontal="center" vertical="center"/>
    </xf>
    <xf numFmtId="0" fontId="55" fillId="0" borderId="68" xfId="0" applyFont="1" applyBorder="1" applyAlignment="1">
      <alignment horizontal="center" vertical="center"/>
    </xf>
    <xf numFmtId="0" fontId="55" fillId="0" borderId="47" xfId="0" applyFont="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47"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3"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19" xfId="0" applyFont="1" applyFill="1" applyBorder="1" applyAlignment="1">
      <alignment horizontal="left" vertical="center" wrapText="1"/>
    </xf>
    <xf numFmtId="0" fontId="39" fillId="19" borderId="24" xfId="0" applyFont="1" applyFill="1" applyBorder="1" applyAlignment="1">
      <alignment vertical="center"/>
    </xf>
    <xf numFmtId="185" fontId="55" fillId="0" borderId="68" xfId="0" applyNumberFormat="1" applyFont="1" applyBorder="1" applyAlignment="1">
      <alignment horizontal="center" vertical="center"/>
    </xf>
    <xf numFmtId="185" fontId="55" fillId="0" borderId="47" xfId="0" applyNumberFormat="1" applyFont="1" applyBorder="1" applyAlignment="1">
      <alignment horizontal="center" vertical="center"/>
    </xf>
    <xf numFmtId="185" fontId="55" fillId="0" borderId="47" xfId="0" applyNumberFormat="1" applyFont="1" applyFill="1" applyBorder="1" applyAlignment="1">
      <alignment horizontal="center" vertical="center"/>
    </xf>
    <xf numFmtId="185" fontId="55" fillId="0" borderId="50" xfId="0" applyNumberFormat="1" applyFont="1" applyBorder="1" applyAlignment="1">
      <alignment horizontal="center" vertical="center"/>
    </xf>
    <xf numFmtId="0" fontId="73" fillId="19" borderId="12" xfId="0" applyFont="1" applyFill="1" applyBorder="1" applyAlignment="1">
      <alignment horizontal="center" vertical="center"/>
    </xf>
    <xf numFmtId="0" fontId="55" fillId="0" borderId="68" xfId="0" applyFont="1" applyBorder="1">
      <alignment vertical="center"/>
    </xf>
    <xf numFmtId="0" fontId="55" fillId="0" borderId="68" xfId="0" applyFont="1" applyFill="1" applyBorder="1" applyAlignment="1">
      <alignment vertical="center"/>
    </xf>
    <xf numFmtId="0" fontId="55" fillId="0" borderId="47" xfId="0" applyFont="1" applyBorder="1">
      <alignment vertical="center"/>
    </xf>
    <xf numFmtId="0" fontId="55" fillId="0" borderId="68" xfId="0" applyFont="1" applyBorder="1" applyAlignment="1">
      <alignment vertical="center"/>
    </xf>
    <xf numFmtId="0" fontId="39" fillId="0" borderId="47" xfId="0" applyFont="1" applyFill="1" applyBorder="1" applyAlignment="1">
      <alignment vertical="center"/>
    </xf>
    <xf numFmtId="0" fontId="39" fillId="0" borderId="47"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0"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77" fontId="55" fillId="11" borderId="19" xfId="0" applyNumberFormat="1" applyFont="1" applyFill="1" applyBorder="1" applyAlignment="1">
      <alignment horizontal="left" vertical="center"/>
    </xf>
    <xf numFmtId="177" fontId="55" fillId="11" borderId="20" xfId="0" applyNumberFormat="1" applyFont="1" applyFill="1" applyBorder="1" applyAlignment="1">
      <alignment horizontal="left" vertical="center"/>
    </xf>
    <xf numFmtId="177" fontId="55" fillId="11" borderId="9" xfId="0" applyNumberFormat="1" applyFont="1" applyFill="1" applyBorder="1" applyAlignment="1">
      <alignment horizontal="left" vertical="center"/>
    </xf>
    <xf numFmtId="14" fontId="55" fillId="11" borderId="1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0" fontId="39" fillId="19" borderId="25" xfId="0" applyFont="1" applyFill="1" applyBorder="1" applyAlignment="1">
      <alignment horizontal="center" vertical="center"/>
    </xf>
    <xf numFmtId="0" fontId="39" fillId="19" borderId="17"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48" xfId="0" applyFont="1" applyFill="1" applyBorder="1" applyAlignment="1">
      <alignment horizontal="center" vertical="center"/>
    </xf>
    <xf numFmtId="0" fontId="55" fillId="0" borderId="100" xfId="0" applyFont="1" applyBorder="1" applyAlignment="1">
      <alignment horizontal="center" vertical="center"/>
    </xf>
    <xf numFmtId="0" fontId="55" fillId="0" borderId="61" xfId="0" applyFont="1" applyFill="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0" fontId="58" fillId="16" borderId="0" xfId="0" applyNumberFormat="1" applyFont="1" applyFill="1" applyBorder="1" applyAlignment="1">
      <alignment horizontal="left" vertical="center"/>
    </xf>
    <xf numFmtId="180" fontId="58" fillId="11" borderId="2" xfId="0" applyNumberFormat="1" applyFont="1" applyFill="1" applyBorder="1" applyAlignment="1">
      <alignment horizontal="center" vertical="center"/>
    </xf>
    <xf numFmtId="180" fontId="58" fillId="16" borderId="2" xfId="0" applyNumberFormat="1" applyFont="1" applyFill="1" applyBorder="1" applyAlignment="1">
      <alignment horizontal="center" vertical="center"/>
    </xf>
    <xf numFmtId="0" fontId="58" fillId="16" borderId="22" xfId="0" applyFont="1" applyFill="1" applyBorder="1" applyAlignment="1">
      <alignment horizontal="center" vertical="center"/>
    </xf>
    <xf numFmtId="180" fontId="75" fillId="20" borderId="2" xfId="0" applyNumberFormat="1" applyFont="1" applyFill="1" applyBorder="1" applyAlignment="1">
      <alignment horizontal="center" vertical="center"/>
    </xf>
    <xf numFmtId="180" fontId="58" fillId="20" borderId="2" xfId="0" applyNumberFormat="1" applyFont="1" applyFill="1" applyBorder="1" applyAlignment="1">
      <alignment horizontal="center" vertical="center"/>
    </xf>
    <xf numFmtId="180" fontId="75" fillId="16" borderId="2" xfId="0" applyNumberFormat="1" applyFont="1" applyFill="1" applyBorder="1" applyAlignment="1">
      <alignment horizontal="center" vertical="center"/>
    </xf>
    <xf numFmtId="180" fontId="76" fillId="16" borderId="0" xfId="0" applyNumberFormat="1" applyFont="1" applyFill="1" applyBorder="1" applyAlignment="1">
      <alignment horizontal="center" vertical="center"/>
    </xf>
    <xf numFmtId="180" fontId="58" fillId="16" borderId="25" xfId="0" applyNumberFormat="1" applyFont="1" applyFill="1" applyBorder="1" applyAlignment="1">
      <alignment horizontal="center" vertical="center"/>
    </xf>
    <xf numFmtId="180" fontId="75" fillId="16" borderId="25" xfId="0" applyNumberFormat="1" applyFont="1" applyFill="1" applyBorder="1" applyAlignment="1">
      <alignment horizontal="center" vertical="center"/>
    </xf>
    <xf numFmtId="0" fontId="41" fillId="16" borderId="22" xfId="0" applyFont="1" applyFill="1" applyBorder="1" applyAlignment="1">
      <alignment horizontal="center" vertical="center"/>
    </xf>
    <xf numFmtId="180" fontId="77" fillId="20" borderId="2" xfId="0" applyNumberFormat="1" applyFont="1" applyFill="1" applyBorder="1" applyAlignment="1">
      <alignment horizontal="center" vertical="center"/>
    </xf>
    <xf numFmtId="180" fontId="78" fillId="20" borderId="16" xfId="0" applyNumberFormat="1" applyFont="1" applyFill="1" applyBorder="1" applyAlignment="1">
      <alignment horizontal="center" vertical="center"/>
    </xf>
    <xf numFmtId="0" fontId="39" fillId="19" borderId="47" xfId="0" applyFont="1" applyFill="1" applyBorder="1" applyAlignment="1">
      <alignment horizontal="center" vertical="center"/>
    </xf>
    <xf numFmtId="0" fontId="41" fillId="16" borderId="0" xfId="0" applyFont="1" applyFill="1" applyBorder="1" applyAlignment="1">
      <alignment horizontal="center" vertical="center"/>
    </xf>
    <xf numFmtId="180" fontId="41" fillId="16" borderId="0" xfId="0" applyNumberFormat="1" applyFont="1" applyFill="1" applyBorder="1" applyAlignment="1">
      <alignment horizontal="center" vertical="center"/>
    </xf>
    <xf numFmtId="180" fontId="55" fillId="16" borderId="0" xfId="0" applyNumberFormat="1" applyFont="1" applyFill="1" applyBorder="1" applyAlignment="1">
      <alignment horizontal="left" vertical="center"/>
    </xf>
    <xf numFmtId="180"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82" fontId="67" fillId="16" borderId="68" xfId="0" applyNumberFormat="1" applyFont="1" applyFill="1" applyBorder="1" applyAlignment="1">
      <alignment horizontal="left" vertical="center"/>
    </xf>
    <xf numFmtId="183" fontId="67" fillId="16" borderId="68" xfId="0" applyNumberFormat="1" applyFont="1" applyFill="1" applyBorder="1" applyAlignment="1">
      <alignment horizontal="left" vertical="center"/>
    </xf>
    <xf numFmtId="183" fontId="67" fillId="16" borderId="68" xfId="0" applyNumberFormat="1" applyFont="1" applyFill="1" applyBorder="1" applyAlignment="1">
      <alignment horizontal="center" vertical="center"/>
    </xf>
    <xf numFmtId="0" fontId="67" fillId="16" borderId="47" xfId="0" applyFont="1" applyFill="1" applyBorder="1" applyAlignment="1">
      <alignment horizontal="left" vertical="center"/>
    </xf>
    <xf numFmtId="0" fontId="67" fillId="16" borderId="47" xfId="0" applyFont="1" applyFill="1" applyBorder="1" applyAlignment="1">
      <alignment vertical="center"/>
    </xf>
    <xf numFmtId="0" fontId="67" fillId="16" borderId="47"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6" xfId="0" applyFont="1" applyBorder="1" applyAlignment="1">
      <alignment horizontal="center" vertical="center"/>
    </xf>
    <xf numFmtId="182"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82" fontId="67" fillId="16" borderId="47"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79"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5" xfId="0" applyFont="1" applyFill="1" applyBorder="1" applyAlignment="1">
      <alignment horizontal="center" vertical="center" wrapText="1"/>
    </xf>
    <xf numFmtId="181"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2"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6"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6" fontId="6"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55" fillId="0" borderId="47" xfId="0" applyFont="1" applyFill="1" applyBorder="1" applyAlignment="1" quotePrefix="1">
      <alignment horizontal="center" vertical="center" wrapText="1"/>
    </xf>
    <xf numFmtId="0" fontId="55" fillId="0" borderId="47" xfId="7" applyFont="1" applyFill="1" applyBorder="1" applyAlignment="1" quotePrefix="1">
      <alignment horizontal="center" vertical="center" wrapText="1"/>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12" xfId="20"/>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6" xfId="64"/>
    <cellStyle name="常规 2 4 3" xfId="65"/>
    <cellStyle name="常规 2 4 4" xfId="66"/>
    <cellStyle name="常规 21" xfId="67"/>
    <cellStyle name="常规 3" xfId="68"/>
    <cellStyle name="常规 3 2" xfId="69"/>
    <cellStyle name="常规 4" xfId="70"/>
    <cellStyle name="常规 4 2" xfId="71"/>
    <cellStyle name="常规 4 2 2" xfId="72"/>
    <cellStyle name="常规 4 4"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49" hidden="1" customWidth="1"/>
    <col min="2" max="2" width="3.5" style="1149" hidden="1" customWidth="1"/>
    <col min="3" max="3" width="10.875" style="1150" hidden="1" customWidth="1"/>
    <col min="4" max="4" width="12.75" style="1149" hidden="1" customWidth="1"/>
    <col min="5" max="5" width="33.5" style="1149" hidden="1" customWidth="1"/>
    <col min="6" max="6" width="8.875" style="1149" customWidth="1"/>
    <col min="7" max="16384" width="9" style="1149"/>
  </cols>
  <sheetData>
    <row r="1" spans="1:5">
      <c r="A1" s="1151"/>
      <c r="B1" s="1151"/>
      <c r="C1" s="1152"/>
      <c r="D1" s="1152"/>
      <c r="E1" s="1152"/>
    </row>
    <row r="2" spans="1:5">
      <c r="A2" s="1151"/>
      <c r="B2" s="1151"/>
      <c r="C2" s="1152"/>
      <c r="D2" s="1152"/>
      <c r="E2" s="1152"/>
    </row>
    <row r="3" spans="1:5">
      <c r="A3" s="1151"/>
      <c r="B3" s="1151"/>
      <c r="C3" s="1152"/>
      <c r="D3" s="1152"/>
      <c r="E3" s="1152"/>
    </row>
    <row r="4" spans="1:5">
      <c r="A4" s="1151"/>
      <c r="B4" s="1151"/>
      <c r="C4" s="1152"/>
      <c r="D4" s="1152"/>
      <c r="E4" s="1152"/>
    </row>
    <row r="5" spans="1:5">
      <c r="A5" s="1151"/>
      <c r="B5" s="1151"/>
      <c r="C5" s="1152"/>
      <c r="D5" s="1152"/>
      <c r="E5" s="1152"/>
    </row>
    <row r="6" spans="1:5">
      <c r="A6" s="1151"/>
      <c r="B6" s="1151"/>
      <c r="C6" s="1152"/>
      <c r="D6" s="1152"/>
      <c r="E6" s="1152"/>
    </row>
    <row r="7" spans="1:5">
      <c r="A7" s="1151"/>
      <c r="B7" s="1151"/>
      <c r="C7" s="1152"/>
      <c r="D7" s="1152"/>
      <c r="E7" s="1152"/>
    </row>
    <row r="8" spans="1:5">
      <c r="A8" s="1151"/>
      <c r="B8" s="1151"/>
      <c r="C8" s="1152"/>
      <c r="D8" s="1152"/>
      <c r="E8" s="1152"/>
    </row>
    <row r="9" spans="2:5">
      <c r="B9" s="1151"/>
      <c r="C9" s="1152"/>
      <c r="D9" s="1152"/>
      <c r="E9" s="1152"/>
    </row>
    <row r="10" spans="2:5">
      <c r="B10" s="1151"/>
      <c r="C10" s="1152"/>
      <c r="D10" s="1152"/>
      <c r="E10" s="1152"/>
    </row>
    <row r="11" spans="2:5">
      <c r="B11" s="1151"/>
      <c r="C11" s="1152"/>
      <c r="D11" s="1152"/>
      <c r="E11" s="1152"/>
    </row>
    <row r="12" spans="2:5">
      <c r="B12" s="1151"/>
      <c r="C12" s="1152"/>
      <c r="D12" s="1152"/>
      <c r="E12" s="1152"/>
    </row>
    <row r="13" spans="2:5">
      <c r="B13" s="1151"/>
      <c r="C13" s="1152"/>
      <c r="D13" s="1152"/>
      <c r="E13" s="1152"/>
    </row>
    <row r="14" spans="2:5">
      <c r="B14" s="1151"/>
      <c r="C14" s="1152"/>
      <c r="D14" s="1152"/>
      <c r="E14" s="1152"/>
    </row>
    <row r="15" spans="2:5">
      <c r="B15" s="1151"/>
      <c r="C15" s="1152"/>
      <c r="D15" s="1152"/>
      <c r="E15" s="1152"/>
    </row>
    <row r="16" spans="2:5">
      <c r="B16" s="1151"/>
      <c r="C16" s="1152"/>
      <c r="D16" s="1152"/>
      <c r="E16" s="1152"/>
    </row>
    <row r="17" spans="2:5">
      <c r="B17" s="1151"/>
      <c r="C17" s="1152"/>
      <c r="D17" s="1152"/>
      <c r="E17" s="1152"/>
    </row>
    <row r="18" spans="2:5">
      <c r="B18" s="1151"/>
      <c r="C18" s="1152"/>
      <c r="D18" s="1152"/>
      <c r="E18" s="1152"/>
    </row>
    <row r="19" spans="2:5">
      <c r="B19" s="1151"/>
      <c r="C19" s="1152"/>
      <c r="D19" s="1152"/>
      <c r="E19" s="1152"/>
    </row>
    <row r="20" spans="2:5">
      <c r="B20" s="1151"/>
      <c r="C20" s="1152"/>
      <c r="D20" s="1152"/>
      <c r="E20" s="1152"/>
    </row>
    <row r="21" spans="2:5">
      <c r="B21" s="1151"/>
      <c r="C21" s="1152"/>
      <c r="D21" s="1152"/>
      <c r="E21" s="1152"/>
    </row>
    <row r="22" spans="2:5">
      <c r="B22" s="1151"/>
      <c r="C22" s="1152"/>
      <c r="D22" s="1152"/>
      <c r="E22" s="1152"/>
    </row>
    <row r="23" spans="2:5">
      <c r="B23" s="1151"/>
      <c r="C23" s="1152"/>
      <c r="D23" s="1152"/>
      <c r="E23" s="1152"/>
    </row>
    <row r="24" spans="2:5">
      <c r="B24" s="1151"/>
      <c r="C24" s="1152"/>
      <c r="D24" s="1152"/>
      <c r="E24" s="1152"/>
    </row>
    <row r="25" spans="2:5">
      <c r="B25" s="1151"/>
      <c r="C25" s="1152"/>
      <c r="D25" s="1152"/>
      <c r="E25" s="1152"/>
    </row>
    <row r="26" spans="2:5">
      <c r="B26" s="1151"/>
      <c r="C26" s="1152"/>
      <c r="D26" s="1152"/>
      <c r="E26" s="1152"/>
    </row>
    <row r="27" spans="2:5">
      <c r="B27" s="1151"/>
      <c r="C27" s="1152"/>
      <c r="D27" s="1152"/>
      <c r="E27" s="1152"/>
    </row>
    <row r="28" spans="2:5">
      <c r="B28" s="1151"/>
      <c r="C28" s="1152"/>
      <c r="D28" s="1152"/>
      <c r="E28" s="1152"/>
    </row>
    <row r="29" spans="2:5">
      <c r="B29" s="1151"/>
      <c r="C29" s="1152"/>
      <c r="E29" s="1152"/>
    </row>
    <row r="30" spans="2:5">
      <c r="B30" s="1151"/>
      <c r="C30" s="1152"/>
      <c r="E30" s="1152"/>
    </row>
    <row r="31" spans="2:5">
      <c r="B31" s="1151"/>
      <c r="C31" s="1152"/>
      <c r="E31" s="1152"/>
    </row>
    <row r="32" spans="2:5">
      <c r="B32" s="1151"/>
      <c r="C32" s="1152"/>
      <c r="E32" s="1152"/>
    </row>
    <row r="33" spans="2:5">
      <c r="B33" s="1151"/>
      <c r="C33" s="1152"/>
      <c r="E33" s="1152"/>
    </row>
    <row r="34" spans="2:5">
      <c r="B34" s="1151"/>
      <c r="C34" s="1152"/>
      <c r="E34" s="1152"/>
    </row>
    <row r="35" spans="2:5">
      <c r="B35" s="1151"/>
      <c r="C35" s="1152"/>
      <c r="E35" s="1152"/>
    </row>
    <row r="36" spans="2:5">
      <c r="B36" s="1151"/>
      <c r="C36" s="1152"/>
      <c r="E36" s="1152"/>
    </row>
    <row r="37" spans="2:5">
      <c r="B37" s="1151"/>
      <c r="C37" s="1152"/>
      <c r="E37" s="1152"/>
    </row>
    <row r="38" spans="2:5">
      <c r="B38" s="1151"/>
      <c r="C38" s="1152"/>
      <c r="E38" s="1152"/>
    </row>
    <row r="39" spans="2:5">
      <c r="B39" s="1151"/>
      <c r="C39" s="1152"/>
      <c r="E39" s="1152"/>
    </row>
    <row r="40" spans="2:5">
      <c r="B40" s="1151"/>
      <c r="C40" s="1152"/>
      <c r="E40" s="1152"/>
    </row>
    <row r="41" spans="2:5">
      <c r="B41" s="1151"/>
      <c r="C41" s="1152"/>
      <c r="E41" s="1152"/>
    </row>
    <row r="42" spans="2:5">
      <c r="B42" s="1151"/>
      <c r="C42" s="1152"/>
      <c r="E42" s="1152"/>
    </row>
    <row r="43" spans="2:5">
      <c r="B43" s="1151"/>
      <c r="C43" s="1152"/>
      <c r="E43" s="1152"/>
    </row>
    <row r="44" spans="2:5">
      <c r="B44" s="1151"/>
      <c r="C44" s="1152"/>
      <c r="E44" s="1152"/>
    </row>
    <row r="45" spans="2:5">
      <c r="B45" s="1151"/>
      <c r="C45" s="1152"/>
      <c r="E45" s="1152"/>
    </row>
    <row r="46" spans="2:5">
      <c r="B46" s="1151"/>
      <c r="C46" s="1152"/>
      <c r="E46" s="1152"/>
    </row>
    <row r="47" spans="2:5">
      <c r="B47" s="1151"/>
      <c r="C47" s="1152"/>
      <c r="E47" s="1152"/>
    </row>
    <row r="48" spans="2:5">
      <c r="B48" s="1151"/>
      <c r="C48" s="1152"/>
      <c r="E48" s="1152"/>
    </row>
    <row r="49" spans="2:5">
      <c r="B49" s="1151"/>
      <c r="C49" s="1152"/>
      <c r="E49" s="1152"/>
    </row>
    <row r="50" spans="2:5">
      <c r="B50" s="1151"/>
      <c r="C50" s="1152"/>
      <c r="E50" s="1152"/>
    </row>
    <row r="51" spans="2:5">
      <c r="B51" s="1151"/>
      <c r="C51" s="1152"/>
      <c r="E51" s="1152"/>
    </row>
    <row r="52" spans="2:5">
      <c r="B52" s="1151"/>
      <c r="C52" s="1152"/>
      <c r="E52" s="1152"/>
    </row>
    <row r="53" spans="2:5">
      <c r="B53" s="1151"/>
      <c r="C53" s="1152"/>
      <c r="E53" s="1152"/>
    </row>
    <row r="54" spans="2:5">
      <c r="B54" s="1151"/>
      <c r="C54" s="1152"/>
      <c r="E54" s="1152"/>
    </row>
    <row r="55" spans="2:3">
      <c r="B55" s="1151"/>
      <c r="C55" s="1152"/>
    </row>
    <row r="56" spans="2:3">
      <c r="B56" s="1151"/>
      <c r="C56" s="1152"/>
    </row>
    <row r="57" spans="2:3">
      <c r="B57" s="1151"/>
      <c r="C57" s="1152"/>
    </row>
    <row r="58" spans="2:3">
      <c r="B58" s="1151"/>
      <c r="C58" s="1152"/>
    </row>
    <row r="59" spans="2:3">
      <c r="B59" s="1151"/>
      <c r="C59" s="1152"/>
    </row>
    <row r="60" spans="2:3">
      <c r="B60" s="1151"/>
      <c r="C60" s="1152"/>
    </row>
    <row r="61" spans="2:3">
      <c r="B61" s="1151"/>
      <c r="C61" s="1152"/>
    </row>
    <row r="62" spans="2:3">
      <c r="B62" s="1151"/>
      <c r="C62" s="1152"/>
    </row>
    <row r="63" spans="2:3">
      <c r="B63" s="1151"/>
      <c r="C63" s="1152"/>
    </row>
    <row r="64" spans="2:3">
      <c r="B64" s="1151"/>
      <c r="C64" s="1152"/>
    </row>
    <row r="65" spans="2:3">
      <c r="B65" s="1151"/>
      <c r="C65" s="1152"/>
    </row>
    <row r="66" spans="2:3">
      <c r="B66" s="1151"/>
      <c r="C66" s="1152"/>
    </row>
    <row r="67" spans="2:3">
      <c r="B67" s="1151"/>
      <c r="C67" s="1152"/>
    </row>
    <row r="68" spans="2:3">
      <c r="B68" s="1151"/>
      <c r="C68" s="1152"/>
    </row>
    <row r="69" spans="2:3">
      <c r="B69" s="1151"/>
      <c r="C69" s="1152"/>
    </row>
    <row r="70" spans="2:3">
      <c r="B70" s="1151"/>
      <c r="C70" s="1152"/>
    </row>
    <row r="71" spans="2:3">
      <c r="B71" s="1151"/>
      <c r="C71" s="1152"/>
    </row>
    <row r="72" spans="2:3">
      <c r="B72" s="1151"/>
      <c r="C72" s="1152"/>
    </row>
    <row r="73" spans="2:3">
      <c r="B73" s="1151"/>
      <c r="C73" s="1152"/>
    </row>
    <row r="74" spans="2:3">
      <c r="B74" s="1151"/>
      <c r="C74" s="1152"/>
    </row>
    <row r="75" spans="2:3">
      <c r="B75" s="1151"/>
      <c r="C75" s="1152"/>
    </row>
    <row r="76" spans="2:3">
      <c r="B76" s="1151"/>
      <c r="C76" s="1152"/>
    </row>
    <row r="77" spans="2:3">
      <c r="B77" s="1151"/>
      <c r="C77" s="1152"/>
    </row>
    <row r="78" spans="2:3">
      <c r="B78" s="1151"/>
      <c r="C78" s="1152"/>
    </row>
    <row r="79" spans="2:3">
      <c r="B79" s="1151"/>
      <c r="C79" s="1152"/>
    </row>
    <row r="80" spans="2:3">
      <c r="B80" s="1151"/>
      <c r="C80" s="1152"/>
    </row>
    <row r="81" spans="2:3">
      <c r="B81" s="1151"/>
      <c r="C81" s="1152"/>
    </row>
    <row r="82" spans="2:3">
      <c r="B82" s="1151"/>
      <c r="C82" s="1152"/>
    </row>
    <row r="83" spans="2:3">
      <c r="B83" s="1151"/>
      <c r="C83" s="1152"/>
    </row>
    <row r="84" spans="2:3">
      <c r="B84" s="1150"/>
      <c r="C84" s="1152"/>
    </row>
    <row r="85" spans="2:3">
      <c r="B85" s="1150"/>
      <c r="C85" s="1152"/>
    </row>
    <row r="86" spans="2:3">
      <c r="B86" s="1150"/>
      <c r="C86" s="1152"/>
    </row>
    <row r="87" spans="2:3">
      <c r="B87" s="1150"/>
      <c r="C87" s="1152"/>
    </row>
    <row r="88" spans="2:3">
      <c r="B88" s="1150"/>
      <c r="C88" s="1152"/>
    </row>
    <row r="89" spans="2:3">
      <c r="B89" s="1150"/>
      <c r="C89" s="1152"/>
    </row>
    <row r="90" spans="2:2">
      <c r="B90" s="1150"/>
    </row>
    <row r="91" spans="2:2">
      <c r="B91" s="1150"/>
    </row>
    <row r="92" spans="2:2">
      <c r="B92" s="1150"/>
    </row>
    <row r="93" spans="2:2">
      <c r="B93" s="1150"/>
    </row>
    <row r="94" spans="2:2">
      <c r="B94" s="1150"/>
    </row>
    <row r="95" spans="2:2">
      <c r="B95" s="1150"/>
    </row>
    <row r="96" spans="2:2">
      <c r="B96" s="1150"/>
    </row>
    <row r="97" spans="2:2">
      <c r="B97" s="1150"/>
    </row>
    <row r="98" spans="2:2">
      <c r="B98" s="1150"/>
    </row>
    <row r="99" spans="2:2">
      <c r="B99" s="1150"/>
    </row>
    <row r="100" spans="2:2">
      <c r="B100" s="1150"/>
    </row>
    <row r="101" spans="2:2">
      <c r="B101" s="1150"/>
    </row>
    <row r="102" spans="2:2">
      <c r="B102" s="1150"/>
    </row>
    <row r="103" spans="2:2">
      <c r="B103" s="1150"/>
    </row>
    <row r="104" spans="2:2">
      <c r="B104" s="1150"/>
    </row>
    <row r="105" spans="2:2">
      <c r="B105" s="1150"/>
    </row>
    <row r="106" spans="2:2">
      <c r="B106" s="1150"/>
    </row>
    <row r="107" spans="2:2">
      <c r="B107" s="1150"/>
    </row>
    <row r="108" spans="2:2">
      <c r="B108" s="1150"/>
    </row>
    <row r="109" spans="2:2">
      <c r="B109" s="1150"/>
    </row>
    <row r="110" spans="2:2">
      <c r="B110" s="1150"/>
    </row>
    <row r="111" spans="2:2">
      <c r="B111" s="1150"/>
    </row>
    <row r="112" spans="2:2">
      <c r="B112" s="1150"/>
    </row>
    <row r="113" spans="2:2">
      <c r="B113" s="1150"/>
    </row>
    <row r="114" spans="2:2">
      <c r="B114" s="1150"/>
    </row>
    <row r="115" spans="2:2">
      <c r="B115" s="1150"/>
    </row>
    <row r="116" spans="2:2">
      <c r="B116" s="1150"/>
    </row>
    <row r="117" spans="2:2">
      <c r="B117" s="1150"/>
    </row>
    <row r="118" spans="2:2">
      <c r="B118" s="1150"/>
    </row>
    <row r="119" spans="2:2">
      <c r="B119" s="1150"/>
    </row>
    <row r="120" spans="2:2">
      <c r="B120" s="1150"/>
    </row>
    <row r="121" spans="2:2">
      <c r="B121" s="1150"/>
    </row>
    <row r="122" spans="2:2">
      <c r="B122" s="1150"/>
    </row>
    <row r="123" spans="2:2">
      <c r="B123" s="1150"/>
    </row>
    <row r="124" spans="2:2">
      <c r="B124" s="1150"/>
    </row>
    <row r="125" spans="2:2">
      <c r="B125" s="1150"/>
    </row>
    <row r="126" spans="2:2">
      <c r="B126" s="1150"/>
    </row>
    <row r="127" spans="2:2">
      <c r="B127" s="1150"/>
    </row>
    <row r="128" spans="2:2">
      <c r="B128" s="1150"/>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69" customWidth="1"/>
    <col min="2" max="2" width="6.25" style="569" customWidth="1"/>
    <col min="3" max="3" width="6.375" style="569" customWidth="1"/>
    <col min="4" max="4" width="5.375" style="569" customWidth="1"/>
    <col min="5" max="5" width="5.875" style="570" customWidth="1"/>
    <col min="6" max="6" width="5.75" style="571" customWidth="1"/>
    <col min="7" max="7" width="5.25" style="569" customWidth="1"/>
    <col min="8" max="8" width="5.625" style="569" customWidth="1"/>
    <col min="9" max="9" width="7.875" style="569" customWidth="1"/>
    <col min="10" max="10" width="9" style="569"/>
    <col min="11" max="11" width="12.25" style="569" customWidth="1"/>
    <col min="12" max="16" width="9" style="569"/>
    <col min="17" max="17" width="9" style="569" customWidth="1"/>
    <col min="18" max="18" width="15.5" style="569" customWidth="1"/>
    <col min="19" max="19" width="11.25" style="569" customWidth="1"/>
    <col min="20" max="21" width="9" style="569" customWidth="1"/>
    <col min="22" max="22" width="43" style="569" customWidth="1"/>
    <col min="23" max="23" width="36.125" style="569" customWidth="1"/>
    <col min="24" max="24" width="39.625" style="569" customWidth="1"/>
    <col min="25" max="25" width="23.375" style="569" customWidth="1"/>
    <col min="26" max="16384" width="9" style="569"/>
  </cols>
  <sheetData>
    <row r="1" ht="12.95" customHeight="1" spans="1:6">
      <c r="A1" s="572"/>
      <c r="B1" s="572"/>
      <c r="C1" s="572"/>
      <c r="D1" s="572"/>
      <c r="E1" s="573"/>
      <c r="F1" s="574"/>
    </row>
    <row r="2" ht="12.95" customHeight="1" spans="1:11">
      <c r="A2" s="575"/>
      <c r="B2" s="575"/>
      <c r="C2" s="575"/>
      <c r="D2" s="575"/>
      <c r="E2" s="573"/>
      <c r="F2" s="576" t="s">
        <v>941</v>
      </c>
      <c r="G2" s="576"/>
      <c r="H2" s="576"/>
      <c r="I2" s="576"/>
      <c r="J2" s="576"/>
      <c r="K2" s="576"/>
    </row>
    <row r="3" ht="18.75" spans="1:12">
      <c r="A3" s="577" t="s">
        <v>942</v>
      </c>
      <c r="B3" s="577"/>
      <c r="C3" s="577"/>
      <c r="D3" s="577"/>
      <c r="E3" s="577"/>
      <c r="F3" s="577"/>
      <c r="G3" s="577"/>
      <c r="H3" s="577"/>
      <c r="I3" s="577"/>
      <c r="J3" s="577"/>
      <c r="K3" s="577"/>
      <c r="L3" s="569">
        <f>VLOOKUP(C6,V:Z,5,0)</f>
        <v>0</v>
      </c>
    </row>
    <row r="4" ht="18" customHeight="1" spans="1:11">
      <c r="A4" s="578" t="s">
        <v>943</v>
      </c>
      <c r="B4" s="578"/>
      <c r="C4" s="579">
        <f>下料单!C2</f>
        <v>0</v>
      </c>
      <c r="D4" s="579"/>
      <c r="E4" s="579"/>
      <c r="F4" s="580" t="s">
        <v>66</v>
      </c>
      <c r="G4" s="580"/>
      <c r="H4" s="579">
        <f>下料单!Y2</f>
        <v>0</v>
      </c>
      <c r="I4" s="579"/>
      <c r="J4" s="578" t="s">
        <v>944</v>
      </c>
      <c r="K4" s="628" t="str">
        <f>SUM(D10:D37)&amp;"块"</f>
        <v>0块</v>
      </c>
    </row>
    <row r="5" ht="19.5" customHeight="1" spans="1:19">
      <c r="A5" s="580" t="s">
        <v>945</v>
      </c>
      <c r="B5" s="580"/>
      <c r="C5" s="581">
        <f>下料单!J2</f>
        <v>0</v>
      </c>
      <c r="D5" s="581"/>
      <c r="E5" s="581"/>
      <c r="F5" s="580" t="s">
        <v>520</v>
      </c>
      <c r="G5" s="580"/>
      <c r="H5" s="582"/>
      <c r="I5" s="629"/>
      <c r="J5" s="578" t="s">
        <v>946</v>
      </c>
      <c r="K5" s="630">
        <f>下料单!AC2</f>
        <v>0</v>
      </c>
      <c r="R5" s="569" t="s">
        <v>947</v>
      </c>
      <c r="S5" s="569" t="s">
        <v>500</v>
      </c>
    </row>
    <row r="6" ht="19.5" customHeight="1" spans="1:20">
      <c r="A6" s="580" t="s">
        <v>948</v>
      </c>
      <c r="B6" s="580"/>
      <c r="C6" s="583" t="s">
        <v>949</v>
      </c>
      <c r="D6" s="583"/>
      <c r="E6" s="583"/>
      <c r="F6" s="583"/>
      <c r="G6" s="583"/>
      <c r="H6" s="583"/>
      <c r="I6" s="583"/>
      <c r="J6" s="578" t="s">
        <v>67</v>
      </c>
      <c r="K6" s="631" t="str">
        <f>下料单!AQ2</f>
        <v>简爱</v>
      </c>
      <c r="R6" s="569" t="s">
        <v>70</v>
      </c>
      <c r="S6" s="569" t="s">
        <v>950</v>
      </c>
      <c r="T6" s="569" t="s">
        <v>951</v>
      </c>
    </row>
    <row r="7" customHeight="1" spans="1:20">
      <c r="A7" s="580"/>
      <c r="B7" s="580"/>
      <c r="C7" s="584"/>
      <c r="D7" s="584"/>
      <c r="E7" s="585"/>
      <c r="F7" s="586"/>
      <c r="G7" s="580"/>
      <c r="H7" s="580"/>
      <c r="K7" s="632"/>
      <c r="R7" s="569" t="s">
        <v>952</v>
      </c>
      <c r="S7" s="569" t="s">
        <v>950</v>
      </c>
      <c r="T7" s="569">
        <v>3</v>
      </c>
    </row>
    <row r="8" ht="18" customHeight="1" spans="1:20">
      <c r="A8" s="587" t="s">
        <v>953</v>
      </c>
      <c r="B8" s="588" t="s">
        <v>954</v>
      </c>
      <c r="C8" s="588"/>
      <c r="D8" s="588"/>
      <c r="E8" s="588" t="s">
        <v>955</v>
      </c>
      <c r="F8" s="588"/>
      <c r="G8" s="588"/>
      <c r="H8" s="589" t="s">
        <v>956</v>
      </c>
      <c r="I8" s="633"/>
      <c r="J8" s="633"/>
      <c r="K8" s="634"/>
      <c r="R8" s="569" t="s">
        <v>957</v>
      </c>
      <c r="S8" s="569" t="s">
        <v>950</v>
      </c>
      <c r="T8" s="569">
        <v>1</v>
      </c>
    </row>
    <row r="9" ht="22.5" customHeight="1" spans="1:26">
      <c r="A9" s="590" t="s">
        <v>958</v>
      </c>
      <c r="B9" s="591" t="s">
        <v>764</v>
      </c>
      <c r="C9" s="591" t="s">
        <v>765</v>
      </c>
      <c r="D9" s="591" t="s">
        <v>90</v>
      </c>
      <c r="E9" s="592" t="s">
        <v>764</v>
      </c>
      <c r="F9" s="593" t="s">
        <v>765</v>
      </c>
      <c r="G9" s="591" t="s">
        <v>90</v>
      </c>
      <c r="H9" s="594" t="s">
        <v>959</v>
      </c>
      <c r="I9" s="635"/>
      <c r="J9" s="594" t="s">
        <v>30</v>
      </c>
      <c r="K9" s="636"/>
      <c r="L9" s="637" t="s">
        <v>960</v>
      </c>
      <c r="M9" s="637" t="s">
        <v>961</v>
      </c>
      <c r="N9" s="637" t="s">
        <v>962</v>
      </c>
      <c r="O9" s="638" t="s">
        <v>963</v>
      </c>
      <c r="R9" s="569" t="s">
        <v>964</v>
      </c>
      <c r="S9" s="569" t="s">
        <v>500</v>
      </c>
      <c r="V9" s="569" t="str">
        <f t="shared" ref="V9:V22" si="0">W9&amp;"+"&amp;Y9</f>
        <v>M01-01触感浅橡(横纹）+2.0*22浅橡PVC</v>
      </c>
      <c r="W9" s="569" t="s">
        <v>965</v>
      </c>
      <c r="X9" s="569" t="s">
        <v>966</v>
      </c>
      <c r="Y9" s="569" t="s">
        <v>967</v>
      </c>
      <c r="Z9" s="569">
        <v>2</v>
      </c>
    </row>
    <row r="10" ht="17.1" customHeight="1" spans="1:26">
      <c r="A10" s="595"/>
      <c r="B10" s="596"/>
      <c r="C10" s="596"/>
      <c r="D10" s="597"/>
      <c r="E10" s="598">
        <f>C10-3</f>
        <v>-3</v>
      </c>
      <c r="F10" s="599">
        <f>B10-3</f>
        <v>-3</v>
      </c>
      <c r="G10" s="597">
        <f>D10</f>
        <v>0</v>
      </c>
      <c r="H10" s="594"/>
      <c r="I10" s="635"/>
      <c r="J10" s="639"/>
      <c r="K10" s="640"/>
      <c r="L10" s="569">
        <f>(B10+C10+80)*2*G10/1000</f>
        <v>0</v>
      </c>
      <c r="M10" s="569">
        <f>(B10+C10)*D10*2/0.9/1000</f>
        <v>0</v>
      </c>
      <c r="N10" s="569">
        <f t="shared" ref="N10:N37" si="1">B10*C10*D10/1000000</f>
        <v>0</v>
      </c>
      <c r="O10" s="569">
        <f>B10*C10*D10/1000000/2.88/0.85</f>
        <v>0</v>
      </c>
      <c r="Q10" s="569">
        <f>B10*C10*D10/1000000/2.88</f>
        <v>0</v>
      </c>
      <c r="V10" s="569" t="str">
        <f t="shared" si="0"/>
        <v>M03-01触感红樱桃(横纹）+2.0*22红樱桃橡PVC</v>
      </c>
      <c r="W10" s="569" t="s">
        <v>968</v>
      </c>
      <c r="X10" s="569" t="s">
        <v>969</v>
      </c>
      <c r="Y10" s="569" t="s">
        <v>970</v>
      </c>
      <c r="Z10" s="569">
        <v>3</v>
      </c>
    </row>
    <row r="11" ht="17.1" customHeight="1" spans="1:26">
      <c r="A11" s="595"/>
      <c r="B11" s="596"/>
      <c r="C11" s="596"/>
      <c r="D11" s="597"/>
      <c r="E11" s="598">
        <f t="shared" ref="E11:E36" si="2">C11-3</f>
        <v>-3</v>
      </c>
      <c r="F11" s="599">
        <f t="shared" ref="F11:F36" si="3">B11-3</f>
        <v>-3</v>
      </c>
      <c r="G11" s="597">
        <f t="shared" ref="G11:G36" si="4">D11</f>
        <v>0</v>
      </c>
      <c r="H11" s="594"/>
      <c r="I11" s="635"/>
      <c r="J11" s="639"/>
      <c r="K11" s="640"/>
      <c r="L11" s="569">
        <f t="shared" ref="L11:L37" si="5">(B11+C11+80)*2*G11/1000</f>
        <v>0</v>
      </c>
      <c r="M11" s="569">
        <f t="shared" ref="M11:M37" si="6">(B11+C11)*D11*2/0.9/1000</f>
        <v>0</v>
      </c>
      <c r="N11" s="569">
        <f t="shared" si="1"/>
        <v>0</v>
      </c>
      <c r="O11" s="569">
        <f t="shared" ref="O11:O37" si="7">B11*C11*D11/1000000/2.88/0.85</f>
        <v>0</v>
      </c>
      <c r="Q11" s="569">
        <f t="shared" ref="Q11:Q36" si="8">B11*C11*D11/1000000/2.88</f>
        <v>0</v>
      </c>
      <c r="V11" s="569" t="str">
        <f t="shared" si="0"/>
        <v>M06-01触感深橡(横纹）+2.0*22深橡PVC</v>
      </c>
      <c r="W11" s="569" t="s">
        <v>971</v>
      </c>
      <c r="X11" s="569" t="s">
        <v>972</v>
      </c>
      <c r="Y11" s="569" t="s">
        <v>973</v>
      </c>
      <c r="Z11" s="569">
        <v>2</v>
      </c>
    </row>
    <row r="12" ht="17.1" customHeight="1" spans="1:17">
      <c r="A12" s="595"/>
      <c r="B12" s="596"/>
      <c r="C12" s="596"/>
      <c r="D12" s="597"/>
      <c r="E12" s="598">
        <f t="shared" si="2"/>
        <v>-3</v>
      </c>
      <c r="F12" s="599">
        <f t="shared" si="3"/>
        <v>-3</v>
      </c>
      <c r="G12" s="597">
        <f t="shared" si="4"/>
        <v>0</v>
      </c>
      <c r="H12" s="594"/>
      <c r="I12" s="635"/>
      <c r="J12" s="639"/>
      <c r="K12" s="640"/>
      <c r="L12" s="569">
        <f t="shared" si="5"/>
        <v>0</v>
      </c>
      <c r="M12" s="569">
        <f t="shared" si="6"/>
        <v>0</v>
      </c>
      <c r="N12" s="569">
        <f t="shared" si="1"/>
        <v>0</v>
      </c>
      <c r="O12" s="569">
        <f t="shared" si="7"/>
        <v>0</v>
      </c>
      <c r="Q12" s="569">
        <f t="shared" si="8"/>
        <v>0</v>
      </c>
    </row>
    <row r="13" ht="17.1" customHeight="1" spans="1:17">
      <c r="A13" s="595"/>
      <c r="B13" s="596"/>
      <c r="C13" s="596"/>
      <c r="D13" s="597"/>
      <c r="E13" s="598">
        <f t="shared" si="2"/>
        <v>-3</v>
      </c>
      <c r="F13" s="599">
        <f t="shared" si="3"/>
        <v>-3</v>
      </c>
      <c r="G13" s="597">
        <f t="shared" si="4"/>
        <v>0</v>
      </c>
      <c r="H13" s="594"/>
      <c r="I13" s="635"/>
      <c r="J13" s="639"/>
      <c r="K13" s="640"/>
      <c r="L13" s="569">
        <f t="shared" si="5"/>
        <v>0</v>
      </c>
      <c r="M13" s="569">
        <f t="shared" si="6"/>
        <v>0</v>
      </c>
      <c r="N13" s="569">
        <f t="shared" si="1"/>
        <v>0</v>
      </c>
      <c r="O13" s="569">
        <f t="shared" si="7"/>
        <v>0</v>
      </c>
      <c r="Q13" s="569">
        <f t="shared" si="8"/>
        <v>0</v>
      </c>
    </row>
    <row r="14" ht="17.1" customHeight="1" spans="1:25">
      <c r="A14" s="595"/>
      <c r="B14" s="596"/>
      <c r="C14" s="596"/>
      <c r="D14" s="597"/>
      <c r="E14" s="598">
        <f t="shared" si="2"/>
        <v>-3</v>
      </c>
      <c r="F14" s="599">
        <f t="shared" si="3"/>
        <v>-3</v>
      </c>
      <c r="G14" s="597">
        <f t="shared" si="4"/>
        <v>0</v>
      </c>
      <c r="H14" s="594"/>
      <c r="I14" s="635"/>
      <c r="J14" s="639"/>
      <c r="K14" s="640"/>
      <c r="L14" s="569">
        <f t="shared" si="5"/>
        <v>0</v>
      </c>
      <c r="M14" s="569">
        <f t="shared" si="6"/>
        <v>0</v>
      </c>
      <c r="N14" s="569">
        <f t="shared" si="1"/>
        <v>0</v>
      </c>
      <c r="O14" s="569">
        <f t="shared" si="7"/>
        <v>0</v>
      </c>
      <c r="Q14" s="569">
        <f t="shared" si="8"/>
        <v>0</v>
      </c>
      <c r="V14" s="569" t="str">
        <f t="shared" si="0"/>
        <v>M11暖白+2.0*22暖白PVC</v>
      </c>
      <c r="W14" s="569" t="s">
        <v>974</v>
      </c>
      <c r="X14" s="569" t="s">
        <v>975</v>
      </c>
      <c r="Y14" s="569" t="s">
        <v>976</v>
      </c>
    </row>
    <row r="15" ht="17.1" customHeight="1" spans="1:26">
      <c r="A15" s="595"/>
      <c r="B15" s="596"/>
      <c r="C15" s="596"/>
      <c r="D15" s="597"/>
      <c r="E15" s="598">
        <f t="shared" si="2"/>
        <v>-3</v>
      </c>
      <c r="F15" s="599">
        <f t="shared" si="3"/>
        <v>-3</v>
      </c>
      <c r="G15" s="597">
        <f t="shared" si="4"/>
        <v>0</v>
      </c>
      <c r="H15" s="594"/>
      <c r="I15" s="635"/>
      <c r="J15" s="639"/>
      <c r="K15" s="640"/>
      <c r="L15" s="569">
        <f t="shared" si="5"/>
        <v>0</v>
      </c>
      <c r="M15" s="569">
        <f t="shared" si="6"/>
        <v>0</v>
      </c>
      <c r="N15" s="569">
        <f t="shared" si="1"/>
        <v>0</v>
      </c>
      <c r="O15" s="569">
        <f t="shared" si="7"/>
        <v>0</v>
      </c>
      <c r="Q15" s="569">
        <f t="shared" si="8"/>
        <v>0</v>
      </c>
      <c r="V15" s="569" t="str">
        <f t="shared" si="0"/>
        <v>M07艺术胡桃(横纹）+2.0*22艺术胡桃PVC</v>
      </c>
      <c r="W15" s="569" t="s">
        <v>977</v>
      </c>
      <c r="X15" s="1155" t="s">
        <v>978</v>
      </c>
      <c r="Y15" s="569" t="s">
        <v>979</v>
      </c>
      <c r="Z15" s="569">
        <v>3</v>
      </c>
    </row>
    <row r="16" ht="17.1" customHeight="1" spans="1:26">
      <c r="A16" s="595"/>
      <c r="B16" s="596"/>
      <c r="C16" s="596"/>
      <c r="D16" s="597"/>
      <c r="E16" s="598">
        <f t="shared" si="2"/>
        <v>-3</v>
      </c>
      <c r="F16" s="599">
        <f t="shared" si="3"/>
        <v>-3</v>
      </c>
      <c r="G16" s="597">
        <f t="shared" si="4"/>
        <v>0</v>
      </c>
      <c r="H16" s="594"/>
      <c r="I16" s="635"/>
      <c r="J16" s="639"/>
      <c r="K16" s="640"/>
      <c r="L16" s="569">
        <f t="shared" si="5"/>
        <v>0</v>
      </c>
      <c r="M16" s="569">
        <f t="shared" si="6"/>
        <v>0</v>
      </c>
      <c r="N16" s="569">
        <f t="shared" si="1"/>
        <v>0</v>
      </c>
      <c r="O16" s="569">
        <f t="shared" si="7"/>
        <v>0</v>
      </c>
      <c r="Q16" s="569">
        <f t="shared" si="8"/>
        <v>0</v>
      </c>
      <c r="V16" s="569" t="str">
        <f t="shared" si="0"/>
        <v>M13荷花白+2.0*22荷花白PVC</v>
      </c>
      <c r="W16" s="569" t="s">
        <v>980</v>
      </c>
      <c r="X16" s="1155" t="s">
        <v>981</v>
      </c>
      <c r="Y16" s="569" t="s">
        <v>982</v>
      </c>
      <c r="Z16" s="569">
        <v>1</v>
      </c>
    </row>
    <row r="17" ht="17.1" customHeight="1" spans="1:26">
      <c r="A17" s="595"/>
      <c r="B17" s="596"/>
      <c r="C17" s="596"/>
      <c r="D17" s="597"/>
      <c r="E17" s="598">
        <f t="shared" si="2"/>
        <v>-3</v>
      </c>
      <c r="F17" s="599">
        <f t="shared" si="3"/>
        <v>-3</v>
      </c>
      <c r="G17" s="597">
        <f t="shared" si="4"/>
        <v>0</v>
      </c>
      <c r="H17" s="594"/>
      <c r="I17" s="635"/>
      <c r="J17" s="639"/>
      <c r="K17" s="640"/>
      <c r="L17" s="569">
        <f t="shared" si="5"/>
        <v>0</v>
      </c>
      <c r="M17" s="569">
        <f t="shared" si="6"/>
        <v>0</v>
      </c>
      <c r="N17" s="570">
        <f t="shared" si="1"/>
        <v>0</v>
      </c>
      <c r="O17" s="569">
        <f t="shared" si="7"/>
        <v>0</v>
      </c>
      <c r="Q17" s="569">
        <f t="shared" si="8"/>
        <v>0</v>
      </c>
      <c r="V17" s="569" t="s">
        <v>983</v>
      </c>
      <c r="W17" s="569" t="s">
        <v>984</v>
      </c>
      <c r="X17" s="569" t="s">
        <v>985</v>
      </c>
      <c r="Y17" s="569" t="s">
        <v>986</v>
      </c>
      <c r="Z17" s="569">
        <v>1</v>
      </c>
    </row>
    <row r="18" ht="17.1" customHeight="1" spans="1:26">
      <c r="A18" s="595"/>
      <c r="B18" s="596"/>
      <c r="C18" s="596"/>
      <c r="D18" s="597"/>
      <c r="E18" s="598">
        <f t="shared" si="2"/>
        <v>-3</v>
      </c>
      <c r="F18" s="599">
        <f t="shared" si="3"/>
        <v>-3</v>
      </c>
      <c r="G18" s="597">
        <f t="shared" si="4"/>
        <v>0</v>
      </c>
      <c r="H18" s="594"/>
      <c r="I18" s="635"/>
      <c r="J18" s="639"/>
      <c r="K18" s="640"/>
      <c r="L18" s="569">
        <f t="shared" si="5"/>
        <v>0</v>
      </c>
      <c r="M18" s="569">
        <f t="shared" si="6"/>
        <v>0</v>
      </c>
      <c r="N18" s="570">
        <f t="shared" si="1"/>
        <v>0</v>
      </c>
      <c r="O18" s="569">
        <f t="shared" si="7"/>
        <v>0</v>
      </c>
      <c r="Q18" s="569">
        <f t="shared" si="8"/>
        <v>0</v>
      </c>
      <c r="V18" s="569" t="str">
        <f t="shared" si="0"/>
        <v>M17豆绿哑光+T型铝封边</v>
      </c>
      <c r="W18" s="569" t="s">
        <v>987</v>
      </c>
      <c r="X18" s="569" t="s">
        <v>988</v>
      </c>
      <c r="Y18" s="569" t="s">
        <v>500</v>
      </c>
      <c r="Z18" s="569">
        <v>1</v>
      </c>
    </row>
    <row r="19" ht="17.1" customHeight="1" spans="1:26">
      <c r="A19" s="595"/>
      <c r="B19" s="596"/>
      <c r="C19" s="596"/>
      <c r="D19" s="597"/>
      <c r="E19" s="598">
        <f t="shared" si="2"/>
        <v>-3</v>
      </c>
      <c r="F19" s="599">
        <f t="shared" si="3"/>
        <v>-3</v>
      </c>
      <c r="G19" s="597">
        <f t="shared" si="4"/>
        <v>0</v>
      </c>
      <c r="H19" s="594"/>
      <c r="I19" s="635"/>
      <c r="J19" s="639"/>
      <c r="K19" s="640"/>
      <c r="L19" s="569">
        <f t="shared" si="5"/>
        <v>0</v>
      </c>
      <c r="M19" s="569">
        <f t="shared" si="6"/>
        <v>0</v>
      </c>
      <c r="N19" s="570">
        <f t="shared" si="1"/>
        <v>0</v>
      </c>
      <c r="O19" s="569">
        <f t="shared" si="7"/>
        <v>0</v>
      </c>
      <c r="Q19" s="569">
        <f t="shared" si="8"/>
        <v>0</v>
      </c>
      <c r="V19" s="569" t="str">
        <f t="shared" si="0"/>
        <v>M28白蜡木(横纹）+2.0*22白蜡木PVC</v>
      </c>
      <c r="W19" s="569" t="s">
        <v>989</v>
      </c>
      <c r="X19" s="569" t="s">
        <v>990</v>
      </c>
      <c r="Y19" s="569" t="s">
        <v>991</v>
      </c>
      <c r="Z19" s="569">
        <v>3</v>
      </c>
    </row>
    <row r="20" ht="17.1" customHeight="1" spans="1:26">
      <c r="A20" s="595"/>
      <c r="B20" s="596"/>
      <c r="C20" s="596"/>
      <c r="D20" s="597"/>
      <c r="E20" s="598">
        <f t="shared" si="2"/>
        <v>-3</v>
      </c>
      <c r="F20" s="599">
        <f t="shared" si="3"/>
        <v>-3</v>
      </c>
      <c r="G20" s="597">
        <f t="shared" si="4"/>
        <v>0</v>
      </c>
      <c r="H20" s="594"/>
      <c r="I20" s="635"/>
      <c r="J20" s="639"/>
      <c r="K20" s="640"/>
      <c r="L20" s="569">
        <f t="shared" si="5"/>
        <v>0</v>
      </c>
      <c r="M20" s="569">
        <f t="shared" si="6"/>
        <v>0</v>
      </c>
      <c r="N20" s="570">
        <f t="shared" si="1"/>
        <v>0</v>
      </c>
      <c r="O20" s="569">
        <f t="shared" si="7"/>
        <v>0</v>
      </c>
      <c r="Q20" s="569">
        <f t="shared" si="8"/>
        <v>0</v>
      </c>
      <c r="V20" s="569" t="str">
        <f t="shared" si="0"/>
        <v>M01-2浮雕浅橡(横纹）+2.0*22浮雕浅橡PVC</v>
      </c>
      <c r="W20" s="569" t="s">
        <v>992</v>
      </c>
      <c r="X20" s="569" t="s">
        <v>993</v>
      </c>
      <c r="Y20" s="569" t="s">
        <v>994</v>
      </c>
      <c r="Z20" s="569">
        <v>2</v>
      </c>
    </row>
    <row r="21" ht="17.1" customHeight="1" spans="1:26">
      <c r="A21" s="595"/>
      <c r="B21" s="596"/>
      <c r="C21" s="596"/>
      <c r="D21" s="597"/>
      <c r="E21" s="598">
        <f t="shared" si="2"/>
        <v>-3</v>
      </c>
      <c r="F21" s="599">
        <f t="shared" si="3"/>
        <v>-3</v>
      </c>
      <c r="G21" s="597">
        <f t="shared" si="4"/>
        <v>0</v>
      </c>
      <c r="H21" s="594"/>
      <c r="I21" s="635"/>
      <c r="J21" s="639"/>
      <c r="K21" s="640"/>
      <c r="L21" s="569">
        <f t="shared" si="5"/>
        <v>0</v>
      </c>
      <c r="M21" s="569">
        <f t="shared" si="6"/>
        <v>0</v>
      </c>
      <c r="N21" s="570">
        <f t="shared" si="1"/>
        <v>0</v>
      </c>
      <c r="O21" s="569">
        <f t="shared" si="7"/>
        <v>0</v>
      </c>
      <c r="Q21" s="569">
        <f t="shared" si="8"/>
        <v>0</v>
      </c>
      <c r="V21" s="569" t="str">
        <f t="shared" si="0"/>
        <v>M29-深胡桃(横纹）+2.0*22深胡桃PVC</v>
      </c>
      <c r="W21" s="569" t="s">
        <v>995</v>
      </c>
      <c r="X21" s="569" t="s">
        <v>996</v>
      </c>
      <c r="Y21" s="569" t="s">
        <v>997</v>
      </c>
      <c r="Z21" s="569">
        <v>2</v>
      </c>
    </row>
    <row r="22" ht="17.1" customHeight="1" spans="1:26">
      <c r="A22" s="595"/>
      <c r="B22" s="596"/>
      <c r="C22" s="596"/>
      <c r="D22" s="597"/>
      <c r="E22" s="598">
        <f t="shared" si="2"/>
        <v>-3</v>
      </c>
      <c r="F22" s="599">
        <f t="shared" si="3"/>
        <v>-3</v>
      </c>
      <c r="G22" s="597">
        <f t="shared" si="4"/>
        <v>0</v>
      </c>
      <c r="H22" s="594"/>
      <c r="I22" s="635"/>
      <c r="J22" s="639"/>
      <c r="K22" s="640"/>
      <c r="L22" s="569">
        <f t="shared" si="5"/>
        <v>0</v>
      </c>
      <c r="M22" s="569">
        <f t="shared" si="6"/>
        <v>0</v>
      </c>
      <c r="N22" s="569">
        <f t="shared" si="1"/>
        <v>0</v>
      </c>
      <c r="O22" s="569">
        <f t="shared" si="7"/>
        <v>0</v>
      </c>
      <c r="Q22" s="569">
        <f t="shared" si="8"/>
        <v>0</v>
      </c>
      <c r="V22" s="569" t="str">
        <f t="shared" si="0"/>
        <v>M30柚木(横纹）+2.0*22柚木PVC</v>
      </c>
      <c r="W22" s="569" t="s">
        <v>998</v>
      </c>
      <c r="X22" s="569" t="s">
        <v>999</v>
      </c>
      <c r="Y22" s="569" t="s">
        <v>1000</v>
      </c>
      <c r="Z22" s="569">
        <v>2</v>
      </c>
    </row>
    <row r="23" ht="17.1" customHeight="1" spans="1:17">
      <c r="A23" s="595"/>
      <c r="B23" s="596"/>
      <c r="C23" s="596"/>
      <c r="D23" s="597"/>
      <c r="E23" s="598">
        <f t="shared" si="2"/>
        <v>-3</v>
      </c>
      <c r="F23" s="599">
        <f t="shared" si="3"/>
        <v>-3</v>
      </c>
      <c r="G23" s="597">
        <f t="shared" si="4"/>
        <v>0</v>
      </c>
      <c r="H23" s="594"/>
      <c r="I23" s="635"/>
      <c r="J23" s="594"/>
      <c r="K23" s="636"/>
      <c r="L23" s="569">
        <f t="shared" si="5"/>
        <v>0</v>
      </c>
      <c r="M23" s="569">
        <f t="shared" si="6"/>
        <v>0</v>
      </c>
      <c r="N23" s="569">
        <f t="shared" si="1"/>
        <v>0</v>
      </c>
      <c r="O23" s="569">
        <f t="shared" si="7"/>
        <v>0</v>
      </c>
      <c r="Q23" s="569">
        <f t="shared" si="8"/>
        <v>0</v>
      </c>
    </row>
    <row r="24" ht="17.1" customHeight="1" spans="1:17">
      <c r="A24" s="600"/>
      <c r="B24" s="596"/>
      <c r="C24" s="596"/>
      <c r="D24" s="597"/>
      <c r="E24" s="598">
        <f t="shared" si="2"/>
        <v>-3</v>
      </c>
      <c r="F24" s="599">
        <f t="shared" si="3"/>
        <v>-3</v>
      </c>
      <c r="G24" s="597">
        <f t="shared" si="4"/>
        <v>0</v>
      </c>
      <c r="H24" s="594"/>
      <c r="I24" s="635"/>
      <c r="J24" s="594"/>
      <c r="K24" s="636"/>
      <c r="L24" s="569">
        <f t="shared" si="5"/>
        <v>0</v>
      </c>
      <c r="M24" s="569">
        <f t="shared" si="6"/>
        <v>0</v>
      </c>
      <c r="N24" s="569">
        <f t="shared" si="1"/>
        <v>0</v>
      </c>
      <c r="O24" s="569">
        <f t="shared" si="7"/>
        <v>0</v>
      </c>
      <c r="Q24" s="569">
        <f t="shared" si="8"/>
        <v>0</v>
      </c>
    </row>
    <row r="25" ht="17.1" customHeight="1" spans="1:17">
      <c r="A25" s="600"/>
      <c r="B25" s="596"/>
      <c r="C25" s="596"/>
      <c r="D25" s="597"/>
      <c r="E25" s="598">
        <f t="shared" si="2"/>
        <v>-3</v>
      </c>
      <c r="F25" s="599">
        <f t="shared" si="3"/>
        <v>-3</v>
      </c>
      <c r="G25" s="597">
        <f t="shared" si="4"/>
        <v>0</v>
      </c>
      <c r="H25" s="594"/>
      <c r="I25" s="635"/>
      <c r="J25" s="594"/>
      <c r="K25" s="636"/>
      <c r="L25" s="569">
        <f t="shared" si="5"/>
        <v>0</v>
      </c>
      <c r="M25" s="569">
        <f t="shared" si="6"/>
        <v>0</v>
      </c>
      <c r="N25" s="569">
        <f t="shared" si="1"/>
        <v>0</v>
      </c>
      <c r="O25" s="569">
        <f t="shared" si="7"/>
        <v>0</v>
      </c>
      <c r="Q25" s="569">
        <f t="shared" si="8"/>
        <v>0</v>
      </c>
    </row>
    <row r="26" ht="17.1" customHeight="1" spans="1:17">
      <c r="A26" s="601"/>
      <c r="B26" s="596"/>
      <c r="C26" s="596"/>
      <c r="D26" s="597"/>
      <c r="E26" s="598">
        <f t="shared" si="2"/>
        <v>-3</v>
      </c>
      <c r="F26" s="599">
        <f t="shared" si="3"/>
        <v>-3</v>
      </c>
      <c r="G26" s="597">
        <f t="shared" si="4"/>
        <v>0</v>
      </c>
      <c r="H26" s="594"/>
      <c r="I26" s="635"/>
      <c r="J26" s="594"/>
      <c r="K26" s="636"/>
      <c r="L26" s="569">
        <f t="shared" si="5"/>
        <v>0</v>
      </c>
      <c r="M26" s="569">
        <f t="shared" si="6"/>
        <v>0</v>
      </c>
      <c r="N26" s="569">
        <f t="shared" si="1"/>
        <v>0</v>
      </c>
      <c r="O26" s="569">
        <f t="shared" si="7"/>
        <v>0</v>
      </c>
      <c r="Q26" s="569">
        <f t="shared" si="8"/>
        <v>0</v>
      </c>
    </row>
    <row r="27" ht="17.1" customHeight="1" spans="1:17">
      <c r="A27" s="595"/>
      <c r="B27" s="596"/>
      <c r="C27" s="596"/>
      <c r="D27" s="597"/>
      <c r="E27" s="598">
        <f t="shared" si="2"/>
        <v>-3</v>
      </c>
      <c r="F27" s="599">
        <f t="shared" si="3"/>
        <v>-3</v>
      </c>
      <c r="G27" s="597">
        <f t="shared" si="4"/>
        <v>0</v>
      </c>
      <c r="H27" s="594"/>
      <c r="I27" s="635"/>
      <c r="J27" s="594"/>
      <c r="K27" s="636"/>
      <c r="L27" s="569">
        <f t="shared" si="5"/>
        <v>0</v>
      </c>
      <c r="M27" s="569">
        <f t="shared" si="6"/>
        <v>0</v>
      </c>
      <c r="N27" s="569">
        <f t="shared" si="1"/>
        <v>0</v>
      </c>
      <c r="O27" s="569">
        <f t="shared" si="7"/>
        <v>0</v>
      </c>
      <c r="Q27" s="569">
        <f t="shared" si="8"/>
        <v>0</v>
      </c>
    </row>
    <row r="28" ht="17.1" customHeight="1" spans="1:25">
      <c r="A28" s="602"/>
      <c r="B28" s="596"/>
      <c r="C28" s="596"/>
      <c r="D28" s="597"/>
      <c r="E28" s="598">
        <f t="shared" si="2"/>
        <v>-3</v>
      </c>
      <c r="F28" s="599">
        <f t="shared" si="3"/>
        <v>-3</v>
      </c>
      <c r="G28" s="597">
        <f t="shared" si="4"/>
        <v>0</v>
      </c>
      <c r="H28" s="594"/>
      <c r="I28" s="635"/>
      <c r="J28" s="594"/>
      <c r="K28" s="636"/>
      <c r="L28" s="569">
        <f t="shared" si="5"/>
        <v>0</v>
      </c>
      <c r="M28" s="569">
        <f t="shared" si="6"/>
        <v>0</v>
      </c>
      <c r="N28" s="569">
        <f t="shared" si="1"/>
        <v>0</v>
      </c>
      <c r="O28" s="569">
        <f t="shared" si="7"/>
        <v>0</v>
      </c>
      <c r="Q28" s="569">
        <f t="shared" si="8"/>
        <v>0</v>
      </c>
      <c r="U28" s="569" t="s">
        <v>1001</v>
      </c>
      <c r="V28" s="569" t="str">
        <f t="shared" ref="V28:V33" si="9">W28&amp;"+"&amp;Y28</f>
        <v>M43奶油灰高+铝色PVC2.0*22</v>
      </c>
      <c r="W28" s="569" t="str">
        <f t="shared" ref="W28:W33" si="10">U28&amp;MIDB(X28,1,8)</f>
        <v>M43奶油灰高</v>
      </c>
      <c r="X28" s="569" t="s">
        <v>1002</v>
      </c>
      <c r="Y28" s="569" t="s">
        <v>1003</v>
      </c>
    </row>
    <row r="29" ht="17.1" customHeight="1" spans="1:25">
      <c r="A29" s="601"/>
      <c r="B29" s="596"/>
      <c r="C29" s="596"/>
      <c r="D29" s="597"/>
      <c r="E29" s="598">
        <f t="shared" si="2"/>
        <v>-3</v>
      </c>
      <c r="F29" s="599">
        <f t="shared" si="3"/>
        <v>-3</v>
      </c>
      <c r="G29" s="597">
        <f t="shared" si="4"/>
        <v>0</v>
      </c>
      <c r="H29" s="594"/>
      <c r="I29" s="635"/>
      <c r="J29" s="594"/>
      <c r="K29" s="636"/>
      <c r="L29" s="569">
        <f t="shared" si="5"/>
        <v>0</v>
      </c>
      <c r="M29" s="569">
        <f t="shared" si="6"/>
        <v>0</v>
      </c>
      <c r="N29" s="569">
        <f t="shared" si="1"/>
        <v>0</v>
      </c>
      <c r="O29" s="569">
        <f t="shared" si="7"/>
        <v>0</v>
      </c>
      <c r="Q29" s="569">
        <f t="shared" si="8"/>
        <v>0</v>
      </c>
      <c r="U29" s="569" t="s">
        <v>1004</v>
      </c>
      <c r="V29" s="569" t="str">
        <f t="shared" si="9"/>
        <v>M38酒红高光+铝色PVC2.0*22</v>
      </c>
      <c r="W29" s="569" t="str">
        <f t="shared" si="10"/>
        <v>M38酒红高光</v>
      </c>
      <c r="X29" s="569" t="s">
        <v>1005</v>
      </c>
      <c r="Y29" s="569" t="s">
        <v>1003</v>
      </c>
    </row>
    <row r="30" ht="17.1" customHeight="1" spans="1:25">
      <c r="A30" s="601"/>
      <c r="B30" s="596"/>
      <c r="C30" s="596"/>
      <c r="D30" s="597"/>
      <c r="E30" s="598">
        <f t="shared" si="2"/>
        <v>-3</v>
      </c>
      <c r="F30" s="599">
        <f t="shared" si="3"/>
        <v>-3</v>
      </c>
      <c r="G30" s="597">
        <f t="shared" si="4"/>
        <v>0</v>
      </c>
      <c r="H30" s="594"/>
      <c r="I30" s="635"/>
      <c r="J30" s="594"/>
      <c r="K30" s="636"/>
      <c r="L30" s="569">
        <f t="shared" si="5"/>
        <v>0</v>
      </c>
      <c r="M30" s="569">
        <f t="shared" si="6"/>
        <v>0</v>
      </c>
      <c r="N30" s="569">
        <f t="shared" si="1"/>
        <v>0</v>
      </c>
      <c r="O30" s="569">
        <f t="shared" si="7"/>
        <v>0</v>
      </c>
      <c r="Q30" s="569">
        <f t="shared" si="8"/>
        <v>0</v>
      </c>
      <c r="U30" s="569" t="s">
        <v>1006</v>
      </c>
      <c r="V30" s="569" t="str">
        <f t="shared" si="9"/>
        <v>M39黑檀高光+铝色PVC2.0*22</v>
      </c>
      <c r="W30" s="569" t="str">
        <f t="shared" si="10"/>
        <v>M39黑檀高光</v>
      </c>
      <c r="X30" s="569" t="s">
        <v>1007</v>
      </c>
      <c r="Y30" s="569" t="s">
        <v>1003</v>
      </c>
    </row>
    <row r="31" ht="17.1" customHeight="1" spans="1:25">
      <c r="A31" s="601"/>
      <c r="B31" s="596"/>
      <c r="C31" s="596"/>
      <c r="D31" s="597"/>
      <c r="E31" s="598">
        <f t="shared" si="2"/>
        <v>-3</v>
      </c>
      <c r="F31" s="599">
        <f t="shared" si="3"/>
        <v>-3</v>
      </c>
      <c r="G31" s="597">
        <f t="shared" si="4"/>
        <v>0</v>
      </c>
      <c r="H31" s="594"/>
      <c r="I31" s="635"/>
      <c r="J31" s="594"/>
      <c r="K31" s="636"/>
      <c r="L31" s="569">
        <f t="shared" si="5"/>
        <v>0</v>
      </c>
      <c r="M31" s="569">
        <f t="shared" si="6"/>
        <v>0</v>
      </c>
      <c r="N31" s="569">
        <f t="shared" si="1"/>
        <v>0</v>
      </c>
      <c r="O31" s="569">
        <f t="shared" si="7"/>
        <v>0</v>
      </c>
      <c r="Q31" s="569">
        <f t="shared" si="8"/>
        <v>0</v>
      </c>
      <c r="U31" s="569" t="s">
        <v>1008</v>
      </c>
      <c r="V31" s="569" t="str">
        <f t="shared" si="9"/>
        <v>M40香槟高光+铝色PVC2.0*22</v>
      </c>
      <c r="W31" s="569" t="str">
        <f t="shared" si="10"/>
        <v>M40香槟高光</v>
      </c>
      <c r="X31" s="569" t="s">
        <v>1009</v>
      </c>
      <c r="Y31" s="569" t="s">
        <v>1003</v>
      </c>
    </row>
    <row r="32" ht="17.1" customHeight="1" spans="1:25">
      <c r="A32" s="601"/>
      <c r="B32" s="596"/>
      <c r="C32" s="596"/>
      <c r="D32" s="597"/>
      <c r="E32" s="598">
        <f t="shared" si="2"/>
        <v>-3</v>
      </c>
      <c r="F32" s="599">
        <f t="shared" si="3"/>
        <v>-3</v>
      </c>
      <c r="G32" s="597">
        <f t="shared" si="4"/>
        <v>0</v>
      </c>
      <c r="H32" s="594"/>
      <c r="I32" s="635"/>
      <c r="J32" s="594"/>
      <c r="K32" s="636"/>
      <c r="L32" s="569">
        <f t="shared" si="5"/>
        <v>0</v>
      </c>
      <c r="M32" s="569">
        <f t="shared" si="6"/>
        <v>0</v>
      </c>
      <c r="N32" s="569">
        <f t="shared" si="1"/>
        <v>0</v>
      </c>
      <c r="O32" s="569">
        <f t="shared" si="7"/>
        <v>0</v>
      </c>
      <c r="Q32" s="569">
        <f t="shared" si="8"/>
        <v>0</v>
      </c>
      <c r="U32" s="569" t="s">
        <v>1010</v>
      </c>
      <c r="V32" s="569" t="str">
        <f t="shared" si="9"/>
        <v>M41湛蓝高光+铝色PVC2.0*22</v>
      </c>
      <c r="W32" s="569" t="str">
        <f t="shared" si="10"/>
        <v>M41湛蓝高光</v>
      </c>
      <c r="X32" s="569" t="s">
        <v>1011</v>
      </c>
      <c r="Y32" s="569" t="s">
        <v>1003</v>
      </c>
    </row>
    <row r="33" ht="17.1" customHeight="1" spans="1:25">
      <c r="A33" s="601"/>
      <c r="B33" s="596"/>
      <c r="C33" s="596"/>
      <c r="D33" s="597"/>
      <c r="E33" s="598">
        <f t="shared" si="2"/>
        <v>-3</v>
      </c>
      <c r="F33" s="599">
        <f t="shared" si="3"/>
        <v>-3</v>
      </c>
      <c r="G33" s="597">
        <f t="shared" si="4"/>
        <v>0</v>
      </c>
      <c r="H33" s="594"/>
      <c r="I33" s="635"/>
      <c r="J33" s="594"/>
      <c r="K33" s="636"/>
      <c r="L33" s="569">
        <f t="shared" si="5"/>
        <v>0</v>
      </c>
      <c r="M33" s="569">
        <f t="shared" si="6"/>
        <v>0</v>
      </c>
      <c r="N33" s="569">
        <f t="shared" si="1"/>
        <v>0</v>
      </c>
      <c r="O33" s="569">
        <f t="shared" si="7"/>
        <v>0</v>
      </c>
      <c r="Q33" s="569">
        <f t="shared" si="8"/>
        <v>0</v>
      </c>
      <c r="U33" s="569" t="s">
        <v>1012</v>
      </c>
      <c r="V33" s="569" t="str">
        <f t="shared" si="9"/>
        <v>M42纯白高光+铝色PVC2.0*22</v>
      </c>
      <c r="W33" s="569" t="str">
        <f t="shared" si="10"/>
        <v>M42纯白高光</v>
      </c>
      <c r="X33" s="569" t="s">
        <v>1013</v>
      </c>
      <c r="Y33" s="569" t="s">
        <v>1003</v>
      </c>
    </row>
    <row r="34" ht="17.1" customHeight="1" spans="1:17">
      <c r="A34" s="601"/>
      <c r="B34" s="596"/>
      <c r="C34" s="596"/>
      <c r="D34" s="597"/>
      <c r="E34" s="598">
        <f t="shared" si="2"/>
        <v>-3</v>
      </c>
      <c r="F34" s="599">
        <f t="shared" si="3"/>
        <v>-3</v>
      </c>
      <c r="G34" s="597">
        <f t="shared" si="4"/>
        <v>0</v>
      </c>
      <c r="H34" s="594"/>
      <c r="I34" s="635"/>
      <c r="J34" s="594"/>
      <c r="K34" s="636"/>
      <c r="L34" s="569">
        <f t="shared" si="5"/>
        <v>0</v>
      </c>
      <c r="M34" s="569">
        <f t="shared" si="6"/>
        <v>0</v>
      </c>
      <c r="N34" s="569">
        <f t="shared" si="1"/>
        <v>0</v>
      </c>
      <c r="O34" s="569">
        <f t="shared" si="7"/>
        <v>0</v>
      </c>
      <c r="Q34" s="569">
        <f t="shared" si="8"/>
        <v>0</v>
      </c>
    </row>
    <row r="35" ht="17.1" customHeight="1" spans="1:25">
      <c r="A35" s="601"/>
      <c r="B35" s="596"/>
      <c r="C35" s="596"/>
      <c r="D35" s="597"/>
      <c r="E35" s="598">
        <f t="shared" si="2"/>
        <v>-3</v>
      </c>
      <c r="F35" s="599">
        <f t="shared" si="3"/>
        <v>-3</v>
      </c>
      <c r="G35" s="597">
        <f t="shared" si="4"/>
        <v>0</v>
      </c>
      <c r="H35" s="594"/>
      <c r="I35" s="635"/>
      <c r="J35" s="594"/>
      <c r="K35" s="636"/>
      <c r="L35" s="569">
        <f t="shared" si="5"/>
        <v>0</v>
      </c>
      <c r="M35" s="569">
        <f t="shared" si="6"/>
        <v>0</v>
      </c>
      <c r="N35" s="569">
        <f t="shared" si="1"/>
        <v>0</v>
      </c>
      <c r="O35" s="569">
        <f t="shared" si="7"/>
        <v>0</v>
      </c>
      <c r="Q35" s="569">
        <f t="shared" si="8"/>
        <v>0</v>
      </c>
      <c r="V35" s="569" t="str">
        <f>W35&amp;"+"&amp;Y35</f>
        <v>M21银灰波浪(横纹）+2.0*22银灰波浪PVC</v>
      </c>
      <c r="W35" s="569" t="s">
        <v>1014</v>
      </c>
      <c r="X35" s="569" t="s">
        <v>1015</v>
      </c>
      <c r="Y35" s="569" t="s">
        <v>1016</v>
      </c>
    </row>
    <row r="36" ht="17.1" customHeight="1" spans="1:25">
      <c r="A36" s="603"/>
      <c r="B36" s="604"/>
      <c r="C36" s="604"/>
      <c r="D36" s="605"/>
      <c r="E36" s="598">
        <f t="shared" si="2"/>
        <v>-3</v>
      </c>
      <c r="F36" s="599">
        <f t="shared" si="3"/>
        <v>-3</v>
      </c>
      <c r="G36" s="597">
        <f t="shared" si="4"/>
        <v>0</v>
      </c>
      <c r="H36" s="594"/>
      <c r="I36" s="635"/>
      <c r="J36" s="594"/>
      <c r="K36" s="636"/>
      <c r="L36" s="569">
        <f t="shared" si="5"/>
        <v>0</v>
      </c>
      <c r="M36" s="569">
        <f t="shared" si="6"/>
        <v>0</v>
      </c>
      <c r="N36" s="569">
        <f t="shared" si="1"/>
        <v>0</v>
      </c>
      <c r="O36" s="569">
        <f t="shared" si="7"/>
        <v>0</v>
      </c>
      <c r="Q36" s="569">
        <f t="shared" si="8"/>
        <v>0</v>
      </c>
      <c r="V36" s="569" t="str">
        <f>W36&amp;"+"&amp;Y36</f>
        <v>M21银灰波浪(横纹）+T型铝封边</v>
      </c>
      <c r="W36" s="569" t="s">
        <v>1014</v>
      </c>
      <c r="X36" s="569" t="s">
        <v>1015</v>
      </c>
      <c r="Y36" s="569" t="s">
        <v>500</v>
      </c>
    </row>
    <row r="37" ht="17.1" customHeight="1" spans="1:25">
      <c r="A37" s="606"/>
      <c r="B37" s="607"/>
      <c r="C37" s="607"/>
      <c r="D37" s="608"/>
      <c r="E37" s="598"/>
      <c r="F37" s="599"/>
      <c r="G37" s="597"/>
      <c r="H37" s="609"/>
      <c r="I37" s="641"/>
      <c r="J37" s="609"/>
      <c r="K37" s="642"/>
      <c r="L37" s="569">
        <f t="shared" si="5"/>
        <v>0</v>
      </c>
      <c r="M37" s="569">
        <f t="shared" si="6"/>
        <v>0</v>
      </c>
      <c r="N37" s="569">
        <f t="shared" si="1"/>
        <v>0</v>
      </c>
      <c r="O37" s="569">
        <f t="shared" si="7"/>
        <v>0</v>
      </c>
      <c r="V37" s="569" t="str">
        <f>W37&amp;"+"&amp;Y37</f>
        <v>M24荷花白波浪(横纹）+T型铝封边</v>
      </c>
      <c r="W37" s="569" t="s">
        <v>1017</v>
      </c>
      <c r="X37" s="569" t="s">
        <v>1018</v>
      </c>
      <c r="Y37" s="569" t="s">
        <v>500</v>
      </c>
    </row>
    <row r="38" ht="17.1" customHeight="1" spans="1:25">
      <c r="A38" s="610"/>
      <c r="B38" s="610"/>
      <c r="C38" s="610"/>
      <c r="D38" s="610"/>
      <c r="E38" s="610"/>
      <c r="F38" s="610"/>
      <c r="G38" s="610"/>
      <c r="H38" s="610"/>
      <c r="I38" s="610"/>
      <c r="J38" s="610"/>
      <c r="K38" s="610"/>
      <c r="L38" s="569">
        <f>SUM(L10:L37)</f>
        <v>0</v>
      </c>
      <c r="M38" s="569">
        <f>SUM(M10:M37)</f>
        <v>0</v>
      </c>
      <c r="N38" s="569">
        <f>SUM(N10:N37)</f>
        <v>0</v>
      </c>
      <c r="O38" s="569">
        <f>SUM(O10:O37)</f>
        <v>0</v>
      </c>
      <c r="P38" s="569" t="s">
        <v>1019</v>
      </c>
      <c r="Q38" s="569">
        <f>SUM(Q10:Q37)</f>
        <v>0</v>
      </c>
      <c r="V38" s="569" t="str">
        <f>W38&amp;"+"&amp;Y38</f>
        <v>M25银灰+2.0*22银灰PVC</v>
      </c>
      <c r="W38" s="569" t="s">
        <v>1020</v>
      </c>
      <c r="X38" s="569" t="s">
        <v>1021</v>
      </c>
      <c r="Y38" s="569" t="s">
        <v>1022</v>
      </c>
    </row>
    <row r="39" s="568" customFormat="1" ht="20.1" customHeight="1" spans="1:25">
      <c r="A39" s="611"/>
      <c r="B39" s="578" t="s">
        <v>956</v>
      </c>
      <c r="C39" s="578"/>
      <c r="D39" s="578"/>
      <c r="E39" s="578"/>
      <c r="F39" s="578"/>
      <c r="G39" s="578"/>
      <c r="H39" s="578"/>
      <c r="I39" s="578"/>
      <c r="J39" s="578"/>
      <c r="K39" s="643"/>
      <c r="V39" s="569" t="s">
        <v>1023</v>
      </c>
      <c r="W39" s="569" t="s">
        <v>1024</v>
      </c>
      <c r="X39" s="569" t="s">
        <v>1025</v>
      </c>
      <c r="Y39" s="569" t="s">
        <v>500</v>
      </c>
    </row>
    <row r="40" ht="21" customHeight="1" spans="1:11">
      <c r="A40" s="610" t="s">
        <v>1026</v>
      </c>
      <c r="B40" s="610"/>
      <c r="C40" s="610"/>
      <c r="D40" s="610"/>
      <c r="E40" s="610"/>
      <c r="F40" s="610"/>
      <c r="G40" s="610"/>
      <c r="H40" s="610"/>
      <c r="I40" s="610"/>
      <c r="J40" s="610"/>
      <c r="K40" s="610"/>
    </row>
    <row r="41" ht="13.5" customHeight="1" spans="1:11">
      <c r="A41" s="612"/>
      <c r="B41" s="613"/>
      <c r="C41" s="568"/>
      <c r="D41" s="568"/>
      <c r="E41" s="614"/>
      <c r="F41" s="615"/>
      <c r="G41" s="616"/>
      <c r="H41" s="617"/>
      <c r="I41" s="643"/>
      <c r="J41" s="643"/>
      <c r="K41" s="625"/>
    </row>
    <row r="42" ht="18" customHeight="1" spans="1:17">
      <c r="A42" s="611" t="s">
        <v>204</v>
      </c>
      <c r="B42" s="617"/>
      <c r="C42" s="617"/>
      <c r="D42" s="578"/>
      <c r="E42" s="573"/>
      <c r="F42" s="618"/>
      <c r="G42" s="618"/>
      <c r="H42" s="578"/>
      <c r="I42" s="643"/>
      <c r="J42" s="643"/>
      <c r="O42" s="580">
        <v>1</v>
      </c>
      <c r="P42" s="644" t="s">
        <v>1027</v>
      </c>
      <c r="Q42" s="569">
        <f>+Q38/0.85</f>
        <v>0</v>
      </c>
    </row>
    <row r="43" ht="20.25" spans="1:17">
      <c r="A43" s="619"/>
      <c r="B43" s="620"/>
      <c r="C43" s="620"/>
      <c r="D43" s="621"/>
      <c r="E43" s="622"/>
      <c r="F43" s="623"/>
      <c r="G43" s="624"/>
      <c r="H43" s="621"/>
      <c r="I43" s="645"/>
      <c r="J43" s="645"/>
      <c r="K43" s="625"/>
      <c r="O43" s="580">
        <v>2</v>
      </c>
      <c r="P43" s="644" t="s">
        <v>1028</v>
      </c>
      <c r="Q43" s="646">
        <f>+CEILING(Q38/0.6,0.5)</f>
        <v>0</v>
      </c>
    </row>
    <row r="44" ht="20.25" spans="1:17">
      <c r="A44" s="625"/>
      <c r="B44" s="625"/>
      <c r="C44" s="625"/>
      <c r="D44" s="625"/>
      <c r="E44" s="626"/>
      <c r="F44" s="627"/>
      <c r="G44" s="627"/>
      <c r="H44" s="625"/>
      <c r="I44" s="625"/>
      <c r="J44" s="625"/>
      <c r="K44" s="625"/>
      <c r="O44" s="580">
        <v>3</v>
      </c>
      <c r="P44" s="644" t="s">
        <v>1029</v>
      </c>
      <c r="Q44" s="646">
        <f>+Q43</f>
        <v>0</v>
      </c>
    </row>
    <row r="45" ht="20.25" spans="1:11">
      <c r="A45" s="625"/>
      <c r="B45" s="625"/>
      <c r="C45" s="625"/>
      <c r="D45" s="625"/>
      <c r="E45" s="626"/>
      <c r="F45" s="627"/>
      <c r="G45" s="627"/>
      <c r="H45" s="625"/>
      <c r="I45" s="625"/>
      <c r="J45" s="625"/>
      <c r="K45" s="625"/>
    </row>
    <row r="46" ht="20.25" spans="1:11">
      <c r="A46" s="625"/>
      <c r="B46" s="625"/>
      <c r="C46" s="625"/>
      <c r="D46" s="625"/>
      <c r="E46" s="626"/>
      <c r="F46" s="627"/>
      <c r="G46" s="627"/>
      <c r="H46" s="625"/>
      <c r="I46" s="625"/>
      <c r="J46" s="625"/>
      <c r="K46" s="625"/>
    </row>
    <row r="47" ht="20.25" spans="1:11">
      <c r="A47" s="625"/>
      <c r="B47" s="625"/>
      <c r="C47" s="625"/>
      <c r="D47" s="625"/>
      <c r="E47" s="626"/>
      <c r="F47" s="627"/>
      <c r="G47" s="627"/>
      <c r="H47" s="625"/>
      <c r="I47" s="625"/>
      <c r="J47" s="625"/>
      <c r="K47" s="625"/>
    </row>
    <row r="48" ht="20.25" spans="1:11">
      <c r="A48" s="625"/>
      <c r="B48" s="625"/>
      <c r="C48" s="625"/>
      <c r="D48" s="625"/>
      <c r="E48" s="626"/>
      <c r="F48" s="627"/>
      <c r="G48" s="627"/>
      <c r="H48" s="625"/>
      <c r="I48" s="625"/>
      <c r="J48" s="625"/>
      <c r="K48" s="625"/>
    </row>
    <row r="49" ht="20.25" spans="1:11">
      <c r="A49" s="625"/>
      <c r="B49" s="625"/>
      <c r="C49" s="625"/>
      <c r="D49" s="625"/>
      <c r="E49" s="626"/>
      <c r="F49" s="627"/>
      <c r="G49" s="627"/>
      <c r="H49" s="625"/>
      <c r="I49" s="625"/>
      <c r="J49" s="625"/>
      <c r="K49" s="625"/>
    </row>
    <row r="50" ht="20.25" spans="1:11">
      <c r="A50" s="625"/>
      <c r="B50" s="625"/>
      <c r="C50" s="625"/>
      <c r="D50" s="625"/>
      <c r="E50" s="626"/>
      <c r="F50" s="627"/>
      <c r="G50" s="627"/>
      <c r="H50" s="625"/>
      <c r="I50" s="625"/>
      <c r="J50" s="625"/>
      <c r="K50" s="625"/>
    </row>
    <row r="51" ht="20.25" spans="1:11">
      <c r="A51" s="625"/>
      <c r="B51" s="625"/>
      <c r="C51" s="625"/>
      <c r="D51" s="625"/>
      <c r="E51" s="626"/>
      <c r="F51" s="627"/>
      <c r="G51" s="627"/>
      <c r="H51" s="625"/>
      <c r="I51" s="625"/>
      <c r="J51" s="625"/>
      <c r="K51" s="625"/>
    </row>
    <row r="52" ht="20.25" spans="1:11">
      <c r="A52" s="625"/>
      <c r="B52" s="625"/>
      <c r="C52" s="625"/>
      <c r="D52" s="625"/>
      <c r="E52" s="626"/>
      <c r="F52" s="627"/>
      <c r="G52" s="627"/>
      <c r="H52" s="625"/>
      <c r="I52" s="625"/>
      <c r="J52" s="625"/>
      <c r="K52" s="625"/>
    </row>
    <row r="53" ht="20.25" spans="1:11">
      <c r="A53" s="625"/>
      <c r="B53" s="625"/>
      <c r="C53" s="625"/>
      <c r="D53" s="625"/>
      <c r="E53" s="626"/>
      <c r="F53" s="627"/>
      <c r="G53" s="627"/>
      <c r="H53" s="625"/>
      <c r="I53" s="625"/>
      <c r="J53" s="625"/>
      <c r="K53" s="625"/>
    </row>
    <row r="54" ht="20.25" spans="1:11">
      <c r="A54" s="625"/>
      <c r="B54" s="625"/>
      <c r="C54" s="625"/>
      <c r="D54" s="625"/>
      <c r="E54" s="626"/>
      <c r="F54" s="627"/>
      <c r="G54" s="627"/>
      <c r="H54" s="625"/>
      <c r="I54" s="625"/>
      <c r="J54" s="625"/>
      <c r="K54" s="625"/>
    </row>
    <row r="55" ht="20.25" spans="1:11">
      <c r="A55" s="625"/>
      <c r="B55" s="625"/>
      <c r="C55" s="625"/>
      <c r="D55" s="625"/>
      <c r="E55" s="626"/>
      <c r="F55" s="627"/>
      <c r="G55" s="627"/>
      <c r="H55" s="625"/>
      <c r="I55" s="625"/>
      <c r="J55" s="625"/>
      <c r="K55" s="625"/>
    </row>
    <row r="56" ht="20.25" spans="1:11">
      <c r="A56" s="625"/>
      <c r="B56" s="625"/>
      <c r="C56" s="625"/>
      <c r="D56" s="625"/>
      <c r="E56" s="626"/>
      <c r="F56" s="627"/>
      <c r="G56" s="627"/>
      <c r="H56" s="625"/>
      <c r="I56" s="625"/>
      <c r="J56" s="625"/>
      <c r="K56" s="625"/>
    </row>
    <row r="57" ht="20.25" spans="1:11">
      <c r="A57" s="625"/>
      <c r="B57" s="625"/>
      <c r="C57" s="625"/>
      <c r="D57" s="625"/>
      <c r="E57" s="626"/>
      <c r="F57" s="627"/>
      <c r="G57" s="627"/>
      <c r="H57" s="625"/>
      <c r="I57" s="625"/>
      <c r="J57" s="625"/>
      <c r="K57" s="625"/>
    </row>
    <row r="58" ht="20.25" spans="1:11">
      <c r="A58" s="625"/>
      <c r="B58" s="625"/>
      <c r="C58" s="625"/>
      <c r="D58" s="625"/>
      <c r="E58" s="626"/>
      <c r="F58" s="627"/>
      <c r="G58" s="627"/>
      <c r="H58" s="625"/>
      <c r="I58" s="625"/>
      <c r="J58" s="625"/>
      <c r="K58" s="625"/>
    </row>
    <row r="59" ht="20.25" spans="1:11">
      <c r="A59" s="625"/>
      <c r="B59" s="625"/>
      <c r="C59" s="625"/>
      <c r="D59" s="625"/>
      <c r="E59" s="626"/>
      <c r="F59" s="627"/>
      <c r="G59" s="627"/>
      <c r="H59" s="625"/>
      <c r="I59" s="625"/>
      <c r="J59" s="625"/>
      <c r="K59" s="625"/>
    </row>
    <row r="60" ht="20.25" spans="1:11">
      <c r="A60" s="625"/>
      <c r="B60" s="625"/>
      <c r="C60" s="625"/>
      <c r="D60" s="625"/>
      <c r="E60" s="626"/>
      <c r="F60" s="627"/>
      <c r="G60" s="627"/>
      <c r="H60" s="625"/>
      <c r="I60" s="625"/>
      <c r="J60" s="625"/>
      <c r="K60" s="625"/>
    </row>
    <row r="61" ht="20.25" spans="1:11">
      <c r="A61" s="625"/>
      <c r="B61" s="625"/>
      <c r="C61" s="625"/>
      <c r="D61" s="625"/>
      <c r="E61" s="626"/>
      <c r="F61" s="627"/>
      <c r="G61" s="627"/>
      <c r="H61" s="625"/>
      <c r="I61" s="625"/>
      <c r="J61" s="625"/>
      <c r="K61" s="625"/>
    </row>
    <row r="62" ht="20.25" spans="1:11">
      <c r="A62" s="625"/>
      <c r="B62" s="625"/>
      <c r="C62" s="625"/>
      <c r="D62" s="625"/>
      <c r="E62" s="626"/>
      <c r="F62" s="627"/>
      <c r="G62" s="627"/>
      <c r="H62" s="625"/>
      <c r="I62" s="625"/>
      <c r="J62" s="625"/>
      <c r="K62" s="625"/>
    </row>
    <row r="63" ht="20.25" spans="1:11">
      <c r="A63" s="625"/>
      <c r="B63" s="625"/>
      <c r="C63" s="625"/>
      <c r="D63" s="625"/>
      <c r="E63" s="626"/>
      <c r="F63" s="627"/>
      <c r="G63" s="627"/>
      <c r="H63" s="625"/>
      <c r="I63" s="625"/>
      <c r="J63" s="625"/>
      <c r="K63" s="625"/>
    </row>
    <row r="64" ht="20.25" spans="1:11">
      <c r="A64" s="625"/>
      <c r="B64" s="625"/>
      <c r="C64" s="625"/>
      <c r="D64" s="625"/>
      <c r="E64" s="626"/>
      <c r="F64" s="627"/>
      <c r="G64" s="627"/>
      <c r="H64" s="625"/>
      <c r="I64" s="625"/>
      <c r="J64" s="625"/>
      <c r="K64" s="625"/>
    </row>
    <row r="65" ht="20.25" spans="1:11">
      <c r="A65" s="625"/>
      <c r="B65" s="625"/>
      <c r="C65" s="625"/>
      <c r="D65" s="625"/>
      <c r="E65" s="626"/>
      <c r="F65" s="627"/>
      <c r="G65" s="627"/>
      <c r="H65" s="625"/>
      <c r="I65" s="625"/>
      <c r="J65" s="625"/>
      <c r="K65" s="625"/>
    </row>
    <row r="66" ht="20.25" spans="1:11">
      <c r="A66" s="625"/>
      <c r="B66" s="625"/>
      <c r="C66" s="625"/>
      <c r="D66" s="625"/>
      <c r="E66" s="626"/>
      <c r="F66" s="627"/>
      <c r="G66" s="627"/>
      <c r="H66" s="625"/>
      <c r="I66" s="625"/>
      <c r="J66" s="625"/>
      <c r="K66" s="625"/>
    </row>
    <row r="67" ht="20.25" spans="1:11">
      <c r="A67" s="625"/>
      <c r="B67" s="625"/>
      <c r="C67" s="625"/>
      <c r="D67" s="625"/>
      <c r="E67" s="626"/>
      <c r="F67" s="627"/>
      <c r="G67" s="627"/>
      <c r="H67" s="625"/>
      <c r="I67" s="625"/>
      <c r="J67" s="625"/>
      <c r="K67" s="625"/>
    </row>
    <row r="68" ht="20.25" spans="1:11">
      <c r="A68" s="625"/>
      <c r="B68" s="625"/>
      <c r="C68" s="625"/>
      <c r="D68" s="625"/>
      <c r="E68" s="626"/>
      <c r="F68" s="627"/>
      <c r="G68" s="627"/>
      <c r="H68" s="625"/>
      <c r="I68" s="625"/>
      <c r="J68" s="625"/>
      <c r="K68" s="625"/>
    </row>
    <row r="69" ht="20.25" spans="1:11">
      <c r="A69" s="625"/>
      <c r="B69" s="625"/>
      <c r="C69" s="625"/>
      <c r="D69" s="625"/>
      <c r="E69" s="626"/>
      <c r="F69" s="627"/>
      <c r="G69" s="627"/>
      <c r="H69" s="625"/>
      <c r="I69" s="625"/>
      <c r="J69" s="625"/>
      <c r="K69" s="625"/>
    </row>
    <row r="70" ht="20.25" spans="1:11">
      <c r="A70" s="625"/>
      <c r="B70" s="625"/>
      <c r="C70" s="625"/>
      <c r="D70" s="625"/>
      <c r="E70" s="626"/>
      <c r="F70" s="627"/>
      <c r="G70" s="627"/>
      <c r="H70" s="625"/>
      <c r="I70" s="625"/>
      <c r="J70" s="625"/>
      <c r="K70" s="625"/>
    </row>
    <row r="71" ht="20.25" spans="1:11">
      <c r="A71" s="625"/>
      <c r="B71" s="625"/>
      <c r="C71" s="625"/>
      <c r="D71" s="625"/>
      <c r="E71" s="626"/>
      <c r="F71" s="627"/>
      <c r="G71" s="627"/>
      <c r="H71" s="625"/>
      <c r="I71" s="625"/>
      <c r="J71" s="625"/>
      <c r="K71" s="625"/>
    </row>
    <row r="72" ht="20.25" spans="1:11">
      <c r="A72" s="625"/>
      <c r="B72" s="625"/>
      <c r="C72" s="625"/>
      <c r="D72" s="625"/>
      <c r="E72" s="626"/>
      <c r="F72" s="627"/>
      <c r="G72" s="627"/>
      <c r="H72" s="625"/>
      <c r="I72" s="625"/>
      <c r="J72" s="625"/>
      <c r="K72" s="625"/>
    </row>
    <row r="73" ht="20.25" spans="1:11">
      <c r="A73" s="625"/>
      <c r="B73" s="625"/>
      <c r="C73" s="625"/>
      <c r="D73" s="625"/>
      <c r="E73" s="626"/>
      <c r="F73" s="627"/>
      <c r="G73" s="627"/>
      <c r="H73" s="625"/>
      <c r="I73" s="625"/>
      <c r="J73" s="625"/>
      <c r="K73" s="625"/>
    </row>
    <row r="74" ht="20.25" spans="1:11">
      <c r="A74" s="625"/>
      <c r="B74" s="625"/>
      <c r="C74" s="625"/>
      <c r="D74" s="625"/>
      <c r="E74" s="626"/>
      <c r="F74" s="627"/>
      <c r="G74" s="627"/>
      <c r="H74" s="625"/>
      <c r="I74" s="625"/>
      <c r="J74" s="625"/>
      <c r="K74" s="625"/>
    </row>
    <row r="75" ht="20.25" spans="1:11">
      <c r="A75" s="625"/>
      <c r="B75" s="625"/>
      <c r="C75" s="625"/>
      <c r="D75" s="625"/>
      <c r="E75" s="626"/>
      <c r="F75" s="627"/>
      <c r="G75" s="627"/>
      <c r="H75" s="625"/>
      <c r="I75" s="625"/>
      <c r="J75" s="625"/>
      <c r="K75" s="625"/>
    </row>
    <row r="76" ht="20.25" spans="1:11">
      <c r="A76" s="625"/>
      <c r="B76" s="625"/>
      <c r="C76" s="625"/>
      <c r="D76" s="625"/>
      <c r="E76" s="626"/>
      <c r="F76" s="627"/>
      <c r="G76" s="627"/>
      <c r="H76" s="625"/>
      <c r="I76" s="625"/>
      <c r="J76" s="625"/>
      <c r="K76" s="625"/>
    </row>
    <row r="77" ht="20.25" spans="1:11">
      <c r="A77" s="625"/>
      <c r="B77" s="625"/>
      <c r="C77" s="625"/>
      <c r="D77" s="625"/>
      <c r="E77" s="626"/>
      <c r="F77" s="627"/>
      <c r="G77" s="627"/>
      <c r="H77" s="625"/>
      <c r="I77" s="625"/>
      <c r="J77" s="625"/>
      <c r="K77" s="625"/>
    </row>
    <row r="78" ht="20.25" spans="1:11">
      <c r="A78" s="625"/>
      <c r="B78" s="625"/>
      <c r="C78" s="625"/>
      <c r="D78" s="625"/>
      <c r="E78" s="626"/>
      <c r="F78" s="627"/>
      <c r="G78" s="627"/>
      <c r="H78" s="625"/>
      <c r="I78" s="625"/>
      <c r="J78" s="625"/>
      <c r="K78" s="625"/>
    </row>
    <row r="79" ht="20.25" spans="1:11">
      <c r="A79" s="625"/>
      <c r="B79" s="625"/>
      <c r="C79" s="625"/>
      <c r="D79" s="625"/>
      <c r="E79" s="626"/>
      <c r="F79" s="627"/>
      <c r="G79" s="627"/>
      <c r="H79" s="625"/>
      <c r="I79" s="625"/>
      <c r="J79" s="625"/>
      <c r="K79" s="625"/>
    </row>
    <row r="80" ht="20.25" spans="1:11">
      <c r="A80" s="625"/>
      <c r="B80" s="625"/>
      <c r="C80" s="625"/>
      <c r="D80" s="625"/>
      <c r="E80" s="626"/>
      <c r="F80" s="627"/>
      <c r="G80" s="627"/>
      <c r="H80" s="625"/>
      <c r="I80" s="625"/>
      <c r="J80" s="625"/>
      <c r="K80" s="625"/>
    </row>
    <row r="81" ht="20.25" spans="1:11">
      <c r="A81" s="625"/>
      <c r="B81" s="625"/>
      <c r="C81" s="625"/>
      <c r="D81" s="625"/>
      <c r="E81" s="626"/>
      <c r="F81" s="627"/>
      <c r="G81" s="627"/>
      <c r="H81" s="625"/>
      <c r="I81" s="625"/>
      <c r="J81" s="625"/>
      <c r="K81" s="625"/>
    </row>
    <row r="82" ht="20.25" spans="1:11">
      <c r="A82" s="625"/>
      <c r="B82" s="625"/>
      <c r="C82" s="625"/>
      <c r="D82" s="625"/>
      <c r="E82" s="626"/>
      <c r="F82" s="627"/>
      <c r="G82" s="627"/>
      <c r="H82" s="625"/>
      <c r="I82" s="625"/>
      <c r="J82" s="625"/>
      <c r="K82" s="625"/>
    </row>
    <row r="83" ht="20.25" spans="1:11">
      <c r="A83" s="625"/>
      <c r="B83" s="625"/>
      <c r="C83" s="625"/>
      <c r="D83" s="625"/>
      <c r="E83" s="626"/>
      <c r="F83" s="627"/>
      <c r="G83" s="627"/>
      <c r="H83" s="625"/>
      <c r="I83" s="625"/>
      <c r="J83" s="625"/>
      <c r="K83" s="625"/>
    </row>
    <row r="84" ht="20.25" spans="1:11">
      <c r="A84" s="625"/>
      <c r="B84" s="625"/>
      <c r="C84" s="625"/>
      <c r="D84" s="625"/>
      <c r="E84" s="626"/>
      <c r="F84" s="627"/>
      <c r="G84" s="627"/>
      <c r="H84" s="625"/>
      <c r="I84" s="625"/>
      <c r="J84" s="625"/>
      <c r="K84" s="625"/>
    </row>
    <row r="85" ht="20.25" spans="1:11">
      <c r="A85" s="625"/>
      <c r="B85" s="625"/>
      <c r="C85" s="625"/>
      <c r="D85" s="625"/>
      <c r="E85" s="626"/>
      <c r="F85" s="627"/>
      <c r="G85" s="627"/>
      <c r="H85" s="625"/>
      <c r="I85" s="625"/>
      <c r="J85" s="625"/>
      <c r="K85" s="625"/>
    </row>
    <row r="86" ht="20.25" spans="1:11">
      <c r="A86" s="625"/>
      <c r="B86" s="625"/>
      <c r="C86" s="625"/>
      <c r="D86" s="625"/>
      <c r="E86" s="626"/>
      <c r="F86" s="627"/>
      <c r="G86" s="627"/>
      <c r="H86" s="625"/>
      <c r="I86" s="625"/>
      <c r="J86" s="625"/>
      <c r="K86" s="625"/>
    </row>
    <row r="87" ht="20.25" spans="1:11">
      <c r="A87" s="625"/>
      <c r="B87" s="625"/>
      <c r="C87" s="625"/>
      <c r="D87" s="625"/>
      <c r="E87" s="626"/>
      <c r="F87" s="627"/>
      <c r="G87" s="627"/>
      <c r="H87" s="625"/>
      <c r="I87" s="625"/>
      <c r="J87" s="625"/>
      <c r="K87" s="625"/>
    </row>
    <row r="88" ht="20.25" spans="1:11">
      <c r="A88" s="625"/>
      <c r="B88" s="625"/>
      <c r="C88" s="625"/>
      <c r="D88" s="625"/>
      <c r="E88" s="626"/>
      <c r="F88" s="627"/>
      <c r="G88" s="627"/>
      <c r="H88" s="625"/>
      <c r="I88" s="625"/>
      <c r="J88" s="625"/>
      <c r="K88" s="625"/>
    </row>
    <row r="89" ht="20.25" spans="1:11">
      <c r="A89" s="625"/>
      <c r="B89" s="625"/>
      <c r="C89" s="625"/>
      <c r="D89" s="625"/>
      <c r="E89" s="626"/>
      <c r="F89" s="627"/>
      <c r="G89" s="627"/>
      <c r="H89" s="625"/>
      <c r="I89" s="625"/>
      <c r="J89" s="625"/>
      <c r="K89" s="625"/>
    </row>
    <row r="90" ht="20.25" spans="1:11">
      <c r="A90" s="625"/>
      <c r="B90" s="625"/>
      <c r="C90" s="625"/>
      <c r="D90" s="625"/>
      <c r="E90" s="626"/>
      <c r="F90" s="627"/>
      <c r="G90" s="627"/>
      <c r="H90" s="625"/>
      <c r="I90" s="625"/>
      <c r="J90" s="625"/>
      <c r="K90" s="625"/>
    </row>
    <row r="91" ht="20.25" spans="1:11">
      <c r="A91" s="625"/>
      <c r="B91" s="625"/>
      <c r="C91" s="625"/>
      <c r="D91" s="625"/>
      <c r="E91" s="626"/>
      <c r="F91" s="627"/>
      <c r="G91" s="627"/>
      <c r="H91" s="625"/>
      <c r="I91" s="625"/>
      <c r="J91" s="625"/>
      <c r="K91" s="625"/>
    </row>
    <row r="92" ht="20.25" spans="1:11">
      <c r="A92" s="625"/>
      <c r="B92" s="625"/>
      <c r="C92" s="625"/>
      <c r="D92" s="625"/>
      <c r="E92" s="626"/>
      <c r="F92" s="627"/>
      <c r="G92" s="627"/>
      <c r="H92" s="625"/>
      <c r="I92" s="625"/>
      <c r="J92" s="625"/>
      <c r="K92" s="625"/>
    </row>
    <row r="93" ht="20.25" spans="1:11">
      <c r="A93" s="625"/>
      <c r="B93" s="625"/>
      <c r="C93" s="625"/>
      <c r="D93" s="625"/>
      <c r="E93" s="626"/>
      <c r="F93" s="627"/>
      <c r="G93" s="627"/>
      <c r="H93" s="625"/>
      <c r="I93" s="625"/>
      <c r="J93" s="625"/>
      <c r="K93" s="625"/>
    </row>
    <row r="94" ht="20.25" spans="1:11">
      <c r="A94" s="625"/>
      <c r="B94" s="625"/>
      <c r="C94" s="625"/>
      <c r="D94" s="625"/>
      <c r="E94" s="626"/>
      <c r="F94" s="627"/>
      <c r="G94" s="627"/>
      <c r="H94" s="625"/>
      <c r="I94" s="625"/>
      <c r="J94" s="625"/>
      <c r="K94" s="625"/>
    </row>
    <row r="95" ht="20.25" spans="1:11">
      <c r="A95" s="625"/>
      <c r="B95" s="625"/>
      <c r="C95" s="625"/>
      <c r="D95" s="625"/>
      <c r="E95" s="626"/>
      <c r="F95" s="627"/>
      <c r="G95" s="627"/>
      <c r="H95" s="625"/>
      <c r="I95" s="625"/>
      <c r="J95" s="625"/>
      <c r="K95" s="625"/>
    </row>
    <row r="96" ht="20.25" spans="1:11">
      <c r="A96" s="625"/>
      <c r="B96" s="625"/>
      <c r="C96" s="625"/>
      <c r="D96" s="625"/>
      <c r="E96" s="626"/>
      <c r="F96" s="627"/>
      <c r="G96" s="627"/>
      <c r="H96" s="625"/>
      <c r="I96" s="625"/>
      <c r="J96" s="625"/>
      <c r="K96" s="625"/>
    </row>
    <row r="97" ht="20.25" spans="1:11">
      <c r="A97" s="625"/>
      <c r="B97" s="625"/>
      <c r="C97" s="625"/>
      <c r="D97" s="625"/>
      <c r="E97" s="626"/>
      <c r="F97" s="627"/>
      <c r="G97" s="627"/>
      <c r="H97" s="625"/>
      <c r="I97" s="625"/>
      <c r="J97" s="625"/>
      <c r="K97" s="625"/>
    </row>
    <row r="98" ht="20.25" spans="1:11">
      <c r="A98" s="625"/>
      <c r="B98" s="625"/>
      <c r="C98" s="625"/>
      <c r="D98" s="625"/>
      <c r="E98" s="626"/>
      <c r="F98" s="627"/>
      <c r="G98" s="627"/>
      <c r="H98" s="625"/>
      <c r="I98" s="625"/>
      <c r="J98" s="625"/>
      <c r="K98" s="625"/>
    </row>
    <row r="99" ht="20.25" spans="1:11">
      <c r="A99" s="625"/>
      <c r="B99" s="625"/>
      <c r="C99" s="625"/>
      <c r="D99" s="625"/>
      <c r="E99" s="626"/>
      <c r="F99" s="627"/>
      <c r="G99" s="627"/>
      <c r="H99" s="625"/>
      <c r="I99" s="625"/>
      <c r="J99" s="625"/>
      <c r="K99" s="625"/>
    </row>
    <row r="100" ht="20.25" spans="1:11">
      <c r="A100" s="625"/>
      <c r="B100" s="625"/>
      <c r="C100" s="625"/>
      <c r="D100" s="625"/>
      <c r="E100" s="626"/>
      <c r="F100" s="627"/>
      <c r="G100" s="627"/>
      <c r="H100" s="625"/>
      <c r="I100" s="625"/>
      <c r="J100" s="625"/>
      <c r="K100" s="625"/>
    </row>
    <row r="101" ht="20.25" spans="1:11">
      <c r="A101" s="625"/>
      <c r="B101" s="625"/>
      <c r="C101" s="625"/>
      <c r="D101" s="625"/>
      <c r="E101" s="626"/>
      <c r="F101" s="627"/>
      <c r="G101" s="627"/>
      <c r="H101" s="625"/>
      <c r="I101" s="625"/>
      <c r="J101" s="625"/>
      <c r="K101" s="625"/>
    </row>
    <row r="102" ht="20.25" spans="1:11">
      <c r="A102" s="625"/>
      <c r="B102" s="625"/>
      <c r="C102" s="625"/>
      <c r="D102" s="625"/>
      <c r="E102" s="626"/>
      <c r="F102" s="647"/>
      <c r="G102" s="625"/>
      <c r="H102" s="625"/>
      <c r="I102" s="625"/>
      <c r="J102" s="625"/>
      <c r="K102" s="625"/>
    </row>
    <row r="103" ht="20.25" spans="1:11">
      <c r="A103" s="625"/>
      <c r="B103" s="625"/>
      <c r="C103" s="625"/>
      <c r="D103" s="625"/>
      <c r="E103" s="626"/>
      <c r="F103" s="647"/>
      <c r="G103" s="625"/>
      <c r="H103" s="625"/>
      <c r="I103" s="625"/>
      <c r="J103" s="625"/>
      <c r="K103" s="625"/>
    </row>
    <row r="104" ht="20.25" spans="1:11">
      <c r="A104" s="625"/>
      <c r="B104" s="625"/>
      <c r="C104" s="625"/>
      <c r="D104" s="625"/>
      <c r="E104" s="626"/>
      <c r="F104" s="647"/>
      <c r="G104" s="625"/>
      <c r="H104" s="625"/>
      <c r="I104" s="625"/>
      <c r="J104" s="625"/>
      <c r="K104" s="625"/>
    </row>
    <row r="105" ht="20.25" spans="1:11">
      <c r="A105" s="625"/>
      <c r="B105" s="625"/>
      <c r="C105" s="625"/>
      <c r="D105" s="625"/>
      <c r="E105" s="626"/>
      <c r="F105" s="647"/>
      <c r="G105" s="625"/>
      <c r="H105" s="625"/>
      <c r="I105" s="625"/>
      <c r="J105" s="625"/>
      <c r="K105" s="625"/>
    </row>
    <row r="106" ht="20.25" spans="1:11">
      <c r="A106" s="625"/>
      <c r="B106" s="625"/>
      <c r="C106" s="625"/>
      <c r="D106" s="625"/>
      <c r="E106" s="626"/>
      <c r="F106" s="647"/>
      <c r="G106" s="625"/>
      <c r="H106" s="625"/>
      <c r="I106" s="625"/>
      <c r="J106" s="625"/>
      <c r="K106" s="625"/>
    </row>
    <row r="107" ht="20.25" spans="1:11">
      <c r="A107" s="625"/>
      <c r="B107" s="625"/>
      <c r="C107" s="625"/>
      <c r="D107" s="625"/>
      <c r="E107" s="626"/>
      <c r="F107" s="647"/>
      <c r="G107" s="625"/>
      <c r="H107" s="625"/>
      <c r="I107" s="625"/>
      <c r="J107" s="625"/>
      <c r="K107" s="625"/>
    </row>
    <row r="108" ht="20.25" spans="1:11">
      <c r="A108" s="625"/>
      <c r="B108" s="625"/>
      <c r="C108" s="625"/>
      <c r="D108" s="625"/>
      <c r="E108" s="626"/>
      <c r="F108" s="647"/>
      <c r="G108" s="625"/>
      <c r="H108" s="625"/>
      <c r="I108" s="625"/>
      <c r="J108" s="625"/>
      <c r="K108" s="625"/>
    </row>
    <row r="109" ht="20.25" spans="1:11">
      <c r="A109" s="625"/>
      <c r="B109" s="625"/>
      <c r="C109" s="625"/>
      <c r="D109" s="625"/>
      <c r="E109" s="626"/>
      <c r="F109" s="647"/>
      <c r="G109" s="625"/>
      <c r="H109" s="625"/>
      <c r="I109" s="625"/>
      <c r="J109" s="625"/>
      <c r="K109" s="625"/>
    </row>
    <row r="110" ht="20.25" spans="1:11">
      <c r="A110" s="625"/>
      <c r="B110" s="625"/>
      <c r="C110" s="625"/>
      <c r="D110" s="625"/>
      <c r="E110" s="626"/>
      <c r="F110" s="647"/>
      <c r="G110" s="625"/>
      <c r="H110" s="625"/>
      <c r="I110" s="625"/>
      <c r="J110" s="625"/>
      <c r="K110" s="625"/>
    </row>
    <row r="111" ht="20.25" spans="1:11">
      <c r="A111" s="625"/>
      <c r="B111" s="625"/>
      <c r="C111" s="625"/>
      <c r="D111" s="625"/>
      <c r="E111" s="626"/>
      <c r="F111" s="647"/>
      <c r="G111" s="625"/>
      <c r="H111" s="625"/>
      <c r="I111" s="625"/>
      <c r="J111" s="625"/>
      <c r="K111" s="625"/>
    </row>
    <row r="112" ht="20.25" spans="1:11">
      <c r="A112" s="625"/>
      <c r="B112" s="625"/>
      <c r="C112" s="625"/>
      <c r="D112" s="625"/>
      <c r="E112" s="626"/>
      <c r="F112" s="647"/>
      <c r="G112" s="625"/>
      <c r="H112" s="625"/>
      <c r="I112" s="625"/>
      <c r="J112" s="625"/>
      <c r="K112" s="625"/>
    </row>
    <row r="113" ht="20.25" spans="1:11">
      <c r="A113" s="625"/>
      <c r="B113" s="625"/>
      <c r="C113" s="625"/>
      <c r="D113" s="625"/>
      <c r="E113" s="626"/>
      <c r="F113" s="647"/>
      <c r="G113" s="625"/>
      <c r="H113" s="625"/>
      <c r="I113" s="625"/>
      <c r="J113" s="625"/>
      <c r="K113" s="625"/>
    </row>
    <row r="114" ht="20.25" spans="1:11">
      <c r="A114" s="625"/>
      <c r="B114" s="625"/>
      <c r="C114" s="625"/>
      <c r="D114" s="625"/>
      <c r="E114" s="626"/>
      <c r="F114" s="647"/>
      <c r="G114" s="625"/>
      <c r="H114" s="625"/>
      <c r="I114" s="625"/>
      <c r="J114" s="625"/>
      <c r="K114" s="625"/>
    </row>
    <row r="115" ht="20.25" spans="1:11">
      <c r="A115" s="625"/>
      <c r="B115" s="625"/>
      <c r="C115" s="625"/>
      <c r="D115" s="625"/>
      <c r="E115" s="626"/>
      <c r="F115" s="647"/>
      <c r="G115" s="625"/>
      <c r="H115" s="625"/>
      <c r="I115" s="625"/>
      <c r="J115" s="625"/>
      <c r="K115" s="625"/>
    </row>
    <row r="116" ht="20.25" spans="1:11">
      <c r="A116" s="625"/>
      <c r="B116" s="625"/>
      <c r="C116" s="625"/>
      <c r="D116" s="625"/>
      <c r="E116" s="626"/>
      <c r="F116" s="647"/>
      <c r="G116" s="625"/>
      <c r="H116" s="625"/>
      <c r="I116" s="625"/>
      <c r="J116" s="625"/>
      <c r="K116" s="625"/>
    </row>
    <row r="117" ht="20.25" spans="1:11">
      <c r="A117" s="625"/>
      <c r="B117" s="625"/>
      <c r="C117" s="625"/>
      <c r="D117" s="625"/>
      <c r="E117" s="626"/>
      <c r="F117" s="647"/>
      <c r="G117" s="625"/>
      <c r="H117" s="625"/>
      <c r="I117" s="625"/>
      <c r="J117" s="625"/>
      <c r="K117" s="625"/>
    </row>
    <row r="118" ht="20.25" spans="1:11">
      <c r="A118" s="625"/>
      <c r="B118" s="625"/>
      <c r="C118" s="625"/>
      <c r="D118" s="625"/>
      <c r="E118" s="626"/>
      <c r="F118" s="647"/>
      <c r="G118" s="625"/>
      <c r="H118" s="625"/>
      <c r="I118" s="625"/>
      <c r="J118" s="625"/>
      <c r="K118" s="625"/>
    </row>
    <row r="119" ht="20.25" spans="1:11">
      <c r="A119" s="625"/>
      <c r="B119" s="625"/>
      <c r="C119" s="625"/>
      <c r="D119" s="625"/>
      <c r="E119" s="626"/>
      <c r="F119" s="647"/>
      <c r="G119" s="625"/>
      <c r="H119" s="625"/>
      <c r="I119" s="625"/>
      <c r="J119" s="625"/>
      <c r="K119" s="625"/>
    </row>
    <row r="120" ht="20.25" spans="1:11">
      <c r="A120" s="625"/>
      <c r="B120" s="625"/>
      <c r="C120" s="625"/>
      <c r="D120" s="625"/>
      <c r="E120" s="626"/>
      <c r="F120" s="647"/>
      <c r="G120" s="625"/>
      <c r="H120" s="625"/>
      <c r="I120" s="625"/>
      <c r="J120" s="625"/>
      <c r="K120" s="625"/>
    </row>
    <row r="121" ht="20.25" spans="1:11">
      <c r="A121" s="625"/>
      <c r="B121" s="625"/>
      <c r="C121" s="625"/>
      <c r="D121" s="625"/>
      <c r="E121" s="626"/>
      <c r="F121" s="647"/>
      <c r="G121" s="625"/>
      <c r="H121" s="625"/>
      <c r="I121" s="625"/>
      <c r="J121" s="625"/>
      <c r="K121" s="625"/>
    </row>
    <row r="122" ht="20.25" spans="1:11">
      <c r="A122" s="625"/>
      <c r="B122" s="625"/>
      <c r="C122" s="625"/>
      <c r="D122" s="625"/>
      <c r="E122" s="626"/>
      <c r="F122" s="647"/>
      <c r="G122" s="625"/>
      <c r="H122" s="625"/>
      <c r="I122" s="625"/>
      <c r="J122" s="625"/>
      <c r="K122" s="625"/>
    </row>
    <row r="123" ht="20.25" spans="1:11">
      <c r="A123" s="625"/>
      <c r="B123" s="625"/>
      <c r="C123" s="625"/>
      <c r="D123" s="625"/>
      <c r="E123" s="626"/>
      <c r="F123" s="647"/>
      <c r="G123" s="625"/>
      <c r="H123" s="625"/>
      <c r="I123" s="625"/>
      <c r="J123" s="625"/>
      <c r="K123" s="625"/>
    </row>
    <row r="124" ht="20.25" spans="1:11">
      <c r="A124" s="625"/>
      <c r="B124" s="625"/>
      <c r="C124" s="625"/>
      <c r="D124" s="625"/>
      <c r="E124" s="626"/>
      <c r="F124" s="647"/>
      <c r="G124" s="625"/>
      <c r="H124" s="625"/>
      <c r="I124" s="625"/>
      <c r="J124" s="625"/>
      <c r="K124" s="625"/>
    </row>
    <row r="125" ht="20.25" spans="1:11">
      <c r="A125" s="625"/>
      <c r="B125" s="625"/>
      <c r="C125" s="625"/>
      <c r="D125" s="625"/>
      <c r="E125" s="626"/>
      <c r="F125" s="647"/>
      <c r="G125" s="625"/>
      <c r="H125" s="625"/>
      <c r="I125" s="625"/>
      <c r="J125" s="625"/>
      <c r="K125" s="625"/>
    </row>
    <row r="126" ht="20.25" spans="1:11">
      <c r="A126" s="625"/>
      <c r="B126" s="625"/>
      <c r="C126" s="625"/>
      <c r="D126" s="625"/>
      <c r="E126" s="626"/>
      <c r="F126" s="647"/>
      <c r="G126" s="625"/>
      <c r="H126" s="625"/>
      <c r="I126" s="625"/>
      <c r="J126" s="625"/>
      <c r="K126" s="625"/>
    </row>
    <row r="127" ht="20.25" spans="1:11">
      <c r="A127" s="625"/>
      <c r="B127" s="625"/>
      <c r="C127" s="625"/>
      <c r="D127" s="625"/>
      <c r="E127" s="626"/>
      <c r="F127" s="647"/>
      <c r="G127" s="625"/>
      <c r="H127" s="625"/>
      <c r="I127" s="625"/>
      <c r="J127" s="625"/>
      <c r="K127" s="625"/>
    </row>
    <row r="128" ht="20.25" spans="1:11">
      <c r="A128" s="625"/>
      <c r="B128" s="625"/>
      <c r="C128" s="625"/>
      <c r="D128" s="625"/>
      <c r="E128" s="626"/>
      <c r="F128" s="647"/>
      <c r="G128" s="625"/>
      <c r="H128" s="625"/>
      <c r="I128" s="625"/>
      <c r="J128" s="625"/>
      <c r="K128" s="625"/>
    </row>
    <row r="129" ht="20.25" spans="1:11">
      <c r="A129" s="625"/>
      <c r="B129" s="625"/>
      <c r="C129" s="625"/>
      <c r="D129" s="625"/>
      <c r="E129" s="626"/>
      <c r="F129" s="647"/>
      <c r="G129" s="625"/>
      <c r="H129" s="625"/>
      <c r="I129" s="625"/>
      <c r="J129" s="625"/>
      <c r="K129" s="625"/>
    </row>
    <row r="130" ht="20.25" spans="1:11">
      <c r="A130" s="625"/>
      <c r="B130" s="625"/>
      <c r="C130" s="625"/>
      <c r="D130" s="625"/>
      <c r="E130" s="626"/>
      <c r="F130" s="647"/>
      <c r="G130" s="625"/>
      <c r="H130" s="625"/>
      <c r="I130" s="625"/>
      <c r="J130" s="625"/>
      <c r="K130" s="625"/>
    </row>
    <row r="131" ht="20.25" spans="1:11">
      <c r="A131" s="625"/>
      <c r="B131" s="625"/>
      <c r="C131" s="625"/>
      <c r="D131" s="625"/>
      <c r="E131" s="626"/>
      <c r="F131" s="647"/>
      <c r="G131" s="625"/>
      <c r="H131" s="625"/>
      <c r="I131" s="625"/>
      <c r="J131" s="625"/>
      <c r="K131" s="625"/>
    </row>
    <row r="132" ht="20.25" spans="1:11">
      <c r="A132" s="625"/>
      <c r="B132" s="625"/>
      <c r="C132" s="625"/>
      <c r="D132" s="625"/>
      <c r="E132" s="626"/>
      <c r="F132" s="647"/>
      <c r="G132" s="625"/>
      <c r="H132" s="625"/>
      <c r="I132" s="625"/>
      <c r="J132" s="625"/>
      <c r="K132" s="625"/>
    </row>
    <row r="133" ht="20.25" spans="1:11">
      <c r="A133" s="625"/>
      <c r="B133" s="625"/>
      <c r="C133" s="625"/>
      <c r="D133" s="625"/>
      <c r="E133" s="626"/>
      <c r="F133" s="647"/>
      <c r="G133" s="625"/>
      <c r="H133" s="625"/>
      <c r="I133" s="625"/>
      <c r="J133" s="625"/>
      <c r="K133" s="625"/>
    </row>
    <row r="134" ht="20.25" spans="1:11">
      <c r="A134" s="625"/>
      <c r="B134" s="625"/>
      <c r="C134" s="625"/>
      <c r="D134" s="625"/>
      <c r="E134" s="626"/>
      <c r="F134" s="647"/>
      <c r="G134" s="625"/>
      <c r="H134" s="625"/>
      <c r="I134" s="625"/>
      <c r="J134" s="625"/>
      <c r="K134" s="625"/>
    </row>
    <row r="135" ht="20.25" spans="1:11">
      <c r="A135" s="625"/>
      <c r="B135" s="625"/>
      <c r="C135" s="625"/>
      <c r="D135" s="625"/>
      <c r="E135" s="626"/>
      <c r="F135" s="647"/>
      <c r="G135" s="625"/>
      <c r="H135" s="625"/>
      <c r="I135" s="625"/>
      <c r="J135" s="625"/>
      <c r="K135" s="625"/>
    </row>
    <row r="136" ht="20.25" spans="1:11">
      <c r="A136" s="625"/>
      <c r="B136" s="625"/>
      <c r="C136" s="625"/>
      <c r="D136" s="625"/>
      <c r="E136" s="626"/>
      <c r="F136" s="647"/>
      <c r="G136" s="625"/>
      <c r="H136" s="625"/>
      <c r="I136" s="625"/>
      <c r="J136" s="625"/>
      <c r="K136" s="625"/>
    </row>
    <row r="137" ht="20.25" spans="1:11">
      <c r="A137" s="625"/>
      <c r="B137" s="625"/>
      <c r="C137" s="625"/>
      <c r="D137" s="625"/>
      <c r="E137" s="626"/>
      <c r="F137" s="647"/>
      <c r="G137" s="625"/>
      <c r="H137" s="625"/>
      <c r="I137" s="625"/>
      <c r="J137" s="625"/>
      <c r="K137" s="625"/>
    </row>
    <row r="138" ht="20.25" spans="1:11">
      <c r="A138" s="625"/>
      <c r="B138" s="625"/>
      <c r="C138" s="625"/>
      <c r="D138" s="625"/>
      <c r="E138" s="626"/>
      <c r="F138" s="647"/>
      <c r="G138" s="625"/>
      <c r="H138" s="625"/>
      <c r="I138" s="625"/>
      <c r="J138" s="625"/>
      <c r="K138" s="625"/>
    </row>
    <row r="139" ht="20.25" spans="1:11">
      <c r="A139" s="625"/>
      <c r="B139" s="625"/>
      <c r="C139" s="625"/>
      <c r="D139" s="625"/>
      <c r="E139" s="626"/>
      <c r="F139" s="647"/>
      <c r="G139" s="625"/>
      <c r="H139" s="625"/>
      <c r="I139" s="625"/>
      <c r="J139" s="625"/>
      <c r="K139" s="625"/>
    </row>
    <row r="140" ht="20.25" spans="1:11">
      <c r="A140" s="625"/>
      <c r="B140" s="625"/>
      <c r="C140" s="625"/>
      <c r="D140" s="625"/>
      <c r="E140" s="626"/>
      <c r="F140" s="647"/>
      <c r="G140" s="625"/>
      <c r="H140" s="625"/>
      <c r="I140" s="625"/>
      <c r="J140" s="625"/>
      <c r="K140" s="625"/>
    </row>
    <row r="141" ht="20.25" spans="1:11">
      <c r="A141" s="625"/>
      <c r="B141" s="625"/>
      <c r="C141" s="625"/>
      <c r="D141" s="625"/>
      <c r="E141" s="626"/>
      <c r="F141" s="647"/>
      <c r="G141" s="625"/>
      <c r="H141" s="625"/>
      <c r="I141" s="625"/>
      <c r="J141" s="625"/>
      <c r="K141" s="625"/>
    </row>
    <row r="142" ht="20.25" spans="1:11">
      <c r="A142" s="625"/>
      <c r="B142" s="625"/>
      <c r="C142" s="625"/>
      <c r="D142" s="625"/>
      <c r="E142" s="626"/>
      <c r="F142" s="647"/>
      <c r="G142" s="625"/>
      <c r="H142" s="625"/>
      <c r="I142" s="625"/>
      <c r="J142" s="625"/>
      <c r="K142" s="625"/>
    </row>
    <row r="143" ht="20.25" spans="1:11">
      <c r="A143" s="625"/>
      <c r="B143" s="625"/>
      <c r="C143" s="625"/>
      <c r="D143" s="625"/>
      <c r="E143" s="626"/>
      <c r="F143" s="647"/>
      <c r="G143" s="625"/>
      <c r="H143" s="625"/>
      <c r="I143" s="625"/>
      <c r="J143" s="625"/>
      <c r="K143" s="625"/>
    </row>
    <row r="144" ht="20.25" spans="1:11">
      <c r="A144" s="625"/>
      <c r="B144" s="625"/>
      <c r="C144" s="625"/>
      <c r="D144" s="625"/>
      <c r="E144" s="626"/>
      <c r="F144" s="647"/>
      <c r="G144" s="625"/>
      <c r="H144" s="625"/>
      <c r="I144" s="625"/>
      <c r="J144" s="625"/>
      <c r="K144" s="625"/>
    </row>
    <row r="145" ht="20.25" spans="1:11">
      <c r="A145" s="625"/>
      <c r="B145" s="625"/>
      <c r="C145" s="625"/>
      <c r="D145" s="625"/>
      <c r="E145" s="626"/>
      <c r="F145" s="647"/>
      <c r="G145" s="625"/>
      <c r="H145" s="625"/>
      <c r="I145" s="625"/>
      <c r="J145" s="625"/>
      <c r="K145" s="625"/>
    </row>
    <row r="146" ht="20.25" spans="1:11">
      <c r="A146" s="625"/>
      <c r="B146" s="625"/>
      <c r="C146" s="625"/>
      <c r="D146" s="625"/>
      <c r="E146" s="626"/>
      <c r="F146" s="647"/>
      <c r="G146" s="625"/>
      <c r="H146" s="625"/>
      <c r="I146" s="625"/>
      <c r="J146" s="625"/>
      <c r="K146" s="625"/>
    </row>
    <row r="147" ht="20.25" spans="1:11">
      <c r="A147" s="625"/>
      <c r="B147" s="625"/>
      <c r="C147" s="625"/>
      <c r="D147" s="625"/>
      <c r="E147" s="626"/>
      <c r="F147" s="647"/>
      <c r="G147" s="625"/>
      <c r="H147" s="625"/>
      <c r="I147" s="625"/>
      <c r="J147" s="625"/>
      <c r="K147" s="625"/>
    </row>
    <row r="148" ht="20.25" spans="1:11">
      <c r="A148" s="625"/>
      <c r="B148" s="625"/>
      <c r="C148" s="625"/>
      <c r="D148" s="625"/>
      <c r="E148" s="626"/>
      <c r="F148" s="647"/>
      <c r="G148" s="625"/>
      <c r="H148" s="625"/>
      <c r="I148" s="625"/>
      <c r="J148" s="625"/>
      <c r="K148" s="625"/>
    </row>
    <row r="149" ht="20.25" spans="1:11">
      <c r="A149" s="625"/>
      <c r="B149" s="625"/>
      <c r="C149" s="625"/>
      <c r="D149" s="625"/>
      <c r="E149" s="626"/>
      <c r="F149" s="647"/>
      <c r="G149" s="625"/>
      <c r="H149" s="625"/>
      <c r="I149" s="625"/>
      <c r="J149" s="625"/>
      <c r="K149" s="625"/>
    </row>
    <row r="150" ht="20.25" spans="1:11">
      <c r="A150" s="625"/>
      <c r="B150" s="625"/>
      <c r="C150" s="625"/>
      <c r="D150" s="625"/>
      <c r="E150" s="626"/>
      <c r="F150" s="647"/>
      <c r="G150" s="625"/>
      <c r="H150" s="625"/>
      <c r="I150" s="625"/>
      <c r="J150" s="625"/>
      <c r="K150" s="625"/>
    </row>
    <row r="151" ht="20.25" spans="1:11">
      <c r="A151" s="625"/>
      <c r="B151" s="625"/>
      <c r="C151" s="625"/>
      <c r="D151" s="625"/>
      <c r="E151" s="626"/>
      <c r="F151" s="647"/>
      <c r="G151" s="625"/>
      <c r="H151" s="625"/>
      <c r="I151" s="625"/>
      <c r="J151" s="625"/>
      <c r="K151" s="625"/>
    </row>
    <row r="152" ht="20.25" spans="1:11">
      <c r="A152" s="625"/>
      <c r="B152" s="625"/>
      <c r="C152" s="625"/>
      <c r="D152" s="625"/>
      <c r="E152" s="626"/>
      <c r="F152" s="647"/>
      <c r="G152" s="625"/>
      <c r="H152" s="625"/>
      <c r="I152" s="625"/>
      <c r="J152" s="625"/>
      <c r="K152" s="625"/>
    </row>
    <row r="153" ht="20.25" spans="1:11">
      <c r="A153" s="625"/>
      <c r="B153" s="625"/>
      <c r="C153" s="625"/>
      <c r="D153" s="625"/>
      <c r="E153" s="626"/>
      <c r="F153" s="647"/>
      <c r="G153" s="625"/>
      <c r="H153" s="625"/>
      <c r="I153" s="625"/>
      <c r="J153" s="625"/>
      <c r="K153" s="625"/>
    </row>
    <row r="154" ht="20.25" spans="1:11">
      <c r="A154" s="625"/>
      <c r="B154" s="625"/>
      <c r="C154" s="625"/>
      <c r="D154" s="625"/>
      <c r="E154" s="626"/>
      <c r="F154" s="647"/>
      <c r="G154" s="625"/>
      <c r="H154" s="625"/>
      <c r="I154" s="625"/>
      <c r="J154" s="625"/>
      <c r="K154" s="625"/>
    </row>
    <row r="155" ht="20.25" spans="1:11">
      <c r="A155" s="625"/>
      <c r="B155" s="625"/>
      <c r="C155" s="625"/>
      <c r="D155" s="625"/>
      <c r="E155" s="626"/>
      <c r="F155" s="647"/>
      <c r="G155" s="625"/>
      <c r="H155" s="625"/>
      <c r="I155" s="625"/>
      <c r="J155" s="625"/>
      <c r="K155" s="625"/>
    </row>
    <row r="156" ht="20.25" spans="1:11">
      <c r="A156" s="625"/>
      <c r="B156" s="625"/>
      <c r="C156" s="625"/>
      <c r="D156" s="625"/>
      <c r="E156" s="626"/>
      <c r="F156" s="647"/>
      <c r="G156" s="625"/>
      <c r="H156" s="625"/>
      <c r="I156" s="625"/>
      <c r="J156" s="625"/>
      <c r="K156" s="625"/>
    </row>
    <row r="157" ht="20.25" spans="1:11">
      <c r="A157" s="625"/>
      <c r="B157" s="625"/>
      <c r="C157" s="625"/>
      <c r="D157" s="625"/>
      <c r="E157" s="626"/>
      <c r="F157" s="647"/>
      <c r="G157" s="625"/>
      <c r="H157" s="625"/>
      <c r="I157" s="625"/>
      <c r="J157" s="625"/>
      <c r="K157" s="625"/>
    </row>
    <row r="158" ht="20.25" spans="1:11">
      <c r="A158" s="625"/>
      <c r="B158" s="625"/>
      <c r="C158" s="625"/>
      <c r="D158" s="625"/>
      <c r="E158" s="626"/>
      <c r="F158" s="647"/>
      <c r="G158" s="625"/>
      <c r="H158" s="625"/>
      <c r="I158" s="625"/>
      <c r="J158" s="625"/>
      <c r="K158" s="625"/>
    </row>
    <row r="159" ht="20.25" spans="1:11">
      <c r="A159" s="625"/>
      <c r="B159" s="625"/>
      <c r="C159" s="625"/>
      <c r="D159" s="625"/>
      <c r="E159" s="626"/>
      <c r="F159" s="647"/>
      <c r="G159" s="625"/>
      <c r="H159" s="625"/>
      <c r="I159" s="625"/>
      <c r="J159" s="625"/>
      <c r="K159" s="625"/>
    </row>
    <row r="160" ht="20.25" spans="1:11">
      <c r="A160" s="625"/>
      <c r="B160" s="625"/>
      <c r="C160" s="625"/>
      <c r="D160" s="625"/>
      <c r="E160" s="626"/>
      <c r="F160" s="647"/>
      <c r="G160" s="625"/>
      <c r="H160" s="625"/>
      <c r="I160" s="625"/>
      <c r="J160" s="625"/>
      <c r="K160" s="625"/>
    </row>
    <row r="161" ht="20.25" spans="1:11">
      <c r="A161" s="625"/>
      <c r="B161" s="625"/>
      <c r="C161" s="625"/>
      <c r="D161" s="625"/>
      <c r="E161" s="626"/>
      <c r="F161" s="647"/>
      <c r="G161" s="625"/>
      <c r="H161" s="625"/>
      <c r="I161" s="625"/>
      <c r="J161" s="625"/>
      <c r="K161" s="625"/>
    </row>
    <row r="162" ht="20.25" spans="1:11">
      <c r="A162" s="625"/>
      <c r="B162" s="625"/>
      <c r="C162" s="625"/>
      <c r="D162" s="625"/>
      <c r="E162" s="626"/>
      <c r="F162" s="647"/>
      <c r="G162" s="625"/>
      <c r="H162" s="625"/>
      <c r="I162" s="625"/>
      <c r="J162" s="625"/>
      <c r="K162" s="625"/>
    </row>
    <row r="163" ht="20.25" spans="1:11">
      <c r="A163" s="625"/>
      <c r="B163" s="625"/>
      <c r="C163" s="625"/>
      <c r="D163" s="625"/>
      <c r="E163" s="626"/>
      <c r="F163" s="647"/>
      <c r="G163" s="625"/>
      <c r="H163" s="625"/>
      <c r="I163" s="625"/>
      <c r="J163" s="625"/>
      <c r="K163" s="625"/>
    </row>
    <row r="164" ht="20.25" spans="1:11">
      <c r="A164" s="625"/>
      <c r="B164" s="625"/>
      <c r="C164" s="625"/>
      <c r="D164" s="625"/>
      <c r="E164" s="626"/>
      <c r="F164" s="647"/>
      <c r="G164" s="625"/>
      <c r="H164" s="625"/>
      <c r="I164" s="625"/>
      <c r="J164" s="625"/>
      <c r="K164" s="625"/>
    </row>
    <row r="165" ht="20.25" spans="1:11">
      <c r="A165" s="625"/>
      <c r="B165" s="625"/>
      <c r="C165" s="625"/>
      <c r="D165" s="625"/>
      <c r="E165" s="626"/>
      <c r="F165" s="647"/>
      <c r="G165" s="625"/>
      <c r="H165" s="625"/>
      <c r="I165" s="625"/>
      <c r="J165" s="625"/>
      <c r="K165" s="625"/>
    </row>
    <row r="166" ht="20.25" spans="1:11">
      <c r="A166" s="625"/>
      <c r="B166" s="625"/>
      <c r="C166" s="625"/>
      <c r="D166" s="625"/>
      <c r="E166" s="626"/>
      <c r="F166" s="647"/>
      <c r="G166" s="625"/>
      <c r="H166" s="625"/>
      <c r="I166" s="625"/>
      <c r="J166" s="625"/>
      <c r="K166" s="625"/>
    </row>
    <row r="167" ht="20.25" spans="1:11">
      <c r="A167" s="625"/>
      <c r="B167" s="625"/>
      <c r="C167" s="625"/>
      <c r="D167" s="625"/>
      <c r="E167" s="626"/>
      <c r="F167" s="647"/>
      <c r="G167" s="625"/>
      <c r="H167" s="625"/>
      <c r="I167" s="625"/>
      <c r="J167" s="625"/>
      <c r="K167" s="625"/>
    </row>
    <row r="168" ht="20.25" spans="1:11">
      <c r="A168" s="625"/>
      <c r="B168" s="625"/>
      <c r="C168" s="625"/>
      <c r="D168" s="625"/>
      <c r="E168" s="626"/>
      <c r="F168" s="647"/>
      <c r="G168" s="625"/>
      <c r="H168" s="625"/>
      <c r="I168" s="625"/>
      <c r="J168" s="625"/>
      <c r="K168" s="625"/>
    </row>
    <row r="169" ht="20.25" spans="1:11">
      <c r="A169" s="625"/>
      <c r="B169" s="625"/>
      <c r="C169" s="625"/>
      <c r="D169" s="625"/>
      <c r="E169" s="626"/>
      <c r="F169" s="647"/>
      <c r="G169" s="625"/>
      <c r="H169" s="625"/>
      <c r="I169" s="625"/>
      <c r="J169" s="625"/>
      <c r="K169" s="625"/>
    </row>
    <row r="170" ht="20.25" spans="1:11">
      <c r="A170" s="625"/>
      <c r="B170" s="625"/>
      <c r="C170" s="625"/>
      <c r="D170" s="625"/>
      <c r="E170" s="626"/>
      <c r="F170" s="647"/>
      <c r="G170" s="625"/>
      <c r="H170" s="625"/>
      <c r="I170" s="625"/>
      <c r="J170" s="625"/>
      <c r="K170" s="625"/>
    </row>
    <row r="171" ht="20.25" spans="1:11">
      <c r="A171" s="625"/>
      <c r="B171" s="625"/>
      <c r="C171" s="625"/>
      <c r="D171" s="625"/>
      <c r="E171" s="626"/>
      <c r="F171" s="647"/>
      <c r="G171" s="625"/>
      <c r="H171" s="625"/>
      <c r="I171" s="625"/>
      <c r="J171" s="625"/>
      <c r="K171" s="625"/>
    </row>
    <row r="172" ht="20.25" spans="1:11">
      <c r="A172" s="625"/>
      <c r="B172" s="625"/>
      <c r="C172" s="625"/>
      <c r="D172" s="625"/>
      <c r="E172" s="626"/>
      <c r="F172" s="647"/>
      <c r="G172" s="625"/>
      <c r="H172" s="625"/>
      <c r="I172" s="625"/>
      <c r="J172" s="625"/>
      <c r="K172" s="625"/>
    </row>
    <row r="173" ht="20.25" spans="1:11">
      <c r="A173" s="625"/>
      <c r="B173" s="625"/>
      <c r="C173" s="625"/>
      <c r="D173" s="625"/>
      <c r="E173" s="626"/>
      <c r="F173" s="647"/>
      <c r="G173" s="625"/>
      <c r="H173" s="625"/>
      <c r="I173" s="625"/>
      <c r="J173" s="625"/>
      <c r="K173" s="625"/>
    </row>
    <row r="174" ht="20.25" spans="1:11">
      <c r="A174" s="625"/>
      <c r="B174" s="625"/>
      <c r="C174" s="625"/>
      <c r="D174" s="625"/>
      <c r="E174" s="626"/>
      <c r="F174" s="647"/>
      <c r="G174" s="625"/>
      <c r="H174" s="625"/>
      <c r="I174" s="625"/>
      <c r="J174" s="625"/>
      <c r="K174" s="625"/>
    </row>
    <row r="175" ht="20.25" spans="1:11">
      <c r="A175" s="625"/>
      <c r="B175" s="625"/>
      <c r="C175" s="625"/>
      <c r="D175" s="625"/>
      <c r="E175" s="626"/>
      <c r="F175" s="647"/>
      <c r="G175" s="625"/>
      <c r="H175" s="625"/>
      <c r="I175" s="625"/>
      <c r="J175" s="625"/>
      <c r="K175" s="625"/>
    </row>
    <row r="176" ht="20.25" spans="1:11">
      <c r="A176" s="625"/>
      <c r="B176" s="625"/>
      <c r="C176" s="625"/>
      <c r="D176" s="625"/>
      <c r="E176" s="626"/>
      <c r="F176" s="647"/>
      <c r="G176" s="625"/>
      <c r="H176" s="625"/>
      <c r="I176" s="625"/>
      <c r="J176" s="625"/>
      <c r="K176" s="625"/>
    </row>
    <row r="177" ht="20.25" spans="1:11">
      <c r="A177" s="625"/>
      <c r="B177" s="625"/>
      <c r="C177" s="625"/>
      <c r="D177" s="625"/>
      <c r="E177" s="626"/>
      <c r="F177" s="647"/>
      <c r="G177" s="625"/>
      <c r="H177" s="625"/>
      <c r="I177" s="625"/>
      <c r="J177" s="625"/>
      <c r="K177" s="625"/>
    </row>
    <row r="178" ht="20.25" spans="1:11">
      <c r="A178" s="625"/>
      <c r="B178" s="625"/>
      <c r="C178" s="625"/>
      <c r="D178" s="625"/>
      <c r="E178" s="626"/>
      <c r="F178" s="647"/>
      <c r="G178" s="625"/>
      <c r="H178" s="625"/>
      <c r="I178" s="625"/>
      <c r="J178" s="625"/>
      <c r="K178" s="625"/>
    </row>
    <row r="179" ht="20.25" spans="1:11">
      <c r="A179" s="625"/>
      <c r="B179" s="625"/>
      <c r="C179" s="625"/>
      <c r="D179" s="625"/>
      <c r="E179" s="626"/>
      <c r="F179" s="647"/>
      <c r="G179" s="625"/>
      <c r="H179" s="625"/>
      <c r="I179" s="625"/>
      <c r="J179" s="625"/>
      <c r="K179" s="625"/>
    </row>
    <row r="180" ht="20.25" spans="1:11">
      <c r="A180" s="625"/>
      <c r="B180" s="625"/>
      <c r="C180" s="625"/>
      <c r="D180" s="625"/>
      <c r="E180" s="626"/>
      <c r="F180" s="647"/>
      <c r="G180" s="625"/>
      <c r="H180" s="625"/>
      <c r="I180" s="625"/>
      <c r="J180" s="625"/>
      <c r="K180" s="625"/>
    </row>
    <row r="181" ht="20.25" spans="1:11">
      <c r="A181" s="625"/>
      <c r="B181" s="625"/>
      <c r="C181" s="625"/>
      <c r="D181" s="625"/>
      <c r="E181" s="626"/>
      <c r="F181" s="647"/>
      <c r="G181" s="625"/>
      <c r="H181" s="625"/>
      <c r="I181" s="625"/>
      <c r="J181" s="625"/>
      <c r="K181" s="625"/>
    </row>
    <row r="182" ht="20.25" spans="1:11">
      <c r="A182" s="625"/>
      <c r="B182" s="625"/>
      <c r="C182" s="625"/>
      <c r="D182" s="625"/>
      <c r="E182" s="626"/>
      <c r="F182" s="647"/>
      <c r="G182" s="625"/>
      <c r="H182" s="625"/>
      <c r="I182" s="625"/>
      <c r="J182" s="625"/>
      <c r="K182" s="625"/>
    </row>
    <row r="183" ht="20.25" spans="1:11">
      <c r="A183" s="625"/>
      <c r="B183" s="625"/>
      <c r="C183" s="625"/>
      <c r="D183" s="625"/>
      <c r="E183" s="626"/>
      <c r="F183" s="647"/>
      <c r="G183" s="625"/>
      <c r="H183" s="625"/>
      <c r="I183" s="625"/>
      <c r="J183" s="625"/>
      <c r="K183" s="625"/>
    </row>
    <row r="184" ht="20.25" spans="1:11">
      <c r="A184" s="625"/>
      <c r="B184" s="625"/>
      <c r="C184" s="625"/>
      <c r="D184" s="625"/>
      <c r="E184" s="626"/>
      <c r="F184" s="647"/>
      <c r="G184" s="625"/>
      <c r="H184" s="625"/>
      <c r="I184" s="625"/>
      <c r="J184" s="625"/>
      <c r="K184" s="625"/>
    </row>
    <row r="185" ht="20.25" spans="1:11">
      <c r="A185" s="625"/>
      <c r="B185" s="625"/>
      <c r="C185" s="625"/>
      <c r="D185" s="625"/>
      <c r="E185" s="626"/>
      <c r="F185" s="647"/>
      <c r="G185" s="625"/>
      <c r="H185" s="625"/>
      <c r="I185" s="625"/>
      <c r="J185" s="625"/>
      <c r="K185" s="625"/>
    </row>
    <row r="186" ht="20.25" spans="1:11">
      <c r="A186" s="625"/>
      <c r="B186" s="625"/>
      <c r="C186" s="625"/>
      <c r="D186" s="625"/>
      <c r="E186" s="626"/>
      <c r="F186" s="647"/>
      <c r="G186" s="625"/>
      <c r="H186" s="625"/>
      <c r="I186" s="625"/>
      <c r="J186" s="625"/>
      <c r="K186" s="625"/>
    </row>
    <row r="187" ht="20.25" spans="1:11">
      <c r="A187" s="625"/>
      <c r="B187" s="625"/>
      <c r="C187" s="625"/>
      <c r="D187" s="625"/>
      <c r="E187" s="626"/>
      <c r="F187" s="647"/>
      <c r="G187" s="625"/>
      <c r="H187" s="625"/>
      <c r="I187" s="625"/>
      <c r="J187" s="625"/>
      <c r="K187" s="625"/>
    </row>
    <row r="188" ht="20.25" spans="1:11">
      <c r="A188" s="625"/>
      <c r="B188" s="625"/>
      <c r="C188" s="625"/>
      <c r="D188" s="625"/>
      <c r="E188" s="626"/>
      <c r="F188" s="647"/>
      <c r="G188" s="625"/>
      <c r="H188" s="625"/>
      <c r="I188" s="625"/>
      <c r="J188" s="625"/>
      <c r="K188" s="625"/>
    </row>
    <row r="189" ht="20.25" spans="1:11">
      <c r="A189" s="625"/>
      <c r="B189" s="625"/>
      <c r="C189" s="625"/>
      <c r="D189" s="625"/>
      <c r="E189" s="626"/>
      <c r="F189" s="647"/>
      <c r="G189" s="625"/>
      <c r="H189" s="625"/>
      <c r="I189" s="625"/>
      <c r="J189" s="625"/>
      <c r="K189" s="625"/>
    </row>
    <row r="190" ht="20.25" spans="1:11">
      <c r="A190" s="625"/>
      <c r="B190" s="625"/>
      <c r="C190" s="625"/>
      <c r="D190" s="625"/>
      <c r="E190" s="626"/>
      <c r="F190" s="647"/>
      <c r="G190" s="625"/>
      <c r="H190" s="625"/>
      <c r="I190" s="625"/>
      <c r="J190" s="625"/>
      <c r="K190" s="625"/>
    </row>
    <row r="191" ht="20.25" spans="1:11">
      <c r="A191" s="625"/>
      <c r="B191" s="625"/>
      <c r="C191" s="625"/>
      <c r="D191" s="625"/>
      <c r="E191" s="626"/>
      <c r="F191" s="647"/>
      <c r="G191" s="625"/>
      <c r="H191" s="625"/>
      <c r="I191" s="625"/>
      <c r="J191" s="625"/>
      <c r="K191" s="625"/>
    </row>
    <row r="192" ht="20.25" spans="1:11">
      <c r="A192" s="625"/>
      <c r="B192" s="625"/>
      <c r="C192" s="625"/>
      <c r="D192" s="625"/>
      <c r="E192" s="626"/>
      <c r="F192" s="647"/>
      <c r="G192" s="625"/>
      <c r="H192" s="625"/>
      <c r="I192" s="625"/>
      <c r="J192" s="625"/>
      <c r="K192" s="625"/>
    </row>
    <row r="193" ht="20.25" spans="1:11">
      <c r="A193" s="625"/>
      <c r="B193" s="625"/>
      <c r="C193" s="625"/>
      <c r="D193" s="625"/>
      <c r="E193" s="626"/>
      <c r="F193" s="647"/>
      <c r="G193" s="625"/>
      <c r="H193" s="625"/>
      <c r="I193" s="625"/>
      <c r="J193" s="625"/>
      <c r="K193" s="625"/>
    </row>
    <row r="194" ht="20.25" spans="1:11">
      <c r="A194" s="625"/>
      <c r="B194" s="625"/>
      <c r="C194" s="625"/>
      <c r="D194" s="625"/>
      <c r="E194" s="626"/>
      <c r="F194" s="647"/>
      <c r="G194" s="625"/>
      <c r="H194" s="625"/>
      <c r="I194" s="625"/>
      <c r="J194" s="625"/>
      <c r="K194" s="625"/>
    </row>
    <row r="195" ht="20.25" spans="1:11">
      <c r="A195" s="625"/>
      <c r="B195" s="625"/>
      <c r="C195" s="625"/>
      <c r="D195" s="625"/>
      <c r="E195" s="626"/>
      <c r="F195" s="647"/>
      <c r="G195" s="625"/>
      <c r="H195" s="625"/>
      <c r="I195" s="625"/>
      <c r="J195" s="625"/>
      <c r="K195" s="625"/>
    </row>
    <row r="196" ht="20.25" spans="1:11">
      <c r="A196" s="625"/>
      <c r="B196" s="625"/>
      <c r="C196" s="625"/>
      <c r="D196" s="625"/>
      <c r="E196" s="626"/>
      <c r="F196" s="647"/>
      <c r="G196" s="625"/>
      <c r="H196" s="625"/>
      <c r="I196" s="625"/>
      <c r="J196" s="625"/>
      <c r="K196" s="625"/>
    </row>
    <row r="197" ht="20.25" spans="1:11">
      <c r="A197" s="625"/>
      <c r="B197" s="625"/>
      <c r="C197" s="625"/>
      <c r="D197" s="625"/>
      <c r="E197" s="626"/>
      <c r="F197" s="647"/>
      <c r="G197" s="625"/>
      <c r="H197" s="625"/>
      <c r="I197" s="625"/>
      <c r="J197" s="625"/>
      <c r="K197" s="625"/>
    </row>
    <row r="198" ht="20.25" spans="1:11">
      <c r="A198" s="625"/>
      <c r="B198" s="625"/>
      <c r="C198" s="625"/>
      <c r="D198" s="625"/>
      <c r="E198" s="626"/>
      <c r="F198" s="647"/>
      <c r="G198" s="625"/>
      <c r="H198" s="625"/>
      <c r="I198" s="625"/>
      <c r="J198" s="625"/>
      <c r="K198" s="625"/>
    </row>
    <row r="199" ht="20.25" spans="1:11">
      <c r="A199" s="625"/>
      <c r="B199" s="625"/>
      <c r="C199" s="625"/>
      <c r="D199" s="625"/>
      <c r="E199" s="626"/>
      <c r="F199" s="647"/>
      <c r="G199" s="625"/>
      <c r="H199" s="625"/>
      <c r="I199" s="625"/>
      <c r="J199" s="625"/>
      <c r="K199" s="625"/>
    </row>
    <row r="200" ht="20.25" spans="1:11">
      <c r="A200" s="625"/>
      <c r="B200" s="625"/>
      <c r="C200" s="625"/>
      <c r="D200" s="625"/>
      <c r="E200" s="626"/>
      <c r="F200" s="647"/>
      <c r="G200" s="625"/>
      <c r="H200" s="625"/>
      <c r="I200" s="625"/>
      <c r="J200" s="625"/>
      <c r="K200" s="625"/>
    </row>
    <row r="201" ht="20.25" spans="1:11">
      <c r="A201" s="625"/>
      <c r="B201" s="625"/>
      <c r="C201" s="625"/>
      <c r="D201" s="625"/>
      <c r="E201" s="626"/>
      <c r="F201" s="647"/>
      <c r="G201" s="625"/>
      <c r="H201" s="625"/>
      <c r="I201" s="625"/>
      <c r="J201" s="625"/>
      <c r="K201" s="625"/>
    </row>
    <row r="202" ht="20.25" spans="1:11">
      <c r="A202" s="625"/>
      <c r="B202" s="625"/>
      <c r="C202" s="625"/>
      <c r="D202" s="625"/>
      <c r="E202" s="626"/>
      <c r="F202" s="647"/>
      <c r="G202" s="625"/>
      <c r="H202" s="625"/>
      <c r="I202" s="625"/>
      <c r="J202" s="625"/>
      <c r="K202" s="625"/>
    </row>
    <row r="203" ht="20.25" spans="1:11">
      <c r="A203" s="625"/>
      <c r="B203" s="625"/>
      <c r="C203" s="625"/>
      <c r="D203" s="625"/>
      <c r="E203" s="626"/>
      <c r="F203" s="647"/>
      <c r="G203" s="625"/>
      <c r="H203" s="625"/>
      <c r="I203" s="625"/>
      <c r="J203" s="625"/>
      <c r="K203" s="625"/>
    </row>
    <row r="204" ht="20.25" spans="1:11">
      <c r="A204" s="625"/>
      <c r="B204" s="625"/>
      <c r="C204" s="625"/>
      <c r="D204" s="625"/>
      <c r="E204" s="626"/>
      <c r="F204" s="647"/>
      <c r="G204" s="625"/>
      <c r="H204" s="625"/>
      <c r="I204" s="625"/>
      <c r="J204" s="625"/>
      <c r="K204" s="625"/>
    </row>
    <row r="205" ht="20.25" spans="1:11">
      <c r="A205" s="625"/>
      <c r="B205" s="625"/>
      <c r="C205" s="625"/>
      <c r="D205" s="625"/>
      <c r="E205" s="626"/>
      <c r="F205" s="647"/>
      <c r="G205" s="625"/>
      <c r="H205" s="625"/>
      <c r="I205" s="625"/>
      <c r="J205" s="625"/>
      <c r="K205" s="625"/>
    </row>
    <row r="206" ht="20.25" spans="1:11">
      <c r="A206" s="625"/>
      <c r="B206" s="625"/>
      <c r="C206" s="625"/>
      <c r="D206" s="625"/>
      <c r="E206" s="626"/>
      <c r="F206" s="647"/>
      <c r="G206" s="625"/>
      <c r="H206" s="625"/>
      <c r="I206" s="625"/>
      <c r="J206" s="625"/>
      <c r="K206" s="625"/>
    </row>
    <row r="207" ht="20.25" spans="1:11">
      <c r="A207" s="625"/>
      <c r="B207" s="625"/>
      <c r="C207" s="625"/>
      <c r="D207" s="625"/>
      <c r="E207" s="626"/>
      <c r="F207" s="647"/>
      <c r="G207" s="625"/>
      <c r="H207" s="625"/>
      <c r="I207" s="625"/>
      <c r="J207" s="625"/>
      <c r="K207" s="625"/>
    </row>
    <row r="208" ht="20.25" spans="1:11">
      <c r="A208" s="625"/>
      <c r="B208" s="625"/>
      <c r="C208" s="625"/>
      <c r="D208" s="625"/>
      <c r="E208" s="626"/>
      <c r="F208" s="647"/>
      <c r="G208" s="625"/>
      <c r="H208" s="625"/>
      <c r="I208" s="625"/>
      <c r="J208" s="625"/>
      <c r="K208" s="625"/>
    </row>
    <row r="209" ht="20.25" spans="1:11">
      <c r="A209" s="625"/>
      <c r="B209" s="625"/>
      <c r="C209" s="625"/>
      <c r="D209" s="625"/>
      <c r="E209" s="626"/>
      <c r="F209" s="647"/>
      <c r="G209" s="625"/>
      <c r="H209" s="625"/>
      <c r="I209" s="625"/>
      <c r="J209" s="625"/>
      <c r="K209" s="625"/>
    </row>
    <row r="210" ht="20.25" spans="1:11">
      <c r="A210" s="625"/>
      <c r="B210" s="625"/>
      <c r="C210" s="625"/>
      <c r="D210" s="625"/>
      <c r="E210" s="626"/>
      <c r="F210" s="647"/>
      <c r="G210" s="625"/>
      <c r="H210" s="625"/>
      <c r="I210" s="625"/>
      <c r="J210" s="625"/>
      <c r="K210" s="625"/>
    </row>
    <row r="211" ht="20.25" spans="1:11">
      <c r="A211" s="625"/>
      <c r="B211" s="625"/>
      <c r="C211" s="625"/>
      <c r="D211" s="625"/>
      <c r="E211" s="626"/>
      <c r="F211" s="647"/>
      <c r="G211" s="625"/>
      <c r="H211" s="625"/>
      <c r="I211" s="625"/>
      <c r="J211" s="625"/>
      <c r="K211" s="625"/>
    </row>
    <row r="212" ht="20.25" spans="1:11">
      <c r="A212" s="625"/>
      <c r="B212" s="625"/>
      <c r="C212" s="625"/>
      <c r="D212" s="625"/>
      <c r="E212" s="626"/>
      <c r="F212" s="647"/>
      <c r="G212" s="625"/>
      <c r="H212" s="625"/>
      <c r="I212" s="625"/>
      <c r="J212" s="625"/>
      <c r="K212" s="625"/>
    </row>
    <row r="213" ht="20.25" spans="1:11">
      <c r="A213" s="625"/>
      <c r="B213" s="625"/>
      <c r="C213" s="625"/>
      <c r="D213" s="625"/>
      <c r="E213" s="626"/>
      <c r="F213" s="647"/>
      <c r="G213" s="625"/>
      <c r="H213" s="625"/>
      <c r="I213" s="625"/>
      <c r="J213" s="625"/>
      <c r="K213" s="625"/>
    </row>
    <row r="214" ht="20.25" spans="1:11">
      <c r="A214" s="625"/>
      <c r="B214" s="625"/>
      <c r="C214" s="625"/>
      <c r="D214" s="625"/>
      <c r="E214" s="626"/>
      <c r="F214" s="647"/>
      <c r="G214" s="625"/>
      <c r="H214" s="625"/>
      <c r="I214" s="625"/>
      <c r="J214" s="625"/>
      <c r="K214" s="625"/>
    </row>
    <row r="215" ht="20.25" spans="1:11">
      <c r="A215" s="625"/>
      <c r="B215" s="625"/>
      <c r="C215" s="625"/>
      <c r="D215" s="625"/>
      <c r="E215" s="626"/>
      <c r="F215" s="647"/>
      <c r="G215" s="625"/>
      <c r="H215" s="625"/>
      <c r="I215" s="625"/>
      <c r="J215" s="625"/>
      <c r="K215" s="625"/>
    </row>
    <row r="216" ht="20.25" spans="1:11">
      <c r="A216" s="625"/>
      <c r="B216" s="625"/>
      <c r="C216" s="625"/>
      <c r="D216" s="625"/>
      <c r="E216" s="626"/>
      <c r="F216" s="647"/>
      <c r="G216" s="625"/>
      <c r="H216" s="625"/>
      <c r="I216" s="625"/>
      <c r="J216" s="625"/>
      <c r="K216" s="625"/>
    </row>
    <row r="217" ht="20.25" spans="1:11">
      <c r="A217" s="625"/>
      <c r="B217" s="625"/>
      <c r="C217" s="625"/>
      <c r="D217" s="625"/>
      <c r="E217" s="626"/>
      <c r="F217" s="647"/>
      <c r="G217" s="625"/>
      <c r="H217" s="625"/>
      <c r="I217" s="625"/>
      <c r="J217" s="625"/>
      <c r="K217" s="625"/>
    </row>
    <row r="218" ht="20.25" spans="1:11">
      <c r="A218" s="625"/>
      <c r="B218" s="625"/>
      <c r="C218" s="625"/>
      <c r="D218" s="625"/>
      <c r="E218" s="626"/>
      <c r="F218" s="647"/>
      <c r="G218" s="625"/>
      <c r="H218" s="625"/>
      <c r="I218" s="625"/>
      <c r="J218" s="625"/>
      <c r="K218" s="625"/>
    </row>
    <row r="219" ht="20.25" spans="1:11">
      <c r="A219" s="625"/>
      <c r="B219" s="625"/>
      <c r="C219" s="625"/>
      <c r="D219" s="625"/>
      <c r="E219" s="626"/>
      <c r="F219" s="647"/>
      <c r="G219" s="625"/>
      <c r="H219" s="625"/>
      <c r="I219" s="625"/>
      <c r="J219" s="625"/>
      <c r="K219" s="625"/>
    </row>
    <row r="220" ht="20.25" spans="1:11">
      <c r="A220" s="625"/>
      <c r="B220" s="625"/>
      <c r="C220" s="625"/>
      <c r="D220" s="625"/>
      <c r="E220" s="626"/>
      <c r="F220" s="647"/>
      <c r="G220" s="625"/>
      <c r="H220" s="625"/>
      <c r="I220" s="625"/>
      <c r="J220" s="625"/>
      <c r="K220" s="625"/>
    </row>
    <row r="221" ht="20.25" spans="1:11">
      <c r="A221" s="625"/>
      <c r="B221" s="625"/>
      <c r="C221" s="625"/>
      <c r="D221" s="625"/>
      <c r="E221" s="626"/>
      <c r="F221" s="647"/>
      <c r="G221" s="625"/>
      <c r="H221" s="625"/>
      <c r="I221" s="625"/>
      <c r="J221" s="625"/>
      <c r="K221" s="625"/>
    </row>
    <row r="222" ht="20.25" spans="1:11">
      <c r="A222" s="625"/>
      <c r="B222" s="625"/>
      <c r="C222" s="625"/>
      <c r="D222" s="625"/>
      <c r="E222" s="626"/>
      <c r="F222" s="647"/>
      <c r="G222" s="625"/>
      <c r="H222" s="625"/>
      <c r="I222" s="625"/>
      <c r="J222" s="625"/>
      <c r="K222" s="625"/>
    </row>
    <row r="223" ht="20.25" spans="1:11">
      <c r="A223" s="625"/>
      <c r="B223" s="625"/>
      <c r="C223" s="625"/>
      <c r="D223" s="625"/>
      <c r="E223" s="626"/>
      <c r="F223" s="647"/>
      <c r="G223" s="625"/>
      <c r="H223" s="625"/>
      <c r="I223" s="625"/>
      <c r="J223" s="625"/>
      <c r="K223" s="625"/>
    </row>
    <row r="224" ht="20.25" spans="1:11">
      <c r="A224" s="625"/>
      <c r="B224" s="625"/>
      <c r="C224" s="625"/>
      <c r="D224" s="625"/>
      <c r="E224" s="626"/>
      <c r="F224" s="647"/>
      <c r="G224" s="625"/>
      <c r="H224" s="625"/>
      <c r="I224" s="625"/>
      <c r="J224" s="625"/>
      <c r="K224" s="625"/>
    </row>
    <row r="225" ht="20.25" spans="1:11">
      <c r="A225" s="625"/>
      <c r="B225" s="625"/>
      <c r="C225" s="625"/>
      <c r="D225" s="625"/>
      <c r="E225" s="626"/>
      <c r="F225" s="647"/>
      <c r="G225" s="625"/>
      <c r="H225" s="625"/>
      <c r="I225" s="625"/>
      <c r="J225" s="625"/>
      <c r="K225" s="625"/>
    </row>
    <row r="226" ht="20.25" spans="1:11">
      <c r="A226" s="625"/>
      <c r="B226" s="625"/>
      <c r="C226" s="625"/>
      <c r="D226" s="625"/>
      <c r="E226" s="626"/>
      <c r="F226" s="647"/>
      <c r="G226" s="625"/>
      <c r="H226" s="625"/>
      <c r="I226" s="625"/>
      <c r="J226" s="625"/>
      <c r="K226" s="625"/>
    </row>
    <row r="227" ht="20.25" spans="1:11">
      <c r="A227" s="625"/>
      <c r="B227" s="625"/>
      <c r="C227" s="625"/>
      <c r="D227" s="625"/>
      <c r="E227" s="626"/>
      <c r="F227" s="647"/>
      <c r="G227" s="625"/>
      <c r="H227" s="625"/>
      <c r="I227" s="625"/>
      <c r="J227" s="625"/>
      <c r="K227" s="625"/>
    </row>
    <row r="228" ht="20.25" spans="1:11">
      <c r="A228" s="625"/>
      <c r="B228" s="625"/>
      <c r="C228" s="625"/>
      <c r="D228" s="625"/>
      <c r="E228" s="626"/>
      <c r="F228" s="647"/>
      <c r="G228" s="625"/>
      <c r="H228" s="625"/>
      <c r="I228" s="625"/>
      <c r="J228" s="625"/>
      <c r="K228" s="625"/>
    </row>
    <row r="229" ht="20.25" spans="1:11">
      <c r="A229" s="625"/>
      <c r="B229" s="625"/>
      <c r="C229" s="625"/>
      <c r="D229" s="625"/>
      <c r="E229" s="626"/>
      <c r="F229" s="647"/>
      <c r="G229" s="625"/>
      <c r="H229" s="625"/>
      <c r="I229" s="625"/>
      <c r="J229" s="625"/>
      <c r="K229" s="625"/>
    </row>
    <row r="230" ht="20.25" spans="1:11">
      <c r="A230" s="625"/>
      <c r="B230" s="625"/>
      <c r="C230" s="625"/>
      <c r="D230" s="625"/>
      <c r="E230" s="626"/>
      <c r="F230" s="647"/>
      <c r="G230" s="625"/>
      <c r="H230" s="625"/>
      <c r="I230" s="625"/>
      <c r="J230" s="625"/>
      <c r="K230" s="625"/>
    </row>
    <row r="231" ht="20.25" spans="1:11">
      <c r="A231" s="625"/>
      <c r="B231" s="625"/>
      <c r="C231" s="625"/>
      <c r="D231" s="625"/>
      <c r="E231" s="626"/>
      <c r="F231" s="647"/>
      <c r="G231" s="625"/>
      <c r="H231" s="625"/>
      <c r="I231" s="625"/>
      <c r="J231" s="625"/>
      <c r="K231" s="625"/>
    </row>
    <row r="232" ht="20.25" spans="1:11">
      <c r="A232" s="625"/>
      <c r="B232" s="625"/>
      <c r="C232" s="625"/>
      <c r="D232" s="625"/>
      <c r="E232" s="626"/>
      <c r="F232" s="647"/>
      <c r="G232" s="625"/>
      <c r="H232" s="625"/>
      <c r="I232" s="625"/>
      <c r="J232" s="625"/>
      <c r="K232" s="625"/>
    </row>
    <row r="233" ht="20.25" spans="1:11">
      <c r="A233" s="625"/>
      <c r="B233" s="625"/>
      <c r="C233" s="625"/>
      <c r="D233" s="625"/>
      <c r="E233" s="626"/>
      <c r="F233" s="647"/>
      <c r="G233" s="625"/>
      <c r="H233" s="625"/>
      <c r="I233" s="625"/>
      <c r="J233" s="625"/>
      <c r="K233" s="625"/>
    </row>
    <row r="234" ht="20.25" spans="1:11">
      <c r="A234" s="625"/>
      <c r="B234" s="625"/>
      <c r="C234" s="625"/>
      <c r="D234" s="625"/>
      <c r="E234" s="626"/>
      <c r="F234" s="647"/>
      <c r="G234" s="625"/>
      <c r="H234" s="625"/>
      <c r="I234" s="625"/>
      <c r="J234" s="625"/>
      <c r="K234" s="625"/>
    </row>
    <row r="235" ht="20.25" spans="1:11">
      <c r="A235" s="625"/>
      <c r="B235" s="625"/>
      <c r="C235" s="625"/>
      <c r="D235" s="625"/>
      <c r="E235" s="626"/>
      <c r="F235" s="647"/>
      <c r="G235" s="625"/>
      <c r="H235" s="625"/>
      <c r="I235" s="625"/>
      <c r="J235" s="625"/>
      <c r="K235" s="625"/>
    </row>
    <row r="236" ht="20.25" spans="1:11">
      <c r="A236" s="625"/>
      <c r="B236" s="625"/>
      <c r="C236" s="625"/>
      <c r="D236" s="625"/>
      <c r="E236" s="626"/>
      <c r="F236" s="647"/>
      <c r="G236" s="625"/>
      <c r="H236" s="625"/>
      <c r="I236" s="625"/>
      <c r="J236" s="625"/>
      <c r="K236" s="625"/>
    </row>
    <row r="237" ht="20.25" spans="1:11">
      <c r="A237" s="625"/>
      <c r="B237" s="625"/>
      <c r="C237" s="625"/>
      <c r="D237" s="625"/>
      <c r="E237" s="626"/>
      <c r="F237" s="647"/>
      <c r="G237" s="625"/>
      <c r="H237" s="625"/>
      <c r="I237" s="625"/>
      <c r="J237" s="625"/>
      <c r="K237" s="625"/>
    </row>
    <row r="238" ht="20.25" spans="1:11">
      <c r="A238" s="625"/>
      <c r="B238" s="625"/>
      <c r="C238" s="625"/>
      <c r="D238" s="625"/>
      <c r="E238" s="626"/>
      <c r="F238" s="647"/>
      <c r="G238" s="625"/>
      <c r="H238" s="625"/>
      <c r="I238" s="625"/>
      <c r="J238" s="625"/>
      <c r="K238" s="625"/>
    </row>
    <row r="239" ht="20.25" spans="1:11">
      <c r="A239" s="625"/>
      <c r="B239" s="625"/>
      <c r="C239" s="625"/>
      <c r="D239" s="625"/>
      <c r="E239" s="626"/>
      <c r="F239" s="647"/>
      <c r="G239" s="625"/>
      <c r="H239" s="625"/>
      <c r="I239" s="625"/>
      <c r="J239" s="625"/>
      <c r="K239" s="625"/>
    </row>
    <row r="240" ht="20.25" spans="1:11">
      <c r="A240" s="625"/>
      <c r="B240" s="625"/>
      <c r="C240" s="625"/>
      <c r="D240" s="625"/>
      <c r="E240" s="626"/>
      <c r="F240" s="647"/>
      <c r="G240" s="625"/>
      <c r="H240" s="625"/>
      <c r="I240" s="625"/>
      <c r="J240" s="625"/>
      <c r="K240" s="625"/>
    </row>
    <row r="241" ht="20.25" spans="1:11">
      <c r="A241" s="625"/>
      <c r="B241" s="625"/>
      <c r="C241" s="625"/>
      <c r="D241" s="625"/>
      <c r="E241" s="626"/>
      <c r="F241" s="647"/>
      <c r="G241" s="625"/>
      <c r="H241" s="625"/>
      <c r="I241" s="625"/>
      <c r="J241" s="625"/>
      <c r="K241" s="625"/>
    </row>
    <row r="242" ht="20.25" spans="1:11">
      <c r="A242" s="625"/>
      <c r="B242" s="625"/>
      <c r="C242" s="625"/>
      <c r="D242" s="625"/>
      <c r="E242" s="626"/>
      <c r="F242" s="647"/>
      <c r="G242" s="625"/>
      <c r="H242" s="625"/>
      <c r="I242" s="625"/>
      <c r="J242" s="625"/>
      <c r="K242" s="625"/>
    </row>
    <row r="243" ht="20.25" spans="1:11">
      <c r="A243" s="625"/>
      <c r="B243" s="625"/>
      <c r="C243" s="625"/>
      <c r="D243" s="625"/>
      <c r="E243" s="626"/>
      <c r="F243" s="647"/>
      <c r="G243" s="625"/>
      <c r="H243" s="625"/>
      <c r="I243" s="625"/>
      <c r="J243" s="625"/>
      <c r="K243" s="625"/>
    </row>
    <row r="244" ht="20.25" spans="1:11">
      <c r="A244" s="625"/>
      <c r="B244" s="625"/>
      <c r="C244" s="625"/>
      <c r="D244" s="625"/>
      <c r="E244" s="626"/>
      <c r="F244" s="647"/>
      <c r="G244" s="625"/>
      <c r="H244" s="625"/>
      <c r="I244" s="625"/>
      <c r="J244" s="625"/>
      <c r="K244" s="625"/>
    </row>
    <row r="245" ht="20.25" spans="1:11">
      <c r="A245" s="625"/>
      <c r="B245" s="625"/>
      <c r="C245" s="625"/>
      <c r="D245" s="625"/>
      <c r="E245" s="626"/>
      <c r="F245" s="647"/>
      <c r="G245" s="625"/>
      <c r="H245" s="625"/>
      <c r="I245" s="625"/>
      <c r="J245" s="625"/>
      <c r="K245" s="625"/>
    </row>
    <row r="246" ht="20.25" spans="1:11">
      <c r="A246" s="625"/>
      <c r="B246" s="625"/>
      <c r="C246" s="625"/>
      <c r="D246" s="625"/>
      <c r="E246" s="626"/>
      <c r="F246" s="647"/>
      <c r="G246" s="625"/>
      <c r="H246" s="625"/>
      <c r="I246" s="625"/>
      <c r="J246" s="625"/>
      <c r="K246" s="625"/>
    </row>
    <row r="247" ht="20.25" spans="1:11">
      <c r="A247" s="625"/>
      <c r="B247" s="625"/>
      <c r="C247" s="625"/>
      <c r="D247" s="625"/>
      <c r="E247" s="626"/>
      <c r="F247" s="647"/>
      <c r="G247" s="625"/>
      <c r="H247" s="625"/>
      <c r="I247" s="625"/>
      <c r="J247" s="625"/>
      <c r="K247" s="625"/>
    </row>
    <row r="248" ht="20.25" spans="1:11">
      <c r="A248" s="625"/>
      <c r="B248" s="625"/>
      <c r="C248" s="625"/>
      <c r="D248" s="625"/>
      <c r="E248" s="626"/>
      <c r="F248" s="647"/>
      <c r="G248" s="625"/>
      <c r="H248" s="625"/>
      <c r="I248" s="625"/>
      <c r="J248" s="625"/>
      <c r="K248" s="625"/>
    </row>
    <row r="249" ht="20.25" spans="1:11">
      <c r="A249" s="625"/>
      <c r="B249" s="625"/>
      <c r="C249" s="625"/>
      <c r="D249" s="625"/>
      <c r="E249" s="626"/>
      <c r="F249" s="647"/>
      <c r="G249" s="625"/>
      <c r="H249" s="625"/>
      <c r="I249" s="625"/>
      <c r="J249" s="625"/>
      <c r="K249" s="625"/>
    </row>
    <row r="250" ht="20.25" spans="1:11">
      <c r="A250" s="625"/>
      <c r="B250" s="625"/>
      <c r="C250" s="625"/>
      <c r="D250" s="625"/>
      <c r="E250" s="626"/>
      <c r="F250" s="647"/>
      <c r="G250" s="625"/>
      <c r="H250" s="625"/>
      <c r="I250" s="625"/>
      <c r="J250" s="625"/>
      <c r="K250" s="625"/>
    </row>
    <row r="251" ht="20.25" spans="1:11">
      <c r="A251" s="625"/>
      <c r="B251" s="625"/>
      <c r="C251" s="625"/>
      <c r="D251" s="625"/>
      <c r="E251" s="626"/>
      <c r="F251" s="647"/>
      <c r="G251" s="625"/>
      <c r="H251" s="625"/>
      <c r="I251" s="625"/>
      <c r="J251" s="625"/>
      <c r="K251" s="625"/>
    </row>
    <row r="252" ht="20.25" spans="1:11">
      <c r="A252" s="625"/>
      <c r="B252" s="625"/>
      <c r="C252" s="625"/>
      <c r="D252" s="625"/>
      <c r="E252" s="626"/>
      <c r="F252" s="647"/>
      <c r="G252" s="625"/>
      <c r="H252" s="625"/>
      <c r="I252" s="625"/>
      <c r="J252" s="625"/>
      <c r="K252" s="625"/>
    </row>
    <row r="253" ht="20.25" spans="1:11">
      <c r="A253" s="625"/>
      <c r="B253" s="625"/>
      <c r="C253" s="625"/>
      <c r="D253" s="625"/>
      <c r="E253" s="626"/>
      <c r="F253" s="647"/>
      <c r="G253" s="625"/>
      <c r="H253" s="625"/>
      <c r="I253" s="625"/>
      <c r="J253" s="625"/>
      <c r="K253" s="625"/>
    </row>
    <row r="254" ht="20.25" spans="1:11">
      <c r="A254" s="625"/>
      <c r="B254" s="625"/>
      <c r="C254" s="625"/>
      <c r="D254" s="625"/>
      <c r="E254" s="626"/>
      <c r="F254" s="647"/>
      <c r="G254" s="625"/>
      <c r="H254" s="625"/>
      <c r="I254" s="625"/>
      <c r="J254" s="625"/>
      <c r="K254" s="625"/>
    </row>
    <row r="255" ht="20.25" spans="1:11">
      <c r="A255" s="625"/>
      <c r="B255" s="625"/>
      <c r="C255" s="625"/>
      <c r="D255" s="625"/>
      <c r="E255" s="626"/>
      <c r="F255" s="647"/>
      <c r="G255" s="625"/>
      <c r="H255" s="625"/>
      <c r="I255" s="625"/>
      <c r="J255" s="625"/>
      <c r="K255" s="625"/>
    </row>
    <row r="256" ht="20.25" spans="1:11">
      <c r="A256" s="625"/>
      <c r="B256" s="625"/>
      <c r="C256" s="625"/>
      <c r="D256" s="625"/>
      <c r="E256" s="626"/>
      <c r="F256" s="647"/>
      <c r="G256" s="625"/>
      <c r="H256" s="625"/>
      <c r="I256" s="625"/>
      <c r="J256" s="625"/>
      <c r="K256" s="625"/>
    </row>
    <row r="257" ht="20.25" spans="1:11">
      <c r="A257" s="625"/>
      <c r="B257" s="625"/>
      <c r="C257" s="625"/>
      <c r="D257" s="625"/>
      <c r="E257" s="626"/>
      <c r="F257" s="647"/>
      <c r="G257" s="625"/>
      <c r="H257" s="625"/>
      <c r="I257" s="625"/>
      <c r="J257" s="625"/>
      <c r="K257" s="625"/>
    </row>
    <row r="258" ht="20.25" spans="1:11">
      <c r="A258" s="625"/>
      <c r="B258" s="625"/>
      <c r="C258" s="625"/>
      <c r="D258" s="625"/>
      <c r="E258" s="626"/>
      <c r="F258" s="647"/>
      <c r="G258" s="625"/>
      <c r="H258" s="625"/>
      <c r="I258" s="625"/>
      <c r="J258" s="625"/>
      <c r="K258" s="625"/>
    </row>
    <row r="259" ht="20.25" spans="1:11">
      <c r="A259" s="625"/>
      <c r="B259" s="625"/>
      <c r="C259" s="625"/>
      <c r="D259" s="625"/>
      <c r="E259" s="626"/>
      <c r="F259" s="647"/>
      <c r="G259" s="625"/>
      <c r="H259" s="625"/>
      <c r="I259" s="625"/>
      <c r="J259" s="625"/>
      <c r="K259" s="625"/>
    </row>
    <row r="260" ht="20.25" spans="1:11">
      <c r="A260" s="625"/>
      <c r="B260" s="625"/>
      <c r="C260" s="625"/>
      <c r="D260" s="625"/>
      <c r="E260" s="626"/>
      <c r="F260" s="647"/>
      <c r="G260" s="625"/>
      <c r="H260" s="625"/>
      <c r="I260" s="625"/>
      <c r="J260" s="625"/>
      <c r="K260" s="625"/>
    </row>
    <row r="261" ht="20.25" spans="1:11">
      <c r="A261" s="625"/>
      <c r="B261" s="625"/>
      <c r="C261" s="625"/>
      <c r="D261" s="625"/>
      <c r="E261" s="626"/>
      <c r="F261" s="647"/>
      <c r="G261" s="625"/>
      <c r="H261" s="625"/>
      <c r="I261" s="625"/>
      <c r="J261" s="625"/>
      <c r="K261" s="625"/>
    </row>
    <row r="262" ht="20.25" spans="1:11">
      <c r="A262" s="625"/>
      <c r="B262" s="625"/>
      <c r="C262" s="625"/>
      <c r="D262" s="625"/>
      <c r="E262" s="626"/>
      <c r="F262" s="647"/>
      <c r="G262" s="625"/>
      <c r="H262" s="625"/>
      <c r="I262" s="625"/>
      <c r="J262" s="625"/>
      <c r="K262" s="625"/>
    </row>
    <row r="263" ht="20.25" spans="1:11">
      <c r="A263" s="625"/>
      <c r="B263" s="625"/>
      <c r="C263" s="625"/>
      <c r="D263" s="625"/>
      <c r="E263" s="626"/>
      <c r="F263" s="647"/>
      <c r="G263" s="625"/>
      <c r="H263" s="625"/>
      <c r="I263" s="625"/>
      <c r="J263" s="625"/>
      <c r="K263" s="625"/>
    </row>
    <row r="264" ht="20.25" spans="1:11">
      <c r="A264" s="625"/>
      <c r="B264" s="625"/>
      <c r="C264" s="625"/>
      <c r="D264" s="625"/>
      <c r="E264" s="626"/>
      <c r="F264" s="647"/>
      <c r="G264" s="625"/>
      <c r="H264" s="625"/>
      <c r="I264" s="625"/>
      <c r="J264" s="625"/>
      <c r="K264" s="625"/>
    </row>
    <row r="265" ht="20.25" spans="1:11">
      <c r="A265" s="625"/>
      <c r="B265" s="625"/>
      <c r="C265" s="625"/>
      <c r="D265" s="625"/>
      <c r="E265" s="626"/>
      <c r="F265" s="647"/>
      <c r="G265" s="625"/>
      <c r="H265" s="625"/>
      <c r="I265" s="625"/>
      <c r="J265" s="625"/>
      <c r="K265" s="625"/>
    </row>
    <row r="266" ht="20.25" spans="1:11">
      <c r="A266" s="625"/>
      <c r="B266" s="625"/>
      <c r="C266" s="625"/>
      <c r="D266" s="625"/>
      <c r="E266" s="626"/>
      <c r="F266" s="647"/>
      <c r="G266" s="625"/>
      <c r="H266" s="625"/>
      <c r="I266" s="625"/>
      <c r="J266" s="625"/>
      <c r="K266" s="625"/>
    </row>
    <row r="267" ht="20.25" spans="1:11">
      <c r="A267" s="625"/>
      <c r="B267" s="625"/>
      <c r="C267" s="625"/>
      <c r="D267" s="625"/>
      <c r="E267" s="626"/>
      <c r="F267" s="647"/>
      <c r="G267" s="625"/>
      <c r="H267" s="625"/>
      <c r="I267" s="625"/>
      <c r="J267" s="625"/>
      <c r="K267" s="625"/>
    </row>
    <row r="268" ht="20.25" spans="1:11">
      <c r="A268" s="625"/>
      <c r="B268" s="625"/>
      <c r="C268" s="625"/>
      <c r="D268" s="625"/>
      <c r="E268" s="626"/>
      <c r="F268" s="647"/>
      <c r="G268" s="625"/>
      <c r="H268" s="625"/>
      <c r="I268" s="625"/>
      <c r="J268" s="625"/>
      <c r="K268" s="625"/>
    </row>
    <row r="269" ht="20.25" spans="1:11">
      <c r="A269" s="625"/>
      <c r="B269" s="625"/>
      <c r="C269" s="625"/>
      <c r="D269" s="625"/>
      <c r="E269" s="626"/>
      <c r="F269" s="647"/>
      <c r="G269" s="625"/>
      <c r="H269" s="625"/>
      <c r="I269" s="625"/>
      <c r="J269" s="625"/>
      <c r="K269" s="625"/>
    </row>
    <row r="270" ht="20.25" spans="1:11">
      <c r="A270" s="625"/>
      <c r="B270" s="625"/>
      <c r="C270" s="625"/>
      <c r="D270" s="625"/>
      <c r="E270" s="626"/>
      <c r="F270" s="647"/>
      <c r="G270" s="625"/>
      <c r="H270" s="625"/>
      <c r="I270" s="625"/>
      <c r="J270" s="625"/>
      <c r="K270" s="625"/>
    </row>
    <row r="271" ht="20.25" spans="1:11">
      <c r="A271" s="625"/>
      <c r="B271" s="625"/>
      <c r="C271" s="625"/>
      <c r="D271" s="625"/>
      <c r="E271" s="626"/>
      <c r="F271" s="647"/>
      <c r="G271" s="625"/>
      <c r="H271" s="625"/>
      <c r="I271" s="625"/>
      <c r="J271" s="625"/>
      <c r="K271" s="625"/>
    </row>
    <row r="272" ht="20.25" spans="1:11">
      <c r="A272" s="625"/>
      <c r="B272" s="625"/>
      <c r="C272" s="625"/>
      <c r="D272" s="625"/>
      <c r="E272" s="626"/>
      <c r="F272" s="647"/>
      <c r="G272" s="625"/>
      <c r="H272" s="625"/>
      <c r="I272" s="625"/>
      <c r="J272" s="625"/>
      <c r="K272" s="625"/>
    </row>
    <row r="273" ht="20.25" spans="1:11">
      <c r="A273" s="625"/>
      <c r="B273" s="625"/>
      <c r="C273" s="625"/>
      <c r="D273" s="625"/>
      <c r="E273" s="626"/>
      <c r="F273" s="647"/>
      <c r="G273" s="625"/>
      <c r="H273" s="625"/>
      <c r="I273" s="625"/>
      <c r="J273" s="625"/>
      <c r="K273" s="625"/>
    </row>
    <row r="274" ht="20.25" spans="1:11">
      <c r="A274" s="625"/>
      <c r="B274" s="625"/>
      <c r="C274" s="625"/>
      <c r="D274" s="625"/>
      <c r="E274" s="626"/>
      <c r="F274" s="647"/>
      <c r="G274" s="625"/>
      <c r="H274" s="625"/>
      <c r="I274" s="625"/>
      <c r="J274" s="625"/>
      <c r="K274" s="625"/>
    </row>
    <row r="275" ht="20.25" spans="1:11">
      <c r="A275" s="625"/>
      <c r="B275" s="625"/>
      <c r="C275" s="625"/>
      <c r="D275" s="625"/>
      <c r="E275" s="626"/>
      <c r="F275" s="647"/>
      <c r="G275" s="625"/>
      <c r="H275" s="625"/>
      <c r="I275" s="625"/>
      <c r="J275" s="625"/>
      <c r="K275" s="625"/>
    </row>
    <row r="276" ht="20.25" spans="1:11">
      <c r="A276" s="625"/>
      <c r="B276" s="625"/>
      <c r="C276" s="625"/>
      <c r="D276" s="625"/>
      <c r="E276" s="626"/>
      <c r="F276" s="647"/>
      <c r="G276" s="625"/>
      <c r="H276" s="625"/>
      <c r="I276" s="625"/>
      <c r="J276" s="625"/>
      <c r="K276" s="625"/>
    </row>
    <row r="277" ht="20.25" spans="1:11">
      <c r="A277" s="625"/>
      <c r="B277" s="625"/>
      <c r="C277" s="625"/>
      <c r="D277" s="625"/>
      <c r="E277" s="626"/>
      <c r="F277" s="647"/>
      <c r="G277" s="625"/>
      <c r="H277" s="625"/>
      <c r="I277" s="625"/>
      <c r="J277" s="625"/>
      <c r="K277" s="625"/>
    </row>
    <row r="278" ht="20.25" spans="1:11">
      <c r="A278" s="625"/>
      <c r="B278" s="625"/>
      <c r="C278" s="625"/>
      <c r="D278" s="625"/>
      <c r="E278" s="626"/>
      <c r="F278" s="647"/>
      <c r="G278" s="625"/>
      <c r="H278" s="625"/>
      <c r="I278" s="625"/>
      <c r="J278" s="625"/>
      <c r="K278" s="625"/>
    </row>
    <row r="279" ht="20.25" spans="1:11">
      <c r="A279" s="625"/>
      <c r="B279" s="625"/>
      <c r="C279" s="625"/>
      <c r="D279" s="625"/>
      <c r="E279" s="626"/>
      <c r="F279" s="647"/>
      <c r="G279" s="625"/>
      <c r="H279" s="625"/>
      <c r="I279" s="625"/>
      <c r="J279" s="625"/>
      <c r="K279" s="625"/>
    </row>
    <row r="280" ht="20.25" spans="1:11">
      <c r="A280" s="625"/>
      <c r="B280" s="625"/>
      <c r="C280" s="625"/>
      <c r="D280" s="625"/>
      <c r="E280" s="626"/>
      <c r="F280" s="647"/>
      <c r="G280" s="625"/>
      <c r="H280" s="625"/>
      <c r="I280" s="625"/>
      <c r="J280" s="625"/>
      <c r="K280" s="625"/>
    </row>
    <row r="281" ht="20.25" spans="1:11">
      <c r="A281" s="625"/>
      <c r="B281" s="625"/>
      <c r="C281" s="625"/>
      <c r="D281" s="625"/>
      <c r="E281" s="626"/>
      <c r="F281" s="647"/>
      <c r="G281" s="625"/>
      <c r="H281" s="625"/>
      <c r="I281" s="625"/>
      <c r="J281" s="625"/>
      <c r="K281" s="625"/>
    </row>
    <row r="282" ht="20.25" spans="1:11">
      <c r="A282" s="625"/>
      <c r="B282" s="625"/>
      <c r="C282" s="625"/>
      <c r="D282" s="625"/>
      <c r="E282" s="626"/>
      <c r="F282" s="647"/>
      <c r="G282" s="625"/>
      <c r="H282" s="625"/>
      <c r="I282" s="625"/>
      <c r="J282" s="625"/>
      <c r="K282" s="625"/>
    </row>
    <row r="283" ht="20.25" spans="1:11">
      <c r="A283" s="625"/>
      <c r="B283" s="625"/>
      <c r="C283" s="625"/>
      <c r="D283" s="625"/>
      <c r="E283" s="626"/>
      <c r="F283" s="647"/>
      <c r="G283" s="625"/>
      <c r="H283" s="625"/>
      <c r="I283" s="625"/>
      <c r="J283" s="625"/>
      <c r="K283" s="625"/>
    </row>
    <row r="284" ht="20.25" spans="1:11">
      <c r="A284" s="625"/>
      <c r="B284" s="625"/>
      <c r="C284" s="625"/>
      <c r="D284" s="625"/>
      <c r="E284" s="626"/>
      <c r="F284" s="647"/>
      <c r="G284" s="625"/>
      <c r="H284" s="625"/>
      <c r="I284" s="625"/>
      <c r="J284" s="625"/>
      <c r="K284" s="625"/>
    </row>
    <row r="285" ht="20.25" spans="1:11">
      <c r="A285" s="625"/>
      <c r="B285" s="625"/>
      <c r="C285" s="625"/>
      <c r="D285" s="625"/>
      <c r="E285" s="626"/>
      <c r="F285" s="647"/>
      <c r="G285" s="625"/>
      <c r="H285" s="625"/>
      <c r="I285" s="625"/>
      <c r="J285" s="625"/>
      <c r="K285" s="625"/>
    </row>
    <row r="286" ht="20.25" spans="1:11">
      <c r="A286" s="625"/>
      <c r="B286" s="625"/>
      <c r="C286" s="625"/>
      <c r="D286" s="625"/>
      <c r="E286" s="626"/>
      <c r="F286" s="647"/>
      <c r="G286" s="625"/>
      <c r="H286" s="625"/>
      <c r="I286" s="625"/>
      <c r="J286" s="625"/>
      <c r="K286" s="625"/>
    </row>
    <row r="287" ht="20.25" spans="1:11">
      <c r="A287" s="625"/>
      <c r="B287" s="625"/>
      <c r="C287" s="625"/>
      <c r="D287" s="625"/>
      <c r="E287" s="626"/>
      <c r="F287" s="647"/>
      <c r="G287" s="625"/>
      <c r="H287" s="625"/>
      <c r="I287" s="625"/>
      <c r="J287" s="625"/>
      <c r="K287" s="625"/>
    </row>
    <row r="288" ht="20.25" spans="1:11">
      <c r="A288" s="625"/>
      <c r="B288" s="625"/>
      <c r="C288" s="625"/>
      <c r="D288" s="625"/>
      <c r="E288" s="626"/>
      <c r="F288" s="647"/>
      <c r="G288" s="625"/>
      <c r="H288" s="625"/>
      <c r="I288" s="625"/>
      <c r="J288" s="625"/>
      <c r="K288" s="625"/>
    </row>
    <row r="289" ht="20.25" spans="1:11">
      <c r="A289" s="625"/>
      <c r="B289" s="625"/>
      <c r="C289" s="625"/>
      <c r="D289" s="625"/>
      <c r="E289" s="626"/>
      <c r="F289" s="647"/>
      <c r="G289" s="625"/>
      <c r="H289" s="625"/>
      <c r="I289" s="625"/>
      <c r="J289" s="625"/>
      <c r="K289" s="625"/>
    </row>
    <row r="290" ht="20.25" spans="1:11">
      <c r="A290" s="625"/>
      <c r="B290" s="625"/>
      <c r="C290" s="625"/>
      <c r="D290" s="625"/>
      <c r="E290" s="626"/>
      <c r="F290" s="647"/>
      <c r="G290" s="625"/>
      <c r="H290" s="625"/>
      <c r="I290" s="625"/>
      <c r="J290" s="625"/>
      <c r="K290" s="625"/>
    </row>
    <row r="291" ht="20.25" spans="1:11">
      <c r="A291" s="625"/>
      <c r="B291" s="625"/>
      <c r="C291" s="625"/>
      <c r="D291" s="625"/>
      <c r="E291" s="626"/>
      <c r="F291" s="647"/>
      <c r="G291" s="625"/>
      <c r="H291" s="625"/>
      <c r="I291" s="625"/>
      <c r="J291" s="625"/>
      <c r="K291" s="625"/>
    </row>
    <row r="292" ht="20.25" spans="1:11">
      <c r="A292" s="625"/>
      <c r="B292" s="625"/>
      <c r="C292" s="625"/>
      <c r="D292" s="625"/>
      <c r="E292" s="626"/>
      <c r="F292" s="647"/>
      <c r="G292" s="625"/>
      <c r="H292" s="625"/>
      <c r="I292" s="625"/>
      <c r="J292" s="625"/>
      <c r="K292" s="625"/>
    </row>
    <row r="293" ht="20.25" spans="1:11">
      <c r="A293" s="625"/>
      <c r="B293" s="625"/>
      <c r="C293" s="625"/>
      <c r="D293" s="625"/>
      <c r="E293" s="626"/>
      <c r="F293" s="647"/>
      <c r="G293" s="625"/>
      <c r="H293" s="625"/>
      <c r="I293" s="625"/>
      <c r="J293" s="625"/>
      <c r="K293" s="625"/>
    </row>
    <row r="294" ht="20.25" spans="1:11">
      <c r="A294" s="625"/>
      <c r="B294" s="625"/>
      <c r="C294" s="625"/>
      <c r="D294" s="625"/>
      <c r="E294" s="626"/>
      <c r="F294" s="647"/>
      <c r="G294" s="625"/>
      <c r="H294" s="625"/>
      <c r="I294" s="625"/>
      <c r="J294" s="625"/>
      <c r="K294" s="625"/>
    </row>
    <row r="295" ht="20.25" spans="1:11">
      <c r="A295" s="625"/>
      <c r="B295" s="625"/>
      <c r="C295" s="625"/>
      <c r="D295" s="625"/>
      <c r="E295" s="626"/>
      <c r="F295" s="647"/>
      <c r="G295" s="625"/>
      <c r="H295" s="625"/>
      <c r="I295" s="625"/>
      <c r="J295" s="625"/>
      <c r="K295" s="625"/>
    </row>
    <row r="296" ht="20.25" spans="1:11">
      <c r="A296" s="625"/>
      <c r="B296" s="625"/>
      <c r="C296" s="625"/>
      <c r="D296" s="625"/>
      <c r="E296" s="626"/>
      <c r="F296" s="647"/>
      <c r="G296" s="625"/>
      <c r="H296" s="625"/>
      <c r="I296" s="625"/>
      <c r="J296" s="625"/>
      <c r="K296" s="625"/>
    </row>
    <row r="297" ht="20.25" spans="1:11">
      <c r="A297" s="625"/>
      <c r="B297" s="625"/>
      <c r="C297" s="625"/>
      <c r="D297" s="625"/>
      <c r="E297" s="626"/>
      <c r="F297" s="647"/>
      <c r="G297" s="625"/>
      <c r="H297" s="625"/>
      <c r="I297" s="625"/>
      <c r="J297" s="625"/>
      <c r="K297" s="625"/>
    </row>
    <row r="298" ht="20.25" spans="1:11">
      <c r="A298" s="625"/>
      <c r="B298" s="625"/>
      <c r="C298" s="625"/>
      <c r="D298" s="625"/>
      <c r="E298" s="626"/>
      <c r="F298" s="647"/>
      <c r="G298" s="625"/>
      <c r="H298" s="625"/>
      <c r="I298" s="625"/>
      <c r="J298" s="625"/>
      <c r="K298" s="625"/>
    </row>
    <row r="299" ht="20.25" spans="1:11">
      <c r="A299" s="625"/>
      <c r="B299" s="625"/>
      <c r="C299" s="625"/>
      <c r="D299" s="625"/>
      <c r="E299" s="626"/>
      <c r="F299" s="647"/>
      <c r="G299" s="625"/>
      <c r="H299" s="625"/>
      <c r="I299" s="625"/>
      <c r="J299" s="625"/>
      <c r="K299" s="625"/>
    </row>
    <row r="300" ht="20.25" spans="1:11">
      <c r="A300" s="625"/>
      <c r="B300" s="625"/>
      <c r="C300" s="625"/>
      <c r="D300" s="625"/>
      <c r="E300" s="626"/>
      <c r="F300" s="647"/>
      <c r="G300" s="625"/>
      <c r="H300" s="625"/>
      <c r="I300" s="625"/>
      <c r="J300" s="625"/>
      <c r="K300" s="625"/>
    </row>
    <row r="301" ht="20.25" spans="1:11">
      <c r="A301" s="625"/>
      <c r="B301" s="625"/>
      <c r="C301" s="625"/>
      <c r="D301" s="625"/>
      <c r="E301" s="626"/>
      <c r="F301" s="647"/>
      <c r="G301" s="625"/>
      <c r="H301" s="625"/>
      <c r="I301" s="625"/>
      <c r="J301" s="625"/>
      <c r="K301" s="625"/>
    </row>
    <row r="302" ht="20.25" spans="1:11">
      <c r="A302" s="625"/>
      <c r="B302" s="625"/>
      <c r="C302" s="625"/>
      <c r="D302" s="625"/>
      <c r="E302" s="626"/>
      <c r="F302" s="647"/>
      <c r="G302" s="625"/>
      <c r="H302" s="625"/>
      <c r="I302" s="625"/>
      <c r="J302" s="625"/>
      <c r="K302" s="625"/>
    </row>
    <row r="303" ht="20.25" spans="1:11">
      <c r="A303" s="625"/>
      <c r="B303" s="625"/>
      <c r="C303" s="625"/>
      <c r="D303" s="625"/>
      <c r="E303" s="626"/>
      <c r="F303" s="647"/>
      <c r="G303" s="625"/>
      <c r="H303" s="625"/>
      <c r="I303" s="625"/>
      <c r="J303" s="625"/>
      <c r="K303" s="625"/>
    </row>
    <row r="304" ht="20.25" spans="1:11">
      <c r="A304" s="625"/>
      <c r="B304" s="625"/>
      <c r="C304" s="625"/>
      <c r="D304" s="625"/>
      <c r="E304" s="626"/>
      <c r="F304" s="647"/>
      <c r="G304" s="625"/>
      <c r="H304" s="625"/>
      <c r="I304" s="625"/>
      <c r="J304" s="625"/>
      <c r="K304" s="625"/>
    </row>
    <row r="305" ht="20.25" spans="1:11">
      <c r="A305" s="625"/>
      <c r="B305" s="625"/>
      <c r="C305" s="625"/>
      <c r="D305" s="625"/>
      <c r="E305" s="626"/>
      <c r="F305" s="647"/>
      <c r="G305" s="625"/>
      <c r="H305" s="625"/>
      <c r="I305" s="625"/>
      <c r="J305" s="625"/>
      <c r="K305" s="625"/>
    </row>
    <row r="306" ht="20.25" spans="1:11">
      <c r="A306" s="625"/>
      <c r="B306" s="625"/>
      <c r="C306" s="625"/>
      <c r="D306" s="625"/>
      <c r="E306" s="626"/>
      <c r="F306" s="647"/>
      <c r="G306" s="625"/>
      <c r="H306" s="625"/>
      <c r="I306" s="625"/>
      <c r="J306" s="625"/>
      <c r="K306" s="625"/>
    </row>
    <row r="307" ht="20.25" spans="1:11">
      <c r="A307" s="625"/>
      <c r="B307" s="625"/>
      <c r="C307" s="625"/>
      <c r="D307" s="625"/>
      <c r="E307" s="626"/>
      <c r="F307" s="647"/>
      <c r="G307" s="625"/>
      <c r="H307" s="625"/>
      <c r="I307" s="625"/>
      <c r="J307" s="625"/>
      <c r="K307" s="625"/>
    </row>
    <row r="308" ht="20.25" spans="1:11">
      <c r="A308" s="625"/>
      <c r="B308" s="625"/>
      <c r="C308" s="625"/>
      <c r="D308" s="625"/>
      <c r="E308" s="626"/>
      <c r="F308" s="647"/>
      <c r="G308" s="625"/>
      <c r="H308" s="625"/>
      <c r="I308" s="625"/>
      <c r="J308" s="625"/>
      <c r="K308" s="625"/>
    </row>
    <row r="309" ht="20.25" spans="1:11">
      <c r="A309" s="625"/>
      <c r="B309" s="625"/>
      <c r="C309" s="625"/>
      <c r="D309" s="625"/>
      <c r="E309" s="626"/>
      <c r="F309" s="647"/>
      <c r="G309" s="625"/>
      <c r="H309" s="625"/>
      <c r="I309" s="625"/>
      <c r="J309" s="625"/>
      <c r="K309" s="625"/>
    </row>
    <row r="310" ht="20.25" spans="1:11">
      <c r="A310" s="625"/>
      <c r="B310" s="625"/>
      <c r="C310" s="625"/>
      <c r="D310" s="625"/>
      <c r="E310" s="626"/>
      <c r="F310" s="647"/>
      <c r="G310" s="625"/>
      <c r="H310" s="625"/>
      <c r="I310" s="625"/>
      <c r="J310" s="625"/>
      <c r="K310" s="625"/>
    </row>
    <row r="311" ht="20.25" spans="1:11">
      <c r="A311" s="625"/>
      <c r="B311" s="625"/>
      <c r="C311" s="625"/>
      <c r="D311" s="625"/>
      <c r="E311" s="626"/>
      <c r="F311" s="647"/>
      <c r="G311" s="625"/>
      <c r="H311" s="625"/>
      <c r="I311" s="625"/>
      <c r="J311" s="625"/>
      <c r="K311" s="625"/>
    </row>
    <row r="312" ht="20.25" spans="1:11">
      <c r="A312" s="625"/>
      <c r="B312" s="625"/>
      <c r="C312" s="625"/>
      <c r="D312" s="625"/>
      <c r="E312" s="626"/>
      <c r="F312" s="647"/>
      <c r="G312" s="625"/>
      <c r="H312" s="625"/>
      <c r="I312" s="625"/>
      <c r="J312" s="625"/>
      <c r="K312" s="625"/>
    </row>
    <row r="313" ht="20.25" spans="1:11">
      <c r="A313" s="625"/>
      <c r="B313" s="625"/>
      <c r="C313" s="625"/>
      <c r="D313" s="625"/>
      <c r="E313" s="626"/>
      <c r="F313" s="647"/>
      <c r="G313" s="625"/>
      <c r="H313" s="625"/>
      <c r="I313" s="625"/>
      <c r="J313" s="625"/>
      <c r="K313" s="625"/>
    </row>
    <row r="314" ht="20.25" spans="1:11">
      <c r="A314" s="625"/>
      <c r="B314" s="625"/>
      <c r="C314" s="625"/>
      <c r="D314" s="625"/>
      <c r="E314" s="626"/>
      <c r="F314" s="647"/>
      <c r="G314" s="625"/>
      <c r="H314" s="625"/>
      <c r="I314" s="625"/>
      <c r="J314" s="625"/>
      <c r="K314" s="625"/>
    </row>
    <row r="315" ht="20.25" spans="1:11">
      <c r="A315" s="625"/>
      <c r="B315" s="625"/>
      <c r="C315" s="625"/>
      <c r="D315" s="625"/>
      <c r="E315" s="626"/>
      <c r="F315" s="647"/>
      <c r="G315" s="625"/>
      <c r="H315" s="625"/>
      <c r="I315" s="625"/>
      <c r="J315" s="625"/>
      <c r="K315" s="625"/>
    </row>
    <row r="316" ht="20.25" spans="1:11">
      <c r="A316" s="625"/>
      <c r="B316" s="625"/>
      <c r="C316" s="625"/>
      <c r="D316" s="625"/>
      <c r="E316" s="626"/>
      <c r="F316" s="647"/>
      <c r="G316" s="625"/>
      <c r="H316" s="625"/>
      <c r="I316" s="625"/>
      <c r="J316" s="625"/>
      <c r="K316" s="625"/>
    </row>
    <row r="317" ht="20.25" spans="1:11">
      <c r="A317" s="625"/>
      <c r="B317" s="625"/>
      <c r="C317" s="625"/>
      <c r="D317" s="625"/>
      <c r="E317" s="626"/>
      <c r="F317" s="647"/>
      <c r="G317" s="625"/>
      <c r="H317" s="625"/>
      <c r="I317" s="625"/>
      <c r="J317" s="625"/>
      <c r="K317" s="625"/>
    </row>
    <row r="318" ht="20.25" spans="1:11">
      <c r="A318" s="625"/>
      <c r="B318" s="625"/>
      <c r="C318" s="625"/>
      <c r="D318" s="625"/>
      <c r="E318" s="626"/>
      <c r="F318" s="647"/>
      <c r="G318" s="625"/>
      <c r="H318" s="625"/>
      <c r="I318" s="625"/>
      <c r="J318" s="625"/>
      <c r="K318" s="625"/>
    </row>
    <row r="319" ht="20.25" spans="1:11">
      <c r="A319" s="625"/>
      <c r="B319" s="625"/>
      <c r="C319" s="625"/>
      <c r="D319" s="625"/>
      <c r="E319" s="626"/>
      <c r="F319" s="647"/>
      <c r="G319" s="625"/>
      <c r="H319" s="625"/>
      <c r="I319" s="625"/>
      <c r="J319" s="625"/>
      <c r="K319" s="625"/>
    </row>
    <row r="320" ht="20.25" spans="1:11">
      <c r="A320" s="625"/>
      <c r="B320" s="625"/>
      <c r="C320" s="625"/>
      <c r="D320" s="625"/>
      <c r="E320" s="626"/>
      <c r="F320" s="647"/>
      <c r="G320" s="625"/>
      <c r="H320" s="625"/>
      <c r="I320" s="625"/>
      <c r="J320" s="625"/>
      <c r="K320" s="625"/>
    </row>
    <row r="321" ht="20.25" spans="1:11">
      <c r="A321" s="625"/>
      <c r="B321" s="625"/>
      <c r="C321" s="625"/>
      <c r="D321" s="625"/>
      <c r="E321" s="626"/>
      <c r="F321" s="647"/>
      <c r="G321" s="625"/>
      <c r="H321" s="625"/>
      <c r="I321" s="625"/>
      <c r="J321" s="625"/>
      <c r="K321" s="625"/>
    </row>
    <row r="322" ht="20.25" spans="1:11">
      <c r="A322" s="625"/>
      <c r="B322" s="625"/>
      <c r="C322" s="625"/>
      <c r="D322" s="625"/>
      <c r="E322" s="626"/>
      <c r="F322" s="647"/>
      <c r="G322" s="625"/>
      <c r="H322" s="625"/>
      <c r="I322" s="625"/>
      <c r="J322" s="625"/>
      <c r="K322" s="625"/>
    </row>
    <row r="323" ht="20.25" spans="1:11">
      <c r="A323" s="625"/>
      <c r="B323" s="625"/>
      <c r="C323" s="625"/>
      <c r="D323" s="625"/>
      <c r="E323" s="626"/>
      <c r="F323" s="647"/>
      <c r="G323" s="625"/>
      <c r="H323" s="625"/>
      <c r="I323" s="625"/>
      <c r="J323" s="625"/>
      <c r="K323" s="625"/>
    </row>
    <row r="324" ht="20.25" spans="1:11">
      <c r="A324" s="625"/>
      <c r="B324" s="625"/>
      <c r="C324" s="625"/>
      <c r="D324" s="625"/>
      <c r="E324" s="626"/>
      <c r="F324" s="647"/>
      <c r="G324" s="625"/>
      <c r="H324" s="625"/>
      <c r="I324" s="625"/>
      <c r="J324" s="625"/>
      <c r="K324" s="625"/>
    </row>
    <row r="325" ht="20.25" spans="1:11">
      <c r="A325" s="625"/>
      <c r="B325" s="625"/>
      <c r="C325" s="625"/>
      <c r="D325" s="625"/>
      <c r="E325" s="626"/>
      <c r="F325" s="647"/>
      <c r="G325" s="625"/>
      <c r="H325" s="625"/>
      <c r="I325" s="625"/>
      <c r="J325" s="625"/>
      <c r="K325" s="625"/>
    </row>
    <row r="326" ht="20.25" spans="1:11">
      <c r="A326" s="625"/>
      <c r="B326" s="625"/>
      <c r="C326" s="625"/>
      <c r="D326" s="625"/>
      <c r="E326" s="626"/>
      <c r="F326" s="647"/>
      <c r="G326" s="625"/>
      <c r="H326" s="625"/>
      <c r="I326" s="625"/>
      <c r="J326" s="625"/>
      <c r="K326" s="625"/>
    </row>
    <row r="327" ht="20.25" spans="1:11">
      <c r="A327" s="625"/>
      <c r="B327" s="625"/>
      <c r="C327" s="625"/>
      <c r="D327" s="625"/>
      <c r="E327" s="626"/>
      <c r="F327" s="647"/>
      <c r="G327" s="625"/>
      <c r="H327" s="625"/>
      <c r="I327" s="625"/>
      <c r="J327" s="625"/>
      <c r="K327" s="625"/>
    </row>
    <row r="328" ht="20.25" spans="1:11">
      <c r="A328" s="625"/>
      <c r="B328" s="625"/>
      <c r="C328" s="625"/>
      <c r="D328" s="625"/>
      <c r="E328" s="626"/>
      <c r="F328" s="647"/>
      <c r="G328" s="625"/>
      <c r="H328" s="625"/>
      <c r="I328" s="625"/>
      <c r="J328" s="625"/>
      <c r="K328" s="625"/>
    </row>
    <row r="329" ht="20.25" spans="1:11">
      <c r="A329" s="625"/>
      <c r="B329" s="625"/>
      <c r="C329" s="625"/>
      <c r="D329" s="625"/>
      <c r="E329" s="626"/>
      <c r="F329" s="647"/>
      <c r="G329" s="625"/>
      <c r="H329" s="625"/>
      <c r="I329" s="625"/>
      <c r="J329" s="625"/>
      <c r="K329" s="625"/>
    </row>
    <row r="330" ht="20.25" spans="1:11">
      <c r="A330" s="625"/>
      <c r="B330" s="625"/>
      <c r="C330" s="625"/>
      <c r="D330" s="625"/>
      <c r="E330" s="626"/>
      <c r="F330" s="647"/>
      <c r="G330" s="625"/>
      <c r="H330" s="625"/>
      <c r="I330" s="625"/>
      <c r="J330" s="625"/>
      <c r="K330" s="625"/>
    </row>
    <row r="331" ht="20.25" spans="1:11">
      <c r="A331" s="625"/>
      <c r="B331" s="625"/>
      <c r="C331" s="625"/>
      <c r="D331" s="625"/>
      <c r="E331" s="626"/>
      <c r="F331" s="647"/>
      <c r="G331" s="625"/>
      <c r="H331" s="625"/>
      <c r="I331" s="625"/>
      <c r="J331" s="625"/>
      <c r="K331" s="625"/>
    </row>
    <row r="332" ht="20.25" spans="1:11">
      <c r="A332" s="625"/>
      <c r="B332" s="625"/>
      <c r="C332" s="625"/>
      <c r="D332" s="625"/>
      <c r="E332" s="626"/>
      <c r="F332" s="647"/>
      <c r="G332" s="625"/>
      <c r="H332" s="625"/>
      <c r="I332" s="625"/>
      <c r="J332" s="625"/>
      <c r="K332" s="625"/>
    </row>
    <row r="333" ht="20.25" spans="1:11">
      <c r="A333" s="625"/>
      <c r="B333" s="625"/>
      <c r="C333" s="625"/>
      <c r="D333" s="625"/>
      <c r="E333" s="626"/>
      <c r="F333" s="647"/>
      <c r="G333" s="625"/>
      <c r="H333" s="625"/>
      <c r="I333" s="625"/>
      <c r="J333" s="625"/>
      <c r="K333" s="625"/>
    </row>
    <row r="334" ht="20.25" spans="1:11">
      <c r="A334" s="625"/>
      <c r="B334" s="625"/>
      <c r="C334" s="625"/>
      <c r="D334" s="625"/>
      <c r="E334" s="626"/>
      <c r="F334" s="647"/>
      <c r="G334" s="625"/>
      <c r="H334" s="625"/>
      <c r="I334" s="625"/>
      <c r="J334" s="625"/>
      <c r="K334" s="625"/>
    </row>
    <row r="335" ht="20.25" spans="1:11">
      <c r="A335" s="625"/>
      <c r="B335" s="625"/>
      <c r="C335" s="625"/>
      <c r="D335" s="625"/>
      <c r="E335" s="626"/>
      <c r="F335" s="647"/>
      <c r="G335" s="625"/>
      <c r="H335" s="625"/>
      <c r="I335" s="625"/>
      <c r="J335" s="625"/>
      <c r="K335" s="625"/>
    </row>
    <row r="336" ht="20.25" spans="1:11">
      <c r="A336" s="625"/>
      <c r="B336" s="625"/>
      <c r="C336" s="625"/>
      <c r="D336" s="625"/>
      <c r="E336" s="626"/>
      <c r="F336" s="647"/>
      <c r="G336" s="625"/>
      <c r="H336" s="625"/>
      <c r="I336" s="625"/>
      <c r="J336" s="625"/>
      <c r="K336" s="625"/>
    </row>
    <row r="337" ht="20.25" spans="1:11">
      <c r="A337" s="625"/>
      <c r="B337" s="625"/>
      <c r="C337" s="625"/>
      <c r="D337" s="625"/>
      <c r="E337" s="626"/>
      <c r="F337" s="647"/>
      <c r="G337" s="625"/>
      <c r="H337" s="625"/>
      <c r="I337" s="625"/>
      <c r="J337" s="625"/>
      <c r="K337" s="625"/>
    </row>
    <row r="338" ht="20.25" spans="1:11">
      <c r="A338" s="625"/>
      <c r="B338" s="625"/>
      <c r="C338" s="625"/>
      <c r="D338" s="625"/>
      <c r="E338" s="626"/>
      <c r="F338" s="647"/>
      <c r="G338" s="625"/>
      <c r="H338" s="625"/>
      <c r="I338" s="625"/>
      <c r="J338" s="625"/>
      <c r="K338" s="625"/>
    </row>
    <row r="339" ht="20.25" spans="1:11">
      <c r="A339" s="625"/>
      <c r="B339" s="625"/>
      <c r="C339" s="625"/>
      <c r="D339" s="625"/>
      <c r="E339" s="626"/>
      <c r="F339" s="647"/>
      <c r="G339" s="625"/>
      <c r="H339" s="625"/>
      <c r="I339" s="625"/>
      <c r="J339" s="625"/>
      <c r="K339" s="625"/>
    </row>
    <row r="340" ht="20.25" spans="1:11">
      <c r="A340" s="625"/>
      <c r="B340" s="625"/>
      <c r="C340" s="625"/>
      <c r="D340" s="625"/>
      <c r="E340" s="626"/>
      <c r="F340" s="647"/>
      <c r="G340" s="625"/>
      <c r="H340" s="625"/>
      <c r="I340" s="625"/>
      <c r="J340" s="625"/>
      <c r="K340" s="625"/>
    </row>
    <row r="341" ht="20.25" spans="1:11">
      <c r="A341" s="625"/>
      <c r="B341" s="625"/>
      <c r="C341" s="625"/>
      <c r="D341" s="625"/>
      <c r="E341" s="626"/>
      <c r="F341" s="647"/>
      <c r="G341" s="625"/>
      <c r="H341" s="625"/>
      <c r="I341" s="625"/>
      <c r="J341" s="625"/>
      <c r="K341" s="625"/>
    </row>
    <row r="342" ht="20.25" spans="1:11">
      <c r="A342" s="625"/>
      <c r="B342" s="625"/>
      <c r="C342" s="625"/>
      <c r="D342" s="625"/>
      <c r="E342" s="626"/>
      <c r="F342" s="647"/>
      <c r="G342" s="625"/>
      <c r="H342" s="625"/>
      <c r="I342" s="625"/>
      <c r="J342" s="625"/>
      <c r="K342" s="625"/>
    </row>
    <row r="343" ht="20.25" spans="1:11">
      <c r="A343" s="625"/>
      <c r="B343" s="625"/>
      <c r="C343" s="625"/>
      <c r="D343" s="625"/>
      <c r="E343" s="626"/>
      <c r="F343" s="647"/>
      <c r="G343" s="625"/>
      <c r="H343" s="625"/>
      <c r="I343" s="625"/>
      <c r="J343" s="625"/>
      <c r="K343" s="625"/>
    </row>
    <row r="344" ht="20.25" spans="1:11">
      <c r="A344" s="625"/>
      <c r="B344" s="625"/>
      <c r="C344" s="625"/>
      <c r="D344" s="625"/>
      <c r="E344" s="626"/>
      <c r="F344" s="647"/>
      <c r="G344" s="625"/>
      <c r="H344" s="625"/>
      <c r="I344" s="625"/>
      <c r="J344" s="625"/>
      <c r="K344" s="625"/>
    </row>
    <row r="345" ht="20.25" spans="1:11">
      <c r="A345" s="625"/>
      <c r="B345" s="625"/>
      <c r="C345" s="625"/>
      <c r="D345" s="625"/>
      <c r="E345" s="626"/>
      <c r="F345" s="647"/>
      <c r="G345" s="625"/>
      <c r="H345" s="625"/>
      <c r="I345" s="625"/>
      <c r="J345" s="625"/>
      <c r="K345" s="625"/>
    </row>
    <row r="346" ht="20.25" spans="1:11">
      <c r="A346" s="625"/>
      <c r="B346" s="625"/>
      <c r="C346" s="625"/>
      <c r="D346" s="625"/>
      <c r="E346" s="626"/>
      <c r="F346" s="647"/>
      <c r="G346" s="625"/>
      <c r="H346" s="625"/>
      <c r="I346" s="625"/>
      <c r="J346" s="625"/>
      <c r="K346" s="625"/>
    </row>
    <row r="347" ht="20.25" spans="1:11">
      <c r="A347" s="625"/>
      <c r="B347" s="625"/>
      <c r="C347" s="625"/>
      <c r="D347" s="625"/>
      <c r="E347" s="626"/>
      <c r="F347" s="647"/>
      <c r="G347" s="625"/>
      <c r="H347" s="625"/>
      <c r="I347" s="625"/>
      <c r="J347" s="625"/>
      <c r="K347" s="625"/>
    </row>
    <row r="348" ht="20.25" spans="1:11">
      <c r="A348" s="625"/>
      <c r="B348" s="625"/>
      <c r="C348" s="625"/>
      <c r="D348" s="625"/>
      <c r="E348" s="626"/>
      <c r="F348" s="647"/>
      <c r="G348" s="625"/>
      <c r="H348" s="625"/>
      <c r="I348" s="625"/>
      <c r="J348" s="625"/>
      <c r="K348" s="625"/>
    </row>
    <row r="349" ht="20.25" spans="1:11">
      <c r="A349" s="625"/>
      <c r="B349" s="625"/>
      <c r="C349" s="625"/>
      <c r="D349" s="625"/>
      <c r="E349" s="626"/>
      <c r="F349" s="647"/>
      <c r="G349" s="625"/>
      <c r="H349" s="625"/>
      <c r="I349" s="625"/>
      <c r="J349" s="625"/>
      <c r="K349" s="625"/>
    </row>
    <row r="350" ht="20.25" spans="1:11">
      <c r="A350" s="625"/>
      <c r="B350" s="625"/>
      <c r="C350" s="625"/>
      <c r="D350" s="625"/>
      <c r="E350" s="626"/>
      <c r="F350" s="647"/>
      <c r="G350" s="625"/>
      <c r="H350" s="625"/>
      <c r="I350" s="625"/>
      <c r="J350" s="625"/>
      <c r="K350" s="625"/>
    </row>
    <row r="351" ht="20.25" spans="1:11">
      <c r="A351" s="625"/>
      <c r="B351" s="625"/>
      <c r="C351" s="625"/>
      <c r="D351" s="625"/>
      <c r="E351" s="626"/>
      <c r="F351" s="647"/>
      <c r="G351" s="625"/>
      <c r="H351" s="625"/>
      <c r="I351" s="625"/>
      <c r="J351" s="625"/>
      <c r="K351" s="625"/>
    </row>
    <row r="352" ht="20.25" spans="1:11">
      <c r="A352" s="625"/>
      <c r="B352" s="625"/>
      <c r="C352" s="625"/>
      <c r="D352" s="625"/>
      <c r="E352" s="626"/>
      <c r="F352" s="647"/>
      <c r="G352" s="625"/>
      <c r="H352" s="625"/>
      <c r="I352" s="625"/>
      <c r="J352" s="625"/>
      <c r="K352" s="625"/>
    </row>
    <row r="353" ht="20.25" spans="1:11">
      <c r="A353" s="625"/>
      <c r="B353" s="625"/>
      <c r="C353" s="625"/>
      <c r="D353" s="625"/>
      <c r="E353" s="626"/>
      <c r="F353" s="647"/>
      <c r="G353" s="625"/>
      <c r="H353" s="625"/>
      <c r="I353" s="625"/>
      <c r="J353" s="625"/>
      <c r="K353" s="625"/>
    </row>
    <row r="354" ht="20.25" spans="1:11">
      <c r="A354" s="625"/>
      <c r="B354" s="625"/>
      <c r="C354" s="625"/>
      <c r="D354" s="625"/>
      <c r="E354" s="626"/>
      <c r="F354" s="647"/>
      <c r="G354" s="625"/>
      <c r="H354" s="625"/>
      <c r="I354" s="625"/>
      <c r="J354" s="625"/>
      <c r="K354" s="625"/>
    </row>
    <row r="355" ht="20.25" spans="1:11">
      <c r="A355" s="625"/>
      <c r="B355" s="625"/>
      <c r="C355" s="625"/>
      <c r="D355" s="625"/>
      <c r="E355" s="626"/>
      <c r="F355" s="647"/>
      <c r="G355" s="625"/>
      <c r="H355" s="625"/>
      <c r="I355" s="625"/>
      <c r="J355" s="625"/>
      <c r="K355" s="625"/>
    </row>
    <row r="356" ht="20.25" spans="1:11">
      <c r="A356" s="625"/>
      <c r="B356" s="625"/>
      <c r="C356" s="625"/>
      <c r="D356" s="625"/>
      <c r="E356" s="626"/>
      <c r="F356" s="647"/>
      <c r="G356" s="625"/>
      <c r="H356" s="625"/>
      <c r="I356" s="625"/>
      <c r="J356" s="625"/>
      <c r="K356" s="625"/>
    </row>
    <row r="357" ht="20.25" spans="1:11">
      <c r="A357" s="625"/>
      <c r="B357" s="625"/>
      <c r="C357" s="625"/>
      <c r="D357" s="625"/>
      <c r="E357" s="626"/>
      <c r="F357" s="647"/>
      <c r="G357" s="625"/>
      <c r="H357" s="625"/>
      <c r="I357" s="625"/>
      <c r="J357" s="625"/>
      <c r="K357" s="625"/>
    </row>
    <row r="358" ht="20.25" spans="1:11">
      <c r="A358" s="625"/>
      <c r="B358" s="625"/>
      <c r="C358" s="625"/>
      <c r="D358" s="625"/>
      <c r="E358" s="626"/>
      <c r="F358" s="647"/>
      <c r="G358" s="625"/>
      <c r="H358" s="625"/>
      <c r="I358" s="625"/>
      <c r="J358" s="625"/>
      <c r="K358" s="625"/>
    </row>
    <row r="359" ht="20.25" spans="1:11">
      <c r="A359" s="625"/>
      <c r="B359" s="625"/>
      <c r="C359" s="625"/>
      <c r="D359" s="625"/>
      <c r="E359" s="626"/>
      <c r="F359" s="647"/>
      <c r="G359" s="625"/>
      <c r="H359" s="625"/>
      <c r="I359" s="625"/>
      <c r="J359" s="625"/>
      <c r="K359" s="625"/>
    </row>
    <row r="360" ht="20.25" spans="1:11">
      <c r="A360" s="625"/>
      <c r="B360" s="625"/>
      <c r="C360" s="625"/>
      <c r="D360" s="625"/>
      <c r="E360" s="626"/>
      <c r="F360" s="647"/>
      <c r="G360" s="625"/>
      <c r="H360" s="625"/>
      <c r="I360" s="625"/>
      <c r="J360" s="625"/>
      <c r="K360" s="625"/>
    </row>
    <row r="361" ht="20.25" spans="1:11">
      <c r="A361" s="625"/>
      <c r="B361" s="625"/>
      <c r="C361" s="625"/>
      <c r="D361" s="625"/>
      <c r="E361" s="626"/>
      <c r="F361" s="647"/>
      <c r="G361" s="625"/>
      <c r="H361" s="625"/>
      <c r="I361" s="625"/>
      <c r="J361" s="625"/>
      <c r="K361" s="625"/>
    </row>
    <row r="362" ht="20.25" spans="1:11">
      <c r="A362" s="625"/>
      <c r="B362" s="625"/>
      <c r="C362" s="625"/>
      <c r="D362" s="625"/>
      <c r="E362" s="626"/>
      <c r="F362" s="647"/>
      <c r="G362" s="625"/>
      <c r="H362" s="625"/>
      <c r="I362" s="625"/>
      <c r="J362" s="625"/>
      <c r="K362" s="625"/>
    </row>
    <row r="363" ht="20.25" spans="1:11">
      <c r="A363" s="625"/>
      <c r="B363" s="625"/>
      <c r="C363" s="625"/>
      <c r="D363" s="625"/>
      <c r="E363" s="626"/>
      <c r="F363" s="647"/>
      <c r="G363" s="625"/>
      <c r="H363" s="625"/>
      <c r="I363" s="625"/>
      <c r="J363" s="625"/>
      <c r="K363" s="625"/>
    </row>
    <row r="364" ht="20.25" spans="1:11">
      <c r="A364" s="625"/>
      <c r="B364" s="625"/>
      <c r="C364" s="625"/>
      <c r="D364" s="625"/>
      <c r="E364" s="626"/>
      <c r="F364" s="647"/>
      <c r="G364" s="625"/>
      <c r="H364" s="625"/>
      <c r="I364" s="625"/>
      <c r="J364" s="625"/>
      <c r="K364" s="625"/>
    </row>
    <row r="365" ht="20.25" spans="1:11">
      <c r="A365" s="625"/>
      <c r="B365" s="625"/>
      <c r="C365" s="625"/>
      <c r="D365" s="625"/>
      <c r="E365" s="626"/>
      <c r="F365" s="647"/>
      <c r="G365" s="625"/>
      <c r="H365" s="625"/>
      <c r="I365" s="625"/>
      <c r="J365" s="625"/>
      <c r="K365" s="625"/>
    </row>
    <row r="366" ht="20.25" spans="1:11">
      <c r="A366" s="625"/>
      <c r="B366" s="625"/>
      <c r="C366" s="625"/>
      <c r="D366" s="625"/>
      <c r="E366" s="626"/>
      <c r="F366" s="647"/>
      <c r="G366" s="625"/>
      <c r="H366" s="625"/>
      <c r="I366" s="625"/>
      <c r="J366" s="625"/>
      <c r="K366" s="625"/>
    </row>
    <row r="367" ht="20.25" spans="1:11">
      <c r="A367" s="625"/>
      <c r="B367" s="625"/>
      <c r="C367" s="625"/>
      <c r="D367" s="625"/>
      <c r="E367" s="626"/>
      <c r="F367" s="647"/>
      <c r="G367" s="625"/>
      <c r="H367" s="625"/>
      <c r="I367" s="625"/>
      <c r="J367" s="625"/>
      <c r="K367" s="625"/>
    </row>
    <row r="368" ht="20.25" spans="1:11">
      <c r="A368" s="625"/>
      <c r="B368" s="625"/>
      <c r="C368" s="625"/>
      <c r="D368" s="625"/>
      <c r="E368" s="626"/>
      <c r="F368" s="647"/>
      <c r="G368" s="625"/>
      <c r="H368" s="625"/>
      <c r="I368" s="625"/>
      <c r="J368" s="625"/>
      <c r="K368" s="625"/>
    </row>
    <row r="369" ht="20.25" spans="1:11">
      <c r="A369" s="625"/>
      <c r="B369" s="625"/>
      <c r="C369" s="625"/>
      <c r="D369" s="625"/>
      <c r="E369" s="626"/>
      <c r="F369" s="647"/>
      <c r="G369" s="625"/>
      <c r="H369" s="625"/>
      <c r="I369" s="625"/>
      <c r="J369" s="625"/>
      <c r="K369" s="625"/>
    </row>
    <row r="370" ht="20.25" spans="1:11">
      <c r="A370" s="625"/>
      <c r="B370" s="625"/>
      <c r="C370" s="625"/>
      <c r="D370" s="625"/>
      <c r="E370" s="626"/>
      <c r="F370" s="647"/>
      <c r="G370" s="625"/>
      <c r="H370" s="625"/>
      <c r="I370" s="625"/>
      <c r="J370" s="625"/>
      <c r="K370" s="625"/>
    </row>
    <row r="371" ht="20.25" spans="1:11">
      <c r="A371" s="625"/>
      <c r="B371" s="625"/>
      <c r="C371" s="625"/>
      <c r="D371" s="625"/>
      <c r="E371" s="626"/>
      <c r="F371" s="647"/>
      <c r="G371" s="625"/>
      <c r="H371" s="625"/>
      <c r="I371" s="625"/>
      <c r="J371" s="625"/>
      <c r="K371" s="625"/>
    </row>
    <row r="372" ht="20.25" spans="1:11">
      <c r="A372" s="625"/>
      <c r="B372" s="625"/>
      <c r="C372" s="625"/>
      <c r="D372" s="625"/>
      <c r="E372" s="626"/>
      <c r="F372" s="647"/>
      <c r="G372" s="625"/>
      <c r="H372" s="625"/>
      <c r="I372" s="625"/>
      <c r="J372" s="625"/>
      <c r="K372" s="625"/>
    </row>
    <row r="373" ht="20.25" spans="1:11">
      <c r="A373" s="625"/>
      <c r="B373" s="625"/>
      <c r="C373" s="625"/>
      <c r="D373" s="625"/>
      <c r="E373" s="626"/>
      <c r="F373" s="647"/>
      <c r="G373" s="625"/>
      <c r="H373" s="625"/>
      <c r="I373" s="625"/>
      <c r="J373" s="625"/>
      <c r="K373" s="625"/>
    </row>
    <row r="374" ht="20.25" spans="1:11">
      <c r="A374" s="625"/>
      <c r="B374" s="625"/>
      <c r="C374" s="625"/>
      <c r="D374" s="625"/>
      <c r="E374" s="626"/>
      <c r="F374" s="647"/>
      <c r="G374" s="625"/>
      <c r="H374" s="625"/>
      <c r="I374" s="625"/>
      <c r="J374" s="625"/>
      <c r="K374" s="625"/>
    </row>
    <row r="375" ht="20.25" spans="1:11">
      <c r="A375" s="625"/>
      <c r="B375" s="625"/>
      <c r="C375" s="625"/>
      <c r="D375" s="625"/>
      <c r="E375" s="626"/>
      <c r="F375" s="647"/>
      <c r="G375" s="625"/>
      <c r="H375" s="625"/>
      <c r="I375" s="625"/>
      <c r="J375" s="625"/>
      <c r="K375" s="625"/>
    </row>
    <row r="376" ht="20.25" spans="1:11">
      <c r="A376" s="625"/>
      <c r="B376" s="625"/>
      <c r="C376" s="625"/>
      <c r="D376" s="625"/>
      <c r="E376" s="626"/>
      <c r="F376" s="647"/>
      <c r="G376" s="625"/>
      <c r="H376" s="625"/>
      <c r="I376" s="625"/>
      <c r="J376" s="625"/>
      <c r="K376" s="625"/>
    </row>
    <row r="377" ht="20.25" spans="1:11">
      <c r="A377" s="625"/>
      <c r="B377" s="625"/>
      <c r="C377" s="625"/>
      <c r="D377" s="625"/>
      <c r="E377" s="626"/>
      <c r="F377" s="647"/>
      <c r="G377" s="625"/>
      <c r="H377" s="625"/>
      <c r="I377" s="625"/>
      <c r="J377" s="625"/>
      <c r="K377" s="625"/>
    </row>
    <row r="378" ht="20.25" spans="1:11">
      <c r="A378" s="625"/>
      <c r="B378" s="625"/>
      <c r="C378" s="625"/>
      <c r="D378" s="625"/>
      <c r="E378" s="626"/>
      <c r="F378" s="647"/>
      <c r="G378" s="625"/>
      <c r="H378" s="625"/>
      <c r="I378" s="625"/>
      <c r="J378" s="625"/>
      <c r="K378" s="625"/>
    </row>
    <row r="379" ht="20.25" spans="1:11">
      <c r="A379" s="625"/>
      <c r="B379" s="625"/>
      <c r="C379" s="625"/>
      <c r="D379" s="625"/>
      <c r="E379" s="626"/>
      <c r="F379" s="647"/>
      <c r="G379" s="625"/>
      <c r="H379" s="625"/>
      <c r="I379" s="625"/>
      <c r="J379" s="625"/>
      <c r="K379" s="625"/>
    </row>
    <row r="380" ht="20.25" spans="1:11">
      <c r="A380" s="625"/>
      <c r="B380" s="625"/>
      <c r="C380" s="625"/>
      <c r="D380" s="625"/>
      <c r="E380" s="626"/>
      <c r="F380" s="647"/>
      <c r="G380" s="625"/>
      <c r="H380" s="625"/>
      <c r="I380" s="625"/>
      <c r="J380" s="625"/>
      <c r="K380" s="625"/>
    </row>
    <row r="381" ht="20.25" spans="1:11">
      <c r="A381" s="625"/>
      <c r="B381" s="625"/>
      <c r="C381" s="625"/>
      <c r="D381" s="625"/>
      <c r="E381" s="626"/>
      <c r="F381" s="647"/>
      <c r="G381" s="625"/>
      <c r="H381" s="625"/>
      <c r="I381" s="625"/>
      <c r="J381" s="625"/>
      <c r="K381" s="625"/>
    </row>
    <row r="382" ht="20.25" spans="1:11">
      <c r="A382" s="625"/>
      <c r="B382" s="625"/>
      <c r="C382" s="625"/>
      <c r="D382" s="625"/>
      <c r="E382" s="626"/>
      <c r="F382" s="647"/>
      <c r="G382" s="625"/>
      <c r="H382" s="625"/>
      <c r="I382" s="625"/>
      <c r="J382" s="625"/>
      <c r="K382" s="625"/>
    </row>
    <row r="383" ht="20.25" spans="1:11">
      <c r="A383" s="625"/>
      <c r="B383" s="625"/>
      <c r="C383" s="625"/>
      <c r="D383" s="625"/>
      <c r="E383" s="626"/>
      <c r="F383" s="647"/>
      <c r="G383" s="625"/>
      <c r="H383" s="625"/>
      <c r="I383" s="625"/>
      <c r="J383" s="625"/>
      <c r="K383" s="625"/>
    </row>
    <row r="384" ht="20.25" spans="1:11">
      <c r="A384" s="625"/>
      <c r="B384" s="625"/>
      <c r="C384" s="625"/>
      <c r="D384" s="625"/>
      <c r="E384" s="626"/>
      <c r="F384" s="647"/>
      <c r="G384" s="625"/>
      <c r="H384" s="625"/>
      <c r="I384" s="625"/>
      <c r="J384" s="625"/>
      <c r="K384" s="625"/>
    </row>
    <row r="385" ht="20.25" spans="1:11">
      <c r="A385" s="625"/>
      <c r="B385" s="625"/>
      <c r="C385" s="625"/>
      <c r="D385" s="625"/>
      <c r="E385" s="626"/>
      <c r="F385" s="647"/>
      <c r="G385" s="625"/>
      <c r="H385" s="625"/>
      <c r="I385" s="625"/>
      <c r="J385" s="625"/>
      <c r="K385" s="625"/>
    </row>
    <row r="386" ht="20.25" spans="1:11">
      <c r="A386" s="625"/>
      <c r="B386" s="625"/>
      <c r="C386" s="625"/>
      <c r="D386" s="625"/>
      <c r="E386" s="626"/>
      <c r="F386" s="647"/>
      <c r="G386" s="625"/>
      <c r="H386" s="625"/>
      <c r="I386" s="625"/>
      <c r="J386" s="625"/>
      <c r="K386" s="625"/>
    </row>
    <row r="387" ht="20.25" spans="1:11">
      <c r="A387" s="625"/>
      <c r="B387" s="625"/>
      <c r="C387" s="625"/>
      <c r="D387" s="625"/>
      <c r="E387" s="626"/>
      <c r="F387" s="647"/>
      <c r="G387" s="625"/>
      <c r="H387" s="625"/>
      <c r="I387" s="625"/>
      <c r="J387" s="625"/>
      <c r="K387" s="625"/>
    </row>
    <row r="388" ht="20.25" spans="1:11">
      <c r="A388" s="625"/>
      <c r="B388" s="625"/>
      <c r="C388" s="625"/>
      <c r="D388" s="625"/>
      <c r="E388" s="626"/>
      <c r="F388" s="647"/>
      <c r="G388" s="625"/>
      <c r="H388" s="625"/>
      <c r="I388" s="625"/>
      <c r="J388" s="625"/>
      <c r="K388" s="625"/>
    </row>
    <row r="389" ht="20.25" spans="1:11">
      <c r="A389" s="625"/>
      <c r="B389" s="625"/>
      <c r="C389" s="625"/>
      <c r="D389" s="625"/>
      <c r="E389" s="626"/>
      <c r="F389" s="647"/>
      <c r="G389" s="625"/>
      <c r="H389" s="625"/>
      <c r="I389" s="625"/>
      <c r="J389" s="625"/>
      <c r="K389" s="625"/>
    </row>
    <row r="390" ht="20.25" spans="1:11">
      <c r="A390" s="625"/>
      <c r="B390" s="625"/>
      <c r="C390" s="625"/>
      <c r="D390" s="625"/>
      <c r="E390" s="626"/>
      <c r="F390" s="647"/>
      <c r="G390" s="625"/>
      <c r="H390" s="625"/>
      <c r="I390" s="625"/>
      <c r="J390" s="625"/>
      <c r="K390" s="625"/>
    </row>
    <row r="391" ht="20.25" spans="1:11">
      <c r="A391" s="625"/>
      <c r="B391" s="625"/>
      <c r="C391" s="625"/>
      <c r="D391" s="625"/>
      <c r="E391" s="626"/>
      <c r="F391" s="647"/>
      <c r="G391" s="625"/>
      <c r="H391" s="625"/>
      <c r="I391" s="625"/>
      <c r="J391" s="625"/>
      <c r="K391" s="625"/>
    </row>
    <row r="392" ht="20.25" spans="1:11">
      <c r="A392" s="625"/>
      <c r="B392" s="625"/>
      <c r="C392" s="625"/>
      <c r="D392" s="625"/>
      <c r="E392" s="626"/>
      <c r="F392" s="647"/>
      <c r="G392" s="625"/>
      <c r="H392" s="625"/>
      <c r="I392" s="625"/>
      <c r="J392" s="625"/>
      <c r="K392" s="625"/>
    </row>
    <row r="393" ht="20.25" spans="1:11">
      <c r="A393" s="625"/>
      <c r="B393" s="625"/>
      <c r="C393" s="625"/>
      <c r="D393" s="625"/>
      <c r="E393" s="626"/>
      <c r="F393" s="647"/>
      <c r="G393" s="625"/>
      <c r="H393" s="625"/>
      <c r="I393" s="625"/>
      <c r="J393" s="625"/>
      <c r="K393" s="625"/>
    </row>
    <row r="394" ht="20.25" spans="1:11">
      <c r="A394" s="625"/>
      <c r="B394" s="625"/>
      <c r="C394" s="625"/>
      <c r="D394" s="625"/>
      <c r="E394" s="626"/>
      <c r="F394" s="647"/>
      <c r="G394" s="625"/>
      <c r="H394" s="625"/>
      <c r="I394" s="625"/>
      <c r="J394" s="625"/>
      <c r="K394" s="625"/>
    </row>
    <row r="395" ht="20.25" spans="1:11">
      <c r="A395" s="625"/>
      <c r="B395" s="625"/>
      <c r="C395" s="625"/>
      <c r="D395" s="625"/>
      <c r="E395" s="626"/>
      <c r="F395" s="647"/>
      <c r="G395" s="625"/>
      <c r="H395" s="625"/>
      <c r="I395" s="625"/>
      <c r="J395" s="625"/>
      <c r="K395" s="625"/>
    </row>
    <row r="396" ht="20.25" spans="1:11">
      <c r="A396" s="625"/>
      <c r="B396" s="625"/>
      <c r="C396" s="625"/>
      <c r="D396" s="625"/>
      <c r="E396" s="626"/>
      <c r="F396" s="647"/>
      <c r="G396" s="625"/>
      <c r="H396" s="625"/>
      <c r="I396" s="625"/>
      <c r="J396" s="625"/>
      <c r="K396" s="625"/>
    </row>
    <row r="397" ht="20.25" spans="1:11">
      <c r="A397" s="625"/>
      <c r="B397" s="625"/>
      <c r="C397" s="625"/>
      <c r="D397" s="625"/>
      <c r="E397" s="626"/>
      <c r="F397" s="647"/>
      <c r="G397" s="625"/>
      <c r="H397" s="625"/>
      <c r="I397" s="625"/>
      <c r="J397" s="625"/>
      <c r="K397" s="625"/>
    </row>
    <row r="398" ht="20.25" spans="1:11">
      <c r="A398" s="625"/>
      <c r="B398" s="625"/>
      <c r="C398" s="625"/>
      <c r="D398" s="625"/>
      <c r="E398" s="626"/>
      <c r="F398" s="647"/>
      <c r="G398" s="625"/>
      <c r="H398" s="625"/>
      <c r="I398" s="625"/>
      <c r="J398" s="625"/>
      <c r="K398" s="625"/>
    </row>
    <row r="399" ht="20.25" spans="1:11">
      <c r="A399" s="625"/>
      <c r="B399" s="625"/>
      <c r="C399" s="625"/>
      <c r="D399" s="625"/>
      <c r="E399" s="626"/>
      <c r="F399" s="647"/>
      <c r="G399" s="625"/>
      <c r="H399" s="625"/>
      <c r="I399" s="625"/>
      <c r="J399" s="625"/>
      <c r="K399" s="625"/>
    </row>
    <row r="400" ht="20.25" spans="1:11">
      <c r="A400" s="625"/>
      <c r="B400" s="625"/>
      <c r="C400" s="625"/>
      <c r="D400" s="625"/>
      <c r="E400" s="626"/>
      <c r="F400" s="647"/>
      <c r="G400" s="625"/>
      <c r="H400" s="625"/>
      <c r="I400" s="625"/>
      <c r="J400" s="625"/>
      <c r="K400" s="625"/>
    </row>
    <row r="401" ht="20.25" spans="1:11">
      <c r="A401" s="625"/>
      <c r="B401" s="625"/>
      <c r="C401" s="625"/>
      <c r="D401" s="625"/>
      <c r="E401" s="626"/>
      <c r="F401" s="647"/>
      <c r="G401" s="625"/>
      <c r="H401" s="625"/>
      <c r="I401" s="625"/>
      <c r="J401" s="625"/>
      <c r="K401" s="625"/>
    </row>
    <row r="402" ht="20.25" spans="1:11">
      <c r="A402" s="625"/>
      <c r="B402" s="625"/>
      <c r="C402" s="625"/>
      <c r="D402" s="625"/>
      <c r="E402" s="626"/>
      <c r="F402" s="647"/>
      <c r="G402" s="625"/>
      <c r="H402" s="625"/>
      <c r="I402" s="625"/>
      <c r="J402" s="625"/>
      <c r="K402" s="625"/>
    </row>
    <row r="403" ht="20.25" spans="1:11">
      <c r="A403" s="625"/>
      <c r="B403" s="625"/>
      <c r="C403" s="625"/>
      <c r="D403" s="625"/>
      <c r="E403" s="626"/>
      <c r="F403" s="647"/>
      <c r="G403" s="625"/>
      <c r="H403" s="625"/>
      <c r="I403" s="625"/>
      <c r="J403" s="625"/>
      <c r="K403" s="625"/>
    </row>
    <row r="404" ht="20.25" spans="1:11">
      <c r="A404" s="625"/>
      <c r="B404" s="625"/>
      <c r="C404" s="625"/>
      <c r="D404" s="625"/>
      <c r="E404" s="626"/>
      <c r="F404" s="647"/>
      <c r="G404" s="625"/>
      <c r="H404" s="625"/>
      <c r="I404" s="625"/>
      <c r="J404" s="625"/>
      <c r="K404" s="625"/>
    </row>
    <row r="405" ht="20.25" spans="1:11">
      <c r="A405" s="625"/>
      <c r="B405" s="625"/>
      <c r="C405" s="625"/>
      <c r="D405" s="625"/>
      <c r="E405" s="626"/>
      <c r="F405" s="647"/>
      <c r="G405" s="625"/>
      <c r="H405" s="625"/>
      <c r="I405" s="625"/>
      <c r="J405" s="625"/>
      <c r="K405" s="625"/>
    </row>
    <row r="406" ht="20.25" spans="1:11">
      <c r="A406" s="625"/>
      <c r="B406" s="625"/>
      <c r="C406" s="625"/>
      <c r="D406" s="625"/>
      <c r="E406" s="626"/>
      <c r="F406" s="647"/>
      <c r="G406" s="625"/>
      <c r="H406" s="625"/>
      <c r="I406" s="625"/>
      <c r="J406" s="625"/>
      <c r="K406" s="625"/>
    </row>
    <row r="407" ht="20.25" spans="1:11">
      <c r="A407" s="625"/>
      <c r="B407" s="625"/>
      <c r="C407" s="625"/>
      <c r="D407" s="625"/>
      <c r="E407" s="626"/>
      <c r="F407" s="647"/>
      <c r="G407" s="625"/>
      <c r="H407" s="625"/>
      <c r="I407" s="625"/>
      <c r="J407" s="625"/>
      <c r="K407" s="625"/>
    </row>
    <row r="408" ht="20.25" spans="1:11">
      <c r="A408" s="625"/>
      <c r="B408" s="625"/>
      <c r="C408" s="625"/>
      <c r="D408" s="625"/>
      <c r="E408" s="626"/>
      <c r="F408" s="647"/>
      <c r="G408" s="625"/>
      <c r="H408" s="625"/>
      <c r="I408" s="625"/>
      <c r="J408" s="625"/>
      <c r="K408" s="625"/>
    </row>
    <row r="409" ht="20.25" spans="1:11">
      <c r="A409" s="625"/>
      <c r="B409" s="625"/>
      <c r="C409" s="625"/>
      <c r="D409" s="625"/>
      <c r="E409" s="626"/>
      <c r="F409" s="647"/>
      <c r="G409" s="625"/>
      <c r="H409" s="625"/>
      <c r="I409" s="625"/>
      <c r="J409" s="625"/>
      <c r="K409" s="625"/>
    </row>
    <row r="410" ht="20.25" spans="1:11">
      <c r="A410" s="625"/>
      <c r="B410" s="625"/>
      <c r="C410" s="625"/>
      <c r="D410" s="625"/>
      <c r="E410" s="626"/>
      <c r="F410" s="647"/>
      <c r="G410" s="625"/>
      <c r="H410" s="625"/>
      <c r="I410" s="625"/>
      <c r="J410" s="625"/>
      <c r="K410" s="625"/>
    </row>
    <row r="411" ht="20.25" spans="1:11">
      <c r="A411" s="625"/>
      <c r="B411" s="625"/>
      <c r="C411" s="625"/>
      <c r="D411" s="625"/>
      <c r="E411" s="626"/>
      <c r="F411" s="647"/>
      <c r="G411" s="625"/>
      <c r="H411" s="625"/>
      <c r="I411" s="625"/>
      <c r="J411" s="625"/>
      <c r="K411" s="625"/>
    </row>
    <row r="412" ht="20.25" spans="1:11">
      <c r="A412" s="625"/>
      <c r="B412" s="625"/>
      <c r="C412" s="625"/>
      <c r="D412" s="625"/>
      <c r="E412" s="626"/>
      <c r="F412" s="647"/>
      <c r="G412" s="625"/>
      <c r="H412" s="625"/>
      <c r="I412" s="625"/>
      <c r="J412" s="625"/>
      <c r="K412" s="625"/>
    </row>
    <row r="413" ht="20.25" spans="1:11">
      <c r="A413" s="625"/>
      <c r="B413" s="625"/>
      <c r="C413" s="625"/>
      <c r="D413" s="625"/>
      <c r="E413" s="626"/>
      <c r="F413" s="647"/>
      <c r="G413" s="625"/>
      <c r="H413" s="625"/>
      <c r="I413" s="625"/>
      <c r="J413" s="625"/>
      <c r="K413" s="625"/>
    </row>
    <row r="414" ht="20.25" spans="1:11">
      <c r="A414" s="625"/>
      <c r="B414" s="625"/>
      <c r="C414" s="625"/>
      <c r="D414" s="625"/>
      <c r="E414" s="626"/>
      <c r="F414" s="647"/>
      <c r="G414" s="625"/>
      <c r="H414" s="625"/>
      <c r="I414" s="625"/>
      <c r="J414" s="625"/>
      <c r="K414" s="625"/>
    </row>
    <row r="415" ht="20.25" spans="1:11">
      <c r="A415" s="625"/>
      <c r="B415" s="625"/>
      <c r="C415" s="625"/>
      <c r="D415" s="625"/>
      <c r="E415" s="626"/>
      <c r="F415" s="647"/>
      <c r="G415" s="625"/>
      <c r="H415" s="625"/>
      <c r="I415" s="625"/>
      <c r="J415" s="625"/>
      <c r="K415" s="625"/>
    </row>
    <row r="416" ht="20.25" spans="1:11">
      <c r="A416" s="625"/>
      <c r="B416" s="625"/>
      <c r="C416" s="625"/>
      <c r="D416" s="625"/>
      <c r="E416" s="626"/>
      <c r="F416" s="647"/>
      <c r="G416" s="625"/>
      <c r="H416" s="625"/>
      <c r="I416" s="625"/>
      <c r="J416" s="625"/>
      <c r="K416" s="625"/>
    </row>
    <row r="417" ht="20.25" spans="1:11">
      <c r="A417" s="625"/>
      <c r="B417" s="625"/>
      <c r="C417" s="625"/>
      <c r="D417" s="625"/>
      <c r="E417" s="626"/>
      <c r="F417" s="647"/>
      <c r="G417" s="625"/>
      <c r="H417" s="625"/>
      <c r="I417" s="625"/>
      <c r="J417" s="625"/>
      <c r="K417" s="625"/>
    </row>
    <row r="418" ht="20.25" spans="1:11">
      <c r="A418" s="625"/>
      <c r="B418" s="625"/>
      <c r="C418" s="625"/>
      <c r="D418" s="625"/>
      <c r="E418" s="626"/>
      <c r="F418" s="647"/>
      <c r="G418" s="625"/>
      <c r="H418" s="625"/>
      <c r="I418" s="625"/>
      <c r="J418" s="625"/>
      <c r="K418" s="625"/>
    </row>
    <row r="419" ht="20.25" spans="1:11">
      <c r="A419" s="625"/>
      <c r="B419" s="625"/>
      <c r="C419" s="625"/>
      <c r="D419" s="625"/>
      <c r="E419" s="626"/>
      <c r="F419" s="647"/>
      <c r="G419" s="625"/>
      <c r="H419" s="625"/>
      <c r="I419" s="625"/>
      <c r="J419" s="625"/>
      <c r="K419" s="625"/>
    </row>
    <row r="420" ht="20.25" spans="1:11">
      <c r="A420" s="625"/>
      <c r="B420" s="625"/>
      <c r="C420" s="625"/>
      <c r="D420" s="625"/>
      <c r="E420" s="626"/>
      <c r="F420" s="647"/>
      <c r="G420" s="625"/>
      <c r="H420" s="625"/>
      <c r="I420" s="625"/>
      <c r="J420" s="625"/>
      <c r="K420" s="625"/>
    </row>
    <row r="421" ht="20.25" spans="1:11">
      <c r="A421" s="625"/>
      <c r="B421" s="625"/>
      <c r="C421" s="625"/>
      <c r="D421" s="625"/>
      <c r="E421" s="626"/>
      <c r="F421" s="647"/>
      <c r="G421" s="625"/>
      <c r="H421" s="625"/>
      <c r="I421" s="625"/>
      <c r="J421" s="625"/>
      <c r="K421" s="625"/>
    </row>
    <row r="422" ht="20.25" spans="1:11">
      <c r="A422" s="625"/>
      <c r="B422" s="625"/>
      <c r="C422" s="625"/>
      <c r="D422" s="625"/>
      <c r="E422" s="626"/>
      <c r="F422" s="647"/>
      <c r="G422" s="625"/>
      <c r="H422" s="625"/>
      <c r="I422" s="625"/>
      <c r="J422" s="625"/>
      <c r="K422" s="625"/>
    </row>
    <row r="423" ht="20.25" spans="1:11">
      <c r="A423" s="625"/>
      <c r="B423" s="625"/>
      <c r="C423" s="625"/>
      <c r="D423" s="625"/>
      <c r="E423" s="626"/>
      <c r="F423" s="647"/>
      <c r="G423" s="625"/>
      <c r="H423" s="625"/>
      <c r="I423" s="625"/>
      <c r="J423" s="625"/>
      <c r="K423" s="625"/>
    </row>
    <row r="424" ht="20.25" spans="1:11">
      <c r="A424" s="625"/>
      <c r="B424" s="625"/>
      <c r="C424" s="625"/>
      <c r="D424" s="625"/>
      <c r="E424" s="626"/>
      <c r="F424" s="647"/>
      <c r="G424" s="625"/>
      <c r="H424" s="625"/>
      <c r="I424" s="625"/>
      <c r="J424" s="625"/>
      <c r="K424" s="625"/>
    </row>
    <row r="425" ht="20.25" spans="1:11">
      <c r="A425" s="625"/>
      <c r="B425" s="625"/>
      <c r="C425" s="625"/>
      <c r="D425" s="625"/>
      <c r="E425" s="626"/>
      <c r="F425" s="647"/>
      <c r="G425" s="625"/>
      <c r="H425" s="625"/>
      <c r="I425" s="625"/>
      <c r="J425" s="625"/>
      <c r="K425" s="625"/>
    </row>
    <row r="426" ht="20.25" spans="1:11">
      <c r="A426" s="625"/>
      <c r="B426" s="625"/>
      <c r="C426" s="625"/>
      <c r="D426" s="625"/>
      <c r="E426" s="626"/>
      <c r="F426" s="647"/>
      <c r="G426" s="625"/>
      <c r="H426" s="625"/>
      <c r="I426" s="625"/>
      <c r="J426" s="625"/>
      <c r="K426" s="625"/>
    </row>
    <row r="427" ht="20.25" spans="1:11">
      <c r="A427" s="625"/>
      <c r="B427" s="625"/>
      <c r="C427" s="625"/>
      <c r="D427" s="625"/>
      <c r="E427" s="626"/>
      <c r="F427" s="647"/>
      <c r="G427" s="625"/>
      <c r="H427" s="625"/>
      <c r="I427" s="625"/>
      <c r="J427" s="625"/>
      <c r="K427" s="625"/>
    </row>
    <row r="428" ht="20.25" spans="1:11">
      <c r="A428" s="625"/>
      <c r="B428" s="625"/>
      <c r="C428" s="625"/>
      <c r="D428" s="625"/>
      <c r="E428" s="626"/>
      <c r="F428" s="647"/>
      <c r="G428" s="625"/>
      <c r="H428" s="625"/>
      <c r="I428" s="625"/>
      <c r="J428" s="625"/>
      <c r="K428" s="625"/>
    </row>
    <row r="429" ht="20.25" spans="1:11">
      <c r="A429" s="625"/>
      <c r="B429" s="625"/>
      <c r="C429" s="625"/>
      <c r="D429" s="625"/>
      <c r="E429" s="626"/>
      <c r="F429" s="647"/>
      <c r="G429" s="625"/>
      <c r="H429" s="625"/>
      <c r="I429" s="625"/>
      <c r="J429" s="625"/>
      <c r="K429" s="625"/>
    </row>
    <row r="430" ht="20.25" spans="1:11">
      <c r="A430" s="625"/>
      <c r="B430" s="625"/>
      <c r="C430" s="625"/>
      <c r="D430" s="625"/>
      <c r="E430" s="626"/>
      <c r="F430" s="647"/>
      <c r="G430" s="625"/>
      <c r="H430" s="625"/>
      <c r="I430" s="625"/>
      <c r="J430" s="625"/>
      <c r="K430" s="625"/>
    </row>
    <row r="431" ht="20.25" spans="1:11">
      <c r="A431" s="625"/>
      <c r="B431" s="625"/>
      <c r="C431" s="625"/>
      <c r="D431" s="625"/>
      <c r="E431" s="626"/>
      <c r="F431" s="647"/>
      <c r="G431" s="625"/>
      <c r="H431" s="625"/>
      <c r="I431" s="625"/>
      <c r="J431" s="625"/>
      <c r="K431" s="625"/>
    </row>
    <row r="432" ht="20.25" spans="1:11">
      <c r="A432" s="625"/>
      <c r="B432" s="625"/>
      <c r="C432" s="625"/>
      <c r="D432" s="625"/>
      <c r="E432" s="626"/>
      <c r="F432" s="647"/>
      <c r="G432" s="625"/>
      <c r="H432" s="625"/>
      <c r="I432" s="625"/>
      <c r="J432" s="625"/>
      <c r="K432" s="625"/>
    </row>
    <row r="433" ht="20.25" spans="1:11">
      <c r="A433" s="625"/>
      <c r="B433" s="625"/>
      <c r="C433" s="625"/>
      <c r="D433" s="625"/>
      <c r="E433" s="626"/>
      <c r="F433" s="647"/>
      <c r="G433" s="625"/>
      <c r="H433" s="625"/>
      <c r="I433" s="625"/>
      <c r="J433" s="625"/>
      <c r="K433" s="625"/>
    </row>
    <row r="434" ht="20.25" spans="1:11">
      <c r="A434" s="625"/>
      <c r="B434" s="625"/>
      <c r="C434" s="625"/>
      <c r="D434" s="625"/>
      <c r="E434" s="626"/>
      <c r="F434" s="647"/>
      <c r="G434" s="625"/>
      <c r="H434" s="625"/>
      <c r="I434" s="625"/>
      <c r="J434" s="625"/>
      <c r="K434" s="625"/>
    </row>
    <row r="435" ht="20.25" spans="1:11">
      <c r="A435" s="625"/>
      <c r="B435" s="625"/>
      <c r="C435" s="625"/>
      <c r="D435" s="625"/>
      <c r="E435" s="626"/>
      <c r="F435" s="647"/>
      <c r="G435" s="625"/>
      <c r="H435" s="625"/>
      <c r="I435" s="625"/>
      <c r="J435" s="625"/>
      <c r="K435" s="625"/>
    </row>
    <row r="436" ht="20.25" spans="1:11">
      <c r="A436" s="625"/>
      <c r="B436" s="625"/>
      <c r="C436" s="625"/>
      <c r="D436" s="625"/>
      <c r="E436" s="626"/>
      <c r="F436" s="647"/>
      <c r="G436" s="625"/>
      <c r="H436" s="625"/>
      <c r="I436" s="625"/>
      <c r="J436" s="625"/>
      <c r="K436" s="625"/>
    </row>
    <row r="437" ht="20.25" spans="1:11">
      <c r="A437" s="625"/>
      <c r="B437" s="625"/>
      <c r="C437" s="625"/>
      <c r="D437" s="625"/>
      <c r="E437" s="626"/>
      <c r="F437" s="647"/>
      <c r="G437" s="625"/>
      <c r="H437" s="625"/>
      <c r="I437" s="625"/>
      <c r="J437" s="625"/>
      <c r="K437" s="625"/>
    </row>
    <row r="438" ht="20.25" spans="1:11">
      <c r="A438" s="625"/>
      <c r="B438" s="625"/>
      <c r="C438" s="625"/>
      <c r="D438" s="625"/>
      <c r="E438" s="626"/>
      <c r="F438" s="647"/>
      <c r="G438" s="625"/>
      <c r="H438" s="625"/>
      <c r="I438" s="625"/>
      <c r="J438" s="625"/>
      <c r="K438" s="625"/>
    </row>
    <row r="439" ht="20.25" spans="1:11">
      <c r="A439" s="625"/>
      <c r="B439" s="625"/>
      <c r="C439" s="625"/>
      <c r="D439" s="625"/>
      <c r="E439" s="626"/>
      <c r="F439" s="647"/>
      <c r="G439" s="625"/>
      <c r="H439" s="625"/>
      <c r="I439" s="625"/>
      <c r="J439" s="625"/>
      <c r="K439" s="625"/>
    </row>
    <row r="440" ht="20.25" spans="1:11">
      <c r="A440" s="625"/>
      <c r="B440" s="625"/>
      <c r="C440" s="625"/>
      <c r="D440" s="625"/>
      <c r="E440" s="626"/>
      <c r="F440" s="647"/>
      <c r="G440" s="625"/>
      <c r="H440" s="625"/>
      <c r="I440" s="625"/>
      <c r="J440" s="625"/>
      <c r="K440" s="625"/>
    </row>
    <row r="441" ht="20.25" spans="1:11">
      <c r="A441" s="625"/>
      <c r="B441" s="625"/>
      <c r="C441" s="625"/>
      <c r="D441" s="625"/>
      <c r="E441" s="626"/>
      <c r="F441" s="647"/>
      <c r="G441" s="625"/>
      <c r="H441" s="625"/>
      <c r="I441" s="625"/>
      <c r="J441" s="625"/>
      <c r="K441" s="625"/>
    </row>
    <row r="442" ht="20.25" spans="1:11">
      <c r="A442" s="625"/>
      <c r="B442" s="625"/>
      <c r="C442" s="625"/>
      <c r="D442" s="625"/>
      <c r="E442" s="626"/>
      <c r="F442" s="647"/>
      <c r="G442" s="625"/>
      <c r="H442" s="625"/>
      <c r="I442" s="625"/>
      <c r="J442" s="625"/>
      <c r="K442" s="625"/>
    </row>
    <row r="443" ht="20.25" spans="1:11">
      <c r="A443" s="625"/>
      <c r="B443" s="625"/>
      <c r="C443" s="625"/>
      <c r="D443" s="625"/>
      <c r="E443" s="626"/>
      <c r="F443" s="647"/>
      <c r="G443" s="625"/>
      <c r="H443" s="625"/>
      <c r="I443" s="625"/>
      <c r="J443" s="625"/>
      <c r="K443" s="625"/>
    </row>
    <row r="444" ht="20.25" spans="1:11">
      <c r="A444" s="625"/>
      <c r="B444" s="625"/>
      <c r="C444" s="625"/>
      <c r="D444" s="625"/>
      <c r="E444" s="626"/>
      <c r="F444" s="647"/>
      <c r="G444" s="625"/>
      <c r="H444" s="625"/>
      <c r="I444" s="625"/>
      <c r="J444" s="625"/>
      <c r="K444" s="625"/>
    </row>
    <row r="445" ht="20.25" spans="1:11">
      <c r="A445" s="625"/>
      <c r="B445" s="625"/>
      <c r="C445" s="625"/>
      <c r="D445" s="625"/>
      <c r="E445" s="626"/>
      <c r="F445" s="647"/>
      <c r="G445" s="625"/>
      <c r="H445" s="625"/>
      <c r="I445" s="625"/>
      <c r="J445" s="625"/>
      <c r="K445" s="625"/>
    </row>
    <row r="446" ht="20.25" spans="1:11">
      <c r="A446" s="625"/>
      <c r="B446" s="625"/>
      <c r="C446" s="625"/>
      <c r="D446" s="625"/>
      <c r="E446" s="626"/>
      <c r="F446" s="647"/>
      <c r="G446" s="625"/>
      <c r="H446" s="625"/>
      <c r="I446" s="625"/>
      <c r="J446" s="625"/>
      <c r="K446" s="625"/>
    </row>
    <row r="447" ht="20.25" spans="1:11">
      <c r="A447" s="625"/>
      <c r="B447" s="625"/>
      <c r="C447" s="625"/>
      <c r="D447" s="625"/>
      <c r="E447" s="626"/>
      <c r="F447" s="647"/>
      <c r="G447" s="625"/>
      <c r="H447" s="625"/>
      <c r="I447" s="625"/>
      <c r="J447" s="625"/>
      <c r="K447" s="625"/>
    </row>
    <row r="448" ht="20.25" spans="1:11">
      <c r="A448" s="625"/>
      <c r="B448" s="625"/>
      <c r="C448" s="625"/>
      <c r="D448" s="625"/>
      <c r="E448" s="626"/>
      <c r="F448" s="647"/>
      <c r="G448" s="625"/>
      <c r="H448" s="625"/>
      <c r="I448" s="625"/>
      <c r="J448" s="625"/>
      <c r="K448" s="625"/>
    </row>
    <row r="449" ht="20.25" spans="1:11">
      <c r="A449" s="625"/>
      <c r="B449" s="625"/>
      <c r="C449" s="625"/>
      <c r="D449" s="625"/>
      <c r="E449" s="626"/>
      <c r="F449" s="647"/>
      <c r="G449" s="625"/>
      <c r="H449" s="625"/>
      <c r="I449" s="625"/>
      <c r="J449" s="625"/>
      <c r="K449" s="625"/>
    </row>
    <row r="450" ht="20.25" spans="1:11">
      <c r="A450" s="625"/>
      <c r="B450" s="625"/>
      <c r="C450" s="625"/>
      <c r="D450" s="625"/>
      <c r="E450" s="626"/>
      <c r="F450" s="647"/>
      <c r="G450" s="625"/>
      <c r="H450" s="625"/>
      <c r="I450" s="625"/>
      <c r="J450" s="625"/>
      <c r="K450" s="625"/>
    </row>
    <row r="451" ht="20.25" spans="1:11">
      <c r="A451" s="625"/>
      <c r="B451" s="625"/>
      <c r="C451" s="625"/>
      <c r="D451" s="625"/>
      <c r="E451" s="626"/>
      <c r="F451" s="647"/>
      <c r="G451" s="625"/>
      <c r="H451" s="625"/>
      <c r="I451" s="625"/>
      <c r="J451" s="625"/>
      <c r="K451" s="625"/>
    </row>
    <row r="452" ht="20.25" spans="1:11">
      <c r="A452" s="625"/>
      <c r="B452" s="625"/>
      <c r="C452" s="625"/>
      <c r="D452" s="625"/>
      <c r="E452" s="626"/>
      <c r="F452" s="647"/>
      <c r="G452" s="625"/>
      <c r="H452" s="625"/>
      <c r="I452" s="625"/>
      <c r="J452" s="625"/>
      <c r="K452" s="625"/>
    </row>
    <row r="453" ht="20.25" spans="1:11">
      <c r="A453" s="625"/>
      <c r="B453" s="625"/>
      <c r="C453" s="625"/>
      <c r="D453" s="625"/>
      <c r="E453" s="626"/>
      <c r="F453" s="647"/>
      <c r="G453" s="625"/>
      <c r="H453" s="625"/>
      <c r="I453" s="625"/>
      <c r="J453" s="625"/>
      <c r="K453" s="625"/>
    </row>
    <row r="454" ht="20.25" spans="1:11">
      <c r="A454" s="625"/>
      <c r="B454" s="625"/>
      <c r="C454" s="625"/>
      <c r="D454" s="625"/>
      <c r="E454" s="626"/>
      <c r="F454" s="647"/>
      <c r="G454" s="625"/>
      <c r="H454" s="625"/>
      <c r="I454" s="625"/>
      <c r="J454" s="625"/>
      <c r="K454" s="625"/>
    </row>
    <row r="455" ht="20.25" spans="1:11">
      <c r="A455" s="625"/>
      <c r="B455" s="625"/>
      <c r="C455" s="625"/>
      <c r="D455" s="625"/>
      <c r="E455" s="626"/>
      <c r="F455" s="647"/>
      <c r="G455" s="625"/>
      <c r="H455" s="625"/>
      <c r="I455" s="625"/>
      <c r="J455" s="625"/>
      <c r="K455" s="625"/>
    </row>
    <row r="456" ht="20.25" spans="1:11">
      <c r="A456" s="625"/>
      <c r="B456" s="625"/>
      <c r="C456" s="625"/>
      <c r="D456" s="625"/>
      <c r="E456" s="626"/>
      <c r="F456" s="647"/>
      <c r="G456" s="625"/>
      <c r="H456" s="625"/>
      <c r="I456" s="625"/>
      <c r="J456" s="625"/>
      <c r="K456" s="625"/>
    </row>
    <row r="457" ht="20.25" spans="1:11">
      <c r="A457" s="625"/>
      <c r="B457" s="625"/>
      <c r="C457" s="625"/>
      <c r="D457" s="625"/>
      <c r="E457" s="626"/>
      <c r="F457" s="647"/>
      <c r="G457" s="625"/>
      <c r="H457" s="625"/>
      <c r="I457" s="625"/>
      <c r="J457" s="625"/>
      <c r="K457" s="625"/>
    </row>
    <row r="458" ht="20.25" spans="1:11">
      <c r="A458" s="625"/>
      <c r="B458" s="625"/>
      <c r="C458" s="625"/>
      <c r="D458" s="625"/>
      <c r="E458" s="626"/>
      <c r="F458" s="647"/>
      <c r="G458" s="625"/>
      <c r="H458" s="625"/>
      <c r="I458" s="625"/>
      <c r="J458" s="625"/>
      <c r="K458" s="625"/>
    </row>
    <row r="459" ht="20.25" spans="1:11">
      <c r="A459" s="625"/>
      <c r="B459" s="625"/>
      <c r="C459" s="625"/>
      <c r="D459" s="625"/>
      <c r="E459" s="626"/>
      <c r="F459" s="647"/>
      <c r="G459" s="625"/>
      <c r="H459" s="625"/>
      <c r="I459" s="625"/>
      <c r="J459" s="625"/>
      <c r="K459" s="625"/>
    </row>
    <row r="460" ht="20.25" spans="1:11">
      <c r="A460" s="625"/>
      <c r="B460" s="625"/>
      <c r="C460" s="625"/>
      <c r="D460" s="625"/>
      <c r="E460" s="626"/>
      <c r="F460" s="647"/>
      <c r="G460" s="625"/>
      <c r="H460" s="625"/>
      <c r="I460" s="625"/>
      <c r="J460" s="625"/>
      <c r="K460" s="625"/>
    </row>
    <row r="461" ht="20.25" spans="1:11">
      <c r="A461" s="625"/>
      <c r="B461" s="625"/>
      <c r="C461" s="625"/>
      <c r="D461" s="625"/>
      <c r="E461" s="626"/>
      <c r="F461" s="647"/>
      <c r="G461" s="625"/>
      <c r="H461" s="625"/>
      <c r="I461" s="625"/>
      <c r="J461" s="625"/>
      <c r="K461" s="625"/>
    </row>
    <row r="462" ht="20.25" spans="1:11">
      <c r="A462" s="625"/>
      <c r="B462" s="625"/>
      <c r="C462" s="625"/>
      <c r="D462" s="625"/>
      <c r="E462" s="626"/>
      <c r="F462" s="647"/>
      <c r="G462" s="625"/>
      <c r="H462" s="625"/>
      <c r="I462" s="625"/>
      <c r="J462" s="625"/>
      <c r="K462" s="625"/>
    </row>
    <row r="463" ht="20.25" spans="1:11">
      <c r="A463" s="625"/>
      <c r="B463" s="625"/>
      <c r="C463" s="625"/>
      <c r="D463" s="625"/>
      <c r="E463" s="626"/>
      <c r="F463" s="647"/>
      <c r="G463" s="625"/>
      <c r="H463" s="625"/>
      <c r="I463" s="625"/>
      <c r="J463" s="625"/>
      <c r="K463" s="625"/>
    </row>
    <row r="464" ht="20.25" spans="1:11">
      <c r="A464" s="625"/>
      <c r="B464" s="625"/>
      <c r="C464" s="625"/>
      <c r="D464" s="625"/>
      <c r="E464" s="626"/>
      <c r="F464" s="647"/>
      <c r="G464" s="625"/>
      <c r="H464" s="625"/>
      <c r="I464" s="625"/>
      <c r="J464" s="625"/>
      <c r="K464" s="625"/>
    </row>
    <row r="465" ht="20.25" spans="1:11">
      <c r="A465" s="625"/>
      <c r="B465" s="625"/>
      <c r="C465" s="625"/>
      <c r="D465" s="625"/>
      <c r="E465" s="626"/>
      <c r="F465" s="647"/>
      <c r="G465" s="625"/>
      <c r="H465" s="625"/>
      <c r="I465" s="625"/>
      <c r="J465" s="625"/>
      <c r="K465" s="625"/>
    </row>
    <row r="466" ht="20.25" spans="1:11">
      <c r="A466" s="625"/>
      <c r="B466" s="625"/>
      <c r="C466" s="625"/>
      <c r="D466" s="625"/>
      <c r="E466" s="626"/>
      <c r="F466" s="647"/>
      <c r="G466" s="625"/>
      <c r="H466" s="625"/>
      <c r="I466" s="625"/>
      <c r="J466" s="625"/>
      <c r="K466" s="625"/>
    </row>
    <row r="467" ht="20.25" spans="1:11">
      <c r="A467" s="625"/>
      <c r="B467" s="625"/>
      <c r="C467" s="625"/>
      <c r="D467" s="625"/>
      <c r="E467" s="626"/>
      <c r="F467" s="647"/>
      <c r="G467" s="625"/>
      <c r="H467" s="625"/>
      <c r="I467" s="625"/>
      <c r="J467" s="625"/>
      <c r="K467" s="625"/>
    </row>
    <row r="468" ht="20.25" spans="1:11">
      <c r="A468" s="625"/>
      <c r="B468" s="625"/>
      <c r="C468" s="625"/>
      <c r="D468" s="625"/>
      <c r="E468" s="626"/>
      <c r="F468" s="647"/>
      <c r="G468" s="625"/>
      <c r="H468" s="625"/>
      <c r="I468" s="625"/>
      <c r="J468" s="625"/>
      <c r="K468" s="625"/>
    </row>
    <row r="469" ht="20.25" spans="1:11">
      <c r="A469" s="625"/>
      <c r="B469" s="625"/>
      <c r="C469" s="625"/>
      <c r="D469" s="625"/>
      <c r="E469" s="626"/>
      <c r="F469" s="647"/>
      <c r="G469" s="625"/>
      <c r="H469" s="625"/>
      <c r="I469" s="625"/>
      <c r="J469" s="625"/>
      <c r="K469" s="625"/>
    </row>
    <row r="470" ht="20.25" spans="1:11">
      <c r="A470" s="625"/>
      <c r="B470" s="625"/>
      <c r="C470" s="625"/>
      <c r="D470" s="625"/>
      <c r="E470" s="626"/>
      <c r="F470" s="647"/>
      <c r="G470" s="625"/>
      <c r="H470" s="625"/>
      <c r="I470" s="625"/>
      <c r="J470" s="625"/>
      <c r="K470" s="625"/>
    </row>
    <row r="471" ht="20.25" spans="1:11">
      <c r="A471" s="625"/>
      <c r="B471" s="625"/>
      <c r="C471" s="625"/>
      <c r="D471" s="625"/>
      <c r="E471" s="626"/>
      <c r="F471" s="647"/>
      <c r="G471" s="625"/>
      <c r="H471" s="625"/>
      <c r="I471" s="625"/>
      <c r="J471" s="625"/>
      <c r="K471" s="625"/>
    </row>
    <row r="472" ht="20.25" spans="1:11">
      <c r="A472" s="625"/>
      <c r="B472" s="625"/>
      <c r="C472" s="625"/>
      <c r="D472" s="625"/>
      <c r="E472" s="626"/>
      <c r="F472" s="647"/>
      <c r="G472" s="625"/>
      <c r="H472" s="625"/>
      <c r="I472" s="625"/>
      <c r="J472" s="625"/>
      <c r="K472" s="625"/>
    </row>
    <row r="473" ht="20.25" spans="1:11">
      <c r="A473" s="625"/>
      <c r="B473" s="625"/>
      <c r="C473" s="625"/>
      <c r="D473" s="625"/>
      <c r="E473" s="626"/>
      <c r="F473" s="647"/>
      <c r="G473" s="625"/>
      <c r="H473" s="625"/>
      <c r="I473" s="625"/>
      <c r="J473" s="625"/>
      <c r="K473" s="625"/>
    </row>
    <row r="474" ht="20.25" spans="1:11">
      <c r="A474" s="625"/>
      <c r="B474" s="625"/>
      <c r="C474" s="625"/>
      <c r="D474" s="625"/>
      <c r="E474" s="626"/>
      <c r="F474" s="647"/>
      <c r="G474" s="625"/>
      <c r="H474" s="625"/>
      <c r="I474" s="625"/>
      <c r="J474" s="625"/>
      <c r="K474" s="625"/>
    </row>
    <row r="475" ht="20.25" spans="1:11">
      <c r="A475" s="625"/>
      <c r="B475" s="625"/>
      <c r="C475" s="625"/>
      <c r="D475" s="625"/>
      <c r="E475" s="626"/>
      <c r="F475" s="647"/>
      <c r="G475" s="625"/>
      <c r="H475" s="625"/>
      <c r="I475" s="625"/>
      <c r="J475" s="625"/>
      <c r="K475" s="625"/>
    </row>
    <row r="476" ht="20.25" spans="1:11">
      <c r="A476" s="625"/>
      <c r="B476" s="625"/>
      <c r="C476" s="625"/>
      <c r="D476" s="625"/>
      <c r="E476" s="626"/>
      <c r="F476" s="647"/>
      <c r="G476" s="625"/>
      <c r="H476" s="625"/>
      <c r="I476" s="625"/>
      <c r="J476" s="625"/>
      <c r="K476" s="625"/>
    </row>
    <row r="477" ht="20.25" spans="1:11">
      <c r="A477" s="625"/>
      <c r="B477" s="625"/>
      <c r="C477" s="625"/>
      <c r="D477" s="625"/>
      <c r="E477" s="626"/>
      <c r="F477" s="647"/>
      <c r="G477" s="625"/>
      <c r="H477" s="625"/>
      <c r="I477" s="625"/>
      <c r="J477" s="625"/>
      <c r="K477" s="625"/>
    </row>
    <row r="478" ht="20.25" spans="1:11">
      <c r="A478" s="625"/>
      <c r="B478" s="625"/>
      <c r="C478" s="625"/>
      <c r="D478" s="625"/>
      <c r="E478" s="626"/>
      <c r="F478" s="647"/>
      <c r="G478" s="625"/>
      <c r="H478" s="625"/>
      <c r="I478" s="625"/>
      <c r="J478" s="625"/>
      <c r="K478" s="625"/>
    </row>
    <row r="479" ht="20.25" spans="1:11">
      <c r="A479" s="625"/>
      <c r="B479" s="625"/>
      <c r="C479" s="625"/>
      <c r="D479" s="625"/>
      <c r="E479" s="626"/>
      <c r="F479" s="647"/>
      <c r="G479" s="625"/>
      <c r="H479" s="625"/>
      <c r="I479" s="625"/>
      <c r="J479" s="625"/>
      <c r="K479" s="625"/>
    </row>
    <row r="480" ht="20.25" spans="1:11">
      <c r="A480" s="625"/>
      <c r="B480" s="625"/>
      <c r="C480" s="625"/>
      <c r="D480" s="625"/>
      <c r="E480" s="626"/>
      <c r="F480" s="647"/>
      <c r="G480" s="625"/>
      <c r="H480" s="625"/>
      <c r="I480" s="625"/>
      <c r="J480" s="625"/>
      <c r="K480" s="625"/>
    </row>
    <row r="481" ht="20.25" spans="1:11">
      <c r="A481" s="625"/>
      <c r="B481" s="625"/>
      <c r="C481" s="625"/>
      <c r="D481" s="625"/>
      <c r="E481" s="626"/>
      <c r="F481" s="647"/>
      <c r="G481" s="625"/>
      <c r="H481" s="625"/>
      <c r="I481" s="625"/>
      <c r="J481" s="625"/>
      <c r="K481" s="625"/>
    </row>
    <row r="482" ht="20.25" spans="1:11">
      <c r="A482" s="625"/>
      <c r="B482" s="625"/>
      <c r="C482" s="625"/>
      <c r="D482" s="625"/>
      <c r="E482" s="626"/>
      <c r="F482" s="647"/>
      <c r="G482" s="625"/>
      <c r="H482" s="625"/>
      <c r="I482" s="625"/>
      <c r="J482" s="625"/>
      <c r="K482" s="625"/>
    </row>
    <row r="483" ht="20.25" spans="1:11">
      <c r="A483" s="625"/>
      <c r="B483" s="625"/>
      <c r="C483" s="625"/>
      <c r="D483" s="625"/>
      <c r="E483" s="626"/>
      <c r="F483" s="647"/>
      <c r="G483" s="625"/>
      <c r="H483" s="625"/>
      <c r="I483" s="625"/>
      <c r="J483" s="625"/>
      <c r="K483" s="625"/>
    </row>
    <row r="484" ht="20.25" spans="1:11">
      <c r="A484" s="625"/>
      <c r="B484" s="625"/>
      <c r="C484" s="625"/>
      <c r="D484" s="625"/>
      <c r="E484" s="626"/>
      <c r="F484" s="647"/>
      <c r="G484" s="625"/>
      <c r="H484" s="625"/>
      <c r="I484" s="625"/>
      <c r="J484" s="625"/>
      <c r="K484" s="625"/>
    </row>
    <row r="485" ht="20.25" spans="1:11">
      <c r="A485" s="625"/>
      <c r="B485" s="625"/>
      <c r="C485" s="625"/>
      <c r="D485" s="625"/>
      <c r="E485" s="626"/>
      <c r="F485" s="647"/>
      <c r="G485" s="625"/>
      <c r="H485" s="625"/>
      <c r="I485" s="625"/>
      <c r="J485" s="625"/>
      <c r="K485" s="625"/>
    </row>
    <row r="486" ht="20.25" spans="1:11">
      <c r="A486" s="625"/>
      <c r="B486" s="625"/>
      <c r="C486" s="625"/>
      <c r="D486" s="625"/>
      <c r="E486" s="626"/>
      <c r="F486" s="647"/>
      <c r="G486" s="625"/>
      <c r="H486" s="625"/>
      <c r="I486" s="625"/>
      <c r="J486" s="625"/>
      <c r="K486" s="625"/>
    </row>
    <row r="487" ht="20.25" spans="1:11">
      <c r="A487" s="625"/>
      <c r="B487" s="625"/>
      <c r="C487" s="625"/>
      <c r="D487" s="625"/>
      <c r="E487" s="626"/>
      <c r="F487" s="647"/>
      <c r="G487" s="625"/>
      <c r="H487" s="625"/>
      <c r="I487" s="625"/>
      <c r="J487" s="625"/>
      <c r="K487" s="625"/>
    </row>
    <row r="488" ht="20.25" spans="1:11">
      <c r="A488" s="625"/>
      <c r="B488" s="625"/>
      <c r="C488" s="625"/>
      <c r="D488" s="625"/>
      <c r="E488" s="626"/>
      <c r="F488" s="647"/>
      <c r="G488" s="625"/>
      <c r="H488" s="625"/>
      <c r="I488" s="625"/>
      <c r="J488" s="625"/>
      <c r="K488" s="625"/>
    </row>
    <row r="489" ht="20.25" spans="1:11">
      <c r="A489" s="625"/>
      <c r="B489" s="625"/>
      <c r="C489" s="625"/>
      <c r="D489" s="625"/>
      <c r="E489" s="626"/>
      <c r="F489" s="647"/>
      <c r="G489" s="625"/>
      <c r="H489" s="625"/>
      <c r="I489" s="625"/>
      <c r="J489" s="625"/>
      <c r="K489" s="625"/>
    </row>
    <row r="490" ht="20.25" spans="1:11">
      <c r="A490" s="625"/>
      <c r="B490" s="625"/>
      <c r="C490" s="625"/>
      <c r="D490" s="625"/>
      <c r="E490" s="626"/>
      <c r="F490" s="647"/>
      <c r="G490" s="625"/>
      <c r="H490" s="625"/>
      <c r="I490" s="625"/>
      <c r="J490" s="625"/>
      <c r="K490" s="625"/>
    </row>
    <row r="491" ht="20.25" spans="1:11">
      <c r="A491" s="625"/>
      <c r="B491" s="625"/>
      <c r="C491" s="625"/>
      <c r="D491" s="625"/>
      <c r="E491" s="626"/>
      <c r="F491" s="647"/>
      <c r="G491" s="625"/>
      <c r="H491" s="625"/>
      <c r="I491" s="625"/>
      <c r="J491" s="625"/>
      <c r="K491" s="625"/>
    </row>
    <row r="492" ht="20.25" spans="1:11">
      <c r="A492" s="625"/>
      <c r="B492" s="625"/>
      <c r="C492" s="625"/>
      <c r="D492" s="625"/>
      <c r="E492" s="626"/>
      <c r="F492" s="647"/>
      <c r="G492" s="625"/>
      <c r="H492" s="625"/>
      <c r="I492" s="625"/>
      <c r="J492" s="625"/>
      <c r="K492" s="625"/>
    </row>
    <row r="493" ht="20.25" spans="1:11">
      <c r="A493" s="625"/>
      <c r="B493" s="625"/>
      <c r="C493" s="625"/>
      <c r="D493" s="625"/>
      <c r="E493" s="626"/>
      <c r="F493" s="647"/>
      <c r="G493" s="625"/>
      <c r="H493" s="625"/>
      <c r="I493" s="625"/>
      <c r="J493" s="625"/>
      <c r="K493" s="625"/>
    </row>
    <row r="494" ht="20.25" spans="1:11">
      <c r="A494" s="625"/>
      <c r="B494" s="625"/>
      <c r="C494" s="625"/>
      <c r="D494" s="625"/>
      <c r="E494" s="626"/>
      <c r="F494" s="647"/>
      <c r="G494" s="625"/>
      <c r="H494" s="625"/>
      <c r="I494" s="625"/>
      <c r="J494" s="625"/>
      <c r="K494" s="625"/>
    </row>
    <row r="495" ht="20.25" spans="1:11">
      <c r="A495" s="625"/>
      <c r="B495" s="625"/>
      <c r="C495" s="625"/>
      <c r="D495" s="625"/>
      <c r="E495" s="626"/>
      <c r="F495" s="647"/>
      <c r="G495" s="625"/>
      <c r="H495" s="625"/>
      <c r="I495" s="625"/>
      <c r="J495" s="625"/>
      <c r="K495" s="625"/>
    </row>
    <row r="496" ht="20.25" spans="1:11">
      <c r="A496" s="625"/>
      <c r="B496" s="625"/>
      <c r="C496" s="625"/>
      <c r="D496" s="625"/>
      <c r="E496" s="626"/>
      <c r="F496" s="647"/>
      <c r="G496" s="625"/>
      <c r="H496" s="625"/>
      <c r="I496" s="625"/>
      <c r="J496" s="625"/>
      <c r="K496" s="625"/>
    </row>
    <row r="497" ht="20.25" spans="1:11">
      <c r="A497" s="625"/>
      <c r="B497" s="625"/>
      <c r="C497" s="625"/>
      <c r="D497" s="625"/>
      <c r="E497" s="626"/>
      <c r="F497" s="647"/>
      <c r="G497" s="625"/>
      <c r="H497" s="625"/>
      <c r="I497" s="625"/>
      <c r="J497" s="625"/>
      <c r="K497" s="625"/>
    </row>
    <row r="498" ht="20.25" spans="1:11">
      <c r="A498" s="625"/>
      <c r="B498" s="625"/>
      <c r="C498" s="625"/>
      <c r="D498" s="625"/>
      <c r="E498" s="626"/>
      <c r="F498" s="647"/>
      <c r="G498" s="625"/>
      <c r="H498" s="625"/>
      <c r="I498" s="625"/>
      <c r="J498" s="625"/>
      <c r="K498" s="625"/>
    </row>
    <row r="499" ht="20.25" spans="1:11">
      <c r="A499" s="625"/>
      <c r="B499" s="625"/>
      <c r="C499" s="625"/>
      <c r="D499" s="625"/>
      <c r="E499" s="626"/>
      <c r="F499" s="647"/>
      <c r="G499" s="625"/>
      <c r="H499" s="625"/>
      <c r="I499" s="625"/>
      <c r="J499" s="625"/>
      <c r="K499" s="625"/>
    </row>
    <row r="500" ht="20.25" spans="1:11">
      <c r="A500" s="625"/>
      <c r="B500" s="625"/>
      <c r="C500" s="625"/>
      <c r="D500" s="625"/>
      <c r="E500" s="626"/>
      <c r="F500" s="647"/>
      <c r="G500" s="625"/>
      <c r="H500" s="625"/>
      <c r="I500" s="625"/>
      <c r="J500" s="625"/>
      <c r="K500" s="625"/>
    </row>
    <row r="501" ht="20.25" spans="1:11">
      <c r="A501" s="625"/>
      <c r="B501" s="625"/>
      <c r="C501" s="625"/>
      <c r="D501" s="625"/>
      <c r="E501" s="626"/>
      <c r="F501" s="647"/>
      <c r="G501" s="625"/>
      <c r="H501" s="625"/>
      <c r="I501" s="625"/>
      <c r="J501" s="625"/>
      <c r="K501" s="625"/>
    </row>
    <row r="502" ht="20.25" spans="1:11">
      <c r="A502" s="625"/>
      <c r="B502" s="625"/>
      <c r="C502" s="625"/>
      <c r="D502" s="625"/>
      <c r="E502" s="626"/>
      <c r="F502" s="647"/>
      <c r="G502" s="625"/>
      <c r="H502" s="625"/>
      <c r="I502" s="625"/>
      <c r="J502" s="625"/>
      <c r="K502" s="625"/>
    </row>
    <row r="503" ht="20.25" spans="1:11">
      <c r="A503" s="625"/>
      <c r="B503" s="625"/>
      <c r="C503" s="625"/>
      <c r="D503" s="625"/>
      <c r="E503" s="626"/>
      <c r="F503" s="647"/>
      <c r="G503" s="625"/>
      <c r="H503" s="625"/>
      <c r="I503" s="625"/>
      <c r="J503" s="625"/>
      <c r="K503" s="625"/>
    </row>
    <row r="504" ht="20.25" spans="1:11">
      <c r="A504" s="625"/>
      <c r="B504" s="625"/>
      <c r="C504" s="625"/>
      <c r="D504" s="625"/>
      <c r="E504" s="626"/>
      <c r="F504" s="647"/>
      <c r="G504" s="625"/>
      <c r="H504" s="625"/>
      <c r="I504" s="625"/>
      <c r="J504" s="625"/>
      <c r="K504" s="625"/>
    </row>
    <row r="505" ht="20.25" spans="1:11">
      <c r="A505" s="625"/>
      <c r="B505" s="625"/>
      <c r="C505" s="625"/>
      <c r="D505" s="625"/>
      <c r="E505" s="626"/>
      <c r="F505" s="647"/>
      <c r="G505" s="625"/>
      <c r="H505" s="625"/>
      <c r="I505" s="625"/>
      <c r="J505" s="625"/>
      <c r="K505" s="625"/>
    </row>
    <row r="506" ht="20.25" spans="1:11">
      <c r="A506" s="625"/>
      <c r="B506" s="625"/>
      <c r="C506" s="625"/>
      <c r="D506" s="625"/>
      <c r="E506" s="626"/>
      <c r="F506" s="647"/>
      <c r="G506" s="625"/>
      <c r="H506" s="625"/>
      <c r="I506" s="625"/>
      <c r="J506" s="625"/>
      <c r="K506" s="625"/>
    </row>
    <row r="507" ht="20.25" spans="1:11">
      <c r="A507" s="625"/>
      <c r="B507" s="625"/>
      <c r="C507" s="625"/>
      <c r="D507" s="625"/>
      <c r="E507" s="626"/>
      <c r="F507" s="647"/>
      <c r="G507" s="625"/>
      <c r="H507" s="625"/>
      <c r="I507" s="625"/>
      <c r="J507" s="625"/>
      <c r="K507" s="625"/>
    </row>
    <row r="508" ht="20.25" spans="1:11">
      <c r="A508" s="625"/>
      <c r="B508" s="625"/>
      <c r="C508" s="625"/>
      <c r="D508" s="625"/>
      <c r="E508" s="626"/>
      <c r="F508" s="647"/>
      <c r="G508" s="625"/>
      <c r="H508" s="625"/>
      <c r="I508" s="625"/>
      <c r="J508" s="625"/>
      <c r="K508" s="625"/>
    </row>
    <row r="509" ht="20.25" spans="1:11">
      <c r="A509" s="625"/>
      <c r="B509" s="625"/>
      <c r="C509" s="625"/>
      <c r="D509" s="625"/>
      <c r="E509" s="626"/>
      <c r="F509" s="647"/>
      <c r="G509" s="625"/>
      <c r="H509" s="625"/>
      <c r="I509" s="625"/>
      <c r="J509" s="625"/>
      <c r="K509" s="625"/>
    </row>
    <row r="510" ht="20.25" spans="1:11">
      <c r="A510" s="625"/>
      <c r="B510" s="625"/>
      <c r="C510" s="625"/>
      <c r="D510" s="625"/>
      <c r="E510" s="626"/>
      <c r="F510" s="647"/>
      <c r="G510" s="625"/>
      <c r="H510" s="625"/>
      <c r="I510" s="625"/>
      <c r="J510" s="625"/>
      <c r="K510" s="625"/>
    </row>
    <row r="511" ht="20.25" spans="1:11">
      <c r="A511" s="625"/>
      <c r="B511" s="625"/>
      <c r="C511" s="625"/>
      <c r="D511" s="625"/>
      <c r="E511" s="626"/>
      <c r="F511" s="647"/>
      <c r="G511" s="625"/>
      <c r="H511" s="625"/>
      <c r="I511" s="625"/>
      <c r="J511" s="625"/>
      <c r="K511" s="625"/>
    </row>
    <row r="512" ht="20.25" spans="1:11">
      <c r="A512" s="625"/>
      <c r="B512" s="625"/>
      <c r="C512" s="625"/>
      <c r="D512" s="625"/>
      <c r="E512" s="626"/>
      <c r="F512" s="647"/>
      <c r="G512" s="625"/>
      <c r="H512" s="625"/>
      <c r="I512" s="625"/>
      <c r="J512" s="625"/>
      <c r="K512" s="625"/>
    </row>
    <row r="513" ht="20.25" spans="1:11">
      <c r="A513" s="625"/>
      <c r="B513" s="625"/>
      <c r="C513" s="625"/>
      <c r="D513" s="625"/>
      <c r="E513" s="626"/>
      <c r="F513" s="647"/>
      <c r="G513" s="625"/>
      <c r="H513" s="625"/>
      <c r="I513" s="625"/>
      <c r="J513" s="625"/>
      <c r="K513" s="625"/>
    </row>
    <row r="514" ht="20.25" spans="1:11">
      <c r="A514" s="625"/>
      <c r="B514" s="625"/>
      <c r="C514" s="625"/>
      <c r="D514" s="625"/>
      <c r="E514" s="626"/>
      <c r="F514" s="647"/>
      <c r="G514" s="625"/>
      <c r="H514" s="625"/>
      <c r="I514" s="625"/>
      <c r="J514" s="625"/>
      <c r="K514" s="625"/>
    </row>
    <row r="515" ht="20.25" spans="1:11">
      <c r="A515" s="625"/>
      <c r="B515" s="625"/>
      <c r="C515" s="625"/>
      <c r="D515" s="625"/>
      <c r="E515" s="626"/>
      <c r="F515" s="647"/>
      <c r="G515" s="625"/>
      <c r="H515" s="625"/>
      <c r="I515" s="625"/>
      <c r="J515" s="625"/>
      <c r="K515" s="625"/>
    </row>
    <row r="516" ht="20.25" spans="1:11">
      <c r="A516" s="625"/>
      <c r="B516" s="625"/>
      <c r="C516" s="625"/>
      <c r="D516" s="625"/>
      <c r="E516" s="626"/>
      <c r="F516" s="647"/>
      <c r="G516" s="625"/>
      <c r="H516" s="625"/>
      <c r="I516" s="625"/>
      <c r="J516" s="625"/>
      <c r="K516" s="625"/>
    </row>
    <row r="517" ht="20.25" spans="1:11">
      <c r="A517" s="625"/>
      <c r="B517" s="625"/>
      <c r="C517" s="625"/>
      <c r="D517" s="625"/>
      <c r="E517" s="626"/>
      <c r="F517" s="647"/>
      <c r="G517" s="625"/>
      <c r="H517" s="625"/>
      <c r="I517" s="625"/>
      <c r="J517" s="625"/>
      <c r="K517" s="625"/>
    </row>
    <row r="518" ht="20.25" spans="1:11">
      <c r="A518" s="625"/>
      <c r="B518" s="625"/>
      <c r="C518" s="625"/>
      <c r="D518" s="625"/>
      <c r="E518" s="626"/>
      <c r="F518" s="647"/>
      <c r="G518" s="625"/>
      <c r="H518" s="625"/>
      <c r="I518" s="625"/>
      <c r="J518" s="625"/>
      <c r="K518" s="625"/>
    </row>
    <row r="519" ht="20.25" spans="1:11">
      <c r="A519" s="625"/>
      <c r="B519" s="625"/>
      <c r="C519" s="625"/>
      <c r="D519" s="625"/>
      <c r="E519" s="626"/>
      <c r="F519" s="647"/>
      <c r="G519" s="625"/>
      <c r="H519" s="625"/>
      <c r="I519" s="625"/>
      <c r="J519" s="625"/>
      <c r="K519" s="625"/>
    </row>
    <row r="520" ht="20.25" spans="1:11">
      <c r="A520" s="625"/>
      <c r="B520" s="625"/>
      <c r="C520" s="625"/>
      <c r="D520" s="625"/>
      <c r="E520" s="626"/>
      <c r="F520" s="647"/>
      <c r="G520" s="625"/>
      <c r="H520" s="625"/>
      <c r="I520" s="625"/>
      <c r="J520" s="625"/>
      <c r="K520" s="625"/>
    </row>
    <row r="521" ht="20.25" spans="1:11">
      <c r="A521" s="625"/>
      <c r="B521" s="625"/>
      <c r="C521" s="625"/>
      <c r="D521" s="625"/>
      <c r="E521" s="626"/>
      <c r="F521" s="647"/>
      <c r="G521" s="625"/>
      <c r="H521" s="625"/>
      <c r="I521" s="625"/>
      <c r="J521" s="625"/>
      <c r="K521" s="625"/>
    </row>
    <row r="522" ht="20.25" spans="1:11">
      <c r="A522" s="625"/>
      <c r="B522" s="625"/>
      <c r="C522" s="625"/>
      <c r="D522" s="625"/>
      <c r="E522" s="626"/>
      <c r="F522" s="647"/>
      <c r="G522" s="625"/>
      <c r="H522" s="625"/>
      <c r="I522" s="625"/>
      <c r="J522" s="625"/>
      <c r="K522" s="625"/>
    </row>
    <row r="523" ht="20.25" spans="1:11">
      <c r="A523" s="625"/>
      <c r="B523" s="625"/>
      <c r="C523" s="625"/>
      <c r="D523" s="625"/>
      <c r="E523" s="626"/>
      <c r="F523" s="647"/>
      <c r="G523" s="625"/>
      <c r="H523" s="625"/>
      <c r="I523" s="625"/>
      <c r="J523" s="625"/>
      <c r="K523" s="625"/>
    </row>
    <row r="524" ht="20.25" spans="1:11">
      <c r="A524" s="625"/>
      <c r="B524" s="625"/>
      <c r="C524" s="625"/>
      <c r="D524" s="625"/>
      <c r="E524" s="626"/>
      <c r="F524" s="647"/>
      <c r="G524" s="625"/>
      <c r="H524" s="625"/>
      <c r="I524" s="625"/>
      <c r="J524" s="625"/>
      <c r="K524" s="625"/>
    </row>
    <row r="525" ht="20.25" spans="1:11">
      <c r="A525" s="625"/>
      <c r="B525" s="625"/>
      <c r="C525" s="625"/>
      <c r="D525" s="625"/>
      <c r="E525" s="626"/>
      <c r="F525" s="647"/>
      <c r="G525" s="625"/>
      <c r="H525" s="625"/>
      <c r="I525" s="625"/>
      <c r="J525" s="625"/>
      <c r="K525" s="625"/>
    </row>
    <row r="526" ht="20.25" spans="1:11">
      <c r="A526" s="625"/>
      <c r="B526" s="625"/>
      <c r="C526" s="625"/>
      <c r="D526" s="625"/>
      <c r="E526" s="626"/>
      <c r="F526" s="647"/>
      <c r="G526" s="625"/>
      <c r="H526" s="625"/>
      <c r="I526" s="625"/>
      <c r="J526" s="625"/>
      <c r="K526" s="625"/>
    </row>
    <row r="527" ht="20.25" spans="1:11">
      <c r="A527" s="625"/>
      <c r="B527" s="625"/>
      <c r="C527" s="625"/>
      <c r="D527" s="625"/>
      <c r="E527" s="626"/>
      <c r="F527" s="647"/>
      <c r="G527" s="625"/>
      <c r="H527" s="625"/>
      <c r="I527" s="625"/>
      <c r="J527" s="625"/>
      <c r="K527" s="625"/>
    </row>
    <row r="528" ht="20.25" spans="1:11">
      <c r="A528" s="625"/>
      <c r="B528" s="625"/>
      <c r="C528" s="625"/>
      <c r="D528" s="625"/>
      <c r="E528" s="626"/>
      <c r="F528" s="647"/>
      <c r="G528" s="625"/>
      <c r="H528" s="625"/>
      <c r="I528" s="625"/>
      <c r="J528" s="625"/>
      <c r="K528" s="625"/>
    </row>
    <row r="529" ht="20.25" spans="1:11">
      <c r="A529" s="625"/>
      <c r="B529" s="625"/>
      <c r="C529" s="625"/>
      <c r="D529" s="625"/>
      <c r="E529" s="626"/>
      <c r="F529" s="647"/>
      <c r="G529" s="625"/>
      <c r="H529" s="625"/>
      <c r="I529" s="625"/>
      <c r="J529" s="625"/>
      <c r="K529" s="625"/>
    </row>
    <row r="530" ht="20.25" spans="1:11">
      <c r="A530" s="625"/>
      <c r="B530" s="625"/>
      <c r="C530" s="625"/>
      <c r="D530" s="625"/>
      <c r="E530" s="626"/>
      <c r="F530" s="647"/>
      <c r="G530" s="625"/>
      <c r="H530" s="625"/>
      <c r="I530" s="625"/>
      <c r="J530" s="625"/>
      <c r="K530" s="625"/>
    </row>
    <row r="531" ht="20.25" spans="1:11">
      <c r="A531" s="625"/>
      <c r="B531" s="625"/>
      <c r="C531" s="625"/>
      <c r="D531" s="625"/>
      <c r="E531" s="626"/>
      <c r="F531" s="647"/>
      <c r="G531" s="625"/>
      <c r="H531" s="625"/>
      <c r="I531" s="625"/>
      <c r="J531" s="625"/>
      <c r="K531" s="625"/>
    </row>
    <row r="532" ht="20.25" spans="1:11">
      <c r="A532" s="625"/>
      <c r="B532" s="625"/>
      <c r="C532" s="625"/>
      <c r="D532" s="625"/>
      <c r="E532" s="626"/>
      <c r="F532" s="647"/>
      <c r="G532" s="625"/>
      <c r="H532" s="625"/>
      <c r="I532" s="625"/>
      <c r="J532" s="625"/>
      <c r="K532" s="625"/>
    </row>
    <row r="533" ht="20.25" spans="1:11">
      <c r="A533" s="625"/>
      <c r="B533" s="625"/>
      <c r="C533" s="625"/>
      <c r="D533" s="625"/>
      <c r="E533" s="626"/>
      <c r="F533" s="647"/>
      <c r="G533" s="625"/>
      <c r="H533" s="625"/>
      <c r="I533" s="625"/>
      <c r="J533" s="625"/>
      <c r="K533" s="625"/>
    </row>
    <row r="534" ht="20.25" spans="1:11">
      <c r="A534" s="625"/>
      <c r="B534" s="625"/>
      <c r="C534" s="625"/>
      <c r="D534" s="625"/>
      <c r="E534" s="626"/>
      <c r="F534" s="647"/>
      <c r="G534" s="625"/>
      <c r="H534" s="625"/>
      <c r="I534" s="625"/>
      <c r="J534" s="625"/>
      <c r="K534" s="625"/>
    </row>
    <row r="535" ht="20.25" spans="1:11">
      <c r="A535" s="625"/>
      <c r="B535" s="625"/>
      <c r="C535" s="625"/>
      <c r="D535" s="625"/>
      <c r="E535" s="626"/>
      <c r="F535" s="647"/>
      <c r="G535" s="625"/>
      <c r="H535" s="625"/>
      <c r="I535" s="625"/>
      <c r="J535" s="625"/>
      <c r="K535" s="625"/>
    </row>
    <row r="536" ht="20.25" spans="1:11">
      <c r="A536" s="625"/>
      <c r="B536" s="625"/>
      <c r="C536" s="625"/>
      <c r="D536" s="625"/>
      <c r="E536" s="626"/>
      <c r="F536" s="647"/>
      <c r="G536" s="625"/>
      <c r="H536" s="625"/>
      <c r="I536" s="625"/>
      <c r="J536" s="625"/>
      <c r="K536" s="625"/>
    </row>
    <row r="537" ht="20.25" spans="1:11">
      <c r="A537" s="625"/>
      <c r="B537" s="625"/>
      <c r="C537" s="625"/>
      <c r="D537" s="625"/>
      <c r="E537" s="626"/>
      <c r="F537" s="647"/>
      <c r="G537" s="625"/>
      <c r="H537" s="625"/>
      <c r="I537" s="625"/>
      <c r="J537" s="625"/>
      <c r="K537" s="625"/>
    </row>
    <row r="538" ht="20.25" spans="1:11">
      <c r="A538" s="625"/>
      <c r="B538" s="625"/>
      <c r="C538" s="625"/>
      <c r="D538" s="625"/>
      <c r="E538" s="626"/>
      <c r="F538" s="647"/>
      <c r="G538" s="625"/>
      <c r="H538" s="625"/>
      <c r="I538" s="625"/>
      <c r="J538" s="625"/>
      <c r="K538" s="625"/>
    </row>
    <row r="539" ht="20.25" spans="1:11">
      <c r="A539" s="625"/>
      <c r="B539" s="625"/>
      <c r="C539" s="625"/>
      <c r="D539" s="625"/>
      <c r="E539" s="626"/>
      <c r="F539" s="647"/>
      <c r="G539" s="625"/>
      <c r="H539" s="625"/>
      <c r="I539" s="625"/>
      <c r="J539" s="625"/>
      <c r="K539" s="625"/>
    </row>
    <row r="540" ht="20.25" spans="1:11">
      <c r="A540" s="625"/>
      <c r="B540" s="625"/>
      <c r="C540" s="625"/>
      <c r="D540" s="625"/>
      <c r="E540" s="626"/>
      <c r="F540" s="647"/>
      <c r="G540" s="625"/>
      <c r="H540" s="625"/>
      <c r="I540" s="625"/>
      <c r="J540" s="625"/>
      <c r="K540" s="625"/>
    </row>
    <row r="541" ht="20.25" spans="1:11">
      <c r="A541" s="625"/>
      <c r="B541" s="625"/>
      <c r="C541" s="625"/>
      <c r="D541" s="625"/>
      <c r="E541" s="626"/>
      <c r="F541" s="647"/>
      <c r="G541" s="625"/>
      <c r="H541" s="625"/>
      <c r="I541" s="625"/>
      <c r="J541" s="625"/>
      <c r="K541" s="625"/>
    </row>
    <row r="542" ht="20.25" spans="1:11">
      <c r="A542" s="625"/>
      <c r="B542" s="625"/>
      <c r="C542" s="625"/>
      <c r="D542" s="625"/>
      <c r="E542" s="626"/>
      <c r="F542" s="647"/>
      <c r="G542" s="625"/>
      <c r="H542" s="625"/>
      <c r="I542" s="625"/>
      <c r="J542" s="625"/>
      <c r="K542" s="625"/>
    </row>
    <row r="543" ht="20.25" spans="1:11">
      <c r="A543" s="625"/>
      <c r="B543" s="625"/>
      <c r="C543" s="625"/>
      <c r="D543" s="625"/>
      <c r="E543" s="626"/>
      <c r="F543" s="647"/>
      <c r="G543" s="625"/>
      <c r="H543" s="625"/>
      <c r="I543" s="625"/>
      <c r="J543" s="625"/>
      <c r="K543" s="625"/>
    </row>
    <row r="544" ht="20.25" spans="1:11">
      <c r="A544" s="625"/>
      <c r="B544" s="625"/>
      <c r="C544" s="625"/>
      <c r="D544" s="625"/>
      <c r="E544" s="626"/>
      <c r="F544" s="647"/>
      <c r="G544" s="625"/>
      <c r="H544" s="625"/>
      <c r="I544" s="625"/>
      <c r="J544" s="625"/>
      <c r="K544" s="625"/>
    </row>
    <row r="545" ht="20.25" spans="1:11">
      <c r="A545" s="625"/>
      <c r="B545" s="625"/>
      <c r="C545" s="625"/>
      <c r="D545" s="625"/>
      <c r="E545" s="626"/>
      <c r="F545" s="647"/>
      <c r="G545" s="625"/>
      <c r="H545" s="625"/>
      <c r="I545" s="625"/>
      <c r="J545" s="625"/>
      <c r="K545" s="625"/>
    </row>
    <row r="546" ht="20.25" spans="1:11">
      <c r="A546" s="625"/>
      <c r="B546" s="625"/>
      <c r="C546" s="625"/>
      <c r="D546" s="625"/>
      <c r="E546" s="626"/>
      <c r="F546" s="647"/>
      <c r="G546" s="625"/>
      <c r="H546" s="625"/>
      <c r="I546" s="625"/>
      <c r="J546" s="625"/>
      <c r="K546" s="625"/>
    </row>
    <row r="547" ht="20.25" spans="1:11">
      <c r="A547" s="625"/>
      <c r="B547" s="625"/>
      <c r="C547" s="625"/>
      <c r="D547" s="625"/>
      <c r="E547" s="626"/>
      <c r="F547" s="647"/>
      <c r="G547" s="625"/>
      <c r="H547" s="625"/>
      <c r="I547" s="625"/>
      <c r="J547" s="625"/>
      <c r="K547" s="625"/>
    </row>
    <row r="548" ht="20.25" spans="1:11">
      <c r="A548" s="625"/>
      <c r="B548" s="625"/>
      <c r="C548" s="625"/>
      <c r="D548" s="625"/>
      <c r="E548" s="626"/>
      <c r="F548" s="647"/>
      <c r="G548" s="625"/>
      <c r="H548" s="625"/>
      <c r="I548" s="625"/>
      <c r="J548" s="625"/>
      <c r="K548" s="625"/>
    </row>
    <row r="549" ht="20.25" spans="1:11">
      <c r="A549" s="625"/>
      <c r="B549" s="625"/>
      <c r="C549" s="625"/>
      <c r="D549" s="625"/>
      <c r="E549" s="626"/>
      <c r="F549" s="647"/>
      <c r="G549" s="625"/>
      <c r="H549" s="625"/>
      <c r="I549" s="625"/>
      <c r="J549" s="625"/>
      <c r="K549" s="625"/>
    </row>
    <row r="550" ht="20.25" spans="1:11">
      <c r="A550" s="625"/>
      <c r="B550" s="625"/>
      <c r="C550" s="625"/>
      <c r="D550" s="625"/>
      <c r="E550" s="626"/>
      <c r="F550" s="647"/>
      <c r="G550" s="625"/>
      <c r="H550" s="625"/>
      <c r="I550" s="625"/>
      <c r="J550" s="625"/>
      <c r="K550" s="625"/>
    </row>
    <row r="551" ht="20.25" spans="1:11">
      <c r="A551" s="625"/>
      <c r="B551" s="625"/>
      <c r="C551" s="625"/>
      <c r="D551" s="625"/>
      <c r="E551" s="626"/>
      <c r="F551" s="647"/>
      <c r="G551" s="625"/>
      <c r="H551" s="625"/>
      <c r="I551" s="625"/>
      <c r="J551" s="625"/>
      <c r="K551" s="625"/>
    </row>
    <row r="552" ht="20.25" spans="1:11">
      <c r="A552" s="625"/>
      <c r="B552" s="625"/>
      <c r="C552" s="625"/>
      <c r="D552" s="625"/>
      <c r="E552" s="626"/>
      <c r="F552" s="647"/>
      <c r="G552" s="625"/>
      <c r="H552" s="625"/>
      <c r="I552" s="625"/>
      <c r="J552" s="625"/>
      <c r="K552" s="625"/>
    </row>
    <row r="553" ht="20.25" spans="1:11">
      <c r="A553" s="625"/>
      <c r="B553" s="625"/>
      <c r="C553" s="625"/>
      <c r="D553" s="625"/>
      <c r="E553" s="626"/>
      <c r="F553" s="647"/>
      <c r="G553" s="625"/>
      <c r="H553" s="625"/>
      <c r="I553" s="625"/>
      <c r="J553" s="625"/>
      <c r="K553" s="625"/>
    </row>
    <row r="554" ht="20.25" spans="1:11">
      <c r="A554" s="625"/>
      <c r="B554" s="625"/>
      <c r="C554" s="625"/>
      <c r="D554" s="625"/>
      <c r="E554" s="626"/>
      <c r="F554" s="647"/>
      <c r="G554" s="625"/>
      <c r="H554" s="625"/>
      <c r="I554" s="625"/>
      <c r="J554" s="625"/>
      <c r="K554" s="625"/>
    </row>
    <row r="555" ht="20.25" spans="1:11">
      <c r="A555" s="625"/>
      <c r="B555" s="625"/>
      <c r="C555" s="625"/>
      <c r="D555" s="625"/>
      <c r="E555" s="626"/>
      <c r="F555" s="647"/>
      <c r="G555" s="625"/>
      <c r="H555" s="625"/>
      <c r="I555" s="625"/>
      <c r="J555" s="625"/>
      <c r="K555" s="625"/>
    </row>
    <row r="556" ht="20.25" spans="1:11">
      <c r="A556" s="625"/>
      <c r="B556" s="625"/>
      <c r="C556" s="625"/>
      <c r="D556" s="625"/>
      <c r="E556" s="626"/>
      <c r="F556" s="647"/>
      <c r="G556" s="625"/>
      <c r="H556" s="625"/>
      <c r="I556" s="625"/>
      <c r="J556" s="625"/>
      <c r="K556" s="625"/>
    </row>
    <row r="557" ht="20.25" spans="1:11">
      <c r="A557" s="625"/>
      <c r="B557" s="625"/>
      <c r="C557" s="625"/>
      <c r="D557" s="625"/>
      <c r="E557" s="626"/>
      <c r="F557" s="647"/>
      <c r="G557" s="625"/>
      <c r="H557" s="625"/>
      <c r="I557" s="625"/>
      <c r="J557" s="625"/>
      <c r="K557" s="625"/>
    </row>
    <row r="558" ht="20.25" spans="1:11">
      <c r="A558" s="625"/>
      <c r="B558" s="625"/>
      <c r="C558" s="625"/>
      <c r="D558" s="625"/>
      <c r="E558" s="626"/>
      <c r="F558" s="647"/>
      <c r="G558" s="625"/>
      <c r="H558" s="625"/>
      <c r="I558" s="625"/>
      <c r="J558" s="625"/>
      <c r="K558" s="625"/>
    </row>
    <row r="559" ht="20.25" spans="1:11">
      <c r="A559" s="625"/>
      <c r="B559" s="625"/>
      <c r="C559" s="625"/>
      <c r="D559" s="625"/>
      <c r="E559" s="626"/>
      <c r="F559" s="647"/>
      <c r="G559" s="625"/>
      <c r="H559" s="625"/>
      <c r="I559" s="625"/>
      <c r="J559" s="625"/>
      <c r="K559" s="625"/>
    </row>
    <row r="560" ht="20.25" spans="1:11">
      <c r="A560" s="625"/>
      <c r="B560" s="625"/>
      <c r="C560" s="625"/>
      <c r="D560" s="625"/>
      <c r="E560" s="626"/>
      <c r="F560" s="647"/>
      <c r="G560" s="625"/>
      <c r="H560" s="625"/>
      <c r="I560" s="625"/>
      <c r="J560" s="625"/>
      <c r="K560" s="625"/>
    </row>
    <row r="561" ht="20.25" spans="1:11">
      <c r="A561" s="625"/>
      <c r="B561" s="625"/>
      <c r="C561" s="625"/>
      <c r="D561" s="625"/>
      <c r="E561" s="626"/>
      <c r="F561" s="647"/>
      <c r="G561" s="625"/>
      <c r="H561" s="625"/>
      <c r="I561" s="625"/>
      <c r="J561" s="625"/>
      <c r="K561" s="625"/>
    </row>
    <row r="562" ht="20.25" spans="1:11">
      <c r="A562" s="625"/>
      <c r="B562" s="625"/>
      <c r="C562" s="625"/>
      <c r="D562" s="625"/>
      <c r="E562" s="626"/>
      <c r="F562" s="647"/>
      <c r="G562" s="625"/>
      <c r="H562" s="625"/>
      <c r="I562" s="625"/>
      <c r="J562" s="625"/>
      <c r="K562" s="625"/>
    </row>
    <row r="563" ht="20.25" spans="1:11">
      <c r="A563" s="625"/>
      <c r="B563" s="625"/>
      <c r="C563" s="625"/>
      <c r="D563" s="625"/>
      <c r="E563" s="626"/>
      <c r="F563" s="647"/>
      <c r="G563" s="625"/>
      <c r="H563" s="625"/>
      <c r="I563" s="625"/>
      <c r="J563" s="625"/>
      <c r="K563" s="625"/>
    </row>
    <row r="564" ht="20.25" spans="1:11">
      <c r="A564" s="625"/>
      <c r="B564" s="625"/>
      <c r="C564" s="625"/>
      <c r="D564" s="625"/>
      <c r="E564" s="626"/>
      <c r="F564" s="647"/>
      <c r="G564" s="625"/>
      <c r="H564" s="625"/>
      <c r="I564" s="625"/>
      <c r="J564" s="625"/>
      <c r="K564" s="625"/>
    </row>
    <row r="565" ht="20.25" spans="1:11">
      <c r="A565" s="625"/>
      <c r="B565" s="625"/>
      <c r="C565" s="625"/>
      <c r="D565" s="625"/>
      <c r="E565" s="626"/>
      <c r="F565" s="647"/>
      <c r="G565" s="625"/>
      <c r="H565" s="625"/>
      <c r="I565" s="625"/>
      <c r="J565" s="625"/>
      <c r="K565" s="625"/>
    </row>
    <row r="566" ht="20.25" spans="1:11">
      <c r="A566" s="625"/>
      <c r="B566" s="625"/>
      <c r="C566" s="625"/>
      <c r="D566" s="625"/>
      <c r="E566" s="626"/>
      <c r="F566" s="647"/>
      <c r="G566" s="625"/>
      <c r="H566" s="625"/>
      <c r="I566" s="625"/>
      <c r="J566" s="625"/>
      <c r="K566" s="625"/>
    </row>
    <row r="567" ht="20.25" spans="1:11">
      <c r="A567" s="625"/>
      <c r="B567" s="625"/>
      <c r="C567" s="625"/>
      <c r="D567" s="625"/>
      <c r="E567" s="626"/>
      <c r="F567" s="647"/>
      <c r="G567" s="625"/>
      <c r="H567" s="625"/>
      <c r="I567" s="625"/>
      <c r="J567" s="625"/>
      <c r="K567" s="625"/>
    </row>
    <row r="568" ht="20.25" spans="1:11">
      <c r="A568" s="625"/>
      <c r="B568" s="625"/>
      <c r="C568" s="625"/>
      <c r="D568" s="625"/>
      <c r="E568" s="626"/>
      <c r="F568" s="647"/>
      <c r="G568" s="625"/>
      <c r="H568" s="625"/>
      <c r="I568" s="625"/>
      <c r="J568" s="625"/>
      <c r="K568" s="625"/>
    </row>
    <row r="569" ht="20.25" spans="1:11">
      <c r="A569" s="625"/>
      <c r="B569" s="625"/>
      <c r="C569" s="625"/>
      <c r="D569" s="625"/>
      <c r="E569" s="626"/>
      <c r="F569" s="647"/>
      <c r="G569" s="625"/>
      <c r="H569" s="625"/>
      <c r="I569" s="625"/>
      <c r="J569" s="625"/>
      <c r="K569" s="625"/>
    </row>
    <row r="570" ht="20.25" spans="1:11">
      <c r="A570" s="625"/>
      <c r="B570" s="625"/>
      <c r="C570" s="625"/>
      <c r="D570" s="625"/>
      <c r="E570" s="626"/>
      <c r="F570" s="647"/>
      <c r="G570" s="625"/>
      <c r="H570" s="625"/>
      <c r="I570" s="625"/>
      <c r="J570" s="625"/>
      <c r="K570" s="625"/>
    </row>
    <row r="571" ht="20.25" spans="1:11">
      <c r="A571" s="625"/>
      <c r="B571" s="625"/>
      <c r="C571" s="625"/>
      <c r="D571" s="625"/>
      <c r="E571" s="626"/>
      <c r="F571" s="647"/>
      <c r="G571" s="625"/>
      <c r="H571" s="625"/>
      <c r="I571" s="625"/>
      <c r="J571" s="625"/>
      <c r="K571" s="625"/>
    </row>
    <row r="572" ht="20.25" spans="1:11">
      <c r="A572" s="625"/>
      <c r="B572" s="625"/>
      <c r="C572" s="625"/>
      <c r="D572" s="625"/>
      <c r="E572" s="626"/>
      <c r="F572" s="647"/>
      <c r="G572" s="625"/>
      <c r="H572" s="625"/>
      <c r="I572" s="625"/>
      <c r="J572" s="625"/>
      <c r="K572" s="625"/>
    </row>
    <row r="573" ht="20.25" spans="1:11">
      <c r="A573" s="625"/>
      <c r="B573" s="625"/>
      <c r="C573" s="625"/>
      <c r="D573" s="625"/>
      <c r="E573" s="626"/>
      <c r="F573" s="647"/>
      <c r="G573" s="625"/>
      <c r="H573" s="625"/>
      <c r="I573" s="625"/>
      <c r="J573" s="625"/>
      <c r="K573" s="625"/>
    </row>
    <row r="574" ht="20.25" spans="1:11">
      <c r="A574" s="625"/>
      <c r="B574" s="625"/>
      <c r="C574" s="625"/>
      <c r="D574" s="625"/>
      <c r="E574" s="626"/>
      <c r="F574" s="647"/>
      <c r="G574" s="625"/>
      <c r="H574" s="625"/>
      <c r="I574" s="625"/>
      <c r="J574" s="625"/>
      <c r="K574" s="625"/>
    </row>
    <row r="575" ht="20.25" spans="1:11">
      <c r="A575" s="625"/>
      <c r="B575" s="625"/>
      <c r="C575" s="625"/>
      <c r="D575" s="625"/>
      <c r="E575" s="626"/>
      <c r="F575" s="647"/>
      <c r="G575" s="625"/>
      <c r="H575" s="625"/>
      <c r="I575" s="625"/>
      <c r="J575" s="625"/>
      <c r="K575" s="625"/>
    </row>
    <row r="576" ht="20.25" spans="1:11">
      <c r="A576" s="625"/>
      <c r="B576" s="625"/>
      <c r="C576" s="625"/>
      <c r="D576" s="625"/>
      <c r="E576" s="626"/>
      <c r="F576" s="647"/>
      <c r="G576" s="625"/>
      <c r="H576" s="625"/>
      <c r="I576" s="625"/>
      <c r="J576" s="625"/>
      <c r="K576" s="625"/>
    </row>
    <row r="577" ht="20.25" spans="1:11">
      <c r="A577" s="625"/>
      <c r="B577" s="625"/>
      <c r="C577" s="625"/>
      <c r="D577" s="625"/>
      <c r="E577" s="626"/>
      <c r="F577" s="647"/>
      <c r="G577" s="625"/>
      <c r="H577" s="625"/>
      <c r="I577" s="625"/>
      <c r="J577" s="625"/>
      <c r="K577" s="625"/>
    </row>
    <row r="578" ht="20.25" spans="1:11">
      <c r="A578" s="625"/>
      <c r="B578" s="625"/>
      <c r="C578" s="625"/>
      <c r="D578" s="625"/>
      <c r="E578" s="626"/>
      <c r="F578" s="647"/>
      <c r="G578" s="625"/>
      <c r="H578" s="625"/>
      <c r="I578" s="625"/>
      <c r="J578" s="625"/>
      <c r="K578" s="625"/>
    </row>
    <row r="579" ht="20.25" spans="1:11">
      <c r="A579" s="625"/>
      <c r="B579" s="625"/>
      <c r="C579" s="625"/>
      <c r="D579" s="625"/>
      <c r="E579" s="626"/>
      <c r="F579" s="647"/>
      <c r="G579" s="625"/>
      <c r="H579" s="625"/>
      <c r="I579" s="625"/>
      <c r="J579" s="625"/>
      <c r="K579" s="625"/>
    </row>
    <row r="580" ht="20.25" spans="1:11">
      <c r="A580" s="625"/>
      <c r="B580" s="625"/>
      <c r="C580" s="625"/>
      <c r="D580" s="625"/>
      <c r="E580" s="626"/>
      <c r="F580" s="647"/>
      <c r="G580" s="625"/>
      <c r="H580" s="625"/>
      <c r="I580" s="625"/>
      <c r="J580" s="625"/>
      <c r="K580" s="625"/>
    </row>
    <row r="581" ht="20.25" spans="1:11">
      <c r="A581" s="625"/>
      <c r="B581" s="625"/>
      <c r="C581" s="625"/>
      <c r="D581" s="625"/>
      <c r="E581" s="626"/>
      <c r="F581" s="647"/>
      <c r="G581" s="625"/>
      <c r="H581" s="625"/>
      <c r="I581" s="625"/>
      <c r="J581" s="625"/>
      <c r="K581" s="625"/>
    </row>
    <row r="582" ht="20.25" spans="1:11">
      <c r="A582" s="625"/>
      <c r="B582" s="625"/>
      <c r="C582" s="625"/>
      <c r="D582" s="625"/>
      <c r="E582" s="626"/>
      <c r="F582" s="647"/>
      <c r="G582" s="625"/>
      <c r="H582" s="625"/>
      <c r="I582" s="625"/>
      <c r="J582" s="625"/>
      <c r="K582" s="625"/>
    </row>
    <row r="583" ht="20.25" spans="1:11">
      <c r="A583" s="625"/>
      <c r="B583" s="625"/>
      <c r="C583" s="625"/>
      <c r="D583" s="625"/>
      <c r="E583" s="626"/>
      <c r="F583" s="647"/>
      <c r="G583" s="625"/>
      <c r="H583" s="625"/>
      <c r="I583" s="625"/>
      <c r="J583" s="625"/>
      <c r="K583" s="625"/>
    </row>
    <row r="584" ht="20.25" spans="1:11">
      <c r="A584" s="625"/>
      <c r="B584" s="625"/>
      <c r="C584" s="625"/>
      <c r="D584" s="625"/>
      <c r="E584" s="626"/>
      <c r="F584" s="647"/>
      <c r="G584" s="625"/>
      <c r="H584" s="625"/>
      <c r="I584" s="625"/>
      <c r="J584" s="625"/>
      <c r="K584" s="625"/>
    </row>
    <row r="585" ht="20.25" spans="1:11">
      <c r="A585" s="625"/>
      <c r="B585" s="625"/>
      <c r="C585" s="625"/>
      <c r="D585" s="625"/>
      <c r="E585" s="626"/>
      <c r="F585" s="647"/>
      <c r="G585" s="625"/>
      <c r="H585" s="625"/>
      <c r="I585" s="625"/>
      <c r="J585" s="625"/>
      <c r="K585" s="625"/>
    </row>
    <row r="586" ht="20.25" spans="1:11">
      <c r="A586" s="625"/>
      <c r="B586" s="625"/>
      <c r="C586" s="625"/>
      <c r="D586" s="625"/>
      <c r="E586" s="626"/>
      <c r="F586" s="647"/>
      <c r="G586" s="625"/>
      <c r="H586" s="625"/>
      <c r="I586" s="625"/>
      <c r="J586" s="625"/>
      <c r="K586" s="625"/>
    </row>
    <row r="587" ht="20.25" spans="1:11">
      <c r="A587" s="625"/>
      <c r="B587" s="625"/>
      <c r="C587" s="625"/>
      <c r="D587" s="625"/>
      <c r="E587" s="626"/>
      <c r="F587" s="647"/>
      <c r="G587" s="625"/>
      <c r="H587" s="625"/>
      <c r="I587" s="625"/>
      <c r="J587" s="625"/>
      <c r="K587" s="625"/>
    </row>
    <row r="588" ht="20.25" spans="1:11">
      <c r="A588" s="625"/>
      <c r="B588" s="625"/>
      <c r="C588" s="625"/>
      <c r="D588" s="625"/>
      <c r="E588" s="626"/>
      <c r="F588" s="647"/>
      <c r="G588" s="625"/>
      <c r="H588" s="625"/>
      <c r="I588" s="625"/>
      <c r="J588" s="625"/>
      <c r="K588" s="625"/>
    </row>
    <row r="589" ht="20.25" spans="1:11">
      <c r="A589" s="625"/>
      <c r="B589" s="625"/>
      <c r="C589" s="625"/>
      <c r="D589" s="625"/>
      <c r="E589" s="626"/>
      <c r="F589" s="647"/>
      <c r="G589" s="625"/>
      <c r="H589" s="625"/>
      <c r="I589" s="625"/>
      <c r="J589" s="625"/>
      <c r="K589" s="625"/>
    </row>
    <row r="590" ht="20.25" spans="1:11">
      <c r="A590" s="625"/>
      <c r="B590" s="625"/>
      <c r="C590" s="625"/>
      <c r="D590" s="625"/>
      <c r="E590" s="626"/>
      <c r="F590" s="647"/>
      <c r="G590" s="625"/>
      <c r="H590" s="625"/>
      <c r="I590" s="625"/>
      <c r="J590" s="625"/>
      <c r="K590" s="625"/>
    </row>
    <row r="591" ht="20.25" spans="1:11">
      <c r="A591" s="625"/>
      <c r="B591" s="625"/>
      <c r="C591" s="625"/>
      <c r="D591" s="625"/>
      <c r="E591" s="626"/>
      <c r="F591" s="647"/>
      <c r="G591" s="625"/>
      <c r="H591" s="625"/>
      <c r="I591" s="625"/>
      <c r="J591" s="625"/>
      <c r="K591" s="625"/>
    </row>
    <row r="592" ht="20.25" spans="1:11">
      <c r="A592" s="625"/>
      <c r="B592" s="625"/>
      <c r="C592" s="625"/>
      <c r="D592" s="625"/>
      <c r="E592" s="626"/>
      <c r="F592" s="647"/>
      <c r="G592" s="625"/>
      <c r="H592" s="625"/>
      <c r="I592" s="625"/>
      <c r="J592" s="625"/>
      <c r="K592" s="625"/>
    </row>
    <row r="593" ht="20.25" spans="1:11">
      <c r="A593" s="625"/>
      <c r="B593" s="625"/>
      <c r="C593" s="625"/>
      <c r="D593" s="625"/>
      <c r="E593" s="626"/>
      <c r="F593" s="647"/>
      <c r="G593" s="625"/>
      <c r="H593" s="625"/>
      <c r="I593" s="625"/>
      <c r="J593" s="625"/>
      <c r="K593" s="625"/>
    </row>
    <row r="594" ht="20.25" spans="1:11">
      <c r="A594" s="625"/>
      <c r="B594" s="625"/>
      <c r="C594" s="625"/>
      <c r="D594" s="625"/>
      <c r="E594" s="626"/>
      <c r="F594" s="647"/>
      <c r="G594" s="625"/>
      <c r="H594" s="625"/>
      <c r="I594" s="625"/>
      <c r="J594" s="625"/>
      <c r="K594" s="625"/>
    </row>
    <row r="595" ht="20.25" spans="1:11">
      <c r="A595" s="625"/>
      <c r="B595" s="625"/>
      <c r="C595" s="625"/>
      <c r="D595" s="625"/>
      <c r="E595" s="626"/>
      <c r="F595" s="647"/>
      <c r="G595" s="625"/>
      <c r="H595" s="625"/>
      <c r="I595" s="625"/>
      <c r="J595" s="625"/>
      <c r="K595" s="625"/>
    </row>
    <row r="596" ht="20.25" spans="1:11">
      <c r="A596" s="625"/>
      <c r="B596" s="625"/>
      <c r="C596" s="625"/>
      <c r="D596" s="625"/>
      <c r="E596" s="626"/>
      <c r="F596" s="647"/>
      <c r="G596" s="625"/>
      <c r="H596" s="625"/>
      <c r="I596" s="625"/>
      <c r="J596" s="625"/>
      <c r="K596" s="625"/>
    </row>
    <row r="597" ht="20.25" spans="1:11">
      <c r="A597" s="625"/>
      <c r="B597" s="625"/>
      <c r="C597" s="625"/>
      <c r="D597" s="625"/>
      <c r="E597" s="626"/>
      <c r="F597" s="647"/>
      <c r="G597" s="625"/>
      <c r="H597" s="625"/>
      <c r="I597" s="625"/>
      <c r="J597" s="625"/>
      <c r="K597" s="625"/>
    </row>
    <row r="598" ht="20.25" spans="1:11">
      <c r="A598" s="625"/>
      <c r="B598" s="625"/>
      <c r="C598" s="625"/>
      <c r="D598" s="625"/>
      <c r="E598" s="626"/>
      <c r="F598" s="647"/>
      <c r="G598" s="625"/>
      <c r="H598" s="625"/>
      <c r="I598" s="625"/>
      <c r="J598" s="625"/>
      <c r="K598" s="625"/>
    </row>
    <row r="599" ht="20.25" spans="1:11">
      <c r="A599" s="625"/>
      <c r="B599" s="625"/>
      <c r="C599" s="625"/>
      <c r="D599" s="625"/>
      <c r="E599" s="626"/>
      <c r="F599" s="647"/>
      <c r="G599" s="625"/>
      <c r="H599" s="625"/>
      <c r="I599" s="625"/>
      <c r="J599" s="625"/>
      <c r="K599" s="625"/>
    </row>
    <row r="600" ht="20.25" spans="1:11">
      <c r="A600" s="625"/>
      <c r="B600" s="625"/>
      <c r="C600" s="625"/>
      <c r="D600" s="625"/>
      <c r="E600" s="626"/>
      <c r="F600" s="647"/>
      <c r="G600" s="625"/>
      <c r="H600" s="625"/>
      <c r="I600" s="625"/>
      <c r="J600" s="625"/>
      <c r="K600" s="625"/>
    </row>
    <row r="601" ht="20.25" spans="1:11">
      <c r="A601" s="625"/>
      <c r="B601" s="625"/>
      <c r="C601" s="625"/>
      <c r="D601" s="625"/>
      <c r="E601" s="626"/>
      <c r="F601" s="647"/>
      <c r="G601" s="625"/>
      <c r="H601" s="625"/>
      <c r="I601" s="625"/>
      <c r="J601" s="625"/>
      <c r="K601" s="625"/>
    </row>
    <row r="602" ht="20.25" spans="1:11">
      <c r="A602" s="625"/>
      <c r="B602" s="625"/>
      <c r="C602" s="625"/>
      <c r="D602" s="625"/>
      <c r="E602" s="626"/>
      <c r="F602" s="647"/>
      <c r="G602" s="625"/>
      <c r="H602" s="625"/>
      <c r="I602" s="625"/>
      <c r="J602" s="625"/>
      <c r="K602" s="625"/>
    </row>
    <row r="603" ht="20.25" spans="1:11">
      <c r="A603" s="625"/>
      <c r="B603" s="625"/>
      <c r="C603" s="625"/>
      <c r="D603" s="625"/>
      <c r="E603" s="626"/>
      <c r="F603" s="647"/>
      <c r="G603" s="625"/>
      <c r="H603" s="625"/>
      <c r="I603" s="625"/>
      <c r="J603" s="625"/>
      <c r="K603" s="625"/>
    </row>
    <row r="604" ht="20.25" spans="1:11">
      <c r="A604" s="625"/>
      <c r="B604" s="625"/>
      <c r="C604" s="625"/>
      <c r="D604" s="625"/>
      <c r="E604" s="626"/>
      <c r="F604" s="647"/>
      <c r="G604" s="625"/>
      <c r="H604" s="625"/>
      <c r="I604" s="625"/>
      <c r="J604" s="625"/>
      <c r="K604" s="625"/>
    </row>
    <row r="605" ht="20.25" spans="1:11">
      <c r="A605" s="625"/>
      <c r="B605" s="625"/>
      <c r="C605" s="625"/>
      <c r="D605" s="625"/>
      <c r="E605" s="626"/>
      <c r="F605" s="647"/>
      <c r="G605" s="625"/>
      <c r="H605" s="625"/>
      <c r="I605" s="625"/>
      <c r="J605" s="625"/>
      <c r="K605" s="625"/>
    </row>
    <row r="606" ht="20.25" spans="1:11">
      <c r="A606" s="625"/>
      <c r="B606" s="625"/>
      <c r="C606" s="625"/>
      <c r="D606" s="625"/>
      <c r="E606" s="626"/>
      <c r="F606" s="647"/>
      <c r="G606" s="625"/>
      <c r="H606" s="625"/>
      <c r="I606" s="625"/>
      <c r="J606" s="625"/>
      <c r="K606" s="625"/>
    </row>
    <row r="607" ht="20.25" spans="1:11">
      <c r="A607" s="625"/>
      <c r="B607" s="625"/>
      <c r="C607" s="625"/>
      <c r="D607" s="625"/>
      <c r="E607" s="626"/>
      <c r="F607" s="647"/>
      <c r="G607" s="625"/>
      <c r="H607" s="625"/>
      <c r="I607" s="625"/>
      <c r="J607" s="625"/>
      <c r="K607" s="625"/>
    </row>
    <row r="608" ht="20.25" spans="1:11">
      <c r="A608" s="625"/>
      <c r="B608" s="625"/>
      <c r="C608" s="625"/>
      <c r="D608" s="625"/>
      <c r="E608" s="626"/>
      <c r="F608" s="647"/>
      <c r="G608" s="625"/>
      <c r="H608" s="625"/>
      <c r="I608" s="625"/>
      <c r="J608" s="625"/>
      <c r="K608" s="625"/>
    </row>
    <row r="609" ht="20.25" spans="1:11">
      <c r="A609" s="625"/>
      <c r="B609" s="625"/>
      <c r="C609" s="625"/>
      <c r="D609" s="625"/>
      <c r="E609" s="626"/>
      <c r="F609" s="647"/>
      <c r="G609" s="625"/>
      <c r="H609" s="625"/>
      <c r="I609" s="625"/>
      <c r="J609" s="625"/>
      <c r="K609" s="625"/>
    </row>
    <row r="610" ht="20.25" spans="1:11">
      <c r="A610" s="625"/>
      <c r="B610" s="625"/>
      <c r="C610" s="625"/>
      <c r="D610" s="625"/>
      <c r="E610" s="626"/>
      <c r="F610" s="647"/>
      <c r="G610" s="625"/>
      <c r="H610" s="625"/>
      <c r="I610" s="625"/>
      <c r="J610" s="625"/>
      <c r="K610" s="625"/>
    </row>
    <row r="611" ht="20.25" spans="1:11">
      <c r="A611" s="625"/>
      <c r="B611" s="625"/>
      <c r="C611" s="625"/>
      <c r="D611" s="625"/>
      <c r="E611" s="626"/>
      <c r="F611" s="647"/>
      <c r="G611" s="625"/>
      <c r="H611" s="625"/>
      <c r="I611" s="625"/>
      <c r="J611" s="625"/>
      <c r="K611" s="625"/>
    </row>
    <row r="612" ht="20.25" spans="1:11">
      <c r="A612" s="625"/>
      <c r="B612" s="625"/>
      <c r="C612" s="625"/>
      <c r="D612" s="625"/>
      <c r="E612" s="626"/>
      <c r="F612" s="647"/>
      <c r="G612" s="625"/>
      <c r="H612" s="625"/>
      <c r="I612" s="625"/>
      <c r="J612" s="625"/>
      <c r="K612" s="625"/>
    </row>
    <row r="613" ht="20.25" spans="1:11">
      <c r="A613" s="625"/>
      <c r="B613" s="625"/>
      <c r="C613" s="625"/>
      <c r="D613" s="625"/>
      <c r="E613" s="626"/>
      <c r="F613" s="647"/>
      <c r="G613" s="625"/>
      <c r="H613" s="625"/>
      <c r="I613" s="625"/>
      <c r="J613" s="625"/>
      <c r="K613" s="625"/>
    </row>
    <row r="614" ht="20.25" spans="1:11">
      <c r="A614" s="625"/>
      <c r="B614" s="625"/>
      <c r="C614" s="625"/>
      <c r="D614" s="625"/>
      <c r="E614" s="626"/>
      <c r="F614" s="647"/>
      <c r="G614" s="625"/>
      <c r="H614" s="625"/>
      <c r="I614" s="625"/>
      <c r="J614" s="625"/>
      <c r="K614" s="625"/>
    </row>
    <row r="615" ht="20.25" spans="1:11">
      <c r="A615" s="625"/>
      <c r="B615" s="625"/>
      <c r="C615" s="625"/>
      <c r="D615" s="625"/>
      <c r="E615" s="626"/>
      <c r="F615" s="647"/>
      <c r="G615" s="625"/>
      <c r="H615" s="625"/>
      <c r="I615" s="625"/>
      <c r="J615" s="625"/>
      <c r="K615" s="625"/>
    </row>
    <row r="616" ht="20.25" spans="1:11">
      <c r="A616" s="625"/>
      <c r="B616" s="625"/>
      <c r="C616" s="625"/>
      <c r="D616" s="625"/>
      <c r="E616" s="626"/>
      <c r="F616" s="647"/>
      <c r="G616" s="625"/>
      <c r="H616" s="625"/>
      <c r="I616" s="625"/>
      <c r="J616" s="625"/>
      <c r="K616" s="625"/>
    </row>
    <row r="617" ht="20.25" spans="1:11">
      <c r="A617" s="625"/>
      <c r="B617" s="625"/>
      <c r="C617" s="625"/>
      <c r="D617" s="625"/>
      <c r="E617" s="626"/>
      <c r="F617" s="647"/>
      <c r="G617" s="625"/>
      <c r="H617" s="625"/>
      <c r="I617" s="625"/>
      <c r="J617" s="625"/>
      <c r="K617" s="625"/>
    </row>
    <row r="618" ht="20.25" spans="1:11">
      <c r="A618" s="625"/>
      <c r="B618" s="625"/>
      <c r="C618" s="625"/>
      <c r="D618" s="625"/>
      <c r="E618" s="626"/>
      <c r="F618" s="647"/>
      <c r="G618" s="625"/>
      <c r="H618" s="625"/>
      <c r="I618" s="625"/>
      <c r="J618" s="625"/>
      <c r="K618" s="625"/>
    </row>
    <row r="619" ht="20.25" spans="1:11">
      <c r="A619" s="625"/>
      <c r="B619" s="625"/>
      <c r="C619" s="625"/>
      <c r="D619" s="625"/>
      <c r="E619" s="626"/>
      <c r="F619" s="647"/>
      <c r="G619" s="625"/>
      <c r="H619" s="625"/>
      <c r="I619" s="625"/>
      <c r="J619" s="625"/>
      <c r="K619" s="625"/>
    </row>
    <row r="620" ht="20.25" spans="1:11">
      <c r="A620" s="625"/>
      <c r="B620" s="625"/>
      <c r="C620" s="625"/>
      <c r="D620" s="625"/>
      <c r="E620" s="626"/>
      <c r="F620" s="647"/>
      <c r="G620" s="625"/>
      <c r="H620" s="625"/>
      <c r="I620" s="625"/>
      <c r="J620" s="625"/>
      <c r="K620" s="625"/>
    </row>
    <row r="621" ht="20.25" spans="1:11">
      <c r="A621" s="625"/>
      <c r="B621" s="625"/>
      <c r="C621" s="625"/>
      <c r="D621" s="625"/>
      <c r="E621" s="626"/>
      <c r="F621" s="647"/>
      <c r="G621" s="625"/>
      <c r="H621" s="625"/>
      <c r="I621" s="625"/>
      <c r="J621" s="625"/>
      <c r="K621" s="625"/>
    </row>
    <row r="622" ht="20.25" spans="1:11">
      <c r="A622" s="625"/>
      <c r="B622" s="625"/>
      <c r="C622" s="625"/>
      <c r="D622" s="625"/>
      <c r="E622" s="626"/>
      <c r="F622" s="647"/>
      <c r="G622" s="625"/>
      <c r="H622" s="625"/>
      <c r="I622" s="625"/>
      <c r="J622" s="625"/>
      <c r="K622" s="625"/>
    </row>
    <row r="623" ht="20.25" spans="1:11">
      <c r="A623" s="625"/>
      <c r="B623" s="625"/>
      <c r="C623" s="625"/>
      <c r="D623" s="625"/>
      <c r="E623" s="626"/>
      <c r="F623" s="647"/>
      <c r="G623" s="625"/>
      <c r="H623" s="625"/>
      <c r="I623" s="625"/>
      <c r="J623" s="625"/>
      <c r="K623" s="625"/>
    </row>
    <row r="624" ht="20.25" spans="1:11">
      <c r="A624" s="625"/>
      <c r="B624" s="625"/>
      <c r="C624" s="625"/>
      <c r="D624" s="625"/>
      <c r="E624" s="626"/>
      <c r="F624" s="647"/>
      <c r="G624" s="625"/>
      <c r="H624" s="625"/>
      <c r="I624" s="625"/>
      <c r="J624" s="625"/>
      <c r="K624" s="625"/>
    </row>
    <row r="625" ht="20.25" spans="1:11">
      <c r="A625" s="625"/>
      <c r="B625" s="625"/>
      <c r="C625" s="625"/>
      <c r="D625" s="625"/>
      <c r="E625" s="626"/>
      <c r="F625" s="647"/>
      <c r="G625" s="625"/>
      <c r="H625" s="625"/>
      <c r="I625" s="625"/>
      <c r="J625" s="625"/>
      <c r="K625" s="625"/>
    </row>
    <row r="626" ht="20.25" spans="1:11">
      <c r="A626" s="625"/>
      <c r="B626" s="625"/>
      <c r="C626" s="625"/>
      <c r="D626" s="625"/>
      <c r="E626" s="626"/>
      <c r="F626" s="647"/>
      <c r="G626" s="625"/>
      <c r="H626" s="625"/>
      <c r="I626" s="625"/>
      <c r="J626" s="625"/>
      <c r="K626" s="625"/>
    </row>
    <row r="627" ht="20.25" spans="1:11">
      <c r="A627" s="625"/>
      <c r="B627" s="625"/>
      <c r="C627" s="625"/>
      <c r="D627" s="625"/>
      <c r="E627" s="626"/>
      <c r="F627" s="647"/>
      <c r="G627" s="625"/>
      <c r="H627" s="625"/>
      <c r="I627" s="625"/>
      <c r="J627" s="625"/>
      <c r="K627" s="625"/>
    </row>
    <row r="628" ht="20.25" spans="1:11">
      <c r="A628" s="625"/>
      <c r="B628" s="625"/>
      <c r="C628" s="625"/>
      <c r="D628" s="625"/>
      <c r="E628" s="626"/>
      <c r="F628" s="647"/>
      <c r="G628" s="625"/>
      <c r="H628" s="625"/>
      <c r="I628" s="625"/>
      <c r="J628" s="625"/>
      <c r="K628" s="625"/>
    </row>
    <row r="629" ht="20.25" spans="1:11">
      <c r="A629" s="625"/>
      <c r="B629" s="625"/>
      <c r="C629" s="625"/>
      <c r="D629" s="625"/>
      <c r="E629" s="626"/>
      <c r="F629" s="647"/>
      <c r="G629" s="625"/>
      <c r="H629" s="625"/>
      <c r="I629" s="625"/>
      <c r="J629" s="625"/>
      <c r="K629" s="625"/>
    </row>
    <row r="630" ht="20.25" spans="1:11">
      <c r="A630" s="625"/>
      <c r="B630" s="625"/>
      <c r="C630" s="625"/>
      <c r="D630" s="625"/>
      <c r="E630" s="626"/>
      <c r="F630" s="647"/>
      <c r="G630" s="625"/>
      <c r="H630" s="625"/>
      <c r="I630" s="625"/>
      <c r="J630" s="625"/>
      <c r="K630" s="625"/>
    </row>
    <row r="631" ht="20.25" spans="1:11">
      <c r="A631" s="625"/>
      <c r="B631" s="625"/>
      <c r="C631" s="625"/>
      <c r="D631" s="625"/>
      <c r="E631" s="626"/>
      <c r="F631" s="647"/>
      <c r="G631" s="625"/>
      <c r="H631" s="625"/>
      <c r="I631" s="625"/>
      <c r="J631" s="625"/>
      <c r="K631" s="625"/>
    </row>
    <row r="632" ht="20.25" spans="1:11">
      <c r="A632" s="625"/>
      <c r="B632" s="625"/>
      <c r="C632" s="625"/>
      <c r="D632" s="625"/>
      <c r="E632" s="626"/>
      <c r="F632" s="647"/>
      <c r="G632" s="625"/>
      <c r="H632" s="625"/>
      <c r="I632" s="625"/>
      <c r="J632" s="625"/>
      <c r="K632" s="625"/>
    </row>
    <row r="633" ht="20.25" spans="1:11">
      <c r="A633" s="625"/>
      <c r="B633" s="625"/>
      <c r="C633" s="625"/>
      <c r="D633" s="625"/>
      <c r="E633" s="626"/>
      <c r="F633" s="647"/>
      <c r="G633" s="625"/>
      <c r="H633" s="625"/>
      <c r="I633" s="625"/>
      <c r="J633" s="625"/>
      <c r="K633" s="625"/>
    </row>
    <row r="634" ht="20.25" spans="1:11">
      <c r="A634" s="625"/>
      <c r="B634" s="625"/>
      <c r="C634" s="625"/>
      <c r="D634" s="625"/>
      <c r="E634" s="626"/>
      <c r="F634" s="647"/>
      <c r="G634" s="625"/>
      <c r="H634" s="625"/>
      <c r="I634" s="625"/>
      <c r="J634" s="625"/>
      <c r="K634" s="625"/>
    </row>
    <row r="635" ht="20.25" spans="1:11">
      <c r="A635" s="625"/>
      <c r="B635" s="625"/>
      <c r="C635" s="625"/>
      <c r="D635" s="625"/>
      <c r="E635" s="626"/>
      <c r="F635" s="647"/>
      <c r="G635" s="625"/>
      <c r="H635" s="625"/>
      <c r="I635" s="625"/>
      <c r="J635" s="625"/>
      <c r="K635" s="625"/>
    </row>
    <row r="636" ht="20.25" spans="1:11">
      <c r="A636" s="625"/>
      <c r="B636" s="625"/>
      <c r="C636" s="625"/>
      <c r="D636" s="625"/>
      <c r="E636" s="626"/>
      <c r="F636" s="647"/>
      <c r="G636" s="625"/>
      <c r="H636" s="625"/>
      <c r="I636" s="625"/>
      <c r="J636" s="625"/>
      <c r="K636" s="625"/>
    </row>
    <row r="637" ht="20.25" spans="1:11">
      <c r="A637" s="625"/>
      <c r="B637" s="625"/>
      <c r="C637" s="625"/>
      <c r="D637" s="625"/>
      <c r="E637" s="626"/>
      <c r="F637" s="647"/>
      <c r="G637" s="625"/>
      <c r="H637" s="625"/>
      <c r="I637" s="625"/>
      <c r="J637" s="625"/>
      <c r="K637" s="625"/>
    </row>
    <row r="638" ht="20.25" spans="1:11">
      <c r="A638" s="625"/>
      <c r="B638" s="625"/>
      <c r="C638" s="625"/>
      <c r="D638" s="625"/>
      <c r="E638" s="626"/>
      <c r="F638" s="647"/>
      <c r="G638" s="625"/>
      <c r="H638" s="625"/>
      <c r="I638" s="625"/>
      <c r="J638" s="625"/>
      <c r="K638" s="625"/>
    </row>
    <row r="639" ht="20.25" spans="1:11">
      <c r="A639" s="625"/>
      <c r="B639" s="625"/>
      <c r="C639" s="625"/>
      <c r="D639" s="625"/>
      <c r="E639" s="626"/>
      <c r="F639" s="647"/>
      <c r="G639" s="625"/>
      <c r="H639" s="625"/>
      <c r="I639" s="625"/>
      <c r="J639" s="625"/>
      <c r="K639" s="625"/>
    </row>
    <row r="640" ht="20.25" spans="1:11">
      <c r="A640" s="625"/>
      <c r="B640" s="625"/>
      <c r="C640" s="625"/>
      <c r="D640" s="625"/>
      <c r="E640" s="626"/>
      <c r="F640" s="647"/>
      <c r="G640" s="625"/>
      <c r="H640" s="625"/>
      <c r="I640" s="625"/>
      <c r="J640" s="625"/>
      <c r="K640" s="625"/>
    </row>
    <row r="641" ht="20.25" spans="1:11">
      <c r="A641" s="625"/>
      <c r="B641" s="625"/>
      <c r="C641" s="625"/>
      <c r="D641" s="625"/>
      <c r="E641" s="626"/>
      <c r="F641" s="647"/>
      <c r="G641" s="625"/>
      <c r="H641" s="625"/>
      <c r="I641" s="625"/>
      <c r="J641" s="625"/>
      <c r="K641" s="625"/>
    </row>
    <row r="642" ht="20.25" spans="1:11">
      <c r="A642" s="625"/>
      <c r="B642" s="625"/>
      <c r="C642" s="625"/>
      <c r="D642" s="625"/>
      <c r="E642" s="626"/>
      <c r="F642" s="647"/>
      <c r="G642" s="625"/>
      <c r="H642" s="625"/>
      <c r="I642" s="625"/>
      <c r="J642" s="625"/>
      <c r="K642" s="625"/>
    </row>
    <row r="643" ht="20.25" spans="1:11">
      <c r="A643" s="625"/>
      <c r="B643" s="625"/>
      <c r="C643" s="625"/>
      <c r="D643" s="625"/>
      <c r="E643" s="626"/>
      <c r="F643" s="647"/>
      <c r="G643" s="625"/>
      <c r="H643" s="625"/>
      <c r="I643" s="625"/>
      <c r="J643" s="625"/>
      <c r="K643" s="625"/>
    </row>
    <row r="644" ht="20.25" spans="1:11">
      <c r="A644" s="625"/>
      <c r="B644" s="625"/>
      <c r="C644" s="625"/>
      <c r="D644" s="625"/>
      <c r="E644" s="626"/>
      <c r="F644" s="647"/>
      <c r="G644" s="625"/>
      <c r="H644" s="625"/>
      <c r="I644" s="625"/>
      <c r="J644" s="625"/>
      <c r="K644" s="625"/>
    </row>
    <row r="645" ht="20.25" spans="1:11">
      <c r="A645" s="625"/>
      <c r="B645" s="625"/>
      <c r="C645" s="625"/>
      <c r="D645" s="625"/>
      <c r="E645" s="626"/>
      <c r="F645" s="647"/>
      <c r="G645" s="625"/>
      <c r="H645" s="625"/>
      <c r="I645" s="625"/>
      <c r="J645" s="625"/>
      <c r="K645" s="625"/>
    </row>
    <row r="646" ht="20.25" spans="1:11">
      <c r="A646" s="625"/>
      <c r="B646" s="625"/>
      <c r="C646" s="625"/>
      <c r="D646" s="625"/>
      <c r="E646" s="626"/>
      <c r="F646" s="647"/>
      <c r="G646" s="625"/>
      <c r="H646" s="625"/>
      <c r="I646" s="625"/>
      <c r="J646" s="625"/>
      <c r="K646" s="625"/>
    </row>
    <row r="647" ht="20.25" spans="1:11">
      <c r="A647" s="625"/>
      <c r="B647" s="625"/>
      <c r="C647" s="625"/>
      <c r="D647" s="625"/>
      <c r="E647" s="626"/>
      <c r="F647" s="647"/>
      <c r="G647" s="625"/>
      <c r="H647" s="625"/>
      <c r="I647" s="625"/>
      <c r="J647" s="625"/>
      <c r="K647" s="625"/>
    </row>
    <row r="648" ht="20.25" spans="1:11">
      <c r="A648" s="625"/>
      <c r="B648" s="625"/>
      <c r="C648" s="625"/>
      <c r="D648" s="625"/>
      <c r="E648" s="626"/>
      <c r="F648" s="647"/>
      <c r="G648" s="625"/>
      <c r="H648" s="625"/>
      <c r="I648" s="625"/>
      <c r="J648" s="625"/>
      <c r="K648" s="625"/>
    </row>
    <row r="649" ht="20.25" spans="1:11">
      <c r="A649" s="625"/>
      <c r="B649" s="625"/>
      <c r="C649" s="625"/>
      <c r="D649" s="625"/>
      <c r="E649" s="626"/>
      <c r="F649" s="647"/>
      <c r="G649" s="625"/>
      <c r="H649" s="625"/>
      <c r="I649" s="625"/>
      <c r="J649" s="625"/>
      <c r="K649" s="625"/>
    </row>
    <row r="650" ht="20.25" spans="1:11">
      <c r="A650" s="625"/>
      <c r="B650" s="625"/>
      <c r="C650" s="625"/>
      <c r="D650" s="625"/>
      <c r="E650" s="626"/>
      <c r="F650" s="647"/>
      <c r="G650" s="625"/>
      <c r="H650" s="625"/>
      <c r="I650" s="625"/>
      <c r="J650" s="625"/>
      <c r="K650" s="625"/>
    </row>
    <row r="651" ht="20.25" spans="1:11">
      <c r="A651" s="625"/>
      <c r="B651" s="625"/>
      <c r="C651" s="625"/>
      <c r="D651" s="625"/>
      <c r="E651" s="626"/>
      <c r="F651" s="647"/>
      <c r="G651" s="625"/>
      <c r="H651" s="625"/>
      <c r="I651" s="625"/>
      <c r="J651" s="625"/>
      <c r="K651" s="625"/>
    </row>
    <row r="652" ht="20.25" spans="1:11">
      <c r="A652" s="625"/>
      <c r="B652" s="625"/>
      <c r="C652" s="625"/>
      <c r="D652" s="625"/>
      <c r="E652" s="626"/>
      <c r="F652" s="647"/>
      <c r="G652" s="625"/>
      <c r="H652" s="625"/>
      <c r="I652" s="625"/>
      <c r="J652" s="625"/>
      <c r="K652" s="625"/>
    </row>
    <row r="653" ht="20.25" spans="1:11">
      <c r="A653" s="625"/>
      <c r="B653" s="625"/>
      <c r="C653" s="625"/>
      <c r="D653" s="625"/>
      <c r="E653" s="626"/>
      <c r="F653" s="647"/>
      <c r="G653" s="625"/>
      <c r="H653" s="625"/>
      <c r="I653" s="625"/>
      <c r="J653" s="625"/>
      <c r="K653" s="625"/>
    </row>
    <row r="654" ht="20.25" spans="1:11">
      <c r="A654" s="625"/>
      <c r="B654" s="625"/>
      <c r="C654" s="625"/>
      <c r="D654" s="625"/>
      <c r="E654" s="626"/>
      <c r="F654" s="647"/>
      <c r="G654" s="625"/>
      <c r="H654" s="625"/>
      <c r="I654" s="625"/>
      <c r="J654" s="625"/>
      <c r="K654" s="625"/>
    </row>
    <row r="655" ht="20.25" spans="1:11">
      <c r="A655" s="625"/>
      <c r="B655" s="625"/>
      <c r="C655" s="625"/>
      <c r="D655" s="625"/>
      <c r="E655" s="626"/>
      <c r="F655" s="647"/>
      <c r="G655" s="625"/>
      <c r="H655" s="625"/>
      <c r="I655" s="625"/>
      <c r="J655" s="625"/>
      <c r="K655" s="625"/>
    </row>
    <row r="656" ht="20.25" spans="1:11">
      <c r="A656" s="625"/>
      <c r="B656" s="625"/>
      <c r="C656" s="625"/>
      <c r="D656" s="625"/>
      <c r="E656" s="626"/>
      <c r="F656" s="647"/>
      <c r="G656" s="625"/>
      <c r="H656" s="625"/>
      <c r="I656" s="625"/>
      <c r="J656" s="625"/>
      <c r="K656" s="625"/>
    </row>
    <row r="657" ht="20.25" spans="1:11">
      <c r="A657" s="625"/>
      <c r="B657" s="625"/>
      <c r="C657" s="625"/>
      <c r="D657" s="625"/>
      <c r="E657" s="626"/>
      <c r="F657" s="647"/>
      <c r="G657" s="625"/>
      <c r="H657" s="625"/>
      <c r="I657" s="625"/>
      <c r="J657" s="625"/>
      <c r="K657" s="625"/>
    </row>
    <row r="658" ht="20.25" spans="1:11">
      <c r="A658" s="625"/>
      <c r="B658" s="625"/>
      <c r="C658" s="625"/>
      <c r="D658" s="625"/>
      <c r="E658" s="626"/>
      <c r="F658" s="647"/>
      <c r="G658" s="625"/>
      <c r="H658" s="625"/>
      <c r="I658" s="625"/>
      <c r="J658" s="625"/>
      <c r="K658" s="625"/>
    </row>
    <row r="659" ht="20.25" spans="1:11">
      <c r="A659" s="625"/>
      <c r="B659" s="625"/>
      <c r="C659" s="625"/>
      <c r="D659" s="625"/>
      <c r="E659" s="626"/>
      <c r="F659" s="647"/>
      <c r="G659" s="625"/>
      <c r="H659" s="625"/>
      <c r="I659" s="625"/>
      <c r="J659" s="625"/>
      <c r="K659" s="625"/>
    </row>
    <row r="660" ht="20.25" spans="1:11">
      <c r="A660" s="625"/>
      <c r="B660" s="625"/>
      <c r="C660" s="625"/>
      <c r="D660" s="625"/>
      <c r="E660" s="626"/>
      <c r="F660" s="647"/>
      <c r="G660" s="625"/>
      <c r="H660" s="625"/>
      <c r="I660" s="625"/>
      <c r="J660" s="625"/>
      <c r="K660" s="625"/>
    </row>
    <row r="661" ht="20.25" spans="1:11">
      <c r="A661" s="625"/>
      <c r="B661" s="625"/>
      <c r="C661" s="625"/>
      <c r="D661" s="625"/>
      <c r="E661" s="626"/>
      <c r="F661" s="647"/>
      <c r="G661" s="625"/>
      <c r="H661" s="625"/>
      <c r="I661" s="625"/>
      <c r="J661" s="625"/>
      <c r="K661" s="625"/>
    </row>
    <row r="662" ht="20.25" spans="1:11">
      <c r="A662" s="625"/>
      <c r="B662" s="625"/>
      <c r="C662" s="625"/>
      <c r="D662" s="625"/>
      <c r="E662" s="626"/>
      <c r="F662" s="647"/>
      <c r="G662" s="625"/>
      <c r="H662" s="625"/>
      <c r="I662" s="625"/>
      <c r="J662" s="625"/>
      <c r="K662" s="625"/>
    </row>
    <row r="663" ht="20.25" spans="1:11">
      <c r="A663" s="625"/>
      <c r="B663" s="625"/>
      <c r="C663" s="625"/>
      <c r="D663" s="625"/>
      <c r="E663" s="626"/>
      <c r="F663" s="647"/>
      <c r="G663" s="625"/>
      <c r="H663" s="625"/>
      <c r="I663" s="625"/>
      <c r="J663" s="625"/>
      <c r="K663" s="625"/>
    </row>
    <row r="664" ht="20.25" spans="1:11">
      <c r="A664" s="625"/>
      <c r="B664" s="625"/>
      <c r="C664" s="625"/>
      <c r="D664" s="625"/>
      <c r="E664" s="626"/>
      <c r="F664" s="647"/>
      <c r="G664" s="625"/>
      <c r="H664" s="625"/>
      <c r="I664" s="625"/>
      <c r="J664" s="625"/>
      <c r="K664" s="625"/>
    </row>
    <row r="665" ht="20.25" spans="1:11">
      <c r="A665" s="625"/>
      <c r="B665" s="625"/>
      <c r="C665" s="625"/>
      <c r="D665" s="625"/>
      <c r="E665" s="626"/>
      <c r="F665" s="647"/>
      <c r="G665" s="625"/>
      <c r="H665" s="625"/>
      <c r="I665" s="625"/>
      <c r="J665" s="625"/>
      <c r="K665" s="625"/>
    </row>
    <row r="666" ht="20.25" spans="1:11">
      <c r="A666" s="625"/>
      <c r="B666" s="625"/>
      <c r="C666" s="625"/>
      <c r="D666" s="625"/>
      <c r="E666" s="626"/>
      <c r="F666" s="647"/>
      <c r="G666" s="625"/>
      <c r="H666" s="625"/>
      <c r="I666" s="625"/>
      <c r="J666" s="625"/>
      <c r="K666" s="625"/>
    </row>
    <row r="667" ht="20.25" spans="1:11">
      <c r="A667" s="625"/>
      <c r="B667" s="625"/>
      <c r="C667" s="625"/>
      <c r="D667" s="625"/>
      <c r="E667" s="626"/>
      <c r="F667" s="647"/>
      <c r="G667" s="625"/>
      <c r="H667" s="625"/>
      <c r="I667" s="625"/>
      <c r="J667" s="625"/>
      <c r="K667" s="625"/>
    </row>
    <row r="668" ht="20.25" spans="1:11">
      <c r="A668" s="625"/>
      <c r="B668" s="625"/>
      <c r="C668" s="625"/>
      <c r="D668" s="625"/>
      <c r="E668" s="626"/>
      <c r="F668" s="647"/>
      <c r="G668" s="625"/>
      <c r="H668" s="625"/>
      <c r="I668" s="625"/>
      <c r="J668" s="625"/>
      <c r="K668" s="625"/>
    </row>
    <row r="669" ht="20.25" spans="1:11">
      <c r="A669" s="625"/>
      <c r="B669" s="625"/>
      <c r="C669" s="625"/>
      <c r="D669" s="625"/>
      <c r="E669" s="626"/>
      <c r="F669" s="647"/>
      <c r="G669" s="625"/>
      <c r="H669" s="625"/>
      <c r="I669" s="625"/>
      <c r="J669" s="625"/>
      <c r="K669" s="625"/>
    </row>
    <row r="670" ht="20.25" spans="1:11">
      <c r="A670" s="625"/>
      <c r="B670" s="625"/>
      <c r="C670" s="625"/>
      <c r="D670" s="625"/>
      <c r="E670" s="626"/>
      <c r="F670" s="647"/>
      <c r="G670" s="625"/>
      <c r="H670" s="625"/>
      <c r="I670" s="625"/>
      <c r="J670" s="625"/>
      <c r="K670" s="625"/>
    </row>
    <row r="671" ht="20.25" spans="1:11">
      <c r="A671" s="625"/>
      <c r="B671" s="625"/>
      <c r="C671" s="625"/>
      <c r="D671" s="625"/>
      <c r="E671" s="626"/>
      <c r="F671" s="647"/>
      <c r="G671" s="625"/>
      <c r="H671" s="625"/>
      <c r="I671" s="625"/>
      <c r="J671" s="625"/>
      <c r="K671" s="625"/>
    </row>
    <row r="672" ht="20.25" spans="1:11">
      <c r="A672" s="625"/>
      <c r="B672" s="625"/>
      <c r="C672" s="625"/>
      <c r="D672" s="625"/>
      <c r="E672" s="626"/>
      <c r="F672" s="647"/>
      <c r="G672" s="625"/>
      <c r="H672" s="625"/>
      <c r="I672" s="625"/>
      <c r="J672" s="625"/>
      <c r="K672" s="625"/>
    </row>
    <row r="673" ht="20.25" spans="1:11">
      <c r="A673" s="625"/>
      <c r="B673" s="625"/>
      <c r="C673" s="625"/>
      <c r="D673" s="625"/>
      <c r="E673" s="626"/>
      <c r="F673" s="647"/>
      <c r="G673" s="625"/>
      <c r="H673" s="625"/>
      <c r="I673" s="625"/>
      <c r="J673" s="625"/>
      <c r="K673" s="625"/>
    </row>
    <row r="674" ht="20.25" spans="1:11">
      <c r="A674" s="625"/>
      <c r="B674" s="625"/>
      <c r="C674" s="625"/>
      <c r="D674" s="625"/>
      <c r="E674" s="626"/>
      <c r="F674" s="647"/>
      <c r="G674" s="625"/>
      <c r="H674" s="625"/>
      <c r="I674" s="625"/>
      <c r="J674" s="625"/>
      <c r="K674" s="625"/>
    </row>
    <row r="675" ht="20.25" spans="1:11">
      <c r="A675" s="625"/>
      <c r="B675" s="625"/>
      <c r="C675" s="625"/>
      <c r="D675" s="625"/>
      <c r="E675" s="626"/>
      <c r="F675" s="647"/>
      <c r="G675" s="625"/>
      <c r="H675" s="625"/>
      <c r="I675" s="625"/>
      <c r="J675" s="625"/>
      <c r="K675" s="625"/>
    </row>
    <row r="676" ht="20.25" spans="1:11">
      <c r="A676" s="625"/>
      <c r="B676" s="625"/>
      <c r="C676" s="625"/>
      <c r="D676" s="625"/>
      <c r="E676" s="626"/>
      <c r="F676" s="647"/>
      <c r="G676" s="625"/>
      <c r="H676" s="625"/>
      <c r="I676" s="625"/>
      <c r="J676" s="625"/>
      <c r="K676" s="625"/>
    </row>
    <row r="677" ht="20.25" spans="1:11">
      <c r="A677" s="625"/>
      <c r="B677" s="625"/>
      <c r="C677" s="625"/>
      <c r="D677" s="625"/>
      <c r="E677" s="626"/>
      <c r="F677" s="647"/>
      <c r="G677" s="625"/>
      <c r="H677" s="625"/>
      <c r="I677" s="625"/>
      <c r="J677" s="625"/>
      <c r="K677" s="625"/>
    </row>
    <row r="678" ht="20.25" spans="1:11">
      <c r="A678" s="625"/>
      <c r="B678" s="625"/>
      <c r="C678" s="625"/>
      <c r="D678" s="625"/>
      <c r="E678" s="626"/>
      <c r="F678" s="647"/>
      <c r="G678" s="625"/>
      <c r="H678" s="625"/>
      <c r="I678" s="625"/>
      <c r="J678" s="625"/>
      <c r="K678" s="625"/>
    </row>
    <row r="679" ht="20.25" spans="1:11">
      <c r="A679" s="625"/>
      <c r="B679" s="625"/>
      <c r="C679" s="625"/>
      <c r="D679" s="625"/>
      <c r="E679" s="626"/>
      <c r="F679" s="647"/>
      <c r="G679" s="625"/>
      <c r="H679" s="625"/>
      <c r="I679" s="625"/>
      <c r="J679" s="625"/>
      <c r="K679" s="625"/>
    </row>
    <row r="680" ht="20.25" spans="1:11">
      <c r="A680" s="625"/>
      <c r="B680" s="625"/>
      <c r="C680" s="625"/>
      <c r="D680" s="625"/>
      <c r="E680" s="626"/>
      <c r="F680" s="647"/>
      <c r="G680" s="625"/>
      <c r="H680" s="625"/>
      <c r="I680" s="625"/>
      <c r="J680" s="625"/>
      <c r="K680" s="625"/>
    </row>
    <row r="681" ht="20.25" spans="1:11">
      <c r="A681" s="625"/>
      <c r="B681" s="625"/>
      <c r="C681" s="625"/>
      <c r="D681" s="625"/>
      <c r="E681" s="626"/>
      <c r="F681" s="647"/>
      <c r="G681" s="625"/>
      <c r="H681" s="625"/>
      <c r="I681" s="625"/>
      <c r="J681" s="625"/>
      <c r="K681" s="625"/>
    </row>
    <row r="682" ht="20.25" spans="1:11">
      <c r="A682" s="625"/>
      <c r="B682" s="625"/>
      <c r="C682" s="625"/>
      <c r="D682" s="625"/>
      <c r="E682" s="626"/>
      <c r="F682" s="647"/>
      <c r="G682" s="625"/>
      <c r="H682" s="625"/>
      <c r="I682" s="625"/>
      <c r="J682" s="625"/>
      <c r="K682" s="625"/>
    </row>
    <row r="683" ht="20.25" spans="1:11">
      <c r="A683" s="625"/>
      <c r="B683" s="625"/>
      <c r="C683" s="625"/>
      <c r="D683" s="625"/>
      <c r="E683" s="626"/>
      <c r="F683" s="647"/>
      <c r="G683" s="625"/>
      <c r="H683" s="625"/>
      <c r="I683" s="625"/>
      <c r="J683" s="625"/>
      <c r="K683" s="625"/>
    </row>
    <row r="684" ht="20.25" spans="1:11">
      <c r="A684" s="625"/>
      <c r="B684" s="625"/>
      <c r="C684" s="625"/>
      <c r="D684" s="625"/>
      <c r="E684" s="626"/>
      <c r="F684" s="647"/>
      <c r="G684" s="625"/>
      <c r="H684" s="625"/>
      <c r="I684" s="625"/>
      <c r="J684" s="625"/>
      <c r="K684" s="625"/>
    </row>
    <row r="685" ht="20.25" spans="1:11">
      <c r="A685" s="625"/>
      <c r="B685" s="625"/>
      <c r="C685" s="625"/>
      <c r="D685" s="625"/>
      <c r="E685" s="626"/>
      <c r="F685" s="647"/>
      <c r="G685" s="625"/>
      <c r="H685" s="625"/>
      <c r="I685" s="625"/>
      <c r="J685" s="625"/>
      <c r="K685" s="625"/>
    </row>
    <row r="686" ht="20.25" spans="1:11">
      <c r="A686" s="625"/>
      <c r="B686" s="625"/>
      <c r="C686" s="625"/>
      <c r="D686" s="625"/>
      <c r="E686" s="626"/>
      <c r="F686" s="647"/>
      <c r="G686" s="625"/>
      <c r="H686" s="625"/>
      <c r="I686" s="625"/>
      <c r="J686" s="625"/>
      <c r="K686" s="625"/>
    </row>
    <row r="687" ht="20.25" spans="1:11">
      <c r="A687" s="625"/>
      <c r="B687" s="625"/>
      <c r="C687" s="625"/>
      <c r="D687" s="625"/>
      <c r="E687" s="626"/>
      <c r="F687" s="647"/>
      <c r="G687" s="625"/>
      <c r="H687" s="625"/>
      <c r="I687" s="625"/>
      <c r="J687" s="625"/>
      <c r="K687" s="625"/>
    </row>
    <row r="688" ht="20.25" spans="1:11">
      <c r="A688" s="625"/>
      <c r="B688" s="625"/>
      <c r="C688" s="625"/>
      <c r="D688" s="625"/>
      <c r="E688" s="626"/>
      <c r="F688" s="647"/>
      <c r="G688" s="625"/>
      <c r="H688" s="625"/>
      <c r="I688" s="625"/>
      <c r="J688" s="625"/>
      <c r="K688" s="625"/>
    </row>
    <row r="689" ht="20.25" spans="1:11">
      <c r="A689" s="625"/>
      <c r="B689" s="625"/>
      <c r="C689" s="625"/>
      <c r="D689" s="625"/>
      <c r="E689" s="626"/>
      <c r="F689" s="647"/>
      <c r="G689" s="625"/>
      <c r="H689" s="625"/>
      <c r="I689" s="625"/>
      <c r="J689" s="625"/>
      <c r="K689" s="625"/>
    </row>
    <row r="690" ht="20.25" spans="1:11">
      <c r="A690" s="625"/>
      <c r="B690" s="625"/>
      <c r="C690" s="625"/>
      <c r="D690" s="625"/>
      <c r="E690" s="626"/>
      <c r="F690" s="647"/>
      <c r="G690" s="625"/>
      <c r="H690" s="625"/>
      <c r="I690" s="625"/>
      <c r="J690" s="625"/>
      <c r="K690" s="625"/>
    </row>
    <row r="691" ht="20.25" spans="1:11">
      <c r="A691" s="625"/>
      <c r="B691" s="625"/>
      <c r="C691" s="625"/>
      <c r="D691" s="625"/>
      <c r="E691" s="626"/>
      <c r="F691" s="647"/>
      <c r="G691" s="625"/>
      <c r="H691" s="625"/>
      <c r="I691" s="625"/>
      <c r="J691" s="625"/>
      <c r="K691" s="625"/>
    </row>
    <row r="692" ht="20.25" spans="1:11">
      <c r="A692" s="625"/>
      <c r="B692" s="625"/>
      <c r="C692" s="625"/>
      <c r="D692" s="625"/>
      <c r="E692" s="626"/>
      <c r="F692" s="647"/>
      <c r="G692" s="625"/>
      <c r="H692" s="625"/>
      <c r="I692" s="625"/>
      <c r="J692" s="625"/>
      <c r="K692" s="625"/>
    </row>
    <row r="693" ht="20.25" spans="1:11">
      <c r="A693" s="625"/>
      <c r="B693" s="625"/>
      <c r="C693" s="625"/>
      <c r="D693" s="625"/>
      <c r="E693" s="626"/>
      <c r="F693" s="647"/>
      <c r="G693" s="625"/>
      <c r="H693" s="625"/>
      <c r="I693" s="625"/>
      <c r="J693" s="625"/>
      <c r="K693" s="625"/>
    </row>
    <row r="694" ht="20.25" spans="1:11">
      <c r="A694" s="625"/>
      <c r="B694" s="625"/>
      <c r="C694" s="625"/>
      <c r="D694" s="625"/>
      <c r="E694" s="626"/>
      <c r="F694" s="647"/>
      <c r="G694" s="625"/>
      <c r="H694" s="625"/>
      <c r="I694" s="625"/>
      <c r="J694" s="625"/>
      <c r="K694" s="625"/>
    </row>
    <row r="695" ht="20.25" spans="1:11">
      <c r="A695" s="625"/>
      <c r="B695" s="625"/>
      <c r="C695" s="625"/>
      <c r="D695" s="625"/>
      <c r="E695" s="626"/>
      <c r="F695" s="647"/>
      <c r="G695" s="625"/>
      <c r="H695" s="625"/>
      <c r="I695" s="625"/>
      <c r="J695" s="625"/>
      <c r="K695" s="625"/>
    </row>
    <row r="696" ht="20.25" spans="1:11">
      <c r="A696" s="625"/>
      <c r="B696" s="625"/>
      <c r="C696" s="625"/>
      <c r="D696" s="625"/>
      <c r="E696" s="626"/>
      <c r="F696" s="647"/>
      <c r="G696" s="625"/>
      <c r="H696" s="625"/>
      <c r="I696" s="625"/>
      <c r="J696" s="625"/>
      <c r="K696" s="625"/>
    </row>
    <row r="697" ht="20.25" spans="1:11">
      <c r="A697" s="625"/>
      <c r="B697" s="625"/>
      <c r="C697" s="625"/>
      <c r="D697" s="625"/>
      <c r="E697" s="626"/>
      <c r="F697" s="647"/>
      <c r="G697" s="625"/>
      <c r="H697" s="625"/>
      <c r="I697" s="625"/>
      <c r="J697" s="625"/>
      <c r="K697" s="625"/>
    </row>
    <row r="698" ht="20.25" spans="1:11">
      <c r="A698" s="625"/>
      <c r="B698" s="625"/>
      <c r="C698" s="625"/>
      <c r="D698" s="625"/>
      <c r="E698" s="626"/>
      <c r="F698" s="647"/>
      <c r="G698" s="625"/>
      <c r="H698" s="625"/>
      <c r="I698" s="625"/>
      <c r="J698" s="625"/>
      <c r="K698" s="625"/>
    </row>
    <row r="699" ht="20.25" spans="1:11">
      <c r="A699" s="625"/>
      <c r="B699" s="625"/>
      <c r="C699" s="625"/>
      <c r="D699" s="625"/>
      <c r="E699" s="626"/>
      <c r="F699" s="647"/>
      <c r="G699" s="625"/>
      <c r="H699" s="625"/>
      <c r="I699" s="625"/>
      <c r="J699" s="625"/>
      <c r="K699" s="625"/>
    </row>
    <row r="700" ht="20.25" spans="1:11">
      <c r="A700" s="625"/>
      <c r="B700" s="625"/>
      <c r="C700" s="625"/>
      <c r="D700" s="625"/>
      <c r="E700" s="626"/>
      <c r="F700" s="647"/>
      <c r="G700" s="625"/>
      <c r="H700" s="625"/>
      <c r="I700" s="625"/>
      <c r="J700" s="625"/>
      <c r="K700" s="625"/>
    </row>
    <row r="701" ht="20.25" spans="1:11">
      <c r="A701" s="625"/>
      <c r="B701" s="625"/>
      <c r="C701" s="625"/>
      <c r="D701" s="625"/>
      <c r="E701" s="626"/>
      <c r="F701" s="647"/>
      <c r="G701" s="625"/>
      <c r="H701" s="625"/>
      <c r="I701" s="625"/>
      <c r="J701" s="625"/>
      <c r="K701" s="625"/>
    </row>
    <row r="702" ht="20.25" spans="1:11">
      <c r="A702" s="625"/>
      <c r="B702" s="625"/>
      <c r="C702" s="625"/>
      <c r="D702" s="625"/>
      <c r="E702" s="626"/>
      <c r="F702" s="647"/>
      <c r="G702" s="625"/>
      <c r="H702" s="625"/>
      <c r="I702" s="625"/>
      <c r="J702" s="625"/>
      <c r="K702" s="625"/>
    </row>
    <row r="703" ht="20.25" spans="1:11">
      <c r="A703" s="625"/>
      <c r="B703" s="625"/>
      <c r="C703" s="625"/>
      <c r="D703" s="625"/>
      <c r="E703" s="626"/>
      <c r="F703" s="647"/>
      <c r="G703" s="625"/>
      <c r="H703" s="625"/>
      <c r="I703" s="625"/>
      <c r="J703" s="625"/>
      <c r="K703" s="625"/>
    </row>
    <row r="704" ht="20.25" spans="1:11">
      <c r="A704" s="625"/>
      <c r="B704" s="625"/>
      <c r="C704" s="625"/>
      <c r="D704" s="625"/>
      <c r="E704" s="626"/>
      <c r="F704" s="647"/>
      <c r="G704" s="625"/>
      <c r="H704" s="625"/>
      <c r="I704" s="625"/>
      <c r="J704" s="625"/>
      <c r="K704" s="625"/>
    </row>
    <row r="705" ht="20.25" spans="1:11">
      <c r="A705" s="625"/>
      <c r="B705" s="625"/>
      <c r="C705" s="625"/>
      <c r="D705" s="625"/>
      <c r="E705" s="626"/>
      <c r="F705" s="647"/>
      <c r="G705" s="625"/>
      <c r="H705" s="625"/>
      <c r="I705" s="625"/>
      <c r="J705" s="625"/>
      <c r="K705" s="625"/>
    </row>
    <row r="706" ht="20.25" spans="1:11">
      <c r="A706" s="625"/>
      <c r="B706" s="625"/>
      <c r="C706" s="625"/>
      <c r="D706" s="625"/>
      <c r="E706" s="626"/>
      <c r="F706" s="647"/>
      <c r="G706" s="625"/>
      <c r="H706" s="625"/>
      <c r="I706" s="625"/>
      <c r="J706" s="625"/>
      <c r="K706" s="625"/>
    </row>
    <row r="707" ht="20.25" spans="1:11">
      <c r="A707" s="625"/>
      <c r="B707" s="625"/>
      <c r="C707" s="625"/>
      <c r="D707" s="625"/>
      <c r="E707" s="626"/>
      <c r="F707" s="647"/>
      <c r="G707" s="625"/>
      <c r="H707" s="625"/>
      <c r="I707" s="625"/>
      <c r="J707" s="625"/>
      <c r="K707" s="625"/>
    </row>
    <row r="708" ht="20.25" spans="1:11">
      <c r="A708" s="625"/>
      <c r="B708" s="625"/>
      <c r="C708" s="625"/>
      <c r="D708" s="625"/>
      <c r="E708" s="626"/>
      <c r="F708" s="647"/>
      <c r="G708" s="625"/>
      <c r="H708" s="625"/>
      <c r="I708" s="625"/>
      <c r="J708" s="625"/>
      <c r="K708" s="625"/>
    </row>
    <row r="709" ht="20.25" spans="1:11">
      <c r="A709" s="625"/>
      <c r="B709" s="625"/>
      <c r="C709" s="625"/>
      <c r="D709" s="625"/>
      <c r="E709" s="626"/>
      <c r="F709" s="647"/>
      <c r="G709" s="625"/>
      <c r="H709" s="625"/>
      <c r="I709" s="625"/>
      <c r="J709" s="625"/>
      <c r="K709" s="625"/>
    </row>
    <row r="710" ht="20.25" spans="1:11">
      <c r="A710" s="625"/>
      <c r="B710" s="625"/>
      <c r="C710" s="625"/>
      <c r="D710" s="625"/>
      <c r="E710" s="626"/>
      <c r="F710" s="647"/>
      <c r="G710" s="625"/>
      <c r="H710" s="625"/>
      <c r="I710" s="625"/>
      <c r="J710" s="625"/>
      <c r="K710" s="625"/>
    </row>
    <row r="711" ht="20.25" spans="1:11">
      <c r="A711" s="625"/>
      <c r="B711" s="625"/>
      <c r="C711" s="625"/>
      <c r="D711" s="625"/>
      <c r="E711" s="626"/>
      <c r="F711" s="647"/>
      <c r="G711" s="625"/>
      <c r="H711" s="625"/>
      <c r="I711" s="625"/>
      <c r="J711" s="625"/>
      <c r="K711" s="625"/>
    </row>
    <row r="712" ht="20.25" spans="1:11">
      <c r="A712" s="625"/>
      <c r="B712" s="625"/>
      <c r="C712" s="625"/>
      <c r="D712" s="625"/>
      <c r="E712" s="626"/>
      <c r="F712" s="647"/>
      <c r="G712" s="625"/>
      <c r="H712" s="625"/>
      <c r="I712" s="625"/>
      <c r="J712" s="625"/>
      <c r="K712" s="625"/>
    </row>
    <row r="713" ht="20.25" spans="1:11">
      <c r="A713" s="625"/>
      <c r="B713" s="625"/>
      <c r="C713" s="625"/>
      <c r="D713" s="625"/>
      <c r="E713" s="626"/>
      <c r="F713" s="647"/>
      <c r="G713" s="625"/>
      <c r="H713" s="625"/>
      <c r="I713" s="625"/>
      <c r="J713" s="625"/>
      <c r="K713" s="625"/>
    </row>
    <row r="714" ht="20.25" spans="1:11">
      <c r="A714" s="625"/>
      <c r="B714" s="625"/>
      <c r="C714" s="625"/>
      <c r="D714" s="625"/>
      <c r="E714" s="626"/>
      <c r="F714" s="647"/>
      <c r="G714" s="625"/>
      <c r="H714" s="625"/>
      <c r="I714" s="625"/>
      <c r="J714" s="625"/>
      <c r="K714" s="625"/>
    </row>
    <row r="715" ht="20.25" spans="1:11">
      <c r="A715" s="625"/>
      <c r="B715" s="625"/>
      <c r="C715" s="625"/>
      <c r="D715" s="625"/>
      <c r="E715" s="626"/>
      <c r="F715" s="647"/>
      <c r="G715" s="625"/>
      <c r="H715" s="625"/>
      <c r="I715" s="625"/>
      <c r="J715" s="625"/>
      <c r="K715" s="625"/>
    </row>
    <row r="716" ht="20.25" spans="1:11">
      <c r="A716" s="625"/>
      <c r="B716" s="625"/>
      <c r="C716" s="625"/>
      <c r="D716" s="625"/>
      <c r="E716" s="626"/>
      <c r="F716" s="647"/>
      <c r="G716" s="625"/>
      <c r="H716" s="625"/>
      <c r="I716" s="625"/>
      <c r="J716" s="625"/>
      <c r="K716" s="625"/>
    </row>
    <row r="717" ht="20.25" spans="1:11">
      <c r="A717" s="625"/>
      <c r="B717" s="625"/>
      <c r="C717" s="625"/>
      <c r="D717" s="625"/>
      <c r="E717" s="626"/>
      <c r="F717" s="647"/>
      <c r="G717" s="625"/>
      <c r="H717" s="625"/>
      <c r="I717" s="625"/>
      <c r="J717" s="625"/>
      <c r="K717" s="625"/>
    </row>
    <row r="718" ht="20.25" spans="1:11">
      <c r="A718" s="625"/>
      <c r="B718" s="625"/>
      <c r="C718" s="625"/>
      <c r="D718" s="625"/>
      <c r="E718" s="626"/>
      <c r="F718" s="647"/>
      <c r="G718" s="625"/>
      <c r="H718" s="625"/>
      <c r="I718" s="625"/>
      <c r="J718" s="625"/>
      <c r="K718" s="625"/>
    </row>
    <row r="719" ht="20.25" spans="1:11">
      <c r="A719" s="625"/>
      <c r="B719" s="625"/>
      <c r="C719" s="625"/>
      <c r="D719" s="625"/>
      <c r="E719" s="626"/>
      <c r="F719" s="647"/>
      <c r="G719" s="625"/>
      <c r="H719" s="625"/>
      <c r="I719" s="625"/>
      <c r="J719" s="625"/>
      <c r="K719" s="625"/>
    </row>
    <row r="720" ht="20.25" spans="1:11">
      <c r="A720" s="625"/>
      <c r="B720" s="625"/>
      <c r="C720" s="625"/>
      <c r="D720" s="625"/>
      <c r="E720" s="626"/>
      <c r="F720" s="647"/>
      <c r="G720" s="625"/>
      <c r="H720" s="625"/>
      <c r="I720" s="625"/>
      <c r="J720" s="625"/>
      <c r="K720" s="625"/>
    </row>
    <row r="721" ht="20.25" spans="1:11">
      <c r="A721" s="625"/>
      <c r="B721" s="625"/>
      <c r="C721" s="625"/>
      <c r="D721" s="625"/>
      <c r="E721" s="626"/>
      <c r="F721" s="647"/>
      <c r="G721" s="625"/>
      <c r="H721" s="625"/>
      <c r="I721" s="625"/>
      <c r="J721" s="625"/>
      <c r="K721" s="625"/>
    </row>
    <row r="722" ht="20.25" spans="1:11">
      <c r="A722" s="625"/>
      <c r="B722" s="625"/>
      <c r="C722" s="625"/>
      <c r="D722" s="625"/>
      <c r="E722" s="626"/>
      <c r="F722" s="647"/>
      <c r="G722" s="625"/>
      <c r="H722" s="625"/>
      <c r="I722" s="625"/>
      <c r="J722" s="625"/>
      <c r="K722" s="625"/>
    </row>
    <row r="723" ht="20.25" spans="1:11">
      <c r="A723" s="625"/>
      <c r="B723" s="625"/>
      <c r="C723" s="625"/>
      <c r="D723" s="625"/>
      <c r="E723" s="626"/>
      <c r="F723" s="647"/>
      <c r="G723" s="625"/>
      <c r="H723" s="625"/>
      <c r="I723" s="625"/>
      <c r="J723" s="625"/>
      <c r="K723" s="625"/>
    </row>
    <row r="724" ht="20.25" spans="1:11">
      <c r="A724" s="625"/>
      <c r="B724" s="625"/>
      <c r="C724" s="625"/>
      <c r="D724" s="625"/>
      <c r="E724" s="626"/>
      <c r="F724" s="647"/>
      <c r="G724" s="625"/>
      <c r="H724" s="625"/>
      <c r="I724" s="625"/>
      <c r="J724" s="625"/>
      <c r="K724" s="625"/>
    </row>
    <row r="725" ht="20.25" spans="1:11">
      <c r="A725" s="625"/>
      <c r="B725" s="625"/>
      <c r="C725" s="625"/>
      <c r="D725" s="625"/>
      <c r="E725" s="626"/>
      <c r="F725" s="647"/>
      <c r="G725" s="625"/>
      <c r="H725" s="625"/>
      <c r="I725" s="625"/>
      <c r="J725" s="625"/>
      <c r="K725" s="625"/>
    </row>
    <row r="726" ht="20.25" spans="1:11">
      <c r="A726" s="625"/>
      <c r="B726" s="625"/>
      <c r="C726" s="625"/>
      <c r="D726" s="625"/>
      <c r="E726" s="626"/>
      <c r="F726" s="647"/>
      <c r="G726" s="625"/>
      <c r="H726" s="625"/>
      <c r="I726" s="625"/>
      <c r="J726" s="625"/>
      <c r="K726" s="625"/>
    </row>
    <row r="727" ht="20.25" spans="1:11">
      <c r="A727" s="625"/>
      <c r="B727" s="625"/>
      <c r="C727" s="625"/>
      <c r="D727" s="625"/>
      <c r="E727" s="626"/>
      <c r="F727" s="647"/>
      <c r="G727" s="625"/>
      <c r="H727" s="625"/>
      <c r="I727" s="625"/>
      <c r="J727" s="625"/>
      <c r="K727" s="625"/>
    </row>
    <row r="728" ht="20.25" spans="1:11">
      <c r="A728" s="625"/>
      <c r="B728" s="625"/>
      <c r="C728" s="625"/>
      <c r="D728" s="625"/>
      <c r="E728" s="626"/>
      <c r="F728" s="647"/>
      <c r="G728" s="625"/>
      <c r="H728" s="625"/>
      <c r="I728" s="625"/>
      <c r="J728" s="625"/>
      <c r="K728" s="625"/>
    </row>
    <row r="729" ht="20.25" spans="1:11">
      <c r="A729" s="625"/>
      <c r="B729" s="625"/>
      <c r="C729" s="625"/>
      <c r="D729" s="625"/>
      <c r="E729" s="626"/>
      <c r="F729" s="647"/>
      <c r="G729" s="625"/>
      <c r="H729" s="625"/>
      <c r="I729" s="625"/>
      <c r="J729" s="625"/>
      <c r="K729" s="625"/>
    </row>
    <row r="730" ht="20.25" spans="1:11">
      <c r="A730" s="625"/>
      <c r="B730" s="625"/>
      <c r="C730" s="625"/>
      <c r="D730" s="625"/>
      <c r="E730" s="626"/>
      <c r="F730" s="647"/>
      <c r="G730" s="625"/>
      <c r="H730" s="625"/>
      <c r="I730" s="625"/>
      <c r="J730" s="625"/>
      <c r="K730" s="625"/>
    </row>
    <row r="731" ht="20.25" spans="1:11">
      <c r="A731" s="625"/>
      <c r="B731" s="625"/>
      <c r="C731" s="625"/>
      <c r="D731" s="625"/>
      <c r="E731" s="626"/>
      <c r="F731" s="647"/>
      <c r="G731" s="625"/>
      <c r="H731" s="625"/>
      <c r="I731" s="625"/>
      <c r="J731" s="625"/>
      <c r="K731" s="625"/>
    </row>
    <row r="732" ht="20.25" spans="1:11">
      <c r="A732" s="625"/>
      <c r="B732" s="625"/>
      <c r="C732" s="625"/>
      <c r="D732" s="625"/>
      <c r="E732" s="626"/>
      <c r="F732" s="647"/>
      <c r="G732" s="625"/>
      <c r="H732" s="625"/>
      <c r="I732" s="625"/>
      <c r="J732" s="625"/>
      <c r="K732" s="625"/>
    </row>
    <row r="733" ht="20.25" spans="1:11">
      <c r="A733" s="625"/>
      <c r="B733" s="625"/>
      <c r="C733" s="625"/>
      <c r="D733" s="625"/>
      <c r="E733" s="626"/>
      <c r="F733" s="647"/>
      <c r="G733" s="625"/>
      <c r="H733" s="625"/>
      <c r="I733" s="625"/>
      <c r="J733" s="625"/>
      <c r="K733" s="625"/>
    </row>
    <row r="734" ht="20.25" spans="1:11">
      <c r="A734" s="625"/>
      <c r="B734" s="625"/>
      <c r="C734" s="625"/>
      <c r="D734" s="625"/>
      <c r="E734" s="626"/>
      <c r="F734" s="647"/>
      <c r="G734" s="625"/>
      <c r="H734" s="625"/>
      <c r="I734" s="625"/>
      <c r="J734" s="625"/>
      <c r="K734" s="625"/>
    </row>
    <row r="735" ht="20.25" spans="1:11">
      <c r="A735" s="625"/>
      <c r="B735" s="625"/>
      <c r="C735" s="625"/>
      <c r="D735" s="625"/>
      <c r="E735" s="626"/>
      <c r="F735" s="647"/>
      <c r="G735" s="625"/>
      <c r="H735" s="625"/>
      <c r="I735" s="625"/>
      <c r="J735" s="625"/>
      <c r="K735" s="625"/>
    </row>
    <row r="736" ht="20.25" spans="1:11">
      <c r="A736" s="625"/>
      <c r="B736" s="625"/>
      <c r="C736" s="625"/>
      <c r="D736" s="625"/>
      <c r="E736" s="626"/>
      <c r="F736" s="647"/>
      <c r="G736" s="625"/>
      <c r="H736" s="625"/>
      <c r="I736" s="625"/>
      <c r="J736" s="625"/>
      <c r="K736" s="625"/>
    </row>
    <row r="737" ht="20.25" spans="1:11">
      <c r="A737" s="625"/>
      <c r="B737" s="625"/>
      <c r="C737" s="625"/>
      <c r="D737" s="625"/>
      <c r="E737" s="626"/>
      <c r="F737" s="647"/>
      <c r="G737" s="625"/>
      <c r="H737" s="625"/>
      <c r="I737" s="625"/>
      <c r="J737" s="625"/>
      <c r="K737" s="625"/>
    </row>
    <row r="738" ht="20.25" spans="1:11">
      <c r="A738" s="625"/>
      <c r="B738" s="625"/>
      <c r="C738" s="625"/>
      <c r="D738" s="625"/>
      <c r="E738" s="626"/>
      <c r="F738" s="647"/>
      <c r="G738" s="625"/>
      <c r="H738" s="625"/>
      <c r="I738" s="625"/>
      <c r="J738" s="625"/>
      <c r="K738" s="625"/>
    </row>
    <row r="739" ht="20.25" spans="1:11">
      <c r="A739" s="625"/>
      <c r="B739" s="625"/>
      <c r="C739" s="625"/>
      <c r="D739" s="625"/>
      <c r="E739" s="626"/>
      <c r="F739" s="647"/>
      <c r="G739" s="625"/>
      <c r="H739" s="625"/>
      <c r="I739" s="625"/>
      <c r="J739" s="625"/>
      <c r="K739" s="625"/>
    </row>
    <row r="740" ht="20.25" spans="1:11">
      <c r="A740" s="625"/>
      <c r="B740" s="625"/>
      <c r="C740" s="625"/>
      <c r="D740" s="625"/>
      <c r="E740" s="626"/>
      <c r="F740" s="647"/>
      <c r="G740" s="625"/>
      <c r="H740" s="625"/>
      <c r="I740" s="625"/>
      <c r="J740" s="625"/>
      <c r="K740" s="625"/>
    </row>
    <row r="741" ht="20.25" spans="1:11">
      <c r="A741" s="625"/>
      <c r="B741" s="625"/>
      <c r="C741" s="625"/>
      <c r="D741" s="625"/>
      <c r="E741" s="626"/>
      <c r="F741" s="647"/>
      <c r="G741" s="625"/>
      <c r="H741" s="625"/>
      <c r="I741" s="625"/>
      <c r="J741" s="625"/>
      <c r="K741" s="625"/>
    </row>
    <row r="742" ht="20.25" spans="1:11">
      <c r="A742" s="625"/>
      <c r="B742" s="625"/>
      <c r="C742" s="625"/>
      <c r="D742" s="625"/>
      <c r="E742" s="626"/>
      <c r="F742" s="647"/>
      <c r="G742" s="625"/>
      <c r="H742" s="625"/>
      <c r="I742" s="625"/>
      <c r="J742" s="625"/>
      <c r="K742" s="625"/>
    </row>
    <row r="743" ht="20.25" spans="1:11">
      <c r="A743" s="625"/>
      <c r="B743" s="625"/>
      <c r="C743" s="625"/>
      <c r="D743" s="625"/>
      <c r="E743" s="626"/>
      <c r="F743" s="647"/>
      <c r="G743" s="625"/>
      <c r="H743" s="625"/>
      <c r="I743" s="625"/>
      <c r="J743" s="625"/>
      <c r="K743" s="625"/>
    </row>
    <row r="744" ht="20.25" spans="1:11">
      <c r="A744" s="625"/>
      <c r="B744" s="625"/>
      <c r="C744" s="625"/>
      <c r="D744" s="625"/>
      <c r="E744" s="626"/>
      <c r="F744" s="647"/>
      <c r="G744" s="625"/>
      <c r="H744" s="625"/>
      <c r="I744" s="625"/>
      <c r="J744" s="625"/>
      <c r="K744" s="625"/>
    </row>
    <row r="745" ht="20.25" spans="1:11">
      <c r="A745" s="625"/>
      <c r="B745" s="625"/>
      <c r="C745" s="625"/>
      <c r="D745" s="625"/>
      <c r="E745" s="626"/>
      <c r="F745" s="647"/>
      <c r="G745" s="625"/>
      <c r="H745" s="625"/>
      <c r="I745" s="625"/>
      <c r="J745" s="625"/>
      <c r="K745" s="625"/>
    </row>
    <row r="746" ht="20.25" spans="1:11">
      <c r="A746" s="625"/>
      <c r="B746" s="625"/>
      <c r="C746" s="625"/>
      <c r="D746" s="625"/>
      <c r="E746" s="626"/>
      <c r="F746" s="647"/>
      <c r="G746" s="625"/>
      <c r="H746" s="625"/>
      <c r="I746" s="625"/>
      <c r="J746" s="625"/>
      <c r="K746" s="625"/>
    </row>
    <row r="747" ht="20.25" spans="1:11">
      <c r="A747" s="625"/>
      <c r="B747" s="625"/>
      <c r="C747" s="625"/>
      <c r="D747" s="625"/>
      <c r="E747" s="626"/>
      <c r="F747" s="647"/>
      <c r="G747" s="625"/>
      <c r="H747" s="625"/>
      <c r="I747" s="625"/>
      <c r="J747" s="625"/>
      <c r="K747" s="625"/>
    </row>
    <row r="748" ht="20.25" spans="1:11">
      <c r="A748" s="625"/>
      <c r="B748" s="625"/>
      <c r="C748" s="625"/>
      <c r="D748" s="625"/>
      <c r="E748" s="626"/>
      <c r="F748" s="647"/>
      <c r="G748" s="625"/>
      <c r="H748" s="625"/>
      <c r="I748" s="625"/>
      <c r="J748" s="625"/>
      <c r="K748" s="625"/>
    </row>
    <row r="749" ht="20.25" spans="1:11">
      <c r="A749" s="625"/>
      <c r="B749" s="625"/>
      <c r="C749" s="625"/>
      <c r="D749" s="625"/>
      <c r="E749" s="626"/>
      <c r="F749" s="647"/>
      <c r="G749" s="625"/>
      <c r="H749" s="625"/>
      <c r="I749" s="625"/>
      <c r="J749" s="625"/>
      <c r="K749" s="625"/>
    </row>
    <row r="750" ht="20.25" spans="1:11">
      <c r="A750" s="625"/>
      <c r="B750" s="625"/>
      <c r="C750" s="625"/>
      <c r="D750" s="625"/>
      <c r="E750" s="626"/>
      <c r="F750" s="647"/>
      <c r="G750" s="625"/>
      <c r="H750" s="625"/>
      <c r="I750" s="625"/>
      <c r="J750" s="625"/>
      <c r="K750" s="625"/>
    </row>
    <row r="751" ht="20.25" spans="1:11">
      <c r="A751" s="625"/>
      <c r="B751" s="625"/>
      <c r="C751" s="625"/>
      <c r="D751" s="625"/>
      <c r="E751" s="626"/>
      <c r="F751" s="647"/>
      <c r="G751" s="625"/>
      <c r="H751" s="625"/>
      <c r="I751" s="625"/>
      <c r="J751" s="625"/>
      <c r="K751" s="625"/>
    </row>
    <row r="752" ht="20.25" spans="1:11">
      <c r="A752" s="625"/>
      <c r="B752" s="625"/>
      <c r="C752" s="625"/>
      <c r="D752" s="625"/>
      <c r="E752" s="626"/>
      <c r="F752" s="647"/>
      <c r="G752" s="625"/>
      <c r="H752" s="625"/>
      <c r="I752" s="625"/>
      <c r="J752" s="625"/>
      <c r="K752" s="625"/>
    </row>
    <row r="753" ht="20.25" spans="1:11">
      <c r="A753" s="625"/>
      <c r="B753" s="625"/>
      <c r="C753" s="625"/>
      <c r="D753" s="625"/>
      <c r="E753" s="626"/>
      <c r="F753" s="647"/>
      <c r="G753" s="625"/>
      <c r="H753" s="625"/>
      <c r="I753" s="625"/>
      <c r="J753" s="625"/>
      <c r="K753" s="625"/>
    </row>
    <row r="754" ht="20.25" spans="1:11">
      <c r="A754" s="625"/>
      <c r="B754" s="625"/>
      <c r="C754" s="625"/>
      <c r="D754" s="625"/>
      <c r="E754" s="626"/>
      <c r="F754" s="647"/>
      <c r="G754" s="625"/>
      <c r="H754" s="625"/>
      <c r="I754" s="625"/>
      <c r="J754" s="625"/>
      <c r="K754" s="625"/>
    </row>
    <row r="755" ht="20.25" spans="1:11">
      <c r="A755" s="625"/>
      <c r="B755" s="625"/>
      <c r="C755" s="625"/>
      <c r="D755" s="625"/>
      <c r="E755" s="626"/>
      <c r="F755" s="647"/>
      <c r="G755" s="625"/>
      <c r="H755" s="625"/>
      <c r="I755" s="625"/>
      <c r="J755" s="625"/>
      <c r="K755" s="62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27" customWidth="1"/>
    <col min="2" max="2" width="4.375" style="527" customWidth="1"/>
    <col min="3" max="3" width="3.875" style="527" customWidth="1"/>
    <col min="4" max="4" width="5" style="527" customWidth="1"/>
    <col min="5" max="5" width="7.625" style="527" customWidth="1"/>
    <col min="6" max="6" width="7.5" style="527" customWidth="1"/>
    <col min="7" max="7" width="5.625" style="527" customWidth="1"/>
    <col min="8" max="8" width="8" style="527" customWidth="1"/>
    <col min="9" max="9" width="3.25" style="527" customWidth="1"/>
    <col min="10" max="10" width="4.875" style="527" customWidth="1"/>
    <col min="11" max="11" width="4.75" style="527" customWidth="1"/>
    <col min="12" max="12" width="6.75" style="527" customWidth="1"/>
    <col min="13" max="13" width="0.625" style="527" hidden="1" customWidth="1"/>
    <col min="14" max="14" width="3.75" style="527" customWidth="1"/>
    <col min="15" max="15" width="6.625" style="527" customWidth="1"/>
    <col min="16" max="16" width="4.5" style="527" customWidth="1"/>
    <col min="17" max="17" width="7" style="527" customWidth="1"/>
    <col min="18" max="18" width="5.125" style="527" customWidth="1"/>
    <col min="19" max="19" width="4.75" style="527" customWidth="1"/>
    <col min="20" max="20" width="5.625" style="527" customWidth="1"/>
    <col min="21" max="21" width="4.875" style="527" customWidth="1"/>
    <col min="22" max="22" width="5.25" style="528" customWidth="1"/>
    <col min="23" max="23" width="4.875" style="528" customWidth="1"/>
    <col min="24" max="24" width="9.25" style="528" customWidth="1"/>
    <col min="25" max="25" width="9.5" style="527" customWidth="1"/>
    <col min="26" max="26" width="9.875" style="527" customWidth="1"/>
    <col min="27" max="28" width="10" style="527" customWidth="1"/>
    <col min="29" max="29" width="6.625" style="527" customWidth="1"/>
    <col min="30" max="30" width="6.5" style="527" customWidth="1"/>
    <col min="31" max="31" width="9" style="527"/>
    <col min="32" max="32" width="8.5" style="527" customWidth="1"/>
    <col min="33" max="33" width="6.375" style="527" customWidth="1"/>
    <col min="34" max="34" width="5.75" style="527" customWidth="1"/>
    <col min="35" max="35" width="12.625" style="527" customWidth="1"/>
    <col min="36" max="36" width="8.375" style="528" customWidth="1"/>
    <col min="37" max="37" width="24.875" style="527" customWidth="1"/>
    <col min="38" max="38" width="9" style="527"/>
    <col min="39" max="39" width="37.5" style="527" customWidth="1"/>
    <col min="40" max="16384" width="9" style="527"/>
  </cols>
  <sheetData>
    <row r="1" ht="18.75" spans="1:19">
      <c r="A1" s="529" t="s">
        <v>1030</v>
      </c>
      <c r="B1" s="529"/>
      <c r="C1" s="529"/>
      <c r="D1" s="529"/>
      <c r="E1" s="529"/>
      <c r="F1" s="529"/>
      <c r="G1" s="529"/>
      <c r="H1" s="529"/>
      <c r="I1" s="529"/>
      <c r="J1" s="529"/>
      <c r="K1" s="529"/>
      <c r="L1" s="529"/>
      <c r="M1" s="529"/>
      <c r="N1" s="529"/>
      <c r="O1" s="529"/>
      <c r="P1" s="529"/>
      <c r="Q1" s="529"/>
      <c r="R1" s="529"/>
      <c r="S1" s="558"/>
    </row>
    <row r="2" ht="20.1" customHeight="1" spans="1:18">
      <c r="A2" s="530" t="s">
        <v>943</v>
      </c>
      <c r="B2" s="530"/>
      <c r="C2" s="530"/>
      <c r="D2" s="531">
        <f>'免漆门板单 (2)'!C4</f>
        <v>0</v>
      </c>
      <c r="E2" s="531"/>
      <c r="F2" s="531"/>
      <c r="G2" s="531" t="str">
        <f>'免漆门板单 (2)'!F4</f>
        <v>版本型录号</v>
      </c>
      <c r="H2" s="531"/>
      <c r="I2" s="531">
        <f>下料单!Y2</f>
        <v>0</v>
      </c>
      <c r="J2" s="531"/>
      <c r="K2" s="531"/>
      <c r="L2" s="531"/>
      <c r="M2" s="541"/>
      <c r="N2" s="542" t="s">
        <v>1031</v>
      </c>
      <c r="O2" s="542"/>
      <c r="P2" s="543" t="str">
        <f>'免漆门板单 (2)'!K6</f>
        <v>简爱</v>
      </c>
      <c r="Q2" s="543"/>
      <c r="R2" s="543"/>
    </row>
    <row r="3" ht="20.1" customHeight="1" spans="1:31">
      <c r="A3" s="530" t="s">
        <v>945</v>
      </c>
      <c r="B3" s="530"/>
      <c r="C3" s="530"/>
      <c r="D3" s="531">
        <f>'免漆门板单 (2)'!C5</f>
        <v>0</v>
      </c>
      <c r="E3" s="531"/>
      <c r="F3" s="531"/>
      <c r="G3" s="531" t="s">
        <v>520</v>
      </c>
      <c r="H3" s="531"/>
      <c r="I3" s="544">
        <f>'免漆门板单 (2)'!H5</f>
        <v>0</v>
      </c>
      <c r="J3" s="531"/>
      <c r="K3" s="531"/>
      <c r="L3" s="531"/>
      <c r="M3" s="541"/>
      <c r="N3" s="541" t="s">
        <v>1032</v>
      </c>
      <c r="O3" s="545"/>
      <c r="P3" s="543">
        <f>'免漆门板单 (2)'!K5</f>
        <v>0</v>
      </c>
      <c r="Q3" s="543"/>
      <c r="R3" s="543"/>
      <c r="S3" s="559"/>
      <c r="T3" s="560"/>
      <c r="U3" s="561"/>
      <c r="V3" s="561"/>
      <c r="W3" s="561"/>
      <c r="X3" s="561"/>
      <c r="Y3" s="561"/>
      <c r="Z3" s="561"/>
      <c r="AA3" s="561"/>
      <c r="AB3" s="561"/>
      <c r="AC3" s="561"/>
      <c r="AD3" s="561"/>
      <c r="AE3" s="566"/>
    </row>
    <row r="4" ht="20.1" customHeight="1" spans="1:31">
      <c r="A4" s="531" t="s">
        <v>221</v>
      </c>
      <c r="B4" s="531" t="s">
        <v>22</v>
      </c>
      <c r="C4" s="531" t="s">
        <v>211</v>
      </c>
      <c r="D4" s="531"/>
      <c r="E4" s="531" t="s">
        <v>212</v>
      </c>
      <c r="F4" s="531"/>
      <c r="G4" s="531" t="s">
        <v>90</v>
      </c>
      <c r="H4" s="531" t="s">
        <v>26</v>
      </c>
      <c r="I4" s="531" t="s">
        <v>221</v>
      </c>
      <c r="J4" s="531" t="s">
        <v>22</v>
      </c>
      <c r="K4" s="531" t="s">
        <v>211</v>
      </c>
      <c r="L4" s="531"/>
      <c r="M4" s="531"/>
      <c r="N4" s="543" t="s">
        <v>1033</v>
      </c>
      <c r="O4" s="543"/>
      <c r="P4" s="543"/>
      <c r="Q4" s="531" t="s">
        <v>90</v>
      </c>
      <c r="R4" s="531" t="s">
        <v>26</v>
      </c>
      <c r="S4" s="559"/>
      <c r="T4" s="560"/>
      <c r="U4" s="562"/>
      <c r="V4" s="562"/>
      <c r="W4" s="563"/>
      <c r="X4" s="563"/>
      <c r="Y4" s="563"/>
      <c r="Z4" s="561"/>
      <c r="AA4" s="561"/>
      <c r="AB4" s="561"/>
      <c r="AC4" s="561"/>
      <c r="AD4" s="561"/>
      <c r="AE4" s="567"/>
    </row>
    <row r="5" ht="20.1" customHeight="1" spans="1:18">
      <c r="A5" s="532" t="s">
        <v>1034</v>
      </c>
      <c r="B5" s="531">
        <v>1</v>
      </c>
      <c r="C5" s="531" t="s">
        <v>1035</v>
      </c>
      <c r="D5" s="531"/>
      <c r="E5" s="532" t="str">
        <f>VLOOKUP('免漆门板单 (2)'!C6,'免漆门板单 (2)'!V9:Y25,3,FALSE)</f>
        <v>暖白双贴三聚氰胺E0级刨花板（竖纹）</v>
      </c>
      <c r="F5" s="532"/>
      <c r="G5" s="533" t="b">
        <f>IF('免漆门板单 (2)'!L3=1,'免漆门板单 (2)'!Q42,IF('免漆门板单 (2)'!L3=2,'免漆门板单 (2)'!Q43,IF('免漆门板单 (2)'!L3=3,'免漆门板单 (2)'!Q44)))</f>
        <v>0</v>
      </c>
      <c r="H5" s="531" t="s">
        <v>231</v>
      </c>
      <c r="I5" s="546" t="s">
        <v>1036</v>
      </c>
      <c r="J5" s="531">
        <v>1</v>
      </c>
      <c r="K5" s="532" t="s">
        <v>960</v>
      </c>
      <c r="L5" s="532"/>
      <c r="M5" s="531"/>
      <c r="N5" s="547" t="str">
        <f>VLOOKUP('免漆门板单 (2)'!C6,'免漆门板单 (2)'!V9:Y25,4,FALSE)</f>
        <v>2.0*22暖白PVC</v>
      </c>
      <c r="O5" s="547"/>
      <c r="P5" s="547"/>
      <c r="Q5" s="564">
        <f>IF(N5="T型铝封边",'免漆门板单 (2)'!M38,'免漆门板单 (2)'!L38)</f>
        <v>0</v>
      </c>
      <c r="R5" s="531" t="s">
        <v>261</v>
      </c>
    </row>
    <row r="6" ht="20.1" customHeight="1" spans="1:18">
      <c r="A6" s="532"/>
      <c r="B6" s="531"/>
      <c r="C6" s="531"/>
      <c r="D6" s="531"/>
      <c r="E6" s="532"/>
      <c r="F6" s="532"/>
      <c r="G6" s="533"/>
      <c r="H6" s="531"/>
      <c r="I6" s="548"/>
      <c r="J6" s="531"/>
      <c r="K6" s="532"/>
      <c r="L6" s="532"/>
      <c r="M6" s="531"/>
      <c r="N6" s="547"/>
      <c r="O6" s="547"/>
      <c r="P6" s="547"/>
      <c r="Q6" s="564"/>
      <c r="R6" s="531"/>
    </row>
    <row r="7" ht="20.1" customHeight="1" spans="1:18">
      <c r="A7" s="532"/>
      <c r="B7" s="531"/>
      <c r="C7" s="531"/>
      <c r="D7" s="531"/>
      <c r="E7" s="532"/>
      <c r="F7" s="532"/>
      <c r="G7" s="533"/>
      <c r="H7" s="531"/>
      <c r="I7" s="548"/>
      <c r="J7" s="531"/>
      <c r="K7" s="532"/>
      <c r="L7" s="532"/>
      <c r="M7" s="531"/>
      <c r="N7" s="547"/>
      <c r="O7" s="547"/>
      <c r="P7" s="547"/>
      <c r="Q7" s="564"/>
      <c r="R7" s="531"/>
    </row>
    <row r="8" ht="24.75" customHeight="1" spans="1:18">
      <c r="A8" s="532"/>
      <c r="B8" s="531"/>
      <c r="C8" s="531"/>
      <c r="D8" s="531"/>
      <c r="E8" s="532"/>
      <c r="F8" s="532"/>
      <c r="G8" s="533"/>
      <c r="H8" s="531"/>
      <c r="I8" s="548"/>
      <c r="J8" s="531">
        <v>2</v>
      </c>
      <c r="K8" s="531" t="str">
        <f>IF(N5="T型铝封边","普施宝免钉胶","热熔胶")</f>
        <v>热熔胶</v>
      </c>
      <c r="L8" s="531"/>
      <c r="M8" s="531"/>
      <c r="N8" s="531" t="str">
        <f>IF(N5="T型铝封边","","丽凯8803A")</f>
        <v>丽凯8803A</v>
      </c>
      <c r="O8" s="531"/>
      <c r="P8" s="531"/>
      <c r="Q8" s="564">
        <f>IF(N5="T型铝封边",Q5/12,Q5*4.1)</f>
        <v>0</v>
      </c>
      <c r="R8" s="531" t="str">
        <f>IF(N5="T型铝封边","支","克")</f>
        <v>克</v>
      </c>
    </row>
    <row r="9" ht="40.5" customHeight="1" spans="1:18">
      <c r="A9" s="532"/>
      <c r="B9" s="531"/>
      <c r="C9" s="531"/>
      <c r="D9" s="531"/>
      <c r="E9" s="531"/>
      <c r="F9" s="531"/>
      <c r="G9" s="531"/>
      <c r="H9" s="531"/>
      <c r="I9" s="548"/>
      <c r="J9" s="531"/>
      <c r="K9" s="531"/>
      <c r="L9" s="531"/>
      <c r="M9" s="531"/>
      <c r="N9" s="531"/>
      <c r="O9" s="531"/>
      <c r="P9" s="531"/>
      <c r="Q9" s="565"/>
      <c r="R9" s="531"/>
    </row>
    <row r="10" ht="20.1" customHeight="1" spans="1:18">
      <c r="A10" s="532"/>
      <c r="B10" s="531"/>
      <c r="C10" s="531"/>
      <c r="D10" s="531"/>
      <c r="E10" s="531"/>
      <c r="F10" s="531"/>
      <c r="G10" s="531"/>
      <c r="H10" s="531"/>
      <c r="I10" s="548"/>
      <c r="J10" s="531"/>
      <c r="K10" s="532"/>
      <c r="L10" s="532"/>
      <c r="M10" s="532"/>
      <c r="N10" s="549"/>
      <c r="O10" s="549"/>
      <c r="P10" s="549"/>
      <c r="Q10" s="531"/>
      <c r="R10" s="531"/>
    </row>
    <row r="11" ht="20.1" customHeight="1" spans="1:18">
      <c r="A11" s="532"/>
      <c r="B11" s="531"/>
      <c r="C11" s="531"/>
      <c r="D11" s="531"/>
      <c r="E11" s="531"/>
      <c r="F11" s="531"/>
      <c r="G11" s="531"/>
      <c r="H11" s="531"/>
      <c r="I11" s="548"/>
      <c r="J11" s="531"/>
      <c r="K11" s="532"/>
      <c r="L11" s="532"/>
      <c r="M11" s="532"/>
      <c r="N11" s="549"/>
      <c r="O11" s="549"/>
      <c r="P11" s="549"/>
      <c r="Q11" s="531"/>
      <c r="R11" s="531"/>
    </row>
    <row r="12" ht="20.1" customHeight="1" spans="1:18">
      <c r="A12" s="532"/>
      <c r="B12" s="531"/>
      <c r="C12" s="531"/>
      <c r="D12" s="531"/>
      <c r="E12" s="531"/>
      <c r="F12" s="531"/>
      <c r="G12" s="531"/>
      <c r="H12" s="531"/>
      <c r="I12" s="548"/>
      <c r="J12" s="531">
        <v>6</v>
      </c>
      <c r="K12" s="532" t="s">
        <v>1037</v>
      </c>
      <c r="L12" s="532"/>
      <c r="M12" s="532"/>
      <c r="N12" s="549" t="s">
        <v>1038</v>
      </c>
      <c r="O12" s="549"/>
      <c r="P12" s="549"/>
      <c r="Q12" s="531"/>
      <c r="R12" s="531" t="s">
        <v>261</v>
      </c>
    </row>
    <row r="13" ht="20.1" customHeight="1" spans="1:18">
      <c r="A13" s="532"/>
      <c r="B13" s="531"/>
      <c r="C13" s="531"/>
      <c r="D13" s="531"/>
      <c r="E13" s="531"/>
      <c r="F13" s="531"/>
      <c r="G13" s="531"/>
      <c r="H13" s="531"/>
      <c r="I13" s="548"/>
      <c r="J13" s="531">
        <v>7</v>
      </c>
      <c r="K13" s="550" t="s">
        <v>1039</v>
      </c>
      <c r="L13" s="551"/>
      <c r="M13" s="551"/>
      <c r="N13" s="551"/>
      <c r="O13" s="551"/>
      <c r="P13" s="552"/>
      <c r="Q13" s="531"/>
      <c r="R13" s="531" t="s">
        <v>439</v>
      </c>
    </row>
    <row r="14" ht="20.1" customHeight="1" spans="1:18">
      <c r="A14" s="532"/>
      <c r="B14" s="531"/>
      <c r="C14" s="531"/>
      <c r="D14" s="531"/>
      <c r="E14" s="531"/>
      <c r="F14" s="531"/>
      <c r="G14" s="531"/>
      <c r="H14" s="531"/>
      <c r="I14" s="553"/>
      <c r="J14" s="531"/>
      <c r="K14" s="532"/>
      <c r="L14" s="532"/>
      <c r="M14" s="532"/>
      <c r="N14" s="531"/>
      <c r="O14" s="531"/>
      <c r="P14" s="531"/>
      <c r="Q14" s="531"/>
      <c r="R14" s="531"/>
    </row>
    <row r="15" ht="20.1" customHeight="1" spans="1:18">
      <c r="A15" s="532"/>
      <c r="B15" s="531"/>
      <c r="C15" s="531"/>
      <c r="D15" s="531"/>
      <c r="E15" s="531"/>
      <c r="F15" s="531"/>
      <c r="G15" s="531"/>
      <c r="H15" s="531"/>
      <c r="I15" s="532"/>
      <c r="J15" s="531"/>
      <c r="K15" s="531"/>
      <c r="L15" s="531"/>
      <c r="M15" s="531"/>
      <c r="N15" s="531"/>
      <c r="O15" s="531"/>
      <c r="P15" s="531"/>
      <c r="Q15" s="565"/>
      <c r="R15" s="531"/>
    </row>
    <row r="16" ht="20.1" customHeight="1" spans="1:18">
      <c r="A16" s="532"/>
      <c r="B16" s="531"/>
      <c r="C16" s="531"/>
      <c r="D16" s="531"/>
      <c r="E16" s="531"/>
      <c r="F16" s="531"/>
      <c r="G16" s="531"/>
      <c r="H16" s="531"/>
      <c r="I16" s="532"/>
      <c r="J16" s="531"/>
      <c r="K16" s="531"/>
      <c r="L16" s="531"/>
      <c r="M16" s="531"/>
      <c r="N16" s="531"/>
      <c r="O16" s="531"/>
      <c r="P16" s="531"/>
      <c r="Q16" s="565"/>
      <c r="R16" s="531"/>
    </row>
    <row r="17" ht="15" customHeight="1" spans="1:18">
      <c r="A17" s="534"/>
      <c r="B17" s="534"/>
      <c r="C17" s="534"/>
      <c r="D17" s="534"/>
      <c r="E17" s="534"/>
      <c r="F17" s="534"/>
      <c r="G17" s="534"/>
      <c r="H17" s="534"/>
      <c r="I17" s="534"/>
      <c r="J17" s="534"/>
      <c r="K17" s="534"/>
      <c r="L17" s="534"/>
      <c r="M17" s="554"/>
      <c r="N17" s="554"/>
      <c r="O17" s="554"/>
      <c r="P17" s="554"/>
      <c r="Q17" s="554"/>
      <c r="R17" s="554"/>
    </row>
    <row r="18" ht="15" customHeight="1" spans="1:18">
      <c r="A18" s="535"/>
      <c r="B18" s="535"/>
      <c r="C18" s="534"/>
      <c r="D18" s="536" t="s">
        <v>1040</v>
      </c>
      <c r="E18" s="536"/>
      <c r="F18" s="537"/>
      <c r="G18" s="537"/>
      <c r="H18" s="537"/>
      <c r="I18" s="555"/>
      <c r="J18" s="556"/>
      <c r="K18" s="555"/>
      <c r="L18" s="536" t="s">
        <v>758</v>
      </c>
      <c r="M18" s="536"/>
      <c r="N18" s="537"/>
      <c r="O18" s="537"/>
      <c r="P18" s="554"/>
      <c r="Q18" s="554"/>
      <c r="R18" s="554"/>
    </row>
    <row r="19" ht="15" customHeight="1" spans="1:18">
      <c r="A19" s="535"/>
      <c r="B19" s="535"/>
      <c r="C19" s="534"/>
      <c r="D19" s="536"/>
      <c r="E19" s="536"/>
      <c r="F19" s="536"/>
      <c r="G19" s="536"/>
      <c r="H19" s="538"/>
      <c r="I19" s="555"/>
      <c r="J19" s="556"/>
      <c r="K19" s="555"/>
      <c r="L19" s="536"/>
      <c r="M19" s="536"/>
      <c r="N19" s="557"/>
      <c r="O19" s="557"/>
      <c r="P19" s="554"/>
      <c r="Q19" s="554"/>
      <c r="R19" s="554"/>
    </row>
    <row r="20" ht="15" customHeight="1" spans="1:18">
      <c r="A20" s="535"/>
      <c r="B20" s="535"/>
      <c r="C20" s="534"/>
      <c r="D20" s="536" t="s">
        <v>1041</v>
      </c>
      <c r="E20" s="536"/>
      <c r="F20" s="539"/>
      <c r="G20" s="539"/>
      <c r="H20" s="539"/>
      <c r="I20" s="555"/>
      <c r="J20" s="556"/>
      <c r="K20" s="556" t="s">
        <v>1042</v>
      </c>
      <c r="L20" s="556"/>
      <c r="M20" s="556"/>
      <c r="N20" s="537"/>
      <c r="O20" s="537"/>
      <c r="P20" s="554"/>
      <c r="Q20" s="554"/>
      <c r="R20" s="554"/>
    </row>
    <row r="21" spans="1:18">
      <c r="A21" s="540"/>
      <c r="B21" s="540"/>
      <c r="C21" s="540"/>
      <c r="D21" s="540"/>
      <c r="E21" s="540"/>
      <c r="F21" s="540"/>
      <c r="G21" s="540"/>
      <c r="H21" s="540"/>
      <c r="I21" s="540"/>
      <c r="J21" s="540"/>
      <c r="K21" s="540"/>
      <c r="L21" s="540"/>
      <c r="M21" s="540"/>
      <c r="N21" s="540"/>
      <c r="O21" s="540"/>
      <c r="P21" s="540"/>
      <c r="Q21" s="540"/>
      <c r="R21" s="540"/>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17" customWidth="1"/>
    <col min="2" max="2" width="12.625" style="517" customWidth="1"/>
    <col min="3" max="9" width="9.625" style="517" customWidth="1"/>
    <col min="10" max="256" width="9" style="517"/>
    <col min="257" max="257" width="9.625" style="517" customWidth="1"/>
    <col min="258" max="258" width="12.625" style="517" customWidth="1"/>
    <col min="259" max="265" width="9.625" style="517" customWidth="1"/>
    <col min="266" max="512" width="9" style="517"/>
    <col min="513" max="513" width="9.625" style="517" customWidth="1"/>
    <col min="514" max="514" width="12.625" style="517" customWidth="1"/>
    <col min="515" max="521" width="9.625" style="517" customWidth="1"/>
    <col min="522" max="768" width="9" style="517"/>
    <col min="769" max="769" width="9.625" style="517" customWidth="1"/>
    <col min="770" max="770" width="12.625" style="517" customWidth="1"/>
    <col min="771" max="777" width="9.625" style="517" customWidth="1"/>
    <col min="778" max="1024" width="9" style="517"/>
    <col min="1025" max="1025" width="9.625" style="517" customWidth="1"/>
    <col min="1026" max="1026" width="12.625" style="517" customWidth="1"/>
    <col min="1027" max="1033" width="9.625" style="517" customWidth="1"/>
    <col min="1034" max="1280" width="9" style="517"/>
    <col min="1281" max="1281" width="9.625" style="517" customWidth="1"/>
    <col min="1282" max="1282" width="12.625" style="517" customWidth="1"/>
    <col min="1283" max="1289" width="9.625" style="517" customWidth="1"/>
    <col min="1290" max="1536" width="9" style="517"/>
    <col min="1537" max="1537" width="9.625" style="517" customWidth="1"/>
    <col min="1538" max="1538" width="12.625" style="517" customWidth="1"/>
    <col min="1539" max="1545" width="9.625" style="517" customWidth="1"/>
    <col min="1546" max="1792" width="9" style="517"/>
    <col min="1793" max="1793" width="9.625" style="517" customWidth="1"/>
    <col min="1794" max="1794" width="12.625" style="517" customWidth="1"/>
    <col min="1795" max="1801" width="9.625" style="517" customWidth="1"/>
    <col min="1802" max="2048" width="9" style="517"/>
    <col min="2049" max="2049" width="9.625" style="517" customWidth="1"/>
    <col min="2050" max="2050" width="12.625" style="517" customWidth="1"/>
    <col min="2051" max="2057" width="9.625" style="517" customWidth="1"/>
    <col min="2058" max="2304" width="9" style="517"/>
    <col min="2305" max="2305" width="9.625" style="517" customWidth="1"/>
    <col min="2306" max="2306" width="12.625" style="517" customWidth="1"/>
    <col min="2307" max="2313" width="9.625" style="517" customWidth="1"/>
    <col min="2314" max="2560" width="9" style="517"/>
    <col min="2561" max="2561" width="9.625" style="517" customWidth="1"/>
    <col min="2562" max="2562" width="12.625" style="517" customWidth="1"/>
    <col min="2563" max="2569" width="9.625" style="517" customWidth="1"/>
    <col min="2570" max="2816" width="9" style="517"/>
    <col min="2817" max="2817" width="9.625" style="517" customWidth="1"/>
    <col min="2818" max="2818" width="12.625" style="517" customWidth="1"/>
    <col min="2819" max="2825" width="9.625" style="517" customWidth="1"/>
    <col min="2826" max="3072" width="9" style="517"/>
    <col min="3073" max="3073" width="9.625" style="517" customWidth="1"/>
    <col min="3074" max="3074" width="12.625" style="517" customWidth="1"/>
    <col min="3075" max="3081" width="9.625" style="517" customWidth="1"/>
    <col min="3082" max="3328" width="9" style="517"/>
    <col min="3329" max="3329" width="9.625" style="517" customWidth="1"/>
    <col min="3330" max="3330" width="12.625" style="517" customWidth="1"/>
    <col min="3331" max="3337" width="9.625" style="517" customWidth="1"/>
    <col min="3338" max="3584" width="9" style="517"/>
    <col min="3585" max="3585" width="9.625" style="517" customWidth="1"/>
    <col min="3586" max="3586" width="12.625" style="517" customWidth="1"/>
    <col min="3587" max="3593" width="9.625" style="517" customWidth="1"/>
    <col min="3594" max="3840" width="9" style="517"/>
    <col min="3841" max="3841" width="9.625" style="517" customWidth="1"/>
    <col min="3842" max="3842" width="12.625" style="517" customWidth="1"/>
    <col min="3843" max="3849" width="9.625" style="517" customWidth="1"/>
    <col min="3850" max="4096" width="9" style="517"/>
    <col min="4097" max="4097" width="9.625" style="517" customWidth="1"/>
    <col min="4098" max="4098" width="12.625" style="517" customWidth="1"/>
    <col min="4099" max="4105" width="9.625" style="517" customWidth="1"/>
    <col min="4106" max="4352" width="9" style="517"/>
    <col min="4353" max="4353" width="9.625" style="517" customWidth="1"/>
    <col min="4354" max="4354" width="12.625" style="517" customWidth="1"/>
    <col min="4355" max="4361" width="9.625" style="517" customWidth="1"/>
    <col min="4362" max="4608" width="9" style="517"/>
    <col min="4609" max="4609" width="9.625" style="517" customWidth="1"/>
    <col min="4610" max="4610" width="12.625" style="517" customWidth="1"/>
    <col min="4611" max="4617" width="9.625" style="517" customWidth="1"/>
    <col min="4618" max="4864" width="9" style="517"/>
    <col min="4865" max="4865" width="9.625" style="517" customWidth="1"/>
    <col min="4866" max="4866" width="12.625" style="517" customWidth="1"/>
    <col min="4867" max="4873" width="9.625" style="517" customWidth="1"/>
    <col min="4874" max="5120" width="9" style="517"/>
    <col min="5121" max="5121" width="9.625" style="517" customWidth="1"/>
    <col min="5122" max="5122" width="12.625" style="517" customWidth="1"/>
    <col min="5123" max="5129" width="9.625" style="517" customWidth="1"/>
    <col min="5130" max="5376" width="9" style="517"/>
    <col min="5377" max="5377" width="9.625" style="517" customWidth="1"/>
    <col min="5378" max="5378" width="12.625" style="517" customWidth="1"/>
    <col min="5379" max="5385" width="9.625" style="517" customWidth="1"/>
    <col min="5386" max="5632" width="9" style="517"/>
    <col min="5633" max="5633" width="9.625" style="517" customWidth="1"/>
    <col min="5634" max="5634" width="12.625" style="517" customWidth="1"/>
    <col min="5635" max="5641" width="9.625" style="517" customWidth="1"/>
    <col min="5642" max="5888" width="9" style="517"/>
    <col min="5889" max="5889" width="9.625" style="517" customWidth="1"/>
    <col min="5890" max="5890" width="12.625" style="517" customWidth="1"/>
    <col min="5891" max="5897" width="9.625" style="517" customWidth="1"/>
    <col min="5898" max="6144" width="9" style="517"/>
    <col min="6145" max="6145" width="9.625" style="517" customWidth="1"/>
    <col min="6146" max="6146" width="12.625" style="517" customWidth="1"/>
    <col min="6147" max="6153" width="9.625" style="517" customWidth="1"/>
    <col min="6154" max="6400" width="9" style="517"/>
    <col min="6401" max="6401" width="9.625" style="517" customWidth="1"/>
    <col min="6402" max="6402" width="12.625" style="517" customWidth="1"/>
    <col min="6403" max="6409" width="9.625" style="517" customWidth="1"/>
    <col min="6410" max="6656" width="9" style="517"/>
    <col min="6657" max="6657" width="9.625" style="517" customWidth="1"/>
    <col min="6658" max="6658" width="12.625" style="517" customWidth="1"/>
    <col min="6659" max="6665" width="9.625" style="517" customWidth="1"/>
    <col min="6666" max="6912" width="9" style="517"/>
    <col min="6913" max="6913" width="9.625" style="517" customWidth="1"/>
    <col min="6914" max="6914" width="12.625" style="517" customWidth="1"/>
    <col min="6915" max="6921" width="9.625" style="517" customWidth="1"/>
    <col min="6922" max="7168" width="9" style="517"/>
    <col min="7169" max="7169" width="9.625" style="517" customWidth="1"/>
    <col min="7170" max="7170" width="12.625" style="517" customWidth="1"/>
    <col min="7171" max="7177" width="9.625" style="517" customWidth="1"/>
    <col min="7178" max="7424" width="9" style="517"/>
    <col min="7425" max="7425" width="9.625" style="517" customWidth="1"/>
    <col min="7426" max="7426" width="12.625" style="517" customWidth="1"/>
    <col min="7427" max="7433" width="9.625" style="517" customWidth="1"/>
    <col min="7434" max="7680" width="9" style="517"/>
    <col min="7681" max="7681" width="9.625" style="517" customWidth="1"/>
    <col min="7682" max="7682" width="12.625" style="517" customWidth="1"/>
    <col min="7683" max="7689" width="9.625" style="517" customWidth="1"/>
    <col min="7690" max="7936" width="9" style="517"/>
    <col min="7937" max="7937" width="9.625" style="517" customWidth="1"/>
    <col min="7938" max="7938" width="12.625" style="517" customWidth="1"/>
    <col min="7939" max="7945" width="9.625" style="517" customWidth="1"/>
    <col min="7946" max="8192" width="9" style="517"/>
    <col min="8193" max="8193" width="9.625" style="517" customWidth="1"/>
    <col min="8194" max="8194" width="12.625" style="517" customWidth="1"/>
    <col min="8195" max="8201" width="9.625" style="517" customWidth="1"/>
    <col min="8202" max="8448" width="9" style="517"/>
    <col min="8449" max="8449" width="9.625" style="517" customWidth="1"/>
    <col min="8450" max="8450" width="12.625" style="517" customWidth="1"/>
    <col min="8451" max="8457" width="9.625" style="517" customWidth="1"/>
    <col min="8458" max="8704" width="9" style="517"/>
    <col min="8705" max="8705" width="9.625" style="517" customWidth="1"/>
    <col min="8706" max="8706" width="12.625" style="517" customWidth="1"/>
    <col min="8707" max="8713" width="9.625" style="517" customWidth="1"/>
    <col min="8714" max="8960" width="9" style="517"/>
    <col min="8961" max="8961" width="9.625" style="517" customWidth="1"/>
    <col min="8962" max="8962" width="12.625" style="517" customWidth="1"/>
    <col min="8963" max="8969" width="9.625" style="517" customWidth="1"/>
    <col min="8970" max="9216" width="9" style="517"/>
    <col min="9217" max="9217" width="9.625" style="517" customWidth="1"/>
    <col min="9218" max="9218" width="12.625" style="517" customWidth="1"/>
    <col min="9219" max="9225" width="9.625" style="517" customWidth="1"/>
    <col min="9226" max="9472" width="9" style="517"/>
    <col min="9473" max="9473" width="9.625" style="517" customWidth="1"/>
    <col min="9474" max="9474" width="12.625" style="517" customWidth="1"/>
    <col min="9475" max="9481" width="9.625" style="517" customWidth="1"/>
    <col min="9482" max="9728" width="9" style="517"/>
    <col min="9729" max="9729" width="9.625" style="517" customWidth="1"/>
    <col min="9730" max="9730" width="12.625" style="517" customWidth="1"/>
    <col min="9731" max="9737" width="9.625" style="517" customWidth="1"/>
    <col min="9738" max="9984" width="9" style="517"/>
    <col min="9985" max="9985" width="9.625" style="517" customWidth="1"/>
    <col min="9986" max="9986" width="12.625" style="517" customWidth="1"/>
    <col min="9987" max="9993" width="9.625" style="517" customWidth="1"/>
    <col min="9994" max="10240" width="9" style="517"/>
    <col min="10241" max="10241" width="9.625" style="517" customWidth="1"/>
    <col min="10242" max="10242" width="12.625" style="517" customWidth="1"/>
    <col min="10243" max="10249" width="9.625" style="517" customWidth="1"/>
    <col min="10250" max="10496" width="9" style="517"/>
    <col min="10497" max="10497" width="9.625" style="517" customWidth="1"/>
    <col min="10498" max="10498" width="12.625" style="517" customWidth="1"/>
    <col min="10499" max="10505" width="9.625" style="517" customWidth="1"/>
    <col min="10506" max="10752" width="9" style="517"/>
    <col min="10753" max="10753" width="9.625" style="517" customWidth="1"/>
    <col min="10754" max="10754" width="12.625" style="517" customWidth="1"/>
    <col min="10755" max="10761" width="9.625" style="517" customWidth="1"/>
    <col min="10762" max="11008" width="9" style="517"/>
    <col min="11009" max="11009" width="9.625" style="517" customWidth="1"/>
    <col min="11010" max="11010" width="12.625" style="517" customWidth="1"/>
    <col min="11011" max="11017" width="9.625" style="517" customWidth="1"/>
    <col min="11018" max="11264" width="9" style="517"/>
    <col min="11265" max="11265" width="9.625" style="517" customWidth="1"/>
    <col min="11266" max="11266" width="12.625" style="517" customWidth="1"/>
    <col min="11267" max="11273" width="9.625" style="517" customWidth="1"/>
    <col min="11274" max="11520" width="9" style="517"/>
    <col min="11521" max="11521" width="9.625" style="517" customWidth="1"/>
    <col min="11522" max="11522" width="12.625" style="517" customWidth="1"/>
    <col min="11523" max="11529" width="9.625" style="517" customWidth="1"/>
    <col min="11530" max="11776" width="9" style="517"/>
    <col min="11777" max="11777" width="9.625" style="517" customWidth="1"/>
    <col min="11778" max="11778" width="12.625" style="517" customWidth="1"/>
    <col min="11779" max="11785" width="9.625" style="517" customWidth="1"/>
    <col min="11786" max="12032" width="9" style="517"/>
    <col min="12033" max="12033" width="9.625" style="517" customWidth="1"/>
    <col min="12034" max="12034" width="12.625" style="517" customWidth="1"/>
    <col min="12035" max="12041" width="9.625" style="517" customWidth="1"/>
    <col min="12042" max="12288" width="9" style="517"/>
    <col min="12289" max="12289" width="9.625" style="517" customWidth="1"/>
    <col min="12290" max="12290" width="12.625" style="517" customWidth="1"/>
    <col min="12291" max="12297" width="9.625" style="517" customWidth="1"/>
    <col min="12298" max="12544" width="9" style="517"/>
    <col min="12545" max="12545" width="9.625" style="517" customWidth="1"/>
    <col min="12546" max="12546" width="12.625" style="517" customWidth="1"/>
    <col min="12547" max="12553" width="9.625" style="517" customWidth="1"/>
    <col min="12554" max="12800" width="9" style="517"/>
    <col min="12801" max="12801" width="9.625" style="517" customWidth="1"/>
    <col min="12802" max="12802" width="12.625" style="517" customWidth="1"/>
    <col min="12803" max="12809" width="9.625" style="517" customWidth="1"/>
    <col min="12810" max="13056" width="9" style="517"/>
    <col min="13057" max="13057" width="9.625" style="517" customWidth="1"/>
    <col min="13058" max="13058" width="12.625" style="517" customWidth="1"/>
    <col min="13059" max="13065" width="9.625" style="517" customWidth="1"/>
    <col min="13066" max="13312" width="9" style="517"/>
    <col min="13313" max="13313" width="9.625" style="517" customWidth="1"/>
    <col min="13314" max="13314" width="12.625" style="517" customWidth="1"/>
    <col min="13315" max="13321" width="9.625" style="517" customWidth="1"/>
    <col min="13322" max="13568" width="9" style="517"/>
    <col min="13569" max="13569" width="9.625" style="517" customWidth="1"/>
    <col min="13570" max="13570" width="12.625" style="517" customWidth="1"/>
    <col min="13571" max="13577" width="9.625" style="517" customWidth="1"/>
    <col min="13578" max="13824" width="9" style="517"/>
    <col min="13825" max="13825" width="9.625" style="517" customWidth="1"/>
    <col min="13826" max="13826" width="12.625" style="517" customWidth="1"/>
    <col min="13827" max="13833" width="9.625" style="517" customWidth="1"/>
    <col min="13834" max="14080" width="9" style="517"/>
    <col min="14081" max="14081" width="9.625" style="517" customWidth="1"/>
    <col min="14082" max="14082" width="12.625" style="517" customWidth="1"/>
    <col min="14083" max="14089" width="9.625" style="517" customWidth="1"/>
    <col min="14090" max="14336" width="9" style="517"/>
    <col min="14337" max="14337" width="9.625" style="517" customWidth="1"/>
    <col min="14338" max="14338" width="12.625" style="517" customWidth="1"/>
    <col min="14339" max="14345" width="9.625" style="517" customWidth="1"/>
    <col min="14346" max="14592" width="9" style="517"/>
    <col min="14593" max="14593" width="9.625" style="517" customWidth="1"/>
    <col min="14594" max="14594" width="12.625" style="517" customWidth="1"/>
    <col min="14595" max="14601" width="9.625" style="517" customWidth="1"/>
    <col min="14602" max="14848" width="9" style="517"/>
    <col min="14849" max="14849" width="9.625" style="517" customWidth="1"/>
    <col min="14850" max="14850" width="12.625" style="517" customWidth="1"/>
    <col min="14851" max="14857" width="9.625" style="517" customWidth="1"/>
    <col min="14858" max="15104" width="9" style="517"/>
    <col min="15105" max="15105" width="9.625" style="517" customWidth="1"/>
    <col min="15106" max="15106" width="12.625" style="517" customWidth="1"/>
    <col min="15107" max="15113" width="9.625" style="517" customWidth="1"/>
    <col min="15114" max="15360" width="9" style="517"/>
    <col min="15361" max="15361" width="9.625" style="517" customWidth="1"/>
    <col min="15362" max="15362" width="12.625" style="517" customWidth="1"/>
    <col min="15363" max="15369" width="9.625" style="517" customWidth="1"/>
    <col min="15370" max="15616" width="9" style="517"/>
    <col min="15617" max="15617" width="9.625" style="517" customWidth="1"/>
    <col min="15618" max="15618" width="12.625" style="517" customWidth="1"/>
    <col min="15619" max="15625" width="9.625" style="517" customWidth="1"/>
    <col min="15626" max="15872" width="9" style="517"/>
    <col min="15873" max="15873" width="9.625" style="517" customWidth="1"/>
    <col min="15874" max="15874" width="12.625" style="517" customWidth="1"/>
    <col min="15875" max="15881" width="9.625" style="517" customWidth="1"/>
    <col min="15882" max="16128" width="9" style="517"/>
    <col min="16129" max="16129" width="9.625" style="517" customWidth="1"/>
    <col min="16130" max="16130" width="12.625" style="517" customWidth="1"/>
    <col min="16131" max="16137" width="9.625" style="517" customWidth="1"/>
    <col min="16138" max="16384" width="9" style="517"/>
  </cols>
  <sheetData>
    <row r="1" ht="18" customHeight="1" spans="1:9">
      <c r="A1" s="518" t="s">
        <v>1043</v>
      </c>
      <c r="B1" s="518"/>
      <c r="C1" s="518"/>
      <c r="D1" s="518"/>
      <c r="E1" s="518"/>
      <c r="F1" s="518"/>
      <c r="G1" s="518"/>
      <c r="H1" s="518"/>
      <c r="I1" s="518"/>
    </row>
    <row r="2" customHeight="1" spans="7:9">
      <c r="G2" s="519" t="s">
        <v>1044</v>
      </c>
      <c r="I2" s="517" t="s">
        <v>379</v>
      </c>
    </row>
    <row r="3" customHeight="1" spans="1:9">
      <c r="A3" s="520" t="s">
        <v>1</v>
      </c>
      <c r="B3" s="520">
        <f>'作(4)'!C4</f>
        <v>0</v>
      </c>
      <c r="C3" s="520"/>
      <c r="D3" s="520" t="s">
        <v>2</v>
      </c>
      <c r="E3" s="520">
        <f>'作(4)'!C5</f>
        <v>0</v>
      </c>
      <c r="F3" s="520"/>
      <c r="G3" s="520" t="s">
        <v>3</v>
      </c>
      <c r="H3" s="521">
        <f ca="1">TODAY()</f>
        <v>43027</v>
      </c>
      <c r="I3" s="520"/>
    </row>
    <row r="4" customHeight="1" spans="1:9">
      <c r="A4" s="520" t="s">
        <v>4</v>
      </c>
      <c r="B4" s="520" t="s">
        <v>124</v>
      </c>
      <c r="C4" s="520"/>
      <c r="D4" s="520" t="s">
        <v>5</v>
      </c>
      <c r="E4" s="520">
        <f>'作(4)'!F6</f>
        <v>0</v>
      </c>
      <c r="F4" s="520"/>
      <c r="G4" s="520" t="s">
        <v>6</v>
      </c>
      <c r="H4" s="520"/>
      <c r="I4" s="520"/>
    </row>
    <row r="5" customHeight="1" spans="1:9">
      <c r="A5" s="520" t="s">
        <v>7</v>
      </c>
      <c r="B5" s="520">
        <f>下料单!AC2</f>
        <v>0</v>
      </c>
      <c r="C5" s="520"/>
      <c r="D5" s="520" t="s">
        <v>483</v>
      </c>
      <c r="E5" s="520"/>
      <c r="F5" s="520"/>
      <c r="G5" s="520" t="s">
        <v>9</v>
      </c>
      <c r="H5" s="520">
        <f>'作(4)'!K5</f>
        <v>0</v>
      </c>
      <c r="I5" s="520"/>
    </row>
    <row r="6" customHeight="1" spans="1:9">
      <c r="A6" s="522" t="s">
        <v>10</v>
      </c>
      <c r="B6" s="520" t="s">
        <v>11</v>
      </c>
      <c r="C6" s="520" t="s">
        <v>12</v>
      </c>
      <c r="D6" s="520" t="s">
        <v>13</v>
      </c>
      <c r="E6" s="520" t="s">
        <v>14</v>
      </c>
      <c r="F6" s="520" t="s">
        <v>15</v>
      </c>
      <c r="G6" s="520" t="s">
        <v>16</v>
      </c>
      <c r="H6" s="520"/>
      <c r="I6" s="520"/>
    </row>
    <row r="7" customHeight="1" spans="1:9">
      <c r="A7" s="522" t="s">
        <v>22</v>
      </c>
      <c r="B7" s="522" t="s">
        <v>24</v>
      </c>
      <c r="C7" s="522" t="s">
        <v>25</v>
      </c>
      <c r="D7" s="520" t="s">
        <v>3</v>
      </c>
      <c r="E7" s="520" t="s">
        <v>27</v>
      </c>
      <c r="F7" s="522" t="s">
        <v>28</v>
      </c>
      <c r="G7" s="522" t="s">
        <v>29</v>
      </c>
      <c r="H7" s="522" t="s">
        <v>30</v>
      </c>
      <c r="I7" s="522"/>
    </row>
    <row r="8" customHeight="1" spans="1:9">
      <c r="A8" s="522">
        <v>1</v>
      </c>
      <c r="B8" s="522" t="s">
        <v>169</v>
      </c>
      <c r="C8" s="523" t="str">
        <f>'作(4)'!K4</f>
        <v>0块</v>
      </c>
      <c r="D8" s="522"/>
      <c r="E8" s="522"/>
      <c r="F8" s="522"/>
      <c r="G8" s="522"/>
      <c r="H8" s="520"/>
      <c r="I8" s="520"/>
    </row>
    <row r="9" customHeight="1" spans="1:9">
      <c r="A9" s="522">
        <v>2</v>
      </c>
      <c r="B9" s="522" t="s">
        <v>914</v>
      </c>
      <c r="C9" s="523"/>
      <c r="D9" s="522"/>
      <c r="E9" s="522"/>
      <c r="F9" s="522"/>
      <c r="G9" s="522"/>
      <c r="H9" s="520"/>
      <c r="I9" s="520"/>
    </row>
    <row r="10" customHeight="1" spans="1:9">
      <c r="A10" s="522">
        <v>3</v>
      </c>
      <c r="B10" s="522" t="s">
        <v>915</v>
      </c>
      <c r="C10" s="523" t="str">
        <f>C8</f>
        <v>0块</v>
      </c>
      <c r="D10" s="522"/>
      <c r="E10" s="522"/>
      <c r="F10" s="522"/>
      <c r="G10" s="522"/>
      <c r="H10" s="520"/>
      <c r="I10" s="520"/>
    </row>
    <row r="11" customHeight="1" spans="1:9">
      <c r="A11" s="522">
        <v>4</v>
      </c>
      <c r="B11" s="522" t="s">
        <v>916</v>
      </c>
      <c r="C11" s="523"/>
      <c r="D11" s="522"/>
      <c r="E11" s="522"/>
      <c r="F11" s="522"/>
      <c r="G11" s="522"/>
      <c r="H11" s="520"/>
      <c r="I11" s="520"/>
    </row>
    <row r="12" customHeight="1" spans="1:9">
      <c r="A12" s="522">
        <v>5</v>
      </c>
      <c r="B12" s="522" t="s">
        <v>917</v>
      </c>
      <c r="C12" s="523"/>
      <c r="D12" s="522"/>
      <c r="E12" s="522"/>
      <c r="F12" s="522"/>
      <c r="G12" s="522"/>
      <c r="H12" s="520"/>
      <c r="I12" s="520"/>
    </row>
    <row r="13" customHeight="1" spans="1:9">
      <c r="A13" s="522">
        <v>6</v>
      </c>
      <c r="B13" s="522" t="s">
        <v>918</v>
      </c>
      <c r="C13" s="523"/>
      <c r="D13" s="522"/>
      <c r="E13" s="522"/>
      <c r="F13" s="522"/>
      <c r="G13" s="522"/>
      <c r="H13" s="520"/>
      <c r="I13" s="520"/>
    </row>
    <row r="14" customHeight="1" spans="1:9">
      <c r="A14" s="522">
        <v>7</v>
      </c>
      <c r="B14" s="522" t="s">
        <v>919</v>
      </c>
      <c r="C14" s="523"/>
      <c r="D14" s="522"/>
      <c r="E14" s="522"/>
      <c r="F14" s="522"/>
      <c r="G14" s="522"/>
      <c r="H14" s="520"/>
      <c r="I14" s="520"/>
    </row>
    <row r="15" customHeight="1" spans="1:9">
      <c r="A15" s="522">
        <v>8</v>
      </c>
      <c r="B15" s="522" t="s">
        <v>920</v>
      </c>
      <c r="C15" s="523"/>
      <c r="D15" s="522"/>
      <c r="E15" s="522"/>
      <c r="F15" s="522"/>
      <c r="G15" s="522"/>
      <c r="H15" s="520"/>
      <c r="I15" s="520"/>
    </row>
    <row r="16" customHeight="1" spans="1:9">
      <c r="A16" s="522">
        <v>9</v>
      </c>
      <c r="B16" s="522" t="s">
        <v>921</v>
      </c>
      <c r="C16" s="523"/>
      <c r="D16" s="522"/>
      <c r="E16" s="523"/>
      <c r="F16" s="522"/>
      <c r="G16" s="522"/>
      <c r="H16" s="520"/>
      <c r="I16" s="520"/>
    </row>
    <row r="17" customHeight="1" spans="1:9">
      <c r="A17" s="522">
        <v>10</v>
      </c>
      <c r="B17" s="522" t="s">
        <v>922</v>
      </c>
      <c r="C17" s="523"/>
      <c r="D17" s="522"/>
      <c r="E17" s="522"/>
      <c r="F17" s="522"/>
      <c r="G17" s="522"/>
      <c r="H17" s="520"/>
      <c r="I17" s="520"/>
    </row>
    <row r="18" customHeight="1" spans="1:9">
      <c r="A18" s="522">
        <v>11</v>
      </c>
      <c r="B18" s="522" t="s">
        <v>498</v>
      </c>
      <c r="C18" s="523"/>
      <c r="D18" s="522"/>
      <c r="E18" s="522"/>
      <c r="F18" s="522"/>
      <c r="G18" s="522"/>
      <c r="H18" s="520"/>
      <c r="I18" s="520"/>
    </row>
    <row r="19" customHeight="1" spans="1:9">
      <c r="A19" s="522">
        <v>12</v>
      </c>
      <c r="B19" s="522" t="s">
        <v>180</v>
      </c>
      <c r="C19" s="523"/>
      <c r="D19" s="522"/>
      <c r="E19" s="522"/>
      <c r="F19" s="522"/>
      <c r="G19" s="522"/>
      <c r="H19" s="520"/>
      <c r="I19" s="520"/>
    </row>
    <row r="20" customHeight="1" spans="1:9">
      <c r="A20" s="522">
        <v>13</v>
      </c>
      <c r="B20" s="522" t="s">
        <v>170</v>
      </c>
      <c r="C20" s="523"/>
      <c r="D20" s="522"/>
      <c r="E20" s="522"/>
      <c r="F20" s="522"/>
      <c r="G20" s="522"/>
      <c r="H20" s="520"/>
      <c r="I20" s="520"/>
    </row>
    <row r="21" customHeight="1" spans="1:9">
      <c r="A21" s="522">
        <v>14</v>
      </c>
      <c r="B21" s="522" t="s">
        <v>497</v>
      </c>
      <c r="C21" s="523"/>
      <c r="D21" s="522"/>
      <c r="E21" s="522"/>
      <c r="F21" s="522"/>
      <c r="G21" s="522"/>
      <c r="H21" s="520"/>
      <c r="I21" s="520"/>
    </row>
    <row r="22" customHeight="1" spans="1:9">
      <c r="A22" s="522">
        <v>15</v>
      </c>
      <c r="B22" s="522" t="s">
        <v>923</v>
      </c>
      <c r="C22" s="523"/>
      <c r="D22" s="522"/>
      <c r="E22" s="522"/>
      <c r="F22" s="522"/>
      <c r="G22" s="522"/>
      <c r="H22" s="520"/>
      <c r="I22" s="520"/>
    </row>
    <row r="23" customHeight="1" spans="1:9">
      <c r="A23" s="522">
        <v>16</v>
      </c>
      <c r="B23" s="522" t="s">
        <v>924</v>
      </c>
      <c r="C23" s="523"/>
      <c r="D23" s="522"/>
      <c r="E23" s="522"/>
      <c r="F23" s="522"/>
      <c r="G23" s="522"/>
      <c r="H23" s="520"/>
      <c r="I23" s="520"/>
    </row>
    <row r="24" customHeight="1" spans="1:9">
      <c r="A24" s="522">
        <v>17</v>
      </c>
      <c r="B24" s="522" t="s">
        <v>925</v>
      </c>
      <c r="C24" s="523"/>
      <c r="D24" s="522"/>
      <c r="E24" s="522"/>
      <c r="F24" s="522"/>
      <c r="G24" s="522"/>
      <c r="H24" s="520"/>
      <c r="I24" s="520"/>
    </row>
    <row r="25" customHeight="1" spans="1:9">
      <c r="A25" s="522">
        <v>18</v>
      </c>
      <c r="B25" s="522" t="s">
        <v>926</v>
      </c>
      <c r="C25" s="523" t="str">
        <f>C8</f>
        <v>0块</v>
      </c>
      <c r="D25" s="522"/>
      <c r="E25" s="522"/>
      <c r="F25" s="522"/>
      <c r="G25" s="522"/>
      <c r="H25" s="520"/>
      <c r="I25" s="520"/>
    </row>
    <row r="26" customHeight="1" spans="1:9">
      <c r="A26" s="522">
        <v>19</v>
      </c>
      <c r="B26" s="522" t="s">
        <v>927</v>
      </c>
      <c r="C26" s="523" t="str">
        <f t="shared" ref="C26:C35" si="0">C25</f>
        <v>0块</v>
      </c>
      <c r="D26" s="522"/>
      <c r="E26" s="522"/>
      <c r="F26" s="522"/>
      <c r="G26" s="522"/>
      <c r="H26" s="520"/>
      <c r="I26" s="520"/>
    </row>
    <row r="27" customHeight="1" spans="1:9">
      <c r="A27" s="522">
        <v>20</v>
      </c>
      <c r="B27" s="522" t="s">
        <v>928</v>
      </c>
      <c r="C27" s="523" t="str">
        <f t="shared" si="0"/>
        <v>0块</v>
      </c>
      <c r="D27" s="522"/>
      <c r="E27" s="522"/>
      <c r="F27" s="522"/>
      <c r="G27" s="522"/>
      <c r="H27" s="520"/>
      <c r="I27" s="520"/>
    </row>
    <row r="28" customHeight="1" spans="1:9">
      <c r="A28" s="522">
        <v>21</v>
      </c>
      <c r="B28" s="522" t="s">
        <v>929</v>
      </c>
      <c r="C28" s="523" t="str">
        <f t="shared" si="0"/>
        <v>0块</v>
      </c>
      <c r="D28" s="522"/>
      <c r="E28" s="522"/>
      <c r="F28" s="522"/>
      <c r="G28" s="522"/>
      <c r="H28" s="520"/>
      <c r="I28" s="520"/>
    </row>
    <row r="29" customHeight="1" spans="1:9">
      <c r="A29" s="522">
        <v>22</v>
      </c>
      <c r="B29" s="522" t="s">
        <v>930</v>
      </c>
      <c r="C29" s="523" t="str">
        <f t="shared" si="0"/>
        <v>0块</v>
      </c>
      <c r="D29" s="522"/>
      <c r="E29" s="522"/>
      <c r="F29" s="522"/>
      <c r="G29" s="522"/>
      <c r="H29" s="520"/>
      <c r="I29" s="520"/>
    </row>
    <row r="30" customHeight="1" spans="1:9">
      <c r="A30" s="522">
        <v>23</v>
      </c>
      <c r="B30" s="522" t="s">
        <v>931</v>
      </c>
      <c r="C30" s="523" t="str">
        <f t="shared" si="0"/>
        <v>0块</v>
      </c>
      <c r="D30" s="522"/>
      <c r="E30" s="522"/>
      <c r="F30" s="522"/>
      <c r="G30" s="522"/>
      <c r="H30" s="520"/>
      <c r="I30" s="520"/>
    </row>
    <row r="31" customHeight="1" spans="1:9">
      <c r="A31" s="522">
        <v>24</v>
      </c>
      <c r="B31" s="522" t="s">
        <v>932</v>
      </c>
      <c r="C31" s="523" t="str">
        <f t="shared" si="0"/>
        <v>0块</v>
      </c>
      <c r="D31" s="522"/>
      <c r="E31" s="522"/>
      <c r="F31" s="522"/>
      <c r="G31" s="522"/>
      <c r="H31" s="520"/>
      <c r="I31" s="520"/>
    </row>
    <row r="32" customHeight="1" spans="1:9">
      <c r="A32" s="522">
        <v>25</v>
      </c>
      <c r="B32" s="522" t="s">
        <v>933</v>
      </c>
      <c r="C32" s="523" t="str">
        <f t="shared" si="0"/>
        <v>0块</v>
      </c>
      <c r="D32" s="522"/>
      <c r="E32" s="522"/>
      <c r="F32" s="522"/>
      <c r="G32" s="522"/>
      <c r="H32" s="520"/>
      <c r="I32" s="520"/>
    </row>
    <row r="33" customHeight="1" spans="1:9">
      <c r="A33" s="522">
        <v>26</v>
      </c>
      <c r="B33" s="522" t="s">
        <v>934</v>
      </c>
      <c r="C33" s="522" t="str">
        <f t="shared" si="0"/>
        <v>0块</v>
      </c>
      <c r="D33" s="522"/>
      <c r="E33" s="522"/>
      <c r="F33" s="522"/>
      <c r="G33" s="522"/>
      <c r="H33" s="520"/>
      <c r="I33" s="520"/>
    </row>
    <row r="34" customHeight="1" spans="1:9">
      <c r="A34" s="522">
        <v>27</v>
      </c>
      <c r="B34" s="522" t="s">
        <v>935</v>
      </c>
      <c r="C34" s="522" t="str">
        <f t="shared" si="0"/>
        <v>0块</v>
      </c>
      <c r="D34" s="522"/>
      <c r="E34" s="522"/>
      <c r="F34" s="522"/>
      <c r="G34" s="522"/>
      <c r="H34" s="520"/>
      <c r="I34" s="520"/>
    </row>
    <row r="35" customHeight="1" spans="1:9">
      <c r="A35" s="522">
        <v>28</v>
      </c>
      <c r="B35" s="522" t="s">
        <v>936</v>
      </c>
      <c r="C35" s="522" t="str">
        <f t="shared" si="0"/>
        <v>0块</v>
      </c>
      <c r="D35" s="522"/>
      <c r="E35" s="522"/>
      <c r="F35" s="522"/>
      <c r="G35" s="522"/>
      <c r="H35" s="520"/>
      <c r="I35" s="520"/>
    </row>
    <row r="36" customHeight="1" spans="1:9">
      <c r="A36" s="522">
        <v>29</v>
      </c>
      <c r="B36" s="522" t="s">
        <v>937</v>
      </c>
      <c r="C36" s="522"/>
      <c r="D36" s="522"/>
      <c r="E36" s="522"/>
      <c r="F36" s="522"/>
      <c r="G36" s="522"/>
      <c r="H36" s="520"/>
      <c r="I36" s="520"/>
    </row>
    <row r="37" customHeight="1" spans="1:9">
      <c r="A37" s="522">
        <v>30</v>
      </c>
      <c r="B37" s="522" t="s">
        <v>504</v>
      </c>
      <c r="C37" s="522"/>
      <c r="D37" s="522"/>
      <c r="E37" s="522"/>
      <c r="F37" s="522"/>
      <c r="G37" s="522"/>
      <c r="H37" s="520"/>
      <c r="I37" s="520"/>
    </row>
    <row r="38" customHeight="1" spans="1:9">
      <c r="A38" s="522">
        <v>31</v>
      </c>
      <c r="B38" s="522" t="s">
        <v>210</v>
      </c>
      <c r="C38" s="522"/>
      <c r="D38" s="522"/>
      <c r="E38" s="522"/>
      <c r="F38" s="522"/>
      <c r="G38" s="522"/>
      <c r="H38" s="520"/>
      <c r="I38" s="520"/>
    </row>
    <row r="39" customHeight="1" spans="1:9">
      <c r="A39" s="522">
        <v>32</v>
      </c>
      <c r="B39" s="522" t="s">
        <v>506</v>
      </c>
      <c r="C39" s="522"/>
      <c r="D39" s="522"/>
      <c r="E39" s="522"/>
      <c r="F39" s="522"/>
      <c r="G39" s="522"/>
      <c r="H39" s="520"/>
      <c r="I39" s="520"/>
    </row>
    <row r="40" customHeight="1" spans="1:9">
      <c r="A40" s="522">
        <v>33</v>
      </c>
      <c r="B40" s="522" t="s">
        <v>507</v>
      </c>
      <c r="C40" s="522"/>
      <c r="D40" s="522"/>
      <c r="E40" s="522"/>
      <c r="F40" s="522"/>
      <c r="G40" s="522"/>
      <c r="H40" s="520"/>
      <c r="I40" s="520"/>
    </row>
    <row r="41" customHeight="1" spans="1:9">
      <c r="A41" s="522">
        <v>34</v>
      </c>
      <c r="B41" s="522" t="s">
        <v>509</v>
      </c>
      <c r="C41" s="522"/>
      <c r="D41" s="522"/>
      <c r="E41" s="522"/>
      <c r="F41" s="522"/>
      <c r="G41" s="522"/>
      <c r="H41" s="520"/>
      <c r="I41" s="520"/>
    </row>
    <row r="42" customHeight="1" spans="1:9">
      <c r="A42" s="522">
        <v>35</v>
      </c>
      <c r="B42" s="522" t="s">
        <v>511</v>
      </c>
      <c r="C42" s="522"/>
      <c r="D42" s="522"/>
      <c r="E42" s="522"/>
      <c r="F42" s="522"/>
      <c r="G42" s="522"/>
      <c r="H42" s="520"/>
      <c r="I42" s="520"/>
    </row>
    <row r="43" customHeight="1" spans="1:9">
      <c r="A43" s="522">
        <v>36</v>
      </c>
      <c r="B43" s="522" t="s">
        <v>938</v>
      </c>
      <c r="C43" s="522"/>
      <c r="D43" s="522"/>
      <c r="E43" s="522"/>
      <c r="F43" s="522"/>
      <c r="G43" s="522"/>
      <c r="H43" s="520"/>
      <c r="I43" s="520"/>
    </row>
    <row r="44" customHeight="1" spans="1:9">
      <c r="A44" s="522">
        <v>37</v>
      </c>
      <c r="B44" s="522" t="s">
        <v>515</v>
      </c>
      <c r="C44" s="522"/>
      <c r="D44" s="522"/>
      <c r="E44" s="522"/>
      <c r="F44" s="522"/>
      <c r="G44" s="522"/>
      <c r="H44" s="520"/>
      <c r="I44" s="520"/>
    </row>
    <row r="45" customHeight="1" spans="1:9">
      <c r="A45" s="522">
        <v>38</v>
      </c>
      <c r="B45" s="522" t="s">
        <v>939</v>
      </c>
      <c r="C45" s="522"/>
      <c r="D45" s="522"/>
      <c r="E45" s="522"/>
      <c r="F45" s="522"/>
      <c r="G45" s="522"/>
      <c r="H45" s="520"/>
      <c r="I45" s="520"/>
    </row>
    <row r="46" customHeight="1" spans="1:9">
      <c r="A46" s="522">
        <v>39</v>
      </c>
      <c r="B46" s="522" t="s">
        <v>516</v>
      </c>
      <c r="C46" s="522"/>
      <c r="D46" s="522"/>
      <c r="E46" s="522"/>
      <c r="F46" s="522"/>
      <c r="G46" s="522"/>
      <c r="H46" s="520"/>
      <c r="I46" s="520"/>
    </row>
    <row r="47" customHeight="1" spans="1:8">
      <c r="A47" s="524"/>
      <c r="B47" s="519" t="s">
        <v>518</v>
      </c>
      <c r="C47" s="525" t="s">
        <v>1045</v>
      </c>
      <c r="D47" s="526"/>
      <c r="E47" s="525" t="s">
        <v>940</v>
      </c>
      <c r="F47" s="524"/>
      <c r="G47" s="524"/>
      <c r="H47" s="524"/>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4" customWidth="1"/>
    <col min="2" max="2" width="6.25" style="94" customWidth="1"/>
    <col min="3" max="3" width="6.375" style="94" customWidth="1"/>
    <col min="4" max="4" width="5.375" style="94" customWidth="1"/>
    <col min="5" max="5" width="5.875" style="94" customWidth="1"/>
    <col min="6" max="6" width="6.375" style="94" customWidth="1"/>
    <col min="7" max="7" width="5.75" style="94" customWidth="1"/>
    <col min="8" max="8" width="11.875" style="94" customWidth="1"/>
    <col min="9" max="9" width="8.5" style="94" customWidth="1"/>
    <col min="10" max="10" width="9" style="94"/>
    <col min="11" max="11" width="12.25" style="94" customWidth="1"/>
    <col min="12" max="12" width="11.625" style="457" customWidth="1"/>
    <col min="13" max="13" width="11.625" style="458" customWidth="1"/>
    <col min="14" max="14" width="7.875" style="458" customWidth="1"/>
    <col min="15" max="17" width="7.75" style="458" customWidth="1"/>
    <col min="18" max="18" width="14.125" style="458" customWidth="1"/>
    <col min="19" max="38" width="9" style="456"/>
    <col min="39" max="256" width="9" style="94"/>
    <col min="257" max="257" width="8.125" style="94" customWidth="1"/>
    <col min="258" max="258" width="6.25" style="94" customWidth="1"/>
    <col min="259" max="259" width="6.375" style="94" customWidth="1"/>
    <col min="260" max="260" width="5.375" style="94" customWidth="1"/>
    <col min="261" max="261" width="5.875" style="94" customWidth="1"/>
    <col min="262" max="262" width="6.375" style="94" customWidth="1"/>
    <col min="263" max="263" width="5.75" style="94" customWidth="1"/>
    <col min="264" max="264" width="11.875" style="94" customWidth="1"/>
    <col min="265" max="265" width="8.5" style="94" customWidth="1"/>
    <col min="266" max="266" width="9" style="94"/>
    <col min="267" max="267" width="12.25" style="94" customWidth="1"/>
    <col min="268" max="269" width="11.625" style="94" customWidth="1"/>
    <col min="270" max="270" width="7.875" style="94" customWidth="1"/>
    <col min="271" max="273" width="7.75" style="94" customWidth="1"/>
    <col min="274" max="274" width="14.125" style="94" customWidth="1"/>
    <col min="275" max="512" width="9" style="94"/>
    <col min="513" max="513" width="8.125" style="94" customWidth="1"/>
    <col min="514" max="514" width="6.25" style="94" customWidth="1"/>
    <col min="515" max="515" width="6.375" style="94" customWidth="1"/>
    <col min="516" max="516" width="5.375" style="94" customWidth="1"/>
    <col min="517" max="517" width="5.875" style="94" customWidth="1"/>
    <col min="518" max="518" width="6.375" style="94" customWidth="1"/>
    <col min="519" max="519" width="5.75" style="94" customWidth="1"/>
    <col min="520" max="520" width="11.875" style="94" customWidth="1"/>
    <col min="521" max="521" width="8.5" style="94" customWidth="1"/>
    <col min="522" max="522" width="9" style="94"/>
    <col min="523" max="523" width="12.25" style="94" customWidth="1"/>
    <col min="524" max="525" width="11.625" style="94" customWidth="1"/>
    <col min="526" max="526" width="7.875" style="94" customWidth="1"/>
    <col min="527" max="529" width="7.75" style="94" customWidth="1"/>
    <col min="530" max="530" width="14.125" style="94" customWidth="1"/>
    <col min="531" max="768" width="9" style="94"/>
    <col min="769" max="769" width="8.125" style="94" customWidth="1"/>
    <col min="770" max="770" width="6.25" style="94" customWidth="1"/>
    <col min="771" max="771" width="6.375" style="94" customWidth="1"/>
    <col min="772" max="772" width="5.375" style="94" customWidth="1"/>
    <col min="773" max="773" width="5.875" style="94" customWidth="1"/>
    <col min="774" max="774" width="6.375" style="94" customWidth="1"/>
    <col min="775" max="775" width="5.75" style="94" customWidth="1"/>
    <col min="776" max="776" width="11.875" style="94" customWidth="1"/>
    <col min="777" max="777" width="8.5" style="94" customWidth="1"/>
    <col min="778" max="778" width="9" style="94"/>
    <col min="779" max="779" width="12.25" style="94" customWidth="1"/>
    <col min="780" max="781" width="11.625" style="94" customWidth="1"/>
    <col min="782" max="782" width="7.875" style="94" customWidth="1"/>
    <col min="783" max="785" width="7.75" style="94" customWidth="1"/>
    <col min="786" max="786" width="14.125" style="94" customWidth="1"/>
    <col min="787" max="1024" width="9" style="94"/>
    <col min="1025" max="1025" width="8.125" style="94" customWidth="1"/>
    <col min="1026" max="1026" width="6.25" style="94" customWidth="1"/>
    <col min="1027" max="1027" width="6.375" style="94" customWidth="1"/>
    <col min="1028" max="1028" width="5.375" style="94" customWidth="1"/>
    <col min="1029" max="1029" width="5.875" style="94" customWidth="1"/>
    <col min="1030" max="1030" width="6.375" style="94" customWidth="1"/>
    <col min="1031" max="1031" width="5.75" style="94" customWidth="1"/>
    <col min="1032" max="1032" width="11.875" style="94" customWidth="1"/>
    <col min="1033" max="1033" width="8.5" style="94" customWidth="1"/>
    <col min="1034" max="1034" width="9" style="94"/>
    <col min="1035" max="1035" width="12.25" style="94" customWidth="1"/>
    <col min="1036" max="1037" width="11.625" style="94" customWidth="1"/>
    <col min="1038" max="1038" width="7.875" style="94" customWidth="1"/>
    <col min="1039" max="1041" width="7.75" style="94" customWidth="1"/>
    <col min="1042" max="1042" width="14.125" style="94" customWidth="1"/>
    <col min="1043" max="1280" width="9" style="94"/>
    <col min="1281" max="1281" width="8.125" style="94" customWidth="1"/>
    <col min="1282" max="1282" width="6.25" style="94" customWidth="1"/>
    <col min="1283" max="1283" width="6.375" style="94" customWidth="1"/>
    <col min="1284" max="1284" width="5.375" style="94" customWidth="1"/>
    <col min="1285" max="1285" width="5.875" style="94" customWidth="1"/>
    <col min="1286" max="1286" width="6.375" style="94" customWidth="1"/>
    <col min="1287" max="1287" width="5.75" style="94" customWidth="1"/>
    <col min="1288" max="1288" width="11.875" style="94" customWidth="1"/>
    <col min="1289" max="1289" width="8.5" style="94" customWidth="1"/>
    <col min="1290" max="1290" width="9" style="94"/>
    <col min="1291" max="1291" width="12.25" style="94" customWidth="1"/>
    <col min="1292" max="1293" width="11.625" style="94" customWidth="1"/>
    <col min="1294" max="1294" width="7.875" style="94" customWidth="1"/>
    <col min="1295" max="1297" width="7.75" style="94" customWidth="1"/>
    <col min="1298" max="1298" width="14.125" style="94" customWidth="1"/>
    <col min="1299" max="1536" width="9" style="94"/>
    <col min="1537" max="1537" width="8.125" style="94" customWidth="1"/>
    <col min="1538" max="1538" width="6.25" style="94" customWidth="1"/>
    <col min="1539" max="1539" width="6.375" style="94" customWidth="1"/>
    <col min="1540" max="1540" width="5.375" style="94" customWidth="1"/>
    <col min="1541" max="1541" width="5.875" style="94" customWidth="1"/>
    <col min="1542" max="1542" width="6.375" style="94" customWidth="1"/>
    <col min="1543" max="1543" width="5.75" style="94" customWidth="1"/>
    <col min="1544" max="1544" width="11.875" style="94" customWidth="1"/>
    <col min="1545" max="1545" width="8.5" style="94" customWidth="1"/>
    <col min="1546" max="1546" width="9" style="94"/>
    <col min="1547" max="1547" width="12.25" style="94" customWidth="1"/>
    <col min="1548" max="1549" width="11.625" style="94" customWidth="1"/>
    <col min="1550" max="1550" width="7.875" style="94" customWidth="1"/>
    <col min="1551" max="1553" width="7.75" style="94" customWidth="1"/>
    <col min="1554" max="1554" width="14.125" style="94" customWidth="1"/>
    <col min="1555" max="1792" width="9" style="94"/>
    <col min="1793" max="1793" width="8.125" style="94" customWidth="1"/>
    <col min="1794" max="1794" width="6.25" style="94" customWidth="1"/>
    <col min="1795" max="1795" width="6.375" style="94" customWidth="1"/>
    <col min="1796" max="1796" width="5.375" style="94" customWidth="1"/>
    <col min="1797" max="1797" width="5.875" style="94" customWidth="1"/>
    <col min="1798" max="1798" width="6.375" style="94" customWidth="1"/>
    <col min="1799" max="1799" width="5.75" style="94" customWidth="1"/>
    <col min="1800" max="1800" width="11.875" style="94" customWidth="1"/>
    <col min="1801" max="1801" width="8.5" style="94" customWidth="1"/>
    <col min="1802" max="1802" width="9" style="94"/>
    <col min="1803" max="1803" width="12.25" style="94" customWidth="1"/>
    <col min="1804" max="1805" width="11.625" style="94" customWidth="1"/>
    <col min="1806" max="1806" width="7.875" style="94" customWidth="1"/>
    <col min="1807" max="1809" width="7.75" style="94" customWidth="1"/>
    <col min="1810" max="1810" width="14.125" style="94" customWidth="1"/>
    <col min="1811" max="2048" width="9" style="94"/>
    <col min="2049" max="2049" width="8.125" style="94" customWidth="1"/>
    <col min="2050" max="2050" width="6.25" style="94" customWidth="1"/>
    <col min="2051" max="2051" width="6.375" style="94" customWidth="1"/>
    <col min="2052" max="2052" width="5.375" style="94" customWidth="1"/>
    <col min="2053" max="2053" width="5.875" style="94" customWidth="1"/>
    <col min="2054" max="2054" width="6.375" style="94" customWidth="1"/>
    <col min="2055" max="2055" width="5.75" style="94" customWidth="1"/>
    <col min="2056" max="2056" width="11.875" style="94" customWidth="1"/>
    <col min="2057" max="2057" width="8.5" style="94" customWidth="1"/>
    <col min="2058" max="2058" width="9" style="94"/>
    <col min="2059" max="2059" width="12.25" style="94" customWidth="1"/>
    <col min="2060" max="2061" width="11.625" style="94" customWidth="1"/>
    <col min="2062" max="2062" width="7.875" style="94" customWidth="1"/>
    <col min="2063" max="2065" width="7.75" style="94" customWidth="1"/>
    <col min="2066" max="2066" width="14.125" style="94" customWidth="1"/>
    <col min="2067" max="2304" width="9" style="94"/>
    <col min="2305" max="2305" width="8.125" style="94" customWidth="1"/>
    <col min="2306" max="2306" width="6.25" style="94" customWidth="1"/>
    <col min="2307" max="2307" width="6.375" style="94" customWidth="1"/>
    <col min="2308" max="2308" width="5.375" style="94" customWidth="1"/>
    <col min="2309" max="2309" width="5.875" style="94" customWidth="1"/>
    <col min="2310" max="2310" width="6.375" style="94" customWidth="1"/>
    <col min="2311" max="2311" width="5.75" style="94" customWidth="1"/>
    <col min="2312" max="2312" width="11.875" style="94" customWidth="1"/>
    <col min="2313" max="2313" width="8.5" style="94" customWidth="1"/>
    <col min="2314" max="2314" width="9" style="94"/>
    <col min="2315" max="2315" width="12.25" style="94" customWidth="1"/>
    <col min="2316" max="2317" width="11.625" style="94" customWidth="1"/>
    <col min="2318" max="2318" width="7.875" style="94" customWidth="1"/>
    <col min="2319" max="2321" width="7.75" style="94" customWidth="1"/>
    <col min="2322" max="2322" width="14.125" style="94" customWidth="1"/>
    <col min="2323" max="2560" width="9" style="94"/>
    <col min="2561" max="2561" width="8.125" style="94" customWidth="1"/>
    <col min="2562" max="2562" width="6.25" style="94" customWidth="1"/>
    <col min="2563" max="2563" width="6.375" style="94" customWidth="1"/>
    <col min="2564" max="2564" width="5.375" style="94" customWidth="1"/>
    <col min="2565" max="2565" width="5.875" style="94" customWidth="1"/>
    <col min="2566" max="2566" width="6.375" style="94" customWidth="1"/>
    <col min="2567" max="2567" width="5.75" style="94" customWidth="1"/>
    <col min="2568" max="2568" width="11.875" style="94" customWidth="1"/>
    <col min="2569" max="2569" width="8.5" style="94" customWidth="1"/>
    <col min="2570" max="2570" width="9" style="94"/>
    <col min="2571" max="2571" width="12.25" style="94" customWidth="1"/>
    <col min="2572" max="2573" width="11.625" style="94" customWidth="1"/>
    <col min="2574" max="2574" width="7.875" style="94" customWidth="1"/>
    <col min="2575" max="2577" width="7.75" style="94" customWidth="1"/>
    <col min="2578" max="2578" width="14.125" style="94" customWidth="1"/>
    <col min="2579" max="2816" width="9" style="94"/>
    <col min="2817" max="2817" width="8.125" style="94" customWidth="1"/>
    <col min="2818" max="2818" width="6.25" style="94" customWidth="1"/>
    <col min="2819" max="2819" width="6.375" style="94" customWidth="1"/>
    <col min="2820" max="2820" width="5.375" style="94" customWidth="1"/>
    <col min="2821" max="2821" width="5.875" style="94" customWidth="1"/>
    <col min="2822" max="2822" width="6.375" style="94" customWidth="1"/>
    <col min="2823" max="2823" width="5.75" style="94" customWidth="1"/>
    <col min="2824" max="2824" width="11.875" style="94" customWidth="1"/>
    <col min="2825" max="2825" width="8.5" style="94" customWidth="1"/>
    <col min="2826" max="2826" width="9" style="94"/>
    <col min="2827" max="2827" width="12.25" style="94" customWidth="1"/>
    <col min="2828" max="2829" width="11.625" style="94" customWidth="1"/>
    <col min="2830" max="2830" width="7.875" style="94" customWidth="1"/>
    <col min="2831" max="2833" width="7.75" style="94" customWidth="1"/>
    <col min="2834" max="2834" width="14.125" style="94" customWidth="1"/>
    <col min="2835" max="3072" width="9" style="94"/>
    <col min="3073" max="3073" width="8.125" style="94" customWidth="1"/>
    <col min="3074" max="3074" width="6.25" style="94" customWidth="1"/>
    <col min="3075" max="3075" width="6.375" style="94" customWidth="1"/>
    <col min="3076" max="3076" width="5.375" style="94" customWidth="1"/>
    <col min="3077" max="3077" width="5.875" style="94" customWidth="1"/>
    <col min="3078" max="3078" width="6.375" style="94" customWidth="1"/>
    <col min="3079" max="3079" width="5.75" style="94" customWidth="1"/>
    <col min="3080" max="3080" width="11.875" style="94" customWidth="1"/>
    <col min="3081" max="3081" width="8.5" style="94" customWidth="1"/>
    <col min="3082" max="3082" width="9" style="94"/>
    <col min="3083" max="3083" width="12.25" style="94" customWidth="1"/>
    <col min="3084" max="3085" width="11.625" style="94" customWidth="1"/>
    <col min="3086" max="3086" width="7.875" style="94" customWidth="1"/>
    <col min="3087" max="3089" width="7.75" style="94" customWidth="1"/>
    <col min="3090" max="3090" width="14.125" style="94" customWidth="1"/>
    <col min="3091" max="3328" width="9" style="94"/>
    <col min="3329" max="3329" width="8.125" style="94" customWidth="1"/>
    <col min="3330" max="3330" width="6.25" style="94" customWidth="1"/>
    <col min="3331" max="3331" width="6.375" style="94" customWidth="1"/>
    <col min="3332" max="3332" width="5.375" style="94" customWidth="1"/>
    <col min="3333" max="3333" width="5.875" style="94" customWidth="1"/>
    <col min="3334" max="3334" width="6.375" style="94" customWidth="1"/>
    <col min="3335" max="3335" width="5.75" style="94" customWidth="1"/>
    <col min="3336" max="3336" width="11.875" style="94" customWidth="1"/>
    <col min="3337" max="3337" width="8.5" style="94" customWidth="1"/>
    <col min="3338" max="3338" width="9" style="94"/>
    <col min="3339" max="3339" width="12.25" style="94" customWidth="1"/>
    <col min="3340" max="3341" width="11.625" style="94" customWidth="1"/>
    <col min="3342" max="3342" width="7.875" style="94" customWidth="1"/>
    <col min="3343" max="3345" width="7.75" style="94" customWidth="1"/>
    <col min="3346" max="3346" width="14.125" style="94" customWidth="1"/>
    <col min="3347" max="3584" width="9" style="94"/>
    <col min="3585" max="3585" width="8.125" style="94" customWidth="1"/>
    <col min="3586" max="3586" width="6.25" style="94" customWidth="1"/>
    <col min="3587" max="3587" width="6.375" style="94" customWidth="1"/>
    <col min="3588" max="3588" width="5.375" style="94" customWidth="1"/>
    <col min="3589" max="3589" width="5.875" style="94" customWidth="1"/>
    <col min="3590" max="3590" width="6.375" style="94" customWidth="1"/>
    <col min="3591" max="3591" width="5.75" style="94" customWidth="1"/>
    <col min="3592" max="3592" width="11.875" style="94" customWidth="1"/>
    <col min="3593" max="3593" width="8.5" style="94" customWidth="1"/>
    <col min="3594" max="3594" width="9" style="94"/>
    <col min="3595" max="3595" width="12.25" style="94" customWidth="1"/>
    <col min="3596" max="3597" width="11.625" style="94" customWidth="1"/>
    <col min="3598" max="3598" width="7.875" style="94" customWidth="1"/>
    <col min="3599" max="3601" width="7.75" style="94" customWidth="1"/>
    <col min="3602" max="3602" width="14.125" style="94" customWidth="1"/>
    <col min="3603" max="3840" width="9" style="94"/>
    <col min="3841" max="3841" width="8.125" style="94" customWidth="1"/>
    <col min="3842" max="3842" width="6.25" style="94" customWidth="1"/>
    <col min="3843" max="3843" width="6.375" style="94" customWidth="1"/>
    <col min="3844" max="3844" width="5.375" style="94" customWidth="1"/>
    <col min="3845" max="3845" width="5.875" style="94" customWidth="1"/>
    <col min="3846" max="3846" width="6.375" style="94" customWidth="1"/>
    <col min="3847" max="3847" width="5.75" style="94" customWidth="1"/>
    <col min="3848" max="3848" width="11.875" style="94" customWidth="1"/>
    <col min="3849" max="3849" width="8.5" style="94" customWidth="1"/>
    <col min="3850" max="3850" width="9" style="94"/>
    <col min="3851" max="3851" width="12.25" style="94" customWidth="1"/>
    <col min="3852" max="3853" width="11.625" style="94" customWidth="1"/>
    <col min="3854" max="3854" width="7.875" style="94" customWidth="1"/>
    <col min="3855" max="3857" width="7.75" style="94" customWidth="1"/>
    <col min="3858" max="3858" width="14.125" style="94" customWidth="1"/>
    <col min="3859" max="4096" width="9" style="94"/>
    <col min="4097" max="4097" width="8.125" style="94" customWidth="1"/>
    <col min="4098" max="4098" width="6.25" style="94" customWidth="1"/>
    <col min="4099" max="4099" width="6.375" style="94" customWidth="1"/>
    <col min="4100" max="4100" width="5.375" style="94" customWidth="1"/>
    <col min="4101" max="4101" width="5.875" style="94" customWidth="1"/>
    <col min="4102" max="4102" width="6.375" style="94" customWidth="1"/>
    <col min="4103" max="4103" width="5.75" style="94" customWidth="1"/>
    <col min="4104" max="4104" width="11.875" style="94" customWidth="1"/>
    <col min="4105" max="4105" width="8.5" style="94" customWidth="1"/>
    <col min="4106" max="4106" width="9" style="94"/>
    <col min="4107" max="4107" width="12.25" style="94" customWidth="1"/>
    <col min="4108" max="4109" width="11.625" style="94" customWidth="1"/>
    <col min="4110" max="4110" width="7.875" style="94" customWidth="1"/>
    <col min="4111" max="4113" width="7.75" style="94" customWidth="1"/>
    <col min="4114" max="4114" width="14.125" style="94" customWidth="1"/>
    <col min="4115" max="4352" width="9" style="94"/>
    <col min="4353" max="4353" width="8.125" style="94" customWidth="1"/>
    <col min="4354" max="4354" width="6.25" style="94" customWidth="1"/>
    <col min="4355" max="4355" width="6.375" style="94" customWidth="1"/>
    <col min="4356" max="4356" width="5.375" style="94" customWidth="1"/>
    <col min="4357" max="4357" width="5.875" style="94" customWidth="1"/>
    <col min="4358" max="4358" width="6.375" style="94" customWidth="1"/>
    <col min="4359" max="4359" width="5.75" style="94" customWidth="1"/>
    <col min="4360" max="4360" width="11.875" style="94" customWidth="1"/>
    <col min="4361" max="4361" width="8.5" style="94" customWidth="1"/>
    <col min="4362" max="4362" width="9" style="94"/>
    <col min="4363" max="4363" width="12.25" style="94" customWidth="1"/>
    <col min="4364" max="4365" width="11.625" style="94" customWidth="1"/>
    <col min="4366" max="4366" width="7.875" style="94" customWidth="1"/>
    <col min="4367" max="4369" width="7.75" style="94" customWidth="1"/>
    <col min="4370" max="4370" width="14.125" style="94" customWidth="1"/>
    <col min="4371" max="4608" width="9" style="94"/>
    <col min="4609" max="4609" width="8.125" style="94" customWidth="1"/>
    <col min="4610" max="4610" width="6.25" style="94" customWidth="1"/>
    <col min="4611" max="4611" width="6.375" style="94" customWidth="1"/>
    <col min="4612" max="4612" width="5.375" style="94" customWidth="1"/>
    <col min="4613" max="4613" width="5.875" style="94" customWidth="1"/>
    <col min="4614" max="4614" width="6.375" style="94" customWidth="1"/>
    <col min="4615" max="4615" width="5.75" style="94" customWidth="1"/>
    <col min="4616" max="4616" width="11.875" style="94" customWidth="1"/>
    <col min="4617" max="4617" width="8.5" style="94" customWidth="1"/>
    <col min="4618" max="4618" width="9" style="94"/>
    <col min="4619" max="4619" width="12.25" style="94" customWidth="1"/>
    <col min="4620" max="4621" width="11.625" style="94" customWidth="1"/>
    <col min="4622" max="4622" width="7.875" style="94" customWidth="1"/>
    <col min="4623" max="4625" width="7.75" style="94" customWidth="1"/>
    <col min="4626" max="4626" width="14.125" style="94" customWidth="1"/>
    <col min="4627" max="4864" width="9" style="94"/>
    <col min="4865" max="4865" width="8.125" style="94" customWidth="1"/>
    <col min="4866" max="4866" width="6.25" style="94" customWidth="1"/>
    <col min="4867" max="4867" width="6.375" style="94" customWidth="1"/>
    <col min="4868" max="4868" width="5.375" style="94" customWidth="1"/>
    <col min="4869" max="4869" width="5.875" style="94" customWidth="1"/>
    <col min="4870" max="4870" width="6.375" style="94" customWidth="1"/>
    <col min="4871" max="4871" width="5.75" style="94" customWidth="1"/>
    <col min="4872" max="4872" width="11.875" style="94" customWidth="1"/>
    <col min="4873" max="4873" width="8.5" style="94" customWidth="1"/>
    <col min="4874" max="4874" width="9" style="94"/>
    <col min="4875" max="4875" width="12.25" style="94" customWidth="1"/>
    <col min="4876" max="4877" width="11.625" style="94" customWidth="1"/>
    <col min="4878" max="4878" width="7.875" style="94" customWidth="1"/>
    <col min="4879" max="4881" width="7.75" style="94" customWidth="1"/>
    <col min="4882" max="4882" width="14.125" style="94" customWidth="1"/>
    <col min="4883" max="5120" width="9" style="94"/>
    <col min="5121" max="5121" width="8.125" style="94" customWidth="1"/>
    <col min="5122" max="5122" width="6.25" style="94" customWidth="1"/>
    <col min="5123" max="5123" width="6.375" style="94" customWidth="1"/>
    <col min="5124" max="5124" width="5.375" style="94" customWidth="1"/>
    <col min="5125" max="5125" width="5.875" style="94" customWidth="1"/>
    <col min="5126" max="5126" width="6.375" style="94" customWidth="1"/>
    <col min="5127" max="5127" width="5.75" style="94" customWidth="1"/>
    <col min="5128" max="5128" width="11.875" style="94" customWidth="1"/>
    <col min="5129" max="5129" width="8.5" style="94" customWidth="1"/>
    <col min="5130" max="5130" width="9" style="94"/>
    <col min="5131" max="5131" width="12.25" style="94" customWidth="1"/>
    <col min="5132" max="5133" width="11.625" style="94" customWidth="1"/>
    <col min="5134" max="5134" width="7.875" style="94" customWidth="1"/>
    <col min="5135" max="5137" width="7.75" style="94" customWidth="1"/>
    <col min="5138" max="5138" width="14.125" style="94" customWidth="1"/>
    <col min="5139" max="5376" width="9" style="94"/>
    <col min="5377" max="5377" width="8.125" style="94" customWidth="1"/>
    <col min="5378" max="5378" width="6.25" style="94" customWidth="1"/>
    <col min="5379" max="5379" width="6.375" style="94" customWidth="1"/>
    <col min="5380" max="5380" width="5.375" style="94" customWidth="1"/>
    <col min="5381" max="5381" width="5.875" style="94" customWidth="1"/>
    <col min="5382" max="5382" width="6.375" style="94" customWidth="1"/>
    <col min="5383" max="5383" width="5.75" style="94" customWidth="1"/>
    <col min="5384" max="5384" width="11.875" style="94" customWidth="1"/>
    <col min="5385" max="5385" width="8.5" style="94" customWidth="1"/>
    <col min="5386" max="5386" width="9" style="94"/>
    <col min="5387" max="5387" width="12.25" style="94" customWidth="1"/>
    <col min="5388" max="5389" width="11.625" style="94" customWidth="1"/>
    <col min="5390" max="5390" width="7.875" style="94" customWidth="1"/>
    <col min="5391" max="5393" width="7.75" style="94" customWidth="1"/>
    <col min="5394" max="5394" width="14.125" style="94" customWidth="1"/>
    <col min="5395" max="5632" width="9" style="94"/>
    <col min="5633" max="5633" width="8.125" style="94" customWidth="1"/>
    <col min="5634" max="5634" width="6.25" style="94" customWidth="1"/>
    <col min="5635" max="5635" width="6.375" style="94" customWidth="1"/>
    <col min="5636" max="5636" width="5.375" style="94" customWidth="1"/>
    <col min="5637" max="5637" width="5.875" style="94" customWidth="1"/>
    <col min="5638" max="5638" width="6.375" style="94" customWidth="1"/>
    <col min="5639" max="5639" width="5.75" style="94" customWidth="1"/>
    <col min="5640" max="5640" width="11.875" style="94" customWidth="1"/>
    <col min="5641" max="5641" width="8.5" style="94" customWidth="1"/>
    <col min="5642" max="5642" width="9" style="94"/>
    <col min="5643" max="5643" width="12.25" style="94" customWidth="1"/>
    <col min="5644" max="5645" width="11.625" style="94" customWidth="1"/>
    <col min="5646" max="5646" width="7.875" style="94" customWidth="1"/>
    <col min="5647" max="5649" width="7.75" style="94" customWidth="1"/>
    <col min="5650" max="5650" width="14.125" style="94" customWidth="1"/>
    <col min="5651" max="5888" width="9" style="94"/>
    <col min="5889" max="5889" width="8.125" style="94" customWidth="1"/>
    <col min="5890" max="5890" width="6.25" style="94" customWidth="1"/>
    <col min="5891" max="5891" width="6.375" style="94" customWidth="1"/>
    <col min="5892" max="5892" width="5.375" style="94" customWidth="1"/>
    <col min="5893" max="5893" width="5.875" style="94" customWidth="1"/>
    <col min="5894" max="5894" width="6.375" style="94" customWidth="1"/>
    <col min="5895" max="5895" width="5.75" style="94" customWidth="1"/>
    <col min="5896" max="5896" width="11.875" style="94" customWidth="1"/>
    <col min="5897" max="5897" width="8.5" style="94" customWidth="1"/>
    <col min="5898" max="5898" width="9" style="94"/>
    <col min="5899" max="5899" width="12.25" style="94" customWidth="1"/>
    <col min="5900" max="5901" width="11.625" style="94" customWidth="1"/>
    <col min="5902" max="5902" width="7.875" style="94" customWidth="1"/>
    <col min="5903" max="5905" width="7.75" style="94" customWidth="1"/>
    <col min="5906" max="5906" width="14.125" style="94" customWidth="1"/>
    <col min="5907" max="6144" width="9" style="94"/>
    <col min="6145" max="6145" width="8.125" style="94" customWidth="1"/>
    <col min="6146" max="6146" width="6.25" style="94" customWidth="1"/>
    <col min="6147" max="6147" width="6.375" style="94" customWidth="1"/>
    <col min="6148" max="6148" width="5.375" style="94" customWidth="1"/>
    <col min="6149" max="6149" width="5.875" style="94" customWidth="1"/>
    <col min="6150" max="6150" width="6.375" style="94" customWidth="1"/>
    <col min="6151" max="6151" width="5.75" style="94" customWidth="1"/>
    <col min="6152" max="6152" width="11.875" style="94" customWidth="1"/>
    <col min="6153" max="6153" width="8.5" style="94" customWidth="1"/>
    <col min="6154" max="6154" width="9" style="94"/>
    <col min="6155" max="6155" width="12.25" style="94" customWidth="1"/>
    <col min="6156" max="6157" width="11.625" style="94" customWidth="1"/>
    <col min="6158" max="6158" width="7.875" style="94" customWidth="1"/>
    <col min="6159" max="6161" width="7.75" style="94" customWidth="1"/>
    <col min="6162" max="6162" width="14.125" style="94" customWidth="1"/>
    <col min="6163" max="6400" width="9" style="94"/>
    <col min="6401" max="6401" width="8.125" style="94" customWidth="1"/>
    <col min="6402" max="6402" width="6.25" style="94" customWidth="1"/>
    <col min="6403" max="6403" width="6.375" style="94" customWidth="1"/>
    <col min="6404" max="6404" width="5.375" style="94" customWidth="1"/>
    <col min="6405" max="6405" width="5.875" style="94" customWidth="1"/>
    <col min="6406" max="6406" width="6.375" style="94" customWidth="1"/>
    <col min="6407" max="6407" width="5.75" style="94" customWidth="1"/>
    <col min="6408" max="6408" width="11.875" style="94" customWidth="1"/>
    <col min="6409" max="6409" width="8.5" style="94" customWidth="1"/>
    <col min="6410" max="6410" width="9" style="94"/>
    <col min="6411" max="6411" width="12.25" style="94" customWidth="1"/>
    <col min="6412" max="6413" width="11.625" style="94" customWidth="1"/>
    <col min="6414" max="6414" width="7.875" style="94" customWidth="1"/>
    <col min="6415" max="6417" width="7.75" style="94" customWidth="1"/>
    <col min="6418" max="6418" width="14.125" style="94" customWidth="1"/>
    <col min="6419" max="6656" width="9" style="94"/>
    <col min="6657" max="6657" width="8.125" style="94" customWidth="1"/>
    <col min="6658" max="6658" width="6.25" style="94" customWidth="1"/>
    <col min="6659" max="6659" width="6.375" style="94" customWidth="1"/>
    <col min="6660" max="6660" width="5.375" style="94" customWidth="1"/>
    <col min="6661" max="6661" width="5.875" style="94" customWidth="1"/>
    <col min="6662" max="6662" width="6.375" style="94" customWidth="1"/>
    <col min="6663" max="6663" width="5.75" style="94" customWidth="1"/>
    <col min="6664" max="6664" width="11.875" style="94" customWidth="1"/>
    <col min="6665" max="6665" width="8.5" style="94" customWidth="1"/>
    <col min="6666" max="6666" width="9" style="94"/>
    <col min="6667" max="6667" width="12.25" style="94" customWidth="1"/>
    <col min="6668" max="6669" width="11.625" style="94" customWidth="1"/>
    <col min="6670" max="6670" width="7.875" style="94" customWidth="1"/>
    <col min="6671" max="6673" width="7.75" style="94" customWidth="1"/>
    <col min="6674" max="6674" width="14.125" style="94" customWidth="1"/>
    <col min="6675" max="6912" width="9" style="94"/>
    <col min="6913" max="6913" width="8.125" style="94" customWidth="1"/>
    <col min="6914" max="6914" width="6.25" style="94" customWidth="1"/>
    <col min="6915" max="6915" width="6.375" style="94" customWidth="1"/>
    <col min="6916" max="6916" width="5.375" style="94" customWidth="1"/>
    <col min="6917" max="6917" width="5.875" style="94" customWidth="1"/>
    <col min="6918" max="6918" width="6.375" style="94" customWidth="1"/>
    <col min="6919" max="6919" width="5.75" style="94" customWidth="1"/>
    <col min="6920" max="6920" width="11.875" style="94" customWidth="1"/>
    <col min="6921" max="6921" width="8.5" style="94" customWidth="1"/>
    <col min="6922" max="6922" width="9" style="94"/>
    <col min="6923" max="6923" width="12.25" style="94" customWidth="1"/>
    <col min="6924" max="6925" width="11.625" style="94" customWidth="1"/>
    <col min="6926" max="6926" width="7.875" style="94" customWidth="1"/>
    <col min="6927" max="6929" width="7.75" style="94" customWidth="1"/>
    <col min="6930" max="6930" width="14.125" style="94" customWidth="1"/>
    <col min="6931" max="7168" width="9" style="94"/>
    <col min="7169" max="7169" width="8.125" style="94" customWidth="1"/>
    <col min="7170" max="7170" width="6.25" style="94" customWidth="1"/>
    <col min="7171" max="7171" width="6.375" style="94" customWidth="1"/>
    <col min="7172" max="7172" width="5.375" style="94" customWidth="1"/>
    <col min="7173" max="7173" width="5.875" style="94" customWidth="1"/>
    <col min="7174" max="7174" width="6.375" style="94" customWidth="1"/>
    <col min="7175" max="7175" width="5.75" style="94" customWidth="1"/>
    <col min="7176" max="7176" width="11.875" style="94" customWidth="1"/>
    <col min="7177" max="7177" width="8.5" style="94" customWidth="1"/>
    <col min="7178" max="7178" width="9" style="94"/>
    <col min="7179" max="7179" width="12.25" style="94" customWidth="1"/>
    <col min="7180" max="7181" width="11.625" style="94" customWidth="1"/>
    <col min="7182" max="7182" width="7.875" style="94" customWidth="1"/>
    <col min="7183" max="7185" width="7.75" style="94" customWidth="1"/>
    <col min="7186" max="7186" width="14.125" style="94" customWidth="1"/>
    <col min="7187" max="7424" width="9" style="94"/>
    <col min="7425" max="7425" width="8.125" style="94" customWidth="1"/>
    <col min="7426" max="7426" width="6.25" style="94" customWidth="1"/>
    <col min="7427" max="7427" width="6.375" style="94" customWidth="1"/>
    <col min="7428" max="7428" width="5.375" style="94" customWidth="1"/>
    <col min="7429" max="7429" width="5.875" style="94" customWidth="1"/>
    <col min="7430" max="7430" width="6.375" style="94" customWidth="1"/>
    <col min="7431" max="7431" width="5.75" style="94" customWidth="1"/>
    <col min="7432" max="7432" width="11.875" style="94" customWidth="1"/>
    <col min="7433" max="7433" width="8.5" style="94" customWidth="1"/>
    <col min="7434" max="7434" width="9" style="94"/>
    <col min="7435" max="7435" width="12.25" style="94" customWidth="1"/>
    <col min="7436" max="7437" width="11.625" style="94" customWidth="1"/>
    <col min="7438" max="7438" width="7.875" style="94" customWidth="1"/>
    <col min="7439" max="7441" width="7.75" style="94" customWidth="1"/>
    <col min="7442" max="7442" width="14.125" style="94" customWidth="1"/>
    <col min="7443" max="7680" width="9" style="94"/>
    <col min="7681" max="7681" width="8.125" style="94" customWidth="1"/>
    <col min="7682" max="7682" width="6.25" style="94" customWidth="1"/>
    <col min="7683" max="7683" width="6.375" style="94" customWidth="1"/>
    <col min="7684" max="7684" width="5.375" style="94" customWidth="1"/>
    <col min="7685" max="7685" width="5.875" style="94" customWidth="1"/>
    <col min="7686" max="7686" width="6.375" style="94" customWidth="1"/>
    <col min="7687" max="7687" width="5.75" style="94" customWidth="1"/>
    <col min="7688" max="7688" width="11.875" style="94" customWidth="1"/>
    <col min="7689" max="7689" width="8.5" style="94" customWidth="1"/>
    <col min="7690" max="7690" width="9" style="94"/>
    <col min="7691" max="7691" width="12.25" style="94" customWidth="1"/>
    <col min="7692" max="7693" width="11.625" style="94" customWidth="1"/>
    <col min="7694" max="7694" width="7.875" style="94" customWidth="1"/>
    <col min="7695" max="7697" width="7.75" style="94" customWidth="1"/>
    <col min="7698" max="7698" width="14.125" style="94" customWidth="1"/>
    <col min="7699" max="7936" width="9" style="94"/>
    <col min="7937" max="7937" width="8.125" style="94" customWidth="1"/>
    <col min="7938" max="7938" width="6.25" style="94" customWidth="1"/>
    <col min="7939" max="7939" width="6.375" style="94" customWidth="1"/>
    <col min="7940" max="7940" width="5.375" style="94" customWidth="1"/>
    <col min="7941" max="7941" width="5.875" style="94" customWidth="1"/>
    <col min="7942" max="7942" width="6.375" style="94" customWidth="1"/>
    <col min="7943" max="7943" width="5.75" style="94" customWidth="1"/>
    <col min="7944" max="7944" width="11.875" style="94" customWidth="1"/>
    <col min="7945" max="7945" width="8.5" style="94" customWidth="1"/>
    <col min="7946" max="7946" width="9" style="94"/>
    <col min="7947" max="7947" width="12.25" style="94" customWidth="1"/>
    <col min="7948" max="7949" width="11.625" style="94" customWidth="1"/>
    <col min="7950" max="7950" width="7.875" style="94" customWidth="1"/>
    <col min="7951" max="7953" width="7.75" style="94" customWidth="1"/>
    <col min="7954" max="7954" width="14.125" style="94" customWidth="1"/>
    <col min="7955" max="8192" width="9" style="94"/>
    <col min="8193" max="8193" width="8.125" style="94" customWidth="1"/>
    <col min="8194" max="8194" width="6.25" style="94" customWidth="1"/>
    <col min="8195" max="8195" width="6.375" style="94" customWidth="1"/>
    <col min="8196" max="8196" width="5.375" style="94" customWidth="1"/>
    <col min="8197" max="8197" width="5.875" style="94" customWidth="1"/>
    <col min="8198" max="8198" width="6.375" style="94" customWidth="1"/>
    <col min="8199" max="8199" width="5.75" style="94" customWidth="1"/>
    <col min="8200" max="8200" width="11.875" style="94" customWidth="1"/>
    <col min="8201" max="8201" width="8.5" style="94" customWidth="1"/>
    <col min="8202" max="8202" width="9" style="94"/>
    <col min="8203" max="8203" width="12.25" style="94" customWidth="1"/>
    <col min="8204" max="8205" width="11.625" style="94" customWidth="1"/>
    <col min="8206" max="8206" width="7.875" style="94" customWidth="1"/>
    <col min="8207" max="8209" width="7.75" style="94" customWidth="1"/>
    <col min="8210" max="8210" width="14.125" style="94" customWidth="1"/>
    <col min="8211" max="8448" width="9" style="94"/>
    <col min="8449" max="8449" width="8.125" style="94" customWidth="1"/>
    <col min="8450" max="8450" width="6.25" style="94" customWidth="1"/>
    <col min="8451" max="8451" width="6.375" style="94" customWidth="1"/>
    <col min="8452" max="8452" width="5.375" style="94" customWidth="1"/>
    <col min="8453" max="8453" width="5.875" style="94" customWidth="1"/>
    <col min="8454" max="8454" width="6.375" style="94" customWidth="1"/>
    <col min="8455" max="8455" width="5.75" style="94" customWidth="1"/>
    <col min="8456" max="8456" width="11.875" style="94" customWidth="1"/>
    <col min="8457" max="8457" width="8.5" style="94" customWidth="1"/>
    <col min="8458" max="8458" width="9" style="94"/>
    <col min="8459" max="8459" width="12.25" style="94" customWidth="1"/>
    <col min="8460" max="8461" width="11.625" style="94" customWidth="1"/>
    <col min="8462" max="8462" width="7.875" style="94" customWidth="1"/>
    <col min="8463" max="8465" width="7.75" style="94" customWidth="1"/>
    <col min="8466" max="8466" width="14.125" style="94" customWidth="1"/>
    <col min="8467" max="8704" width="9" style="94"/>
    <col min="8705" max="8705" width="8.125" style="94" customWidth="1"/>
    <col min="8706" max="8706" width="6.25" style="94" customWidth="1"/>
    <col min="8707" max="8707" width="6.375" style="94" customWidth="1"/>
    <col min="8708" max="8708" width="5.375" style="94" customWidth="1"/>
    <col min="8709" max="8709" width="5.875" style="94" customWidth="1"/>
    <col min="8710" max="8710" width="6.375" style="94" customWidth="1"/>
    <col min="8711" max="8711" width="5.75" style="94" customWidth="1"/>
    <col min="8712" max="8712" width="11.875" style="94" customWidth="1"/>
    <col min="8713" max="8713" width="8.5" style="94" customWidth="1"/>
    <col min="8714" max="8714" width="9" style="94"/>
    <col min="8715" max="8715" width="12.25" style="94" customWidth="1"/>
    <col min="8716" max="8717" width="11.625" style="94" customWidth="1"/>
    <col min="8718" max="8718" width="7.875" style="94" customWidth="1"/>
    <col min="8719" max="8721" width="7.75" style="94" customWidth="1"/>
    <col min="8722" max="8722" width="14.125" style="94" customWidth="1"/>
    <col min="8723" max="8960" width="9" style="94"/>
    <col min="8961" max="8961" width="8.125" style="94" customWidth="1"/>
    <col min="8962" max="8962" width="6.25" style="94" customWidth="1"/>
    <col min="8963" max="8963" width="6.375" style="94" customWidth="1"/>
    <col min="8964" max="8964" width="5.375" style="94" customWidth="1"/>
    <col min="8965" max="8965" width="5.875" style="94" customWidth="1"/>
    <col min="8966" max="8966" width="6.375" style="94" customWidth="1"/>
    <col min="8967" max="8967" width="5.75" style="94" customWidth="1"/>
    <col min="8968" max="8968" width="11.875" style="94" customWidth="1"/>
    <col min="8969" max="8969" width="8.5" style="94" customWidth="1"/>
    <col min="8970" max="8970" width="9" style="94"/>
    <col min="8971" max="8971" width="12.25" style="94" customWidth="1"/>
    <col min="8972" max="8973" width="11.625" style="94" customWidth="1"/>
    <col min="8974" max="8974" width="7.875" style="94" customWidth="1"/>
    <col min="8975" max="8977" width="7.75" style="94" customWidth="1"/>
    <col min="8978" max="8978" width="14.125" style="94" customWidth="1"/>
    <col min="8979" max="9216" width="9" style="94"/>
    <col min="9217" max="9217" width="8.125" style="94" customWidth="1"/>
    <col min="9218" max="9218" width="6.25" style="94" customWidth="1"/>
    <col min="9219" max="9219" width="6.375" style="94" customWidth="1"/>
    <col min="9220" max="9220" width="5.375" style="94" customWidth="1"/>
    <col min="9221" max="9221" width="5.875" style="94" customWidth="1"/>
    <col min="9222" max="9222" width="6.375" style="94" customWidth="1"/>
    <col min="9223" max="9223" width="5.75" style="94" customWidth="1"/>
    <col min="9224" max="9224" width="11.875" style="94" customWidth="1"/>
    <col min="9225" max="9225" width="8.5" style="94" customWidth="1"/>
    <col min="9226" max="9226" width="9" style="94"/>
    <col min="9227" max="9227" width="12.25" style="94" customWidth="1"/>
    <col min="9228" max="9229" width="11.625" style="94" customWidth="1"/>
    <col min="9230" max="9230" width="7.875" style="94" customWidth="1"/>
    <col min="9231" max="9233" width="7.75" style="94" customWidth="1"/>
    <col min="9234" max="9234" width="14.125" style="94" customWidth="1"/>
    <col min="9235" max="9472" width="9" style="94"/>
    <col min="9473" max="9473" width="8.125" style="94" customWidth="1"/>
    <col min="9474" max="9474" width="6.25" style="94" customWidth="1"/>
    <col min="9475" max="9475" width="6.375" style="94" customWidth="1"/>
    <col min="9476" max="9476" width="5.375" style="94" customWidth="1"/>
    <col min="9477" max="9477" width="5.875" style="94" customWidth="1"/>
    <col min="9478" max="9478" width="6.375" style="94" customWidth="1"/>
    <col min="9479" max="9479" width="5.75" style="94" customWidth="1"/>
    <col min="9480" max="9480" width="11.875" style="94" customWidth="1"/>
    <col min="9481" max="9481" width="8.5" style="94" customWidth="1"/>
    <col min="9482" max="9482" width="9" style="94"/>
    <col min="9483" max="9483" width="12.25" style="94" customWidth="1"/>
    <col min="9484" max="9485" width="11.625" style="94" customWidth="1"/>
    <col min="9486" max="9486" width="7.875" style="94" customWidth="1"/>
    <col min="9487" max="9489" width="7.75" style="94" customWidth="1"/>
    <col min="9490" max="9490" width="14.125" style="94" customWidth="1"/>
    <col min="9491" max="9728" width="9" style="94"/>
    <col min="9729" max="9729" width="8.125" style="94" customWidth="1"/>
    <col min="9730" max="9730" width="6.25" style="94" customWidth="1"/>
    <col min="9731" max="9731" width="6.375" style="94" customWidth="1"/>
    <col min="9732" max="9732" width="5.375" style="94" customWidth="1"/>
    <col min="9733" max="9733" width="5.875" style="94" customWidth="1"/>
    <col min="9734" max="9734" width="6.375" style="94" customWidth="1"/>
    <col min="9735" max="9735" width="5.75" style="94" customWidth="1"/>
    <col min="9736" max="9736" width="11.875" style="94" customWidth="1"/>
    <col min="9737" max="9737" width="8.5" style="94" customWidth="1"/>
    <col min="9738" max="9738" width="9" style="94"/>
    <col min="9739" max="9739" width="12.25" style="94" customWidth="1"/>
    <col min="9740" max="9741" width="11.625" style="94" customWidth="1"/>
    <col min="9742" max="9742" width="7.875" style="94" customWidth="1"/>
    <col min="9743" max="9745" width="7.75" style="94" customWidth="1"/>
    <col min="9746" max="9746" width="14.125" style="94" customWidth="1"/>
    <col min="9747" max="9984" width="9" style="94"/>
    <col min="9985" max="9985" width="8.125" style="94" customWidth="1"/>
    <col min="9986" max="9986" width="6.25" style="94" customWidth="1"/>
    <col min="9987" max="9987" width="6.375" style="94" customWidth="1"/>
    <col min="9988" max="9988" width="5.375" style="94" customWidth="1"/>
    <col min="9989" max="9989" width="5.875" style="94" customWidth="1"/>
    <col min="9990" max="9990" width="6.375" style="94" customWidth="1"/>
    <col min="9991" max="9991" width="5.75" style="94" customWidth="1"/>
    <col min="9992" max="9992" width="11.875" style="94" customWidth="1"/>
    <col min="9993" max="9993" width="8.5" style="94" customWidth="1"/>
    <col min="9994" max="9994" width="9" style="94"/>
    <col min="9995" max="9995" width="12.25" style="94" customWidth="1"/>
    <col min="9996" max="9997" width="11.625" style="94" customWidth="1"/>
    <col min="9998" max="9998" width="7.875" style="94" customWidth="1"/>
    <col min="9999" max="10001" width="7.75" style="94" customWidth="1"/>
    <col min="10002" max="10002" width="14.125" style="94" customWidth="1"/>
    <col min="10003" max="10240" width="9" style="94"/>
    <col min="10241" max="10241" width="8.125" style="94" customWidth="1"/>
    <col min="10242" max="10242" width="6.25" style="94" customWidth="1"/>
    <col min="10243" max="10243" width="6.375" style="94" customWidth="1"/>
    <col min="10244" max="10244" width="5.375" style="94" customWidth="1"/>
    <col min="10245" max="10245" width="5.875" style="94" customWidth="1"/>
    <col min="10246" max="10246" width="6.375" style="94" customWidth="1"/>
    <col min="10247" max="10247" width="5.75" style="94" customWidth="1"/>
    <col min="10248" max="10248" width="11.875" style="94" customWidth="1"/>
    <col min="10249" max="10249" width="8.5" style="94" customWidth="1"/>
    <col min="10250" max="10250" width="9" style="94"/>
    <col min="10251" max="10251" width="12.25" style="94" customWidth="1"/>
    <col min="10252" max="10253" width="11.625" style="94" customWidth="1"/>
    <col min="10254" max="10254" width="7.875" style="94" customWidth="1"/>
    <col min="10255" max="10257" width="7.75" style="94" customWidth="1"/>
    <col min="10258" max="10258" width="14.125" style="94" customWidth="1"/>
    <col min="10259" max="10496" width="9" style="94"/>
    <col min="10497" max="10497" width="8.125" style="94" customWidth="1"/>
    <col min="10498" max="10498" width="6.25" style="94" customWidth="1"/>
    <col min="10499" max="10499" width="6.375" style="94" customWidth="1"/>
    <col min="10500" max="10500" width="5.375" style="94" customWidth="1"/>
    <col min="10501" max="10501" width="5.875" style="94" customWidth="1"/>
    <col min="10502" max="10502" width="6.375" style="94" customWidth="1"/>
    <col min="10503" max="10503" width="5.75" style="94" customWidth="1"/>
    <col min="10504" max="10504" width="11.875" style="94" customWidth="1"/>
    <col min="10505" max="10505" width="8.5" style="94" customWidth="1"/>
    <col min="10506" max="10506" width="9" style="94"/>
    <col min="10507" max="10507" width="12.25" style="94" customWidth="1"/>
    <col min="10508" max="10509" width="11.625" style="94" customWidth="1"/>
    <col min="10510" max="10510" width="7.875" style="94" customWidth="1"/>
    <col min="10511" max="10513" width="7.75" style="94" customWidth="1"/>
    <col min="10514" max="10514" width="14.125" style="94" customWidth="1"/>
    <col min="10515" max="10752" width="9" style="94"/>
    <col min="10753" max="10753" width="8.125" style="94" customWidth="1"/>
    <col min="10754" max="10754" width="6.25" style="94" customWidth="1"/>
    <col min="10755" max="10755" width="6.375" style="94" customWidth="1"/>
    <col min="10756" max="10756" width="5.375" style="94" customWidth="1"/>
    <col min="10757" max="10757" width="5.875" style="94" customWidth="1"/>
    <col min="10758" max="10758" width="6.375" style="94" customWidth="1"/>
    <col min="10759" max="10759" width="5.75" style="94" customWidth="1"/>
    <col min="10760" max="10760" width="11.875" style="94" customWidth="1"/>
    <col min="10761" max="10761" width="8.5" style="94" customWidth="1"/>
    <col min="10762" max="10762" width="9" style="94"/>
    <col min="10763" max="10763" width="12.25" style="94" customWidth="1"/>
    <col min="10764" max="10765" width="11.625" style="94" customWidth="1"/>
    <col min="10766" max="10766" width="7.875" style="94" customWidth="1"/>
    <col min="10767" max="10769" width="7.75" style="94" customWidth="1"/>
    <col min="10770" max="10770" width="14.125" style="94" customWidth="1"/>
    <col min="10771" max="11008" width="9" style="94"/>
    <col min="11009" max="11009" width="8.125" style="94" customWidth="1"/>
    <col min="11010" max="11010" width="6.25" style="94" customWidth="1"/>
    <col min="11011" max="11011" width="6.375" style="94" customWidth="1"/>
    <col min="11012" max="11012" width="5.375" style="94" customWidth="1"/>
    <col min="11013" max="11013" width="5.875" style="94" customWidth="1"/>
    <col min="11014" max="11014" width="6.375" style="94" customWidth="1"/>
    <col min="11015" max="11015" width="5.75" style="94" customWidth="1"/>
    <col min="11016" max="11016" width="11.875" style="94" customWidth="1"/>
    <col min="11017" max="11017" width="8.5" style="94" customWidth="1"/>
    <col min="11018" max="11018" width="9" style="94"/>
    <col min="11019" max="11019" width="12.25" style="94" customWidth="1"/>
    <col min="11020" max="11021" width="11.625" style="94" customWidth="1"/>
    <col min="11022" max="11022" width="7.875" style="94" customWidth="1"/>
    <col min="11023" max="11025" width="7.75" style="94" customWidth="1"/>
    <col min="11026" max="11026" width="14.125" style="94" customWidth="1"/>
    <col min="11027" max="11264" width="9" style="94"/>
    <col min="11265" max="11265" width="8.125" style="94" customWidth="1"/>
    <col min="11266" max="11266" width="6.25" style="94" customWidth="1"/>
    <col min="11267" max="11267" width="6.375" style="94" customWidth="1"/>
    <col min="11268" max="11268" width="5.375" style="94" customWidth="1"/>
    <col min="11269" max="11269" width="5.875" style="94" customWidth="1"/>
    <col min="11270" max="11270" width="6.375" style="94" customWidth="1"/>
    <col min="11271" max="11271" width="5.75" style="94" customWidth="1"/>
    <col min="11272" max="11272" width="11.875" style="94" customWidth="1"/>
    <col min="11273" max="11273" width="8.5" style="94" customWidth="1"/>
    <col min="11274" max="11274" width="9" style="94"/>
    <col min="11275" max="11275" width="12.25" style="94" customWidth="1"/>
    <col min="11276" max="11277" width="11.625" style="94" customWidth="1"/>
    <col min="11278" max="11278" width="7.875" style="94" customWidth="1"/>
    <col min="11279" max="11281" width="7.75" style="94" customWidth="1"/>
    <col min="11282" max="11282" width="14.125" style="94" customWidth="1"/>
    <col min="11283" max="11520" width="9" style="94"/>
    <col min="11521" max="11521" width="8.125" style="94" customWidth="1"/>
    <col min="11522" max="11522" width="6.25" style="94" customWidth="1"/>
    <col min="11523" max="11523" width="6.375" style="94" customWidth="1"/>
    <col min="11524" max="11524" width="5.375" style="94" customWidth="1"/>
    <col min="11525" max="11525" width="5.875" style="94" customWidth="1"/>
    <col min="11526" max="11526" width="6.375" style="94" customWidth="1"/>
    <col min="11527" max="11527" width="5.75" style="94" customWidth="1"/>
    <col min="11528" max="11528" width="11.875" style="94" customWidth="1"/>
    <col min="11529" max="11529" width="8.5" style="94" customWidth="1"/>
    <col min="11530" max="11530" width="9" style="94"/>
    <col min="11531" max="11531" width="12.25" style="94" customWidth="1"/>
    <col min="11532" max="11533" width="11.625" style="94" customWidth="1"/>
    <col min="11534" max="11534" width="7.875" style="94" customWidth="1"/>
    <col min="11535" max="11537" width="7.75" style="94" customWidth="1"/>
    <col min="11538" max="11538" width="14.125" style="94" customWidth="1"/>
    <col min="11539" max="11776" width="9" style="94"/>
    <col min="11777" max="11777" width="8.125" style="94" customWidth="1"/>
    <col min="11778" max="11778" width="6.25" style="94" customWidth="1"/>
    <col min="11779" max="11779" width="6.375" style="94" customWidth="1"/>
    <col min="11780" max="11780" width="5.375" style="94" customWidth="1"/>
    <col min="11781" max="11781" width="5.875" style="94" customWidth="1"/>
    <col min="11782" max="11782" width="6.375" style="94" customWidth="1"/>
    <col min="11783" max="11783" width="5.75" style="94" customWidth="1"/>
    <col min="11784" max="11784" width="11.875" style="94" customWidth="1"/>
    <col min="11785" max="11785" width="8.5" style="94" customWidth="1"/>
    <col min="11786" max="11786" width="9" style="94"/>
    <col min="11787" max="11787" width="12.25" style="94" customWidth="1"/>
    <col min="11788" max="11789" width="11.625" style="94" customWidth="1"/>
    <col min="11790" max="11790" width="7.875" style="94" customWidth="1"/>
    <col min="11791" max="11793" width="7.75" style="94" customWidth="1"/>
    <col min="11794" max="11794" width="14.125" style="94" customWidth="1"/>
    <col min="11795" max="12032" width="9" style="94"/>
    <col min="12033" max="12033" width="8.125" style="94" customWidth="1"/>
    <col min="12034" max="12034" width="6.25" style="94" customWidth="1"/>
    <col min="12035" max="12035" width="6.375" style="94" customWidth="1"/>
    <col min="12036" max="12036" width="5.375" style="94" customWidth="1"/>
    <col min="12037" max="12037" width="5.875" style="94" customWidth="1"/>
    <col min="12038" max="12038" width="6.375" style="94" customWidth="1"/>
    <col min="12039" max="12039" width="5.75" style="94" customWidth="1"/>
    <col min="12040" max="12040" width="11.875" style="94" customWidth="1"/>
    <col min="12041" max="12041" width="8.5" style="94" customWidth="1"/>
    <col min="12042" max="12042" width="9" style="94"/>
    <col min="12043" max="12043" width="12.25" style="94" customWidth="1"/>
    <col min="12044" max="12045" width="11.625" style="94" customWidth="1"/>
    <col min="12046" max="12046" width="7.875" style="94" customWidth="1"/>
    <col min="12047" max="12049" width="7.75" style="94" customWidth="1"/>
    <col min="12050" max="12050" width="14.125" style="94" customWidth="1"/>
    <col min="12051" max="12288" width="9" style="94"/>
    <col min="12289" max="12289" width="8.125" style="94" customWidth="1"/>
    <col min="12290" max="12290" width="6.25" style="94" customWidth="1"/>
    <col min="12291" max="12291" width="6.375" style="94" customWidth="1"/>
    <col min="12292" max="12292" width="5.375" style="94" customWidth="1"/>
    <col min="12293" max="12293" width="5.875" style="94" customWidth="1"/>
    <col min="12294" max="12294" width="6.375" style="94" customWidth="1"/>
    <col min="12295" max="12295" width="5.75" style="94" customWidth="1"/>
    <col min="12296" max="12296" width="11.875" style="94" customWidth="1"/>
    <col min="12297" max="12297" width="8.5" style="94" customWidth="1"/>
    <col min="12298" max="12298" width="9" style="94"/>
    <col min="12299" max="12299" width="12.25" style="94" customWidth="1"/>
    <col min="12300" max="12301" width="11.625" style="94" customWidth="1"/>
    <col min="12302" max="12302" width="7.875" style="94" customWidth="1"/>
    <col min="12303" max="12305" width="7.75" style="94" customWidth="1"/>
    <col min="12306" max="12306" width="14.125" style="94" customWidth="1"/>
    <col min="12307" max="12544" width="9" style="94"/>
    <col min="12545" max="12545" width="8.125" style="94" customWidth="1"/>
    <col min="12546" max="12546" width="6.25" style="94" customWidth="1"/>
    <col min="12547" max="12547" width="6.375" style="94" customWidth="1"/>
    <col min="12548" max="12548" width="5.375" style="94" customWidth="1"/>
    <col min="12549" max="12549" width="5.875" style="94" customWidth="1"/>
    <col min="12550" max="12550" width="6.375" style="94" customWidth="1"/>
    <col min="12551" max="12551" width="5.75" style="94" customWidth="1"/>
    <col min="12552" max="12552" width="11.875" style="94" customWidth="1"/>
    <col min="12553" max="12553" width="8.5" style="94" customWidth="1"/>
    <col min="12554" max="12554" width="9" style="94"/>
    <col min="12555" max="12555" width="12.25" style="94" customWidth="1"/>
    <col min="12556" max="12557" width="11.625" style="94" customWidth="1"/>
    <col min="12558" max="12558" width="7.875" style="94" customWidth="1"/>
    <col min="12559" max="12561" width="7.75" style="94" customWidth="1"/>
    <col min="12562" max="12562" width="14.125" style="94" customWidth="1"/>
    <col min="12563" max="12800" width="9" style="94"/>
    <col min="12801" max="12801" width="8.125" style="94" customWidth="1"/>
    <col min="12802" max="12802" width="6.25" style="94" customWidth="1"/>
    <col min="12803" max="12803" width="6.375" style="94" customWidth="1"/>
    <col min="12804" max="12804" width="5.375" style="94" customWidth="1"/>
    <col min="12805" max="12805" width="5.875" style="94" customWidth="1"/>
    <col min="12806" max="12806" width="6.375" style="94" customWidth="1"/>
    <col min="12807" max="12807" width="5.75" style="94" customWidth="1"/>
    <col min="12808" max="12808" width="11.875" style="94" customWidth="1"/>
    <col min="12809" max="12809" width="8.5" style="94" customWidth="1"/>
    <col min="12810" max="12810" width="9" style="94"/>
    <col min="12811" max="12811" width="12.25" style="94" customWidth="1"/>
    <col min="12812" max="12813" width="11.625" style="94" customWidth="1"/>
    <col min="12814" max="12814" width="7.875" style="94" customWidth="1"/>
    <col min="12815" max="12817" width="7.75" style="94" customWidth="1"/>
    <col min="12818" max="12818" width="14.125" style="94" customWidth="1"/>
    <col min="12819" max="13056" width="9" style="94"/>
    <col min="13057" max="13057" width="8.125" style="94" customWidth="1"/>
    <col min="13058" max="13058" width="6.25" style="94" customWidth="1"/>
    <col min="13059" max="13059" width="6.375" style="94" customWidth="1"/>
    <col min="13060" max="13060" width="5.375" style="94" customWidth="1"/>
    <col min="13061" max="13061" width="5.875" style="94" customWidth="1"/>
    <col min="13062" max="13062" width="6.375" style="94" customWidth="1"/>
    <col min="13063" max="13063" width="5.75" style="94" customWidth="1"/>
    <col min="13064" max="13064" width="11.875" style="94" customWidth="1"/>
    <col min="13065" max="13065" width="8.5" style="94" customWidth="1"/>
    <col min="13066" max="13066" width="9" style="94"/>
    <col min="13067" max="13067" width="12.25" style="94" customWidth="1"/>
    <col min="13068" max="13069" width="11.625" style="94" customWidth="1"/>
    <col min="13070" max="13070" width="7.875" style="94" customWidth="1"/>
    <col min="13071" max="13073" width="7.75" style="94" customWidth="1"/>
    <col min="13074" max="13074" width="14.125" style="94" customWidth="1"/>
    <col min="13075" max="13312" width="9" style="94"/>
    <col min="13313" max="13313" width="8.125" style="94" customWidth="1"/>
    <col min="13314" max="13314" width="6.25" style="94" customWidth="1"/>
    <col min="13315" max="13315" width="6.375" style="94" customWidth="1"/>
    <col min="13316" max="13316" width="5.375" style="94" customWidth="1"/>
    <col min="13317" max="13317" width="5.875" style="94" customWidth="1"/>
    <col min="13318" max="13318" width="6.375" style="94" customWidth="1"/>
    <col min="13319" max="13319" width="5.75" style="94" customWidth="1"/>
    <col min="13320" max="13320" width="11.875" style="94" customWidth="1"/>
    <col min="13321" max="13321" width="8.5" style="94" customWidth="1"/>
    <col min="13322" max="13322" width="9" style="94"/>
    <col min="13323" max="13323" width="12.25" style="94" customWidth="1"/>
    <col min="13324" max="13325" width="11.625" style="94" customWidth="1"/>
    <col min="13326" max="13326" width="7.875" style="94" customWidth="1"/>
    <col min="13327" max="13329" width="7.75" style="94" customWidth="1"/>
    <col min="13330" max="13330" width="14.125" style="94" customWidth="1"/>
    <col min="13331" max="13568" width="9" style="94"/>
    <col min="13569" max="13569" width="8.125" style="94" customWidth="1"/>
    <col min="13570" max="13570" width="6.25" style="94" customWidth="1"/>
    <col min="13571" max="13571" width="6.375" style="94" customWidth="1"/>
    <col min="13572" max="13572" width="5.375" style="94" customWidth="1"/>
    <col min="13573" max="13573" width="5.875" style="94" customWidth="1"/>
    <col min="13574" max="13574" width="6.375" style="94" customWidth="1"/>
    <col min="13575" max="13575" width="5.75" style="94" customWidth="1"/>
    <col min="13576" max="13576" width="11.875" style="94" customWidth="1"/>
    <col min="13577" max="13577" width="8.5" style="94" customWidth="1"/>
    <col min="13578" max="13578" width="9" style="94"/>
    <col min="13579" max="13579" width="12.25" style="94" customWidth="1"/>
    <col min="13580" max="13581" width="11.625" style="94" customWidth="1"/>
    <col min="13582" max="13582" width="7.875" style="94" customWidth="1"/>
    <col min="13583" max="13585" width="7.75" style="94" customWidth="1"/>
    <col min="13586" max="13586" width="14.125" style="94" customWidth="1"/>
    <col min="13587" max="13824" width="9" style="94"/>
    <col min="13825" max="13825" width="8.125" style="94" customWidth="1"/>
    <col min="13826" max="13826" width="6.25" style="94" customWidth="1"/>
    <col min="13827" max="13827" width="6.375" style="94" customWidth="1"/>
    <col min="13828" max="13828" width="5.375" style="94" customWidth="1"/>
    <col min="13829" max="13829" width="5.875" style="94" customWidth="1"/>
    <col min="13830" max="13830" width="6.375" style="94" customWidth="1"/>
    <col min="13831" max="13831" width="5.75" style="94" customWidth="1"/>
    <col min="13832" max="13832" width="11.875" style="94" customWidth="1"/>
    <col min="13833" max="13833" width="8.5" style="94" customWidth="1"/>
    <col min="13834" max="13834" width="9" style="94"/>
    <col min="13835" max="13835" width="12.25" style="94" customWidth="1"/>
    <col min="13836" max="13837" width="11.625" style="94" customWidth="1"/>
    <col min="13838" max="13838" width="7.875" style="94" customWidth="1"/>
    <col min="13839" max="13841" width="7.75" style="94" customWidth="1"/>
    <col min="13842" max="13842" width="14.125" style="94" customWidth="1"/>
    <col min="13843" max="14080" width="9" style="94"/>
    <col min="14081" max="14081" width="8.125" style="94" customWidth="1"/>
    <col min="14082" max="14082" width="6.25" style="94" customWidth="1"/>
    <col min="14083" max="14083" width="6.375" style="94" customWidth="1"/>
    <col min="14084" max="14084" width="5.375" style="94" customWidth="1"/>
    <col min="14085" max="14085" width="5.875" style="94" customWidth="1"/>
    <col min="14086" max="14086" width="6.375" style="94" customWidth="1"/>
    <col min="14087" max="14087" width="5.75" style="94" customWidth="1"/>
    <col min="14088" max="14088" width="11.875" style="94" customWidth="1"/>
    <col min="14089" max="14089" width="8.5" style="94" customWidth="1"/>
    <col min="14090" max="14090" width="9" style="94"/>
    <col min="14091" max="14091" width="12.25" style="94" customWidth="1"/>
    <col min="14092" max="14093" width="11.625" style="94" customWidth="1"/>
    <col min="14094" max="14094" width="7.875" style="94" customWidth="1"/>
    <col min="14095" max="14097" width="7.75" style="94" customWidth="1"/>
    <col min="14098" max="14098" width="14.125" style="94" customWidth="1"/>
    <col min="14099" max="14336" width="9" style="94"/>
    <col min="14337" max="14337" width="8.125" style="94" customWidth="1"/>
    <col min="14338" max="14338" width="6.25" style="94" customWidth="1"/>
    <col min="14339" max="14339" width="6.375" style="94" customWidth="1"/>
    <col min="14340" max="14340" width="5.375" style="94" customWidth="1"/>
    <col min="14341" max="14341" width="5.875" style="94" customWidth="1"/>
    <col min="14342" max="14342" width="6.375" style="94" customWidth="1"/>
    <col min="14343" max="14343" width="5.75" style="94" customWidth="1"/>
    <col min="14344" max="14344" width="11.875" style="94" customWidth="1"/>
    <col min="14345" max="14345" width="8.5" style="94" customWidth="1"/>
    <col min="14346" max="14346" width="9" style="94"/>
    <col min="14347" max="14347" width="12.25" style="94" customWidth="1"/>
    <col min="14348" max="14349" width="11.625" style="94" customWidth="1"/>
    <col min="14350" max="14350" width="7.875" style="94" customWidth="1"/>
    <col min="14351" max="14353" width="7.75" style="94" customWidth="1"/>
    <col min="14354" max="14354" width="14.125" style="94" customWidth="1"/>
    <col min="14355" max="14592" width="9" style="94"/>
    <col min="14593" max="14593" width="8.125" style="94" customWidth="1"/>
    <col min="14594" max="14594" width="6.25" style="94" customWidth="1"/>
    <col min="14595" max="14595" width="6.375" style="94" customWidth="1"/>
    <col min="14596" max="14596" width="5.375" style="94" customWidth="1"/>
    <col min="14597" max="14597" width="5.875" style="94" customWidth="1"/>
    <col min="14598" max="14598" width="6.375" style="94" customWidth="1"/>
    <col min="14599" max="14599" width="5.75" style="94" customWidth="1"/>
    <col min="14600" max="14600" width="11.875" style="94" customWidth="1"/>
    <col min="14601" max="14601" width="8.5" style="94" customWidth="1"/>
    <col min="14602" max="14602" width="9" style="94"/>
    <col min="14603" max="14603" width="12.25" style="94" customWidth="1"/>
    <col min="14604" max="14605" width="11.625" style="94" customWidth="1"/>
    <col min="14606" max="14606" width="7.875" style="94" customWidth="1"/>
    <col min="14607" max="14609" width="7.75" style="94" customWidth="1"/>
    <col min="14610" max="14610" width="14.125" style="94" customWidth="1"/>
    <col min="14611" max="14848" width="9" style="94"/>
    <col min="14849" max="14849" width="8.125" style="94" customWidth="1"/>
    <col min="14850" max="14850" width="6.25" style="94" customWidth="1"/>
    <col min="14851" max="14851" width="6.375" style="94" customWidth="1"/>
    <col min="14852" max="14852" width="5.375" style="94" customWidth="1"/>
    <col min="14853" max="14853" width="5.875" style="94" customWidth="1"/>
    <col min="14854" max="14854" width="6.375" style="94" customWidth="1"/>
    <col min="14855" max="14855" width="5.75" style="94" customWidth="1"/>
    <col min="14856" max="14856" width="11.875" style="94" customWidth="1"/>
    <col min="14857" max="14857" width="8.5" style="94" customWidth="1"/>
    <col min="14858" max="14858" width="9" style="94"/>
    <col min="14859" max="14859" width="12.25" style="94" customWidth="1"/>
    <col min="14860" max="14861" width="11.625" style="94" customWidth="1"/>
    <col min="14862" max="14862" width="7.875" style="94" customWidth="1"/>
    <col min="14863" max="14865" width="7.75" style="94" customWidth="1"/>
    <col min="14866" max="14866" width="14.125" style="94" customWidth="1"/>
    <col min="14867" max="15104" width="9" style="94"/>
    <col min="15105" max="15105" width="8.125" style="94" customWidth="1"/>
    <col min="15106" max="15106" width="6.25" style="94" customWidth="1"/>
    <col min="15107" max="15107" width="6.375" style="94" customWidth="1"/>
    <col min="15108" max="15108" width="5.375" style="94" customWidth="1"/>
    <col min="15109" max="15109" width="5.875" style="94" customWidth="1"/>
    <col min="15110" max="15110" width="6.375" style="94" customWidth="1"/>
    <col min="15111" max="15111" width="5.75" style="94" customWidth="1"/>
    <col min="15112" max="15112" width="11.875" style="94" customWidth="1"/>
    <col min="15113" max="15113" width="8.5" style="94" customWidth="1"/>
    <col min="15114" max="15114" width="9" style="94"/>
    <col min="15115" max="15115" width="12.25" style="94" customWidth="1"/>
    <col min="15116" max="15117" width="11.625" style="94" customWidth="1"/>
    <col min="15118" max="15118" width="7.875" style="94" customWidth="1"/>
    <col min="15119" max="15121" width="7.75" style="94" customWidth="1"/>
    <col min="15122" max="15122" width="14.125" style="94" customWidth="1"/>
    <col min="15123" max="15360" width="9" style="94"/>
    <col min="15361" max="15361" width="8.125" style="94" customWidth="1"/>
    <col min="15362" max="15362" width="6.25" style="94" customWidth="1"/>
    <col min="15363" max="15363" width="6.375" style="94" customWidth="1"/>
    <col min="15364" max="15364" width="5.375" style="94" customWidth="1"/>
    <col min="15365" max="15365" width="5.875" style="94" customWidth="1"/>
    <col min="15366" max="15366" width="6.375" style="94" customWidth="1"/>
    <col min="15367" max="15367" width="5.75" style="94" customWidth="1"/>
    <col min="15368" max="15368" width="11.875" style="94" customWidth="1"/>
    <col min="15369" max="15369" width="8.5" style="94" customWidth="1"/>
    <col min="15370" max="15370" width="9" style="94"/>
    <col min="15371" max="15371" width="12.25" style="94" customWidth="1"/>
    <col min="15372" max="15373" width="11.625" style="94" customWidth="1"/>
    <col min="15374" max="15374" width="7.875" style="94" customWidth="1"/>
    <col min="15375" max="15377" width="7.75" style="94" customWidth="1"/>
    <col min="15378" max="15378" width="14.125" style="94" customWidth="1"/>
    <col min="15379" max="15616" width="9" style="94"/>
    <col min="15617" max="15617" width="8.125" style="94" customWidth="1"/>
    <col min="15618" max="15618" width="6.25" style="94" customWidth="1"/>
    <col min="15619" max="15619" width="6.375" style="94" customWidth="1"/>
    <col min="15620" max="15620" width="5.375" style="94" customWidth="1"/>
    <col min="15621" max="15621" width="5.875" style="94" customWidth="1"/>
    <col min="15622" max="15622" width="6.375" style="94" customWidth="1"/>
    <col min="15623" max="15623" width="5.75" style="94" customWidth="1"/>
    <col min="15624" max="15624" width="11.875" style="94" customWidth="1"/>
    <col min="15625" max="15625" width="8.5" style="94" customWidth="1"/>
    <col min="15626" max="15626" width="9" style="94"/>
    <col min="15627" max="15627" width="12.25" style="94" customWidth="1"/>
    <col min="15628" max="15629" width="11.625" style="94" customWidth="1"/>
    <col min="15630" max="15630" width="7.875" style="94" customWidth="1"/>
    <col min="15631" max="15633" width="7.75" style="94" customWidth="1"/>
    <col min="15634" max="15634" width="14.125" style="94" customWidth="1"/>
    <col min="15635" max="15872" width="9" style="94"/>
    <col min="15873" max="15873" width="8.125" style="94" customWidth="1"/>
    <col min="15874" max="15874" width="6.25" style="94" customWidth="1"/>
    <col min="15875" max="15875" width="6.375" style="94" customWidth="1"/>
    <col min="15876" max="15876" width="5.375" style="94" customWidth="1"/>
    <col min="15877" max="15877" width="5.875" style="94" customWidth="1"/>
    <col min="15878" max="15878" width="6.375" style="94" customWidth="1"/>
    <col min="15879" max="15879" width="5.75" style="94" customWidth="1"/>
    <col min="15880" max="15880" width="11.875" style="94" customWidth="1"/>
    <col min="15881" max="15881" width="8.5" style="94" customWidth="1"/>
    <col min="15882" max="15882" width="9" style="94"/>
    <col min="15883" max="15883" width="12.25" style="94" customWidth="1"/>
    <col min="15884" max="15885" width="11.625" style="94" customWidth="1"/>
    <col min="15886" max="15886" width="7.875" style="94" customWidth="1"/>
    <col min="15887" max="15889" width="7.75" style="94" customWidth="1"/>
    <col min="15890" max="15890" width="14.125" style="94" customWidth="1"/>
    <col min="15891" max="16128" width="9" style="94"/>
    <col min="16129" max="16129" width="8.125" style="94" customWidth="1"/>
    <col min="16130" max="16130" width="6.25" style="94" customWidth="1"/>
    <col min="16131" max="16131" width="6.375" style="94" customWidth="1"/>
    <col min="16132" max="16132" width="5.375" style="94" customWidth="1"/>
    <col min="16133" max="16133" width="5.875" style="94" customWidth="1"/>
    <col min="16134" max="16134" width="6.375" style="94" customWidth="1"/>
    <col min="16135" max="16135" width="5.75" style="94" customWidth="1"/>
    <col min="16136" max="16136" width="11.875" style="94" customWidth="1"/>
    <col min="16137" max="16137" width="8.5" style="94" customWidth="1"/>
    <col min="16138" max="16138" width="9" style="94"/>
    <col min="16139" max="16139" width="12.25" style="94" customWidth="1"/>
    <col min="16140" max="16141" width="11.625" style="94" customWidth="1"/>
    <col min="16142" max="16142" width="7.875" style="94" customWidth="1"/>
    <col min="16143" max="16145" width="7.75" style="94" customWidth="1"/>
    <col min="16146" max="16146" width="14.125" style="94" customWidth="1"/>
    <col min="16147" max="16384" width="9" style="94"/>
  </cols>
  <sheetData>
    <row r="1" ht="16.5" customHeight="1" spans="1:5">
      <c r="A1" s="95"/>
      <c r="B1" s="95"/>
      <c r="C1" s="95"/>
      <c r="D1" s="95"/>
      <c r="E1" s="95"/>
    </row>
    <row r="2" customHeight="1" spans="1:11">
      <c r="A2" s="96"/>
      <c r="B2" s="96"/>
      <c r="C2" s="96"/>
      <c r="D2" s="96"/>
      <c r="E2" s="95"/>
      <c r="F2" s="459" t="s">
        <v>1046</v>
      </c>
      <c r="G2" s="459"/>
      <c r="H2" s="459"/>
      <c r="I2" s="459"/>
      <c r="J2" s="459"/>
      <c r="K2" s="459"/>
    </row>
    <row r="3" ht="18.75" spans="1:11">
      <c r="A3" s="460" t="s">
        <v>942</v>
      </c>
      <c r="B3" s="460"/>
      <c r="C3" s="460"/>
      <c r="D3" s="460"/>
      <c r="E3" s="460"/>
      <c r="F3" s="460"/>
      <c r="G3" s="460"/>
      <c r="H3" s="460"/>
      <c r="I3" s="460"/>
      <c r="J3" s="460"/>
      <c r="K3" s="460"/>
    </row>
    <row r="4" ht="18" customHeight="1" spans="1:18">
      <c r="A4" s="102" t="s">
        <v>943</v>
      </c>
      <c r="B4" s="102"/>
      <c r="C4" s="101">
        <f>下料单!C2</f>
        <v>0</v>
      </c>
      <c r="D4" s="101"/>
      <c r="E4" s="101"/>
      <c r="F4" s="107" t="s">
        <v>66</v>
      </c>
      <c r="G4" s="107"/>
      <c r="H4" s="101">
        <f>下料单!Y2</f>
        <v>0</v>
      </c>
      <c r="I4" s="101"/>
      <c r="J4" s="102" t="s">
        <v>944</v>
      </c>
      <c r="K4" s="490" t="str">
        <f>SUM(G10:G36)&amp;"块"</f>
        <v>0块</v>
      </c>
      <c r="R4" s="514"/>
    </row>
    <row r="5" ht="19.5" customHeight="1" spans="1:18">
      <c r="A5" s="107" t="s">
        <v>945</v>
      </c>
      <c r="B5" s="107"/>
      <c r="C5" s="461">
        <f>下料单!J2</f>
        <v>0</v>
      </c>
      <c r="D5" s="461"/>
      <c r="E5" s="461"/>
      <c r="F5" s="107" t="s">
        <v>520</v>
      </c>
      <c r="G5" s="107"/>
      <c r="H5" s="462" t="s">
        <v>1047</v>
      </c>
      <c r="I5" s="106"/>
      <c r="J5" s="107" t="s">
        <v>946</v>
      </c>
      <c r="K5" s="491">
        <f>下料单!AC2</f>
        <v>0</v>
      </c>
      <c r="R5" s="514"/>
    </row>
    <row r="6" ht="22.5" customHeight="1" spans="1:18">
      <c r="A6" s="107" t="s">
        <v>948</v>
      </c>
      <c r="B6" s="107"/>
      <c r="C6" s="106" t="s">
        <v>1048</v>
      </c>
      <c r="D6" s="106"/>
      <c r="E6" s="106"/>
      <c r="F6" s="463"/>
      <c r="G6" s="463"/>
      <c r="H6" s="463"/>
      <c r="I6" s="463"/>
      <c r="J6" s="107" t="s">
        <v>1049</v>
      </c>
      <c r="K6" s="492" t="s">
        <v>124</v>
      </c>
      <c r="R6" s="514"/>
    </row>
    <row r="7" ht="24" customHeight="1" spans="1:18">
      <c r="A7" s="464" t="s">
        <v>1050</v>
      </c>
      <c r="B7" s="464"/>
      <c r="C7" s="464"/>
      <c r="D7" s="464"/>
      <c r="E7" s="464"/>
      <c r="F7" s="464"/>
      <c r="G7" s="464"/>
      <c r="H7" s="464"/>
      <c r="I7" s="464"/>
      <c r="J7" s="464"/>
      <c r="K7" s="464"/>
      <c r="R7" s="514"/>
    </row>
    <row r="8" ht="18" customHeight="1" spans="1:18">
      <c r="A8" s="465" t="s">
        <v>953</v>
      </c>
      <c r="B8" s="466" t="s">
        <v>954</v>
      </c>
      <c r="C8" s="466"/>
      <c r="D8" s="466"/>
      <c r="E8" s="466" t="s">
        <v>955</v>
      </c>
      <c r="F8" s="466"/>
      <c r="G8" s="467"/>
      <c r="H8" s="468" t="s">
        <v>1051</v>
      </c>
      <c r="I8" s="493" t="s">
        <v>1052</v>
      </c>
      <c r="J8" s="493"/>
      <c r="K8" s="494"/>
      <c r="L8" s="495" t="s">
        <v>1053</v>
      </c>
      <c r="M8" s="496"/>
      <c r="N8" s="497"/>
      <c r="R8" s="514"/>
    </row>
    <row r="9" ht="22.5" customHeight="1" spans="1:18">
      <c r="A9" s="469" t="s">
        <v>958</v>
      </c>
      <c r="B9" s="470" t="s">
        <v>764</v>
      </c>
      <c r="C9" s="470" t="s">
        <v>765</v>
      </c>
      <c r="D9" s="470" t="s">
        <v>90</v>
      </c>
      <c r="E9" s="470" t="s">
        <v>764</v>
      </c>
      <c r="F9" s="470" t="s">
        <v>765</v>
      </c>
      <c r="G9" s="470" t="s">
        <v>90</v>
      </c>
      <c r="H9" s="471" t="s">
        <v>178</v>
      </c>
      <c r="I9" s="498"/>
      <c r="J9" s="471"/>
      <c r="K9" s="499"/>
      <c r="L9" s="500" t="s">
        <v>962</v>
      </c>
      <c r="M9" s="501" t="s">
        <v>960</v>
      </c>
      <c r="N9" s="502" t="s">
        <v>963</v>
      </c>
      <c r="O9" s="503" t="s">
        <v>1054</v>
      </c>
      <c r="P9" s="503" t="s">
        <v>1055</v>
      </c>
      <c r="Q9" s="515" t="s">
        <v>1056</v>
      </c>
      <c r="R9" s="514"/>
    </row>
    <row r="10" ht="17.1" customHeight="1" spans="1:18">
      <c r="A10" s="472"/>
      <c r="B10" s="473"/>
      <c r="C10" s="473"/>
      <c r="D10" s="474"/>
      <c r="E10" s="475" t="str">
        <f>+IF(C10="","",C10-1)</f>
        <v/>
      </c>
      <c r="F10" s="475" t="str">
        <f>+IF(B10="","",B10-1)</f>
        <v/>
      </c>
      <c r="G10" s="475" t="str">
        <f>+IF(D10="","",D10)</f>
        <v/>
      </c>
      <c r="H10" s="476"/>
      <c r="I10" s="504"/>
      <c r="J10" s="505"/>
      <c r="K10" s="506"/>
      <c r="L10" s="457">
        <f t="shared" ref="L10:L35" si="0">B10*C10*D10/1000000</f>
        <v>0</v>
      </c>
      <c r="M10" s="458" t="str">
        <f t="shared" ref="M10:M35" si="1">+IF(D10&gt;0,((B10+C10)*2+240)*G10/1000,"")</f>
        <v/>
      </c>
      <c r="N10" s="458">
        <f>B10*C10*D10/1000000/1.2/2.4/0.85</f>
        <v>0</v>
      </c>
      <c r="O10" s="458">
        <f>(B10*C10*D10/1000000)+((B10+C10)*2*D10/1000)*0.02</f>
        <v>0</v>
      </c>
      <c r="P10" s="458">
        <f>(B10*C10*D10/1000000)*2+((B10+C10)*2*D10/1000)*0.02</f>
        <v>0</v>
      </c>
      <c r="Q10" s="458" t="str">
        <f>+IF(H10=$L$8,B10*D10/1000+0.1,"")</f>
        <v/>
      </c>
      <c r="R10" s="514"/>
    </row>
    <row r="11" ht="17.1" customHeight="1" spans="1:18">
      <c r="A11" s="472"/>
      <c r="B11" s="473"/>
      <c r="C11" s="473"/>
      <c r="D11" s="474"/>
      <c r="E11" s="475" t="str">
        <f t="shared" ref="E11:E35" si="2">+IF(C11="","",C11-1)</f>
        <v/>
      </c>
      <c r="F11" s="475" t="str">
        <f t="shared" ref="F11:F35" si="3">+IF(B11="","",B11-1)</f>
        <v/>
      </c>
      <c r="G11" s="475" t="str">
        <f t="shared" ref="G11:G35" si="4">+IF(D11="","",D11)</f>
        <v/>
      </c>
      <c r="H11" s="477"/>
      <c r="I11" s="504"/>
      <c r="J11" s="505"/>
      <c r="K11" s="506"/>
      <c r="L11" s="457">
        <f t="shared" si="0"/>
        <v>0</v>
      </c>
      <c r="M11" s="458" t="str">
        <f t="shared" si="1"/>
        <v/>
      </c>
      <c r="N11" s="458">
        <f t="shared" ref="N11:N36" si="5">B11*C11*D11/1000000/1.2/2.4/0.85</f>
        <v>0</v>
      </c>
      <c r="O11" s="458">
        <f t="shared" ref="O11:O35" si="6">(B11*C11*D11/1000000)+((B11+C11)*2*D11/1000)*0.02</f>
        <v>0</v>
      </c>
      <c r="P11" s="458">
        <f t="shared" ref="P11:P35" si="7">(B11*C11*D11/1000000)*2+((B11+C11)*2*D11/1000)*0.02</f>
        <v>0</v>
      </c>
      <c r="Q11" s="458" t="str">
        <f t="shared" ref="Q11:Q30" si="8">+IF(H11=$L$8,B11*D11/1000+0.1,"")</f>
        <v/>
      </c>
      <c r="R11" s="514"/>
    </row>
    <row r="12" ht="17.1" customHeight="1" spans="1:18">
      <c r="A12" s="472"/>
      <c r="B12" s="473"/>
      <c r="C12" s="473"/>
      <c r="D12" s="474"/>
      <c r="E12" s="475" t="str">
        <f t="shared" si="2"/>
        <v/>
      </c>
      <c r="F12" s="475" t="str">
        <f t="shared" si="3"/>
        <v/>
      </c>
      <c r="G12" s="475" t="str">
        <f t="shared" si="4"/>
        <v/>
      </c>
      <c r="H12" s="477"/>
      <c r="I12" s="504"/>
      <c r="J12" s="505"/>
      <c r="K12" s="506"/>
      <c r="L12" s="457">
        <f t="shared" si="0"/>
        <v>0</v>
      </c>
      <c r="M12" s="458" t="str">
        <f t="shared" si="1"/>
        <v/>
      </c>
      <c r="N12" s="458">
        <f t="shared" si="5"/>
        <v>0</v>
      </c>
      <c r="O12" s="458">
        <f t="shared" si="6"/>
        <v>0</v>
      </c>
      <c r="P12" s="458">
        <f t="shared" si="7"/>
        <v>0</v>
      </c>
      <c r="Q12" s="458" t="str">
        <f t="shared" si="8"/>
        <v/>
      </c>
      <c r="R12" s="514"/>
    </row>
    <row r="13" ht="17.1" customHeight="1" spans="1:18">
      <c r="A13" s="472"/>
      <c r="B13" s="473"/>
      <c r="C13" s="473"/>
      <c r="D13" s="474"/>
      <c r="E13" s="475" t="str">
        <f t="shared" si="2"/>
        <v/>
      </c>
      <c r="F13" s="475" t="str">
        <f t="shared" si="3"/>
        <v/>
      </c>
      <c r="G13" s="475" t="str">
        <f t="shared" si="4"/>
        <v/>
      </c>
      <c r="H13" s="477"/>
      <c r="I13" s="504"/>
      <c r="J13" s="505"/>
      <c r="K13" s="506"/>
      <c r="L13" s="457">
        <f t="shared" si="0"/>
        <v>0</v>
      </c>
      <c r="M13" s="458" t="str">
        <f t="shared" si="1"/>
        <v/>
      </c>
      <c r="N13" s="458">
        <f t="shared" si="5"/>
        <v>0</v>
      </c>
      <c r="O13" s="458">
        <f t="shared" si="6"/>
        <v>0</v>
      </c>
      <c r="P13" s="458">
        <f t="shared" si="7"/>
        <v>0</v>
      </c>
      <c r="Q13" s="458" t="str">
        <f t="shared" si="8"/>
        <v/>
      </c>
      <c r="R13" s="514"/>
    </row>
    <row r="14" ht="17.1" customHeight="1" spans="1:17">
      <c r="A14" s="472"/>
      <c r="B14" s="473"/>
      <c r="C14" s="473"/>
      <c r="D14" s="474"/>
      <c r="E14" s="475" t="str">
        <f t="shared" si="2"/>
        <v/>
      </c>
      <c r="F14" s="475" t="str">
        <f t="shared" si="3"/>
        <v/>
      </c>
      <c r="G14" s="475" t="str">
        <f t="shared" si="4"/>
        <v/>
      </c>
      <c r="H14" s="477"/>
      <c r="I14" s="504"/>
      <c r="J14" s="505"/>
      <c r="K14" s="506"/>
      <c r="L14" s="457">
        <f t="shared" si="0"/>
        <v>0</v>
      </c>
      <c r="M14" s="458" t="str">
        <f t="shared" si="1"/>
        <v/>
      </c>
      <c r="N14" s="458">
        <f t="shared" si="5"/>
        <v>0</v>
      </c>
      <c r="O14" s="458">
        <f t="shared" si="6"/>
        <v>0</v>
      </c>
      <c r="P14" s="458">
        <f t="shared" si="7"/>
        <v>0</v>
      </c>
      <c r="Q14" s="458" t="str">
        <f t="shared" si="8"/>
        <v/>
      </c>
    </row>
    <row r="15" ht="17.1" customHeight="1" spans="1:17">
      <c r="A15" s="472"/>
      <c r="B15" s="473"/>
      <c r="C15" s="473"/>
      <c r="D15" s="474"/>
      <c r="E15" s="475" t="str">
        <f t="shared" si="2"/>
        <v/>
      </c>
      <c r="F15" s="475" t="str">
        <f t="shared" si="3"/>
        <v/>
      </c>
      <c r="G15" s="475" t="str">
        <f t="shared" si="4"/>
        <v/>
      </c>
      <c r="H15" s="477"/>
      <c r="I15" s="504"/>
      <c r="J15" s="505"/>
      <c r="K15" s="506"/>
      <c r="L15" s="457">
        <f t="shared" si="0"/>
        <v>0</v>
      </c>
      <c r="M15" s="458" t="str">
        <f t="shared" si="1"/>
        <v/>
      </c>
      <c r="N15" s="458">
        <f t="shared" si="5"/>
        <v>0</v>
      </c>
      <c r="O15" s="458">
        <f t="shared" si="6"/>
        <v>0</v>
      </c>
      <c r="P15" s="458">
        <f t="shared" si="7"/>
        <v>0</v>
      </c>
      <c r="Q15" s="458" t="str">
        <f t="shared" si="8"/>
        <v/>
      </c>
    </row>
    <row r="16" ht="17.1" customHeight="1" spans="1:17">
      <c r="A16" s="472"/>
      <c r="B16" s="473"/>
      <c r="C16" s="473"/>
      <c r="D16" s="474"/>
      <c r="E16" s="475" t="str">
        <f t="shared" si="2"/>
        <v/>
      </c>
      <c r="F16" s="475" t="str">
        <f t="shared" si="3"/>
        <v/>
      </c>
      <c r="G16" s="475" t="str">
        <f t="shared" si="4"/>
        <v/>
      </c>
      <c r="H16" s="477"/>
      <c r="I16" s="504"/>
      <c r="J16" s="505"/>
      <c r="K16" s="506"/>
      <c r="L16" s="457">
        <f t="shared" si="0"/>
        <v>0</v>
      </c>
      <c r="M16" s="458" t="str">
        <f t="shared" si="1"/>
        <v/>
      </c>
      <c r="N16" s="458">
        <f t="shared" si="5"/>
        <v>0</v>
      </c>
      <c r="O16" s="458">
        <f t="shared" si="6"/>
        <v>0</v>
      </c>
      <c r="P16" s="458">
        <f t="shared" si="7"/>
        <v>0</v>
      </c>
      <c r="Q16" s="458" t="str">
        <f t="shared" si="8"/>
        <v/>
      </c>
    </row>
    <row r="17" ht="17.1" customHeight="1" spans="1:17">
      <c r="A17" s="472"/>
      <c r="B17" s="473"/>
      <c r="C17" s="473"/>
      <c r="D17" s="474"/>
      <c r="E17" s="475" t="str">
        <f t="shared" si="2"/>
        <v/>
      </c>
      <c r="F17" s="475" t="str">
        <f t="shared" si="3"/>
        <v/>
      </c>
      <c r="G17" s="475" t="str">
        <f t="shared" si="4"/>
        <v/>
      </c>
      <c r="H17" s="477"/>
      <c r="I17" s="504"/>
      <c r="J17" s="505"/>
      <c r="K17" s="506"/>
      <c r="L17" s="457">
        <f t="shared" si="0"/>
        <v>0</v>
      </c>
      <c r="M17" s="458" t="str">
        <f t="shared" si="1"/>
        <v/>
      </c>
      <c r="N17" s="458">
        <f t="shared" si="5"/>
        <v>0</v>
      </c>
      <c r="O17" s="458">
        <f t="shared" si="6"/>
        <v>0</v>
      </c>
      <c r="P17" s="458">
        <f t="shared" si="7"/>
        <v>0</v>
      </c>
      <c r="Q17" s="458" t="str">
        <f t="shared" si="8"/>
        <v/>
      </c>
    </row>
    <row r="18" ht="17.1" customHeight="1" spans="1:17">
      <c r="A18" s="472"/>
      <c r="B18" s="473"/>
      <c r="C18" s="473"/>
      <c r="D18" s="474"/>
      <c r="E18" s="475" t="str">
        <f t="shared" si="2"/>
        <v/>
      </c>
      <c r="F18" s="475" t="str">
        <f t="shared" si="3"/>
        <v/>
      </c>
      <c r="G18" s="475" t="str">
        <f t="shared" si="4"/>
        <v/>
      </c>
      <c r="H18" s="477"/>
      <c r="I18" s="504"/>
      <c r="J18" s="505"/>
      <c r="K18" s="506"/>
      <c r="L18" s="457">
        <f t="shared" si="0"/>
        <v>0</v>
      </c>
      <c r="M18" s="458" t="str">
        <f t="shared" si="1"/>
        <v/>
      </c>
      <c r="N18" s="458">
        <f t="shared" si="5"/>
        <v>0</v>
      </c>
      <c r="O18" s="458">
        <f t="shared" si="6"/>
        <v>0</v>
      </c>
      <c r="P18" s="458">
        <f t="shared" si="7"/>
        <v>0</v>
      </c>
      <c r="Q18" s="458" t="str">
        <f t="shared" si="8"/>
        <v/>
      </c>
    </row>
    <row r="19" ht="17.1" customHeight="1" spans="1:17">
      <c r="A19" s="472"/>
      <c r="B19" s="473"/>
      <c r="C19" s="473"/>
      <c r="D19" s="474"/>
      <c r="E19" s="475" t="str">
        <f t="shared" si="2"/>
        <v/>
      </c>
      <c r="F19" s="475" t="str">
        <f t="shared" si="3"/>
        <v/>
      </c>
      <c r="G19" s="475" t="str">
        <f t="shared" si="4"/>
        <v/>
      </c>
      <c r="H19" s="477"/>
      <c r="I19" s="504"/>
      <c r="J19" s="505"/>
      <c r="K19" s="506"/>
      <c r="L19" s="457">
        <f t="shared" si="0"/>
        <v>0</v>
      </c>
      <c r="M19" s="458" t="str">
        <f t="shared" si="1"/>
        <v/>
      </c>
      <c r="N19" s="458">
        <f t="shared" si="5"/>
        <v>0</v>
      </c>
      <c r="O19" s="458">
        <f t="shared" si="6"/>
        <v>0</v>
      </c>
      <c r="P19" s="458">
        <f t="shared" si="7"/>
        <v>0</v>
      </c>
      <c r="Q19" s="458" t="str">
        <f t="shared" si="8"/>
        <v/>
      </c>
    </row>
    <row r="20" ht="17.1" customHeight="1" spans="1:17">
      <c r="A20" s="472"/>
      <c r="B20" s="473"/>
      <c r="C20" s="473"/>
      <c r="D20" s="474"/>
      <c r="E20" s="475" t="str">
        <f t="shared" si="2"/>
        <v/>
      </c>
      <c r="F20" s="475" t="str">
        <f t="shared" si="3"/>
        <v/>
      </c>
      <c r="G20" s="475" t="str">
        <f t="shared" si="4"/>
        <v/>
      </c>
      <c r="H20" s="477"/>
      <c r="I20" s="504"/>
      <c r="J20" s="505"/>
      <c r="K20" s="506"/>
      <c r="L20" s="457">
        <f t="shared" si="0"/>
        <v>0</v>
      </c>
      <c r="M20" s="458" t="str">
        <f t="shared" si="1"/>
        <v/>
      </c>
      <c r="N20" s="458">
        <f t="shared" si="5"/>
        <v>0</v>
      </c>
      <c r="O20" s="458">
        <f t="shared" si="6"/>
        <v>0</v>
      </c>
      <c r="P20" s="458">
        <f t="shared" si="7"/>
        <v>0</v>
      </c>
      <c r="Q20" s="458" t="str">
        <f t="shared" si="8"/>
        <v/>
      </c>
    </row>
    <row r="21" ht="17.1" customHeight="1" spans="1:17">
      <c r="A21" s="472"/>
      <c r="B21" s="473"/>
      <c r="C21" s="473"/>
      <c r="D21" s="474"/>
      <c r="E21" s="475" t="str">
        <f t="shared" si="2"/>
        <v/>
      </c>
      <c r="F21" s="475" t="str">
        <f t="shared" si="3"/>
        <v/>
      </c>
      <c r="G21" s="475" t="str">
        <f t="shared" si="4"/>
        <v/>
      </c>
      <c r="H21" s="477"/>
      <c r="I21" s="504"/>
      <c r="J21" s="505"/>
      <c r="K21" s="506"/>
      <c r="L21" s="457">
        <f t="shared" si="0"/>
        <v>0</v>
      </c>
      <c r="M21" s="458" t="str">
        <f t="shared" si="1"/>
        <v/>
      </c>
      <c r="N21" s="458">
        <f t="shared" si="5"/>
        <v>0</v>
      </c>
      <c r="O21" s="458">
        <f t="shared" si="6"/>
        <v>0</v>
      </c>
      <c r="P21" s="458">
        <f t="shared" si="7"/>
        <v>0</v>
      </c>
      <c r="Q21" s="458" t="str">
        <f t="shared" si="8"/>
        <v/>
      </c>
    </row>
    <row r="22" ht="17.1" customHeight="1" spans="1:17">
      <c r="A22" s="478"/>
      <c r="B22" s="473"/>
      <c r="C22" s="473"/>
      <c r="D22" s="474"/>
      <c r="E22" s="475" t="str">
        <f t="shared" si="2"/>
        <v/>
      </c>
      <c r="F22" s="475" t="str">
        <f t="shared" si="3"/>
        <v/>
      </c>
      <c r="G22" s="475" t="str">
        <f t="shared" si="4"/>
        <v/>
      </c>
      <c r="H22" s="477"/>
      <c r="I22" s="504"/>
      <c r="J22" s="505"/>
      <c r="K22" s="506"/>
      <c r="L22" s="457">
        <f t="shared" si="0"/>
        <v>0</v>
      </c>
      <c r="M22" s="458" t="str">
        <f t="shared" si="1"/>
        <v/>
      </c>
      <c r="N22" s="458">
        <f t="shared" si="5"/>
        <v>0</v>
      </c>
      <c r="O22" s="458">
        <f t="shared" si="6"/>
        <v>0</v>
      </c>
      <c r="P22" s="458">
        <f t="shared" si="7"/>
        <v>0</v>
      </c>
      <c r="Q22" s="458" t="str">
        <f t="shared" si="8"/>
        <v/>
      </c>
    </row>
    <row r="23" ht="17.1" customHeight="1" spans="1:17">
      <c r="A23" s="478"/>
      <c r="B23" s="473"/>
      <c r="C23" s="473"/>
      <c r="D23" s="474"/>
      <c r="E23" s="475" t="str">
        <f t="shared" si="2"/>
        <v/>
      </c>
      <c r="F23" s="475" t="str">
        <f t="shared" si="3"/>
        <v/>
      </c>
      <c r="G23" s="475" t="str">
        <f t="shared" si="4"/>
        <v/>
      </c>
      <c r="H23" s="477"/>
      <c r="I23" s="504"/>
      <c r="J23" s="505"/>
      <c r="K23" s="506"/>
      <c r="L23" s="457">
        <f t="shared" si="0"/>
        <v>0</v>
      </c>
      <c r="M23" s="458" t="str">
        <f t="shared" si="1"/>
        <v/>
      </c>
      <c r="N23" s="458">
        <f t="shared" si="5"/>
        <v>0</v>
      </c>
      <c r="O23" s="458">
        <f t="shared" si="6"/>
        <v>0</v>
      </c>
      <c r="P23" s="458">
        <f t="shared" si="7"/>
        <v>0</v>
      </c>
      <c r="Q23" s="458" t="str">
        <f t="shared" si="8"/>
        <v/>
      </c>
    </row>
    <row r="24" ht="17.1" customHeight="1" spans="1:17">
      <c r="A24" s="478"/>
      <c r="B24" s="473"/>
      <c r="C24" s="473"/>
      <c r="D24" s="474"/>
      <c r="E24" s="475" t="str">
        <f t="shared" si="2"/>
        <v/>
      </c>
      <c r="F24" s="475" t="str">
        <f t="shared" si="3"/>
        <v/>
      </c>
      <c r="G24" s="475" t="str">
        <f t="shared" si="4"/>
        <v/>
      </c>
      <c r="H24" s="477"/>
      <c r="I24" s="504"/>
      <c r="J24" s="505"/>
      <c r="K24" s="506"/>
      <c r="L24" s="457">
        <f t="shared" si="0"/>
        <v>0</v>
      </c>
      <c r="M24" s="458" t="str">
        <f t="shared" si="1"/>
        <v/>
      </c>
      <c r="N24" s="458">
        <f t="shared" si="5"/>
        <v>0</v>
      </c>
      <c r="O24" s="458">
        <f t="shared" si="6"/>
        <v>0</v>
      </c>
      <c r="P24" s="458">
        <f t="shared" si="7"/>
        <v>0</v>
      </c>
      <c r="Q24" s="458" t="str">
        <f t="shared" si="8"/>
        <v/>
      </c>
    </row>
    <row r="25" ht="17.1" customHeight="1" spans="1:17">
      <c r="A25" s="478"/>
      <c r="B25" s="473"/>
      <c r="C25" s="473"/>
      <c r="D25" s="474"/>
      <c r="E25" s="475" t="str">
        <f t="shared" si="2"/>
        <v/>
      </c>
      <c r="F25" s="475" t="str">
        <f t="shared" si="3"/>
        <v/>
      </c>
      <c r="G25" s="475" t="str">
        <f t="shared" si="4"/>
        <v/>
      </c>
      <c r="H25" s="477"/>
      <c r="I25" s="504"/>
      <c r="J25" s="505"/>
      <c r="K25" s="506"/>
      <c r="L25" s="457">
        <f t="shared" si="0"/>
        <v>0</v>
      </c>
      <c r="M25" s="458" t="str">
        <f t="shared" si="1"/>
        <v/>
      </c>
      <c r="N25" s="458">
        <f t="shared" si="5"/>
        <v>0</v>
      </c>
      <c r="O25" s="458">
        <f t="shared" si="6"/>
        <v>0</v>
      </c>
      <c r="P25" s="458">
        <f t="shared" si="7"/>
        <v>0</v>
      </c>
      <c r="Q25" s="458" t="str">
        <f t="shared" si="8"/>
        <v/>
      </c>
    </row>
    <row r="26" ht="17.1" customHeight="1" spans="1:17">
      <c r="A26" s="478"/>
      <c r="B26" s="473"/>
      <c r="C26" s="473"/>
      <c r="D26" s="474"/>
      <c r="E26" s="475" t="str">
        <f t="shared" si="2"/>
        <v/>
      </c>
      <c r="F26" s="475" t="str">
        <f t="shared" si="3"/>
        <v/>
      </c>
      <c r="G26" s="475" t="str">
        <f t="shared" si="4"/>
        <v/>
      </c>
      <c r="H26" s="477"/>
      <c r="I26" s="504"/>
      <c r="J26" s="505"/>
      <c r="K26" s="506"/>
      <c r="L26" s="457">
        <f t="shared" si="0"/>
        <v>0</v>
      </c>
      <c r="M26" s="458" t="str">
        <f t="shared" si="1"/>
        <v/>
      </c>
      <c r="N26" s="458">
        <f t="shared" si="5"/>
        <v>0</v>
      </c>
      <c r="O26" s="458">
        <f t="shared" si="6"/>
        <v>0</v>
      </c>
      <c r="P26" s="458">
        <f t="shared" si="7"/>
        <v>0</v>
      </c>
      <c r="Q26" s="458" t="str">
        <f t="shared" si="8"/>
        <v/>
      </c>
    </row>
    <row r="27" ht="17.1" customHeight="1" spans="1:17">
      <c r="A27" s="478"/>
      <c r="B27" s="473"/>
      <c r="C27" s="473"/>
      <c r="D27" s="474"/>
      <c r="E27" s="475" t="str">
        <f t="shared" si="2"/>
        <v/>
      </c>
      <c r="F27" s="475" t="str">
        <f t="shared" si="3"/>
        <v/>
      </c>
      <c r="G27" s="475" t="str">
        <f t="shared" si="4"/>
        <v/>
      </c>
      <c r="H27" s="477"/>
      <c r="I27" s="504"/>
      <c r="J27" s="505"/>
      <c r="K27" s="506"/>
      <c r="L27" s="457">
        <f t="shared" si="0"/>
        <v>0</v>
      </c>
      <c r="M27" s="458" t="str">
        <f t="shared" si="1"/>
        <v/>
      </c>
      <c r="N27" s="458">
        <f t="shared" si="5"/>
        <v>0</v>
      </c>
      <c r="O27" s="458">
        <f t="shared" si="6"/>
        <v>0</v>
      </c>
      <c r="P27" s="458">
        <f t="shared" si="7"/>
        <v>0</v>
      </c>
      <c r="Q27" s="458" t="str">
        <f t="shared" si="8"/>
        <v/>
      </c>
    </row>
    <row r="28" ht="17.1" customHeight="1" spans="1:17">
      <c r="A28" s="479"/>
      <c r="B28" s="473"/>
      <c r="C28" s="473"/>
      <c r="D28" s="474"/>
      <c r="E28" s="475" t="str">
        <f t="shared" si="2"/>
        <v/>
      </c>
      <c r="F28" s="475" t="str">
        <f t="shared" si="3"/>
        <v/>
      </c>
      <c r="G28" s="475" t="str">
        <f t="shared" si="4"/>
        <v/>
      </c>
      <c r="H28" s="477"/>
      <c r="I28" s="504"/>
      <c r="J28" s="505"/>
      <c r="K28" s="506"/>
      <c r="L28" s="457">
        <f t="shared" si="0"/>
        <v>0</v>
      </c>
      <c r="M28" s="458" t="str">
        <f t="shared" si="1"/>
        <v/>
      </c>
      <c r="N28" s="458">
        <f t="shared" si="5"/>
        <v>0</v>
      </c>
      <c r="O28" s="458">
        <f t="shared" si="6"/>
        <v>0</v>
      </c>
      <c r="P28" s="458">
        <f t="shared" si="7"/>
        <v>0</v>
      </c>
      <c r="Q28" s="458" t="str">
        <f t="shared" si="8"/>
        <v/>
      </c>
    </row>
    <row r="29" ht="17.1" customHeight="1" spans="1:17">
      <c r="A29" s="480"/>
      <c r="B29" s="481"/>
      <c r="C29" s="481"/>
      <c r="D29" s="482"/>
      <c r="E29" s="475" t="str">
        <f t="shared" si="2"/>
        <v/>
      </c>
      <c r="F29" s="475" t="str">
        <f t="shared" si="3"/>
        <v/>
      </c>
      <c r="G29" s="475" t="str">
        <f t="shared" si="4"/>
        <v/>
      </c>
      <c r="H29" s="477"/>
      <c r="I29" s="504"/>
      <c r="J29" s="505"/>
      <c r="K29" s="506"/>
      <c r="L29" s="457">
        <f t="shared" si="0"/>
        <v>0</v>
      </c>
      <c r="M29" s="458" t="str">
        <f t="shared" si="1"/>
        <v/>
      </c>
      <c r="N29" s="458">
        <f t="shared" si="5"/>
        <v>0</v>
      </c>
      <c r="O29" s="458">
        <f t="shared" si="6"/>
        <v>0</v>
      </c>
      <c r="P29" s="458">
        <f t="shared" si="7"/>
        <v>0</v>
      </c>
      <c r="Q29" s="458" t="str">
        <f t="shared" si="8"/>
        <v/>
      </c>
    </row>
    <row r="30" ht="17.1" customHeight="1" spans="1:17">
      <c r="A30" s="483"/>
      <c r="B30" s="473"/>
      <c r="C30" s="473"/>
      <c r="D30" s="474"/>
      <c r="E30" s="475" t="str">
        <f t="shared" si="2"/>
        <v/>
      </c>
      <c r="F30" s="475" t="str">
        <f t="shared" si="3"/>
        <v/>
      </c>
      <c r="G30" s="475" t="str">
        <f t="shared" si="4"/>
        <v/>
      </c>
      <c r="H30" s="477"/>
      <c r="I30" s="504"/>
      <c r="J30" s="507"/>
      <c r="K30" s="508"/>
      <c r="L30" s="457">
        <f t="shared" si="0"/>
        <v>0</v>
      </c>
      <c r="M30" s="458" t="str">
        <f t="shared" si="1"/>
        <v/>
      </c>
      <c r="N30" s="458">
        <f t="shared" si="5"/>
        <v>0</v>
      </c>
      <c r="O30" s="458">
        <f t="shared" si="6"/>
        <v>0</v>
      </c>
      <c r="P30" s="458">
        <f t="shared" si="7"/>
        <v>0</v>
      </c>
      <c r="Q30" s="458" t="str">
        <f t="shared" si="8"/>
        <v/>
      </c>
    </row>
    <row r="31" ht="17.1" customHeight="1" spans="1:16">
      <c r="A31" s="483"/>
      <c r="B31" s="473"/>
      <c r="C31" s="473"/>
      <c r="D31" s="474"/>
      <c r="E31" s="475" t="str">
        <f t="shared" si="2"/>
        <v/>
      </c>
      <c r="F31" s="475" t="str">
        <f t="shared" si="3"/>
        <v/>
      </c>
      <c r="G31" s="475" t="str">
        <f t="shared" si="4"/>
        <v/>
      </c>
      <c r="H31" s="477"/>
      <c r="I31" s="504"/>
      <c r="J31" s="509"/>
      <c r="K31" s="510"/>
      <c r="L31" s="457">
        <f t="shared" si="0"/>
        <v>0</v>
      </c>
      <c r="M31" s="458" t="str">
        <f t="shared" si="1"/>
        <v/>
      </c>
      <c r="N31" s="458">
        <f t="shared" si="5"/>
        <v>0</v>
      </c>
      <c r="O31" s="458">
        <f t="shared" si="6"/>
        <v>0</v>
      </c>
      <c r="P31" s="458">
        <f t="shared" si="7"/>
        <v>0</v>
      </c>
    </row>
    <row r="32" ht="17.1" customHeight="1" spans="1:16">
      <c r="A32" s="483"/>
      <c r="B32" s="473"/>
      <c r="C32" s="473"/>
      <c r="D32" s="474"/>
      <c r="E32" s="475" t="str">
        <f t="shared" si="2"/>
        <v/>
      </c>
      <c r="F32" s="475" t="str">
        <f t="shared" si="3"/>
        <v/>
      </c>
      <c r="G32" s="475" t="str">
        <f t="shared" si="4"/>
        <v/>
      </c>
      <c r="H32" s="477"/>
      <c r="I32" s="504"/>
      <c r="J32" s="509"/>
      <c r="K32" s="510"/>
      <c r="L32" s="457">
        <f t="shared" si="0"/>
        <v>0</v>
      </c>
      <c r="M32" s="458" t="str">
        <f t="shared" si="1"/>
        <v/>
      </c>
      <c r="N32" s="458">
        <f t="shared" si="5"/>
        <v>0</v>
      </c>
      <c r="O32" s="458">
        <f t="shared" si="6"/>
        <v>0</v>
      </c>
      <c r="P32" s="458">
        <f t="shared" si="7"/>
        <v>0</v>
      </c>
    </row>
    <row r="33" ht="17.1" customHeight="1" spans="1:16">
      <c r="A33" s="480"/>
      <c r="B33" s="481"/>
      <c r="C33" s="481"/>
      <c r="D33" s="482"/>
      <c r="E33" s="475" t="str">
        <f t="shared" si="2"/>
        <v/>
      </c>
      <c r="F33" s="475" t="str">
        <f t="shared" si="3"/>
        <v/>
      </c>
      <c r="G33" s="475" t="str">
        <f t="shared" si="4"/>
        <v/>
      </c>
      <c r="H33" s="477"/>
      <c r="I33" s="504"/>
      <c r="J33" s="509"/>
      <c r="K33" s="510"/>
      <c r="L33" s="457">
        <f t="shared" si="0"/>
        <v>0</v>
      </c>
      <c r="M33" s="458" t="str">
        <f t="shared" si="1"/>
        <v/>
      </c>
      <c r="N33" s="458">
        <f t="shared" si="5"/>
        <v>0</v>
      </c>
      <c r="O33" s="458">
        <f t="shared" si="6"/>
        <v>0</v>
      </c>
      <c r="P33" s="458">
        <f t="shared" si="7"/>
        <v>0</v>
      </c>
    </row>
    <row r="34" ht="17.1" customHeight="1" spans="1:16">
      <c r="A34" s="480"/>
      <c r="B34" s="481"/>
      <c r="C34" s="481"/>
      <c r="D34" s="482"/>
      <c r="E34" s="475" t="str">
        <f t="shared" si="2"/>
        <v/>
      </c>
      <c r="F34" s="475" t="str">
        <f t="shared" si="3"/>
        <v/>
      </c>
      <c r="G34" s="475" t="str">
        <f t="shared" si="4"/>
        <v/>
      </c>
      <c r="H34" s="477"/>
      <c r="I34" s="504"/>
      <c r="J34" s="477"/>
      <c r="K34" s="511"/>
      <c r="L34" s="457">
        <f t="shared" si="0"/>
        <v>0</v>
      </c>
      <c r="M34" s="458" t="str">
        <f t="shared" si="1"/>
        <v/>
      </c>
      <c r="N34" s="458">
        <f t="shared" si="5"/>
        <v>0</v>
      </c>
      <c r="O34" s="458">
        <f t="shared" si="6"/>
        <v>0</v>
      </c>
      <c r="P34" s="458">
        <f t="shared" si="7"/>
        <v>0</v>
      </c>
    </row>
    <row r="35" ht="17.1" customHeight="1" spans="1:16">
      <c r="A35" s="484"/>
      <c r="B35" s="473"/>
      <c r="C35" s="473"/>
      <c r="D35" s="474"/>
      <c r="E35" s="475" t="str">
        <f t="shared" si="2"/>
        <v/>
      </c>
      <c r="F35" s="475" t="str">
        <f t="shared" si="3"/>
        <v/>
      </c>
      <c r="G35" s="475" t="str">
        <f t="shared" si="4"/>
        <v/>
      </c>
      <c r="H35" s="477"/>
      <c r="I35" s="504"/>
      <c r="J35" s="509"/>
      <c r="K35" s="510"/>
      <c r="L35" s="457">
        <f t="shared" si="0"/>
        <v>0</v>
      </c>
      <c r="M35" s="458" t="str">
        <f t="shared" si="1"/>
        <v/>
      </c>
      <c r="N35" s="458">
        <f t="shared" si="5"/>
        <v>0</v>
      </c>
      <c r="O35" s="458">
        <f t="shared" si="6"/>
        <v>0</v>
      </c>
      <c r="P35" s="458">
        <f t="shared" si="7"/>
        <v>0</v>
      </c>
    </row>
    <row r="36" ht="17.1" customHeight="1" spans="1:14">
      <c r="A36" s="485"/>
      <c r="B36" s="486"/>
      <c r="C36" s="486"/>
      <c r="D36" s="487"/>
      <c r="E36" s="487"/>
      <c r="F36" s="487"/>
      <c r="G36" s="487"/>
      <c r="H36" s="488" t="s">
        <v>1057</v>
      </c>
      <c r="I36" s="512"/>
      <c r="J36" s="512"/>
      <c r="K36" s="513">
        <f>+O38</f>
        <v>0</v>
      </c>
      <c r="N36" s="458">
        <f t="shared" si="5"/>
        <v>0</v>
      </c>
    </row>
    <row r="37" ht="17.1" customHeight="1" spans="1:11">
      <c r="A37" s="131"/>
      <c r="B37" s="131"/>
      <c r="C37" s="131"/>
      <c r="D37" s="131"/>
      <c r="E37" s="131"/>
      <c r="F37" s="131"/>
      <c r="G37" s="131"/>
      <c r="H37" s="131"/>
      <c r="I37" s="131"/>
      <c r="J37" s="131"/>
      <c r="K37" s="131"/>
    </row>
    <row r="38" s="93" customFormat="1" ht="20.1" customHeight="1" spans="1:38">
      <c r="A38" s="136"/>
      <c r="B38" s="102" t="s">
        <v>1058</v>
      </c>
      <c r="C38" s="102"/>
      <c r="D38" s="102"/>
      <c r="E38" s="102"/>
      <c r="F38" s="102"/>
      <c r="G38" s="102"/>
      <c r="H38" s="102"/>
      <c r="I38" s="102"/>
      <c r="J38" s="102"/>
      <c r="K38" s="140"/>
      <c r="L38" s="457">
        <f>SUM(L9:L36)</f>
        <v>0</v>
      </c>
      <c r="M38" s="458">
        <f>+SUM(M9:M36)</f>
        <v>0</v>
      </c>
      <c r="N38" s="458">
        <f>SUM(N9:N36)</f>
        <v>0</v>
      </c>
      <c r="O38" s="458">
        <f>SUM(O9:O36)</f>
        <v>0</v>
      </c>
      <c r="P38" s="458">
        <f>SUM(P9:P36)</f>
        <v>0</v>
      </c>
      <c r="Q38" s="458">
        <f>SUM(Q10:Q36)</f>
        <v>0</v>
      </c>
      <c r="R38" s="458" t="s">
        <v>1019</v>
      </c>
      <c r="S38" s="516"/>
      <c r="T38" s="516"/>
      <c r="U38" s="516"/>
      <c r="V38" s="516"/>
      <c r="W38" s="516"/>
      <c r="X38" s="516"/>
      <c r="Y38" s="516"/>
      <c r="Z38" s="516"/>
      <c r="AA38" s="516"/>
      <c r="AB38" s="516"/>
      <c r="AC38" s="516"/>
      <c r="AD38" s="516"/>
      <c r="AE38" s="516"/>
      <c r="AF38" s="516"/>
      <c r="AG38" s="516"/>
      <c r="AH38" s="516"/>
      <c r="AI38" s="516"/>
      <c r="AJ38" s="516"/>
      <c r="AK38" s="516"/>
      <c r="AL38" s="516"/>
    </row>
    <row r="39" ht="21" customHeight="1" spans="1:13">
      <c r="A39" s="131" t="s">
        <v>1059</v>
      </c>
      <c r="B39" s="131"/>
      <c r="C39" s="131"/>
      <c r="D39" s="131"/>
      <c r="E39" s="131"/>
      <c r="F39" s="131"/>
      <c r="G39" s="131"/>
      <c r="H39" s="131"/>
      <c r="I39" s="131"/>
      <c r="J39" s="131"/>
      <c r="K39" s="131"/>
      <c r="M39" s="458" t="s">
        <v>1060</v>
      </c>
    </row>
    <row r="40" ht="13.5" customHeight="1" spans="1:11">
      <c r="A40" s="132"/>
      <c r="B40" s="133"/>
      <c r="C40" s="93"/>
      <c r="D40" s="93"/>
      <c r="E40" s="93"/>
      <c r="F40" s="134"/>
      <c r="G40" s="135"/>
      <c r="H40" s="134"/>
      <c r="I40" s="140"/>
      <c r="J40" s="140"/>
      <c r="K40" s="143"/>
    </row>
    <row r="41" ht="18" customHeight="1" spans="1:10">
      <c r="A41" s="136" t="s">
        <v>204</v>
      </c>
      <c r="B41" s="134" t="s">
        <v>1045</v>
      </c>
      <c r="C41" s="134"/>
      <c r="D41" s="102"/>
      <c r="E41" s="95"/>
      <c r="F41" s="102"/>
      <c r="G41" s="102"/>
      <c r="H41" s="102"/>
      <c r="I41" s="140"/>
      <c r="J41" s="140"/>
    </row>
    <row r="42" ht="20.25" spans="1:11">
      <c r="A42" s="137"/>
      <c r="B42" s="138"/>
      <c r="C42" s="138"/>
      <c r="D42" s="139"/>
      <c r="E42" s="140"/>
      <c r="F42" s="139"/>
      <c r="G42" s="141"/>
      <c r="H42" s="139"/>
      <c r="I42" s="142"/>
      <c r="J42" s="142"/>
      <c r="K42" s="143"/>
    </row>
    <row r="43" s="456" customFormat="1" ht="20.25" spans="1:18">
      <c r="A43" s="489"/>
      <c r="B43" s="489"/>
      <c r="C43" s="489"/>
      <c r="D43" s="489"/>
      <c r="E43" s="489"/>
      <c r="F43" s="489"/>
      <c r="G43" s="489"/>
      <c r="H43" s="489"/>
      <c r="I43" s="489"/>
      <c r="J43" s="489"/>
      <c r="K43" s="489"/>
      <c r="L43" s="457"/>
      <c r="M43" s="458"/>
      <c r="N43" s="458"/>
      <c r="O43" s="458"/>
      <c r="P43" s="458"/>
      <c r="Q43" s="458"/>
      <c r="R43" s="458"/>
    </row>
    <row r="44" s="456" customFormat="1" ht="20.25" spans="1:18">
      <c r="A44" s="489"/>
      <c r="B44" s="489"/>
      <c r="C44" s="489"/>
      <c r="D44" s="489"/>
      <c r="E44" s="489"/>
      <c r="F44" s="489"/>
      <c r="G44" s="489"/>
      <c r="H44" s="489"/>
      <c r="I44" s="489"/>
      <c r="J44" s="489"/>
      <c r="K44" s="489"/>
      <c r="L44" s="457"/>
      <c r="M44" s="458"/>
      <c r="N44" s="458"/>
      <c r="O44" s="458"/>
      <c r="P44" s="458"/>
      <c r="Q44" s="458"/>
      <c r="R44" s="458"/>
    </row>
    <row r="45" s="456" customFormat="1" ht="20.25" spans="1:18">
      <c r="A45" s="489"/>
      <c r="B45" s="489"/>
      <c r="C45" s="489"/>
      <c r="D45" s="489"/>
      <c r="E45" s="489"/>
      <c r="F45" s="489"/>
      <c r="G45" s="489"/>
      <c r="H45" s="489"/>
      <c r="I45" s="489"/>
      <c r="J45" s="489"/>
      <c r="K45" s="489"/>
      <c r="L45" s="457"/>
      <c r="M45" s="458"/>
      <c r="N45" s="458"/>
      <c r="O45" s="458"/>
      <c r="P45" s="458"/>
      <c r="Q45" s="458"/>
      <c r="R45" s="458"/>
    </row>
    <row r="46" s="456" customFormat="1" ht="20.25" spans="1:18">
      <c r="A46" s="489"/>
      <c r="B46" s="489"/>
      <c r="C46" s="489"/>
      <c r="D46" s="489"/>
      <c r="E46" s="489"/>
      <c r="F46" s="489"/>
      <c r="G46" s="489"/>
      <c r="H46" s="489"/>
      <c r="I46" s="489"/>
      <c r="J46" s="489"/>
      <c r="K46" s="489"/>
      <c r="L46" s="457"/>
      <c r="M46" s="458"/>
      <c r="N46" s="458"/>
      <c r="O46" s="458"/>
      <c r="P46" s="458"/>
      <c r="Q46" s="458"/>
      <c r="R46" s="458"/>
    </row>
    <row r="47" s="456" customFormat="1" ht="20.25" spans="1:18">
      <c r="A47" s="456" t="str">
        <f>+'料单 (4)'!L3</f>
        <v>材质</v>
      </c>
      <c r="B47" s="489"/>
      <c r="C47" s="489"/>
      <c r="D47" s="489"/>
      <c r="E47" s="489"/>
      <c r="F47" s="489"/>
      <c r="G47" s="489"/>
      <c r="H47" s="489"/>
      <c r="I47" s="489"/>
      <c r="J47" s="489"/>
      <c r="K47" s="489"/>
      <c r="L47" s="457"/>
      <c r="M47" s="458"/>
      <c r="N47" s="458"/>
      <c r="O47" s="458"/>
      <c r="P47" s="458"/>
      <c r="Q47" s="458"/>
      <c r="R47" s="458"/>
    </row>
    <row r="48" s="456" customFormat="1" ht="20.25" spans="2:18">
      <c r="B48" s="489"/>
      <c r="C48" s="489"/>
      <c r="D48" s="489"/>
      <c r="E48" s="489"/>
      <c r="F48" s="489"/>
      <c r="G48" s="489"/>
      <c r="H48" s="489"/>
      <c r="I48" s="489"/>
      <c r="J48" s="489"/>
      <c r="K48" s="489"/>
      <c r="L48" s="457"/>
      <c r="M48" s="458"/>
      <c r="N48" s="458"/>
      <c r="O48" s="458"/>
      <c r="P48" s="458"/>
      <c r="Q48" s="458"/>
      <c r="R48" s="458"/>
    </row>
    <row r="49" s="456" customFormat="1" ht="20.25" spans="1:18">
      <c r="A49" s="456" t="str">
        <f>+'料单 (4)'!L5</f>
        <v>L02象牙白</v>
      </c>
      <c r="B49" s="489"/>
      <c r="C49" s="489"/>
      <c r="D49" s="489"/>
      <c r="E49" s="489"/>
      <c r="F49" s="489"/>
      <c r="G49" s="489"/>
      <c r="H49" s="489"/>
      <c r="I49" s="489"/>
      <c r="J49" s="489"/>
      <c r="K49" s="489"/>
      <c r="L49" s="457"/>
      <c r="M49" s="458"/>
      <c r="N49" s="458"/>
      <c r="O49" s="458"/>
      <c r="P49" s="458"/>
      <c r="Q49" s="458"/>
      <c r="R49" s="458"/>
    </row>
    <row r="50" s="456" customFormat="1" ht="20.25" spans="1:18">
      <c r="A50" s="456" t="str">
        <f>+'料单 (4)'!L6</f>
        <v>L12纯白</v>
      </c>
      <c r="B50" s="489"/>
      <c r="C50" s="489"/>
      <c r="D50" s="489"/>
      <c r="E50" s="489"/>
      <c r="F50" s="489"/>
      <c r="G50" s="489"/>
      <c r="H50" s="489"/>
      <c r="I50" s="489"/>
      <c r="J50" s="489"/>
      <c r="K50" s="489"/>
      <c r="L50" s="457"/>
      <c r="M50" s="458"/>
      <c r="N50" s="458"/>
      <c r="O50" s="458"/>
      <c r="P50" s="458"/>
      <c r="Q50" s="458"/>
      <c r="R50" s="458"/>
    </row>
    <row r="51" s="456" customFormat="1" ht="20.25" spans="1:18">
      <c r="A51" s="456" t="str">
        <f>+'料单 (4)'!L7</f>
        <v>L01珍珠白</v>
      </c>
      <c r="B51" s="489"/>
      <c r="C51" s="489"/>
      <c r="D51" s="489"/>
      <c r="E51" s="489"/>
      <c r="F51" s="489"/>
      <c r="G51" s="489"/>
      <c r="H51" s="489"/>
      <c r="I51" s="489"/>
      <c r="J51" s="489"/>
      <c r="K51" s="489"/>
      <c r="L51" s="457"/>
      <c r="M51" s="458"/>
      <c r="N51" s="458"/>
      <c r="O51" s="458"/>
      <c r="P51" s="458"/>
      <c r="Q51" s="458"/>
      <c r="R51" s="458"/>
    </row>
    <row r="52" s="456" customFormat="1" ht="20.25" spans="1:18">
      <c r="A52" s="456" t="str">
        <f>+'料单 (4)'!L8</f>
        <v>L02象牙白</v>
      </c>
      <c r="B52" s="489"/>
      <c r="C52" s="489"/>
      <c r="D52" s="489"/>
      <c r="E52" s="489"/>
      <c r="F52" s="489"/>
      <c r="G52" s="489"/>
      <c r="H52" s="489"/>
      <c r="I52" s="489"/>
      <c r="J52" s="489"/>
      <c r="K52" s="489"/>
      <c r="L52" s="457"/>
      <c r="M52" s="458"/>
      <c r="N52" s="458"/>
      <c r="O52" s="458"/>
      <c r="P52" s="458"/>
      <c r="Q52" s="458"/>
      <c r="R52" s="458"/>
    </row>
    <row r="53" s="456" customFormat="1" ht="20.25" spans="1:18">
      <c r="A53" s="456" t="str">
        <f>+'料单 (4)'!L9</f>
        <v>L05浅灰</v>
      </c>
      <c r="B53" s="489"/>
      <c r="C53" s="489"/>
      <c r="D53" s="489"/>
      <c r="E53" s="489"/>
      <c r="F53" s="489"/>
      <c r="G53" s="489"/>
      <c r="H53" s="489"/>
      <c r="I53" s="489"/>
      <c r="J53" s="489"/>
      <c r="K53" s="489"/>
      <c r="L53" s="457"/>
      <c r="M53" s="458"/>
      <c r="N53" s="458"/>
      <c r="O53" s="458"/>
      <c r="P53" s="458"/>
      <c r="Q53" s="458"/>
      <c r="R53" s="458"/>
    </row>
    <row r="54" s="456" customFormat="1" ht="20.25" spans="1:18">
      <c r="A54" s="456" t="str">
        <f>+'料单 (4)'!L10</f>
        <v>L06卡布奇诺</v>
      </c>
      <c r="B54" s="489"/>
      <c r="C54" s="489"/>
      <c r="D54" s="489"/>
      <c r="E54" s="489"/>
      <c r="F54" s="489"/>
      <c r="G54" s="489"/>
      <c r="H54" s="489"/>
      <c r="I54" s="489"/>
      <c r="J54" s="489"/>
      <c r="K54" s="489"/>
      <c r="L54" s="457"/>
      <c r="M54" s="458"/>
      <c r="N54" s="458"/>
      <c r="O54" s="458"/>
      <c r="P54" s="458"/>
      <c r="Q54" s="458"/>
      <c r="R54" s="458"/>
    </row>
    <row r="55" s="456" customFormat="1" ht="20.25" spans="1:18">
      <c r="A55" s="456" t="str">
        <f>+'料单 (4)'!L11</f>
        <v>L11纯黑</v>
      </c>
      <c r="B55" s="489"/>
      <c r="C55" s="489"/>
      <c r="D55" s="489"/>
      <c r="E55" s="489"/>
      <c r="F55" s="489"/>
      <c r="G55" s="489"/>
      <c r="H55" s="489"/>
      <c r="I55" s="489"/>
      <c r="J55" s="489"/>
      <c r="K55" s="489"/>
      <c r="L55" s="457"/>
      <c r="M55" s="458"/>
      <c r="N55" s="458"/>
      <c r="O55" s="458"/>
      <c r="P55" s="458"/>
      <c r="Q55" s="458"/>
      <c r="R55" s="458"/>
    </row>
    <row r="56" s="456" customFormat="1" ht="20.25" spans="1:18">
      <c r="A56" s="456" t="str">
        <f>+'料单 (4)'!L12</f>
        <v>L12纯白</v>
      </c>
      <c r="B56" s="489"/>
      <c r="C56" s="489"/>
      <c r="D56" s="489"/>
      <c r="E56" s="489"/>
      <c r="F56" s="489"/>
      <c r="G56" s="489"/>
      <c r="H56" s="489"/>
      <c r="I56" s="489"/>
      <c r="J56" s="489"/>
      <c r="K56" s="489"/>
      <c r="L56" s="457"/>
      <c r="M56" s="458"/>
      <c r="N56" s="458"/>
      <c r="O56" s="458"/>
      <c r="P56" s="458"/>
      <c r="Q56" s="458"/>
      <c r="R56" s="458"/>
    </row>
    <row r="57" s="456" customFormat="1" ht="20.25" spans="1:18">
      <c r="A57" s="456" t="str">
        <f>+'料单 (4)'!L13</f>
        <v>G01珍珠白</v>
      </c>
      <c r="B57" s="489"/>
      <c r="C57" s="489"/>
      <c r="D57" s="489"/>
      <c r="E57" s="489"/>
      <c r="F57" s="489"/>
      <c r="G57" s="489"/>
      <c r="H57" s="489"/>
      <c r="I57" s="489"/>
      <c r="J57" s="489"/>
      <c r="K57" s="489"/>
      <c r="L57" s="457"/>
      <c r="M57" s="458"/>
      <c r="N57" s="458"/>
      <c r="O57" s="458"/>
      <c r="P57" s="458"/>
      <c r="Q57" s="458"/>
      <c r="R57" s="458"/>
    </row>
    <row r="58" s="456" customFormat="1" ht="20.25" spans="1:18">
      <c r="A58" s="456" t="str">
        <f>+'料单 (4)'!L14</f>
        <v>G02象牙白</v>
      </c>
      <c r="B58" s="489"/>
      <c r="C58" s="489"/>
      <c r="D58" s="489"/>
      <c r="E58" s="489"/>
      <c r="F58" s="489"/>
      <c r="G58" s="489"/>
      <c r="H58" s="489"/>
      <c r="I58" s="489"/>
      <c r="J58" s="489"/>
      <c r="K58" s="489"/>
      <c r="L58" s="457"/>
      <c r="M58" s="458"/>
      <c r="N58" s="458"/>
      <c r="O58" s="458"/>
      <c r="P58" s="458"/>
      <c r="Q58" s="458"/>
      <c r="R58" s="458"/>
    </row>
    <row r="59" s="456" customFormat="1" ht="20.25" spans="1:18">
      <c r="A59" s="456" t="str">
        <f>+'料单 (4)'!L15</f>
        <v>G06卡布奇诺</v>
      </c>
      <c r="B59" s="489"/>
      <c r="C59" s="489"/>
      <c r="D59" s="489"/>
      <c r="E59" s="489"/>
      <c r="F59" s="489"/>
      <c r="G59" s="489"/>
      <c r="H59" s="489"/>
      <c r="I59" s="489"/>
      <c r="J59" s="489"/>
      <c r="K59" s="489"/>
      <c r="L59" s="457"/>
      <c r="M59" s="458"/>
      <c r="N59" s="458"/>
      <c r="O59" s="458"/>
      <c r="P59" s="458"/>
      <c r="Q59" s="458"/>
      <c r="R59" s="458"/>
    </row>
    <row r="60" s="456" customFormat="1" ht="20.25" spans="1:18">
      <c r="A60" s="456" t="str">
        <f>+'料单 (4)'!L16</f>
        <v>G07深灰</v>
      </c>
      <c r="B60" s="489"/>
      <c r="C60" s="489"/>
      <c r="D60" s="489"/>
      <c r="E60" s="489"/>
      <c r="F60" s="489"/>
      <c r="G60" s="489"/>
      <c r="H60" s="489"/>
      <c r="I60" s="489"/>
      <c r="J60" s="489"/>
      <c r="K60" s="489"/>
      <c r="L60" s="457"/>
      <c r="M60" s="458"/>
      <c r="N60" s="458"/>
      <c r="O60" s="458"/>
      <c r="P60" s="458"/>
      <c r="Q60" s="458"/>
      <c r="R60" s="458"/>
    </row>
    <row r="61" s="456" customFormat="1" ht="20.25" spans="1:18">
      <c r="A61" s="456" t="str">
        <f>+'料单 (4)'!L17</f>
        <v>G08柠檬绿</v>
      </c>
      <c r="B61" s="489"/>
      <c r="C61" s="489"/>
      <c r="D61" s="489"/>
      <c r="E61" s="489"/>
      <c r="F61" s="489"/>
      <c r="G61" s="489"/>
      <c r="H61" s="489"/>
      <c r="I61" s="489"/>
      <c r="J61" s="489"/>
      <c r="K61" s="489"/>
      <c r="L61" s="457"/>
      <c r="M61" s="458"/>
      <c r="N61" s="458"/>
      <c r="O61" s="458"/>
      <c r="P61" s="458"/>
      <c r="Q61" s="458"/>
      <c r="R61" s="458"/>
    </row>
    <row r="62" s="456" customFormat="1" ht="20.25" spans="1:18">
      <c r="A62" s="456" t="str">
        <f>+'料单 (4)'!L18</f>
        <v>G09法拉利红</v>
      </c>
      <c r="B62" s="489"/>
      <c r="C62" s="489"/>
      <c r="D62" s="489"/>
      <c r="E62" s="489"/>
      <c r="F62" s="489"/>
      <c r="G62" s="489"/>
      <c r="H62" s="489"/>
      <c r="I62" s="489"/>
      <c r="J62" s="489"/>
      <c r="K62" s="489"/>
      <c r="L62" s="457"/>
      <c r="M62" s="458"/>
      <c r="N62" s="458"/>
      <c r="O62" s="458"/>
      <c r="P62" s="458"/>
      <c r="Q62" s="458"/>
      <c r="R62" s="458"/>
    </row>
    <row r="63" s="456" customFormat="1" ht="20.25" spans="1:18">
      <c r="A63" s="456" t="str">
        <f>+'料单 (4)'!L21</f>
        <v>G10酒红</v>
      </c>
      <c r="B63" s="489"/>
      <c r="C63" s="489"/>
      <c r="D63" s="489"/>
      <c r="E63" s="489"/>
      <c r="F63" s="489"/>
      <c r="G63" s="489"/>
      <c r="H63" s="489"/>
      <c r="I63" s="489"/>
      <c r="J63" s="489"/>
      <c r="K63" s="489"/>
      <c r="L63" s="457"/>
      <c r="M63" s="458"/>
      <c r="N63" s="458"/>
      <c r="O63" s="458"/>
      <c r="P63" s="458"/>
      <c r="Q63" s="458"/>
      <c r="R63" s="458"/>
    </row>
    <row r="64" s="456" customFormat="1" ht="20.25" spans="1:18">
      <c r="A64" s="456" t="str">
        <f>+'料单 (4)'!L22</f>
        <v>G11纯黑</v>
      </c>
      <c r="B64" s="489"/>
      <c r="C64" s="489"/>
      <c r="D64" s="489"/>
      <c r="E64" s="489"/>
      <c r="F64" s="489"/>
      <c r="G64" s="489"/>
      <c r="H64" s="489"/>
      <c r="I64" s="489"/>
      <c r="J64" s="489"/>
      <c r="K64" s="489"/>
      <c r="L64" s="457"/>
      <c r="M64" s="458"/>
      <c r="N64" s="458"/>
      <c r="O64" s="458"/>
      <c r="P64" s="458"/>
      <c r="Q64" s="458"/>
      <c r="R64" s="458"/>
    </row>
    <row r="65" s="456" customFormat="1" ht="20.25" spans="1:18">
      <c r="A65" s="456" t="str">
        <f>+'料单 (4)'!L23</f>
        <v>G12纯白</v>
      </c>
      <c r="B65" s="489"/>
      <c r="C65" s="489"/>
      <c r="D65" s="489"/>
      <c r="E65" s="489"/>
      <c r="F65" s="489"/>
      <c r="G65" s="489"/>
      <c r="H65" s="489"/>
      <c r="I65" s="489"/>
      <c r="J65" s="489"/>
      <c r="K65" s="489"/>
      <c r="L65" s="457"/>
      <c r="M65" s="458"/>
      <c r="N65" s="458"/>
      <c r="O65" s="458"/>
      <c r="P65" s="458"/>
      <c r="Q65" s="458"/>
      <c r="R65" s="458"/>
    </row>
    <row r="66" s="456" customFormat="1" ht="20.25" spans="1:18">
      <c r="A66" s="489"/>
      <c r="B66" s="489"/>
      <c r="C66" s="489"/>
      <c r="D66" s="489"/>
      <c r="E66" s="489"/>
      <c r="F66" s="489"/>
      <c r="G66" s="489"/>
      <c r="H66" s="489"/>
      <c r="I66" s="489"/>
      <c r="J66" s="489"/>
      <c r="K66" s="489"/>
      <c r="L66" s="457"/>
      <c r="M66" s="458"/>
      <c r="N66" s="458"/>
      <c r="O66" s="458"/>
      <c r="P66" s="458"/>
      <c r="Q66" s="458"/>
      <c r="R66" s="458"/>
    </row>
    <row r="67" s="456" customFormat="1" ht="20.25" spans="1:18">
      <c r="A67" s="489"/>
      <c r="B67" s="489"/>
      <c r="C67" s="489"/>
      <c r="D67" s="489"/>
      <c r="E67" s="489"/>
      <c r="F67" s="489"/>
      <c r="G67" s="489"/>
      <c r="H67" s="489"/>
      <c r="I67" s="489"/>
      <c r="J67" s="489"/>
      <c r="K67" s="489"/>
      <c r="L67" s="457"/>
      <c r="M67" s="458"/>
      <c r="N67" s="458"/>
      <c r="O67" s="458"/>
      <c r="P67" s="458"/>
      <c r="Q67" s="458"/>
      <c r="R67" s="458"/>
    </row>
    <row r="68" s="456" customFormat="1" ht="20.25" spans="1:18">
      <c r="A68" s="489"/>
      <c r="B68" s="489"/>
      <c r="C68" s="489"/>
      <c r="D68" s="489"/>
      <c r="E68" s="489"/>
      <c r="F68" s="489"/>
      <c r="G68" s="489"/>
      <c r="H68" s="489"/>
      <c r="I68" s="489"/>
      <c r="J68" s="489"/>
      <c r="K68" s="489"/>
      <c r="L68" s="457"/>
      <c r="M68" s="458"/>
      <c r="N68" s="458"/>
      <c r="O68" s="458"/>
      <c r="P68" s="458"/>
      <c r="Q68" s="458"/>
      <c r="R68" s="458"/>
    </row>
    <row r="69" s="456" customFormat="1" ht="20.25" spans="1:18">
      <c r="A69" s="489"/>
      <c r="B69" s="489"/>
      <c r="C69" s="489"/>
      <c r="D69" s="489"/>
      <c r="E69" s="489"/>
      <c r="F69" s="489"/>
      <c r="G69" s="489"/>
      <c r="H69" s="489"/>
      <c r="I69" s="489"/>
      <c r="J69" s="489"/>
      <c r="K69" s="489"/>
      <c r="L69" s="457"/>
      <c r="M69" s="458"/>
      <c r="N69" s="458"/>
      <c r="O69" s="458"/>
      <c r="P69" s="458"/>
      <c r="Q69" s="458"/>
      <c r="R69" s="458"/>
    </row>
    <row r="70" s="456" customFormat="1" ht="20.25" spans="1:18">
      <c r="A70" s="489"/>
      <c r="B70" s="489"/>
      <c r="C70" s="489"/>
      <c r="D70" s="489"/>
      <c r="E70" s="489"/>
      <c r="F70" s="489"/>
      <c r="G70" s="489"/>
      <c r="H70" s="489"/>
      <c r="I70" s="489"/>
      <c r="J70" s="489"/>
      <c r="K70" s="489"/>
      <c r="L70" s="457"/>
      <c r="M70" s="458"/>
      <c r="N70" s="458"/>
      <c r="O70" s="458"/>
      <c r="P70" s="458"/>
      <c r="Q70" s="458"/>
      <c r="R70" s="458"/>
    </row>
    <row r="71" s="456" customFormat="1" ht="20.25" spans="1:18">
      <c r="A71" s="489"/>
      <c r="B71" s="489"/>
      <c r="C71" s="489"/>
      <c r="D71" s="489"/>
      <c r="E71" s="489"/>
      <c r="F71" s="489"/>
      <c r="G71" s="489"/>
      <c r="H71" s="489"/>
      <c r="I71" s="489"/>
      <c r="J71" s="489"/>
      <c r="K71" s="489"/>
      <c r="L71" s="457"/>
      <c r="M71" s="458"/>
      <c r="N71" s="458"/>
      <c r="O71" s="458"/>
      <c r="P71" s="458"/>
      <c r="Q71" s="458"/>
      <c r="R71" s="458"/>
    </row>
    <row r="72" s="456" customFormat="1" ht="20.25" spans="1:18">
      <c r="A72" s="489"/>
      <c r="B72" s="489"/>
      <c r="C72" s="489"/>
      <c r="D72" s="489"/>
      <c r="E72" s="489"/>
      <c r="F72" s="489"/>
      <c r="G72" s="489"/>
      <c r="H72" s="489"/>
      <c r="I72" s="489"/>
      <c r="J72" s="489"/>
      <c r="K72" s="489"/>
      <c r="L72" s="457"/>
      <c r="M72" s="458"/>
      <c r="N72" s="458"/>
      <c r="O72" s="458"/>
      <c r="P72" s="458"/>
      <c r="Q72" s="458"/>
      <c r="R72" s="458"/>
    </row>
    <row r="73" s="456" customFormat="1" ht="20.25" spans="1:18">
      <c r="A73" s="489"/>
      <c r="B73" s="489"/>
      <c r="C73" s="489"/>
      <c r="D73" s="489"/>
      <c r="E73" s="489"/>
      <c r="F73" s="489"/>
      <c r="G73" s="489"/>
      <c r="H73" s="489"/>
      <c r="I73" s="489"/>
      <c r="J73" s="489"/>
      <c r="K73" s="489"/>
      <c r="L73" s="457"/>
      <c r="M73" s="458"/>
      <c r="N73" s="458"/>
      <c r="O73" s="458"/>
      <c r="P73" s="458"/>
      <c r="Q73" s="458"/>
      <c r="R73" s="458"/>
    </row>
    <row r="74" s="456" customFormat="1" ht="20.25" spans="1:18">
      <c r="A74" s="489"/>
      <c r="B74" s="489"/>
      <c r="C74" s="489"/>
      <c r="D74" s="489"/>
      <c r="E74" s="489"/>
      <c r="F74" s="489"/>
      <c r="G74" s="489"/>
      <c r="H74" s="489"/>
      <c r="I74" s="489"/>
      <c r="J74" s="489"/>
      <c r="K74" s="489"/>
      <c r="L74" s="457"/>
      <c r="M74" s="458"/>
      <c r="N74" s="458"/>
      <c r="O74" s="458"/>
      <c r="P74" s="458"/>
      <c r="Q74" s="458"/>
      <c r="R74" s="458"/>
    </row>
    <row r="75" s="456" customFormat="1" ht="20.25" spans="1:18">
      <c r="A75" s="489"/>
      <c r="B75" s="489"/>
      <c r="C75" s="489"/>
      <c r="D75" s="489"/>
      <c r="E75" s="489"/>
      <c r="F75" s="489"/>
      <c r="G75" s="489"/>
      <c r="H75" s="489"/>
      <c r="I75" s="489"/>
      <c r="J75" s="489"/>
      <c r="K75" s="489"/>
      <c r="L75" s="457"/>
      <c r="M75" s="458"/>
      <c r="N75" s="458"/>
      <c r="O75" s="458"/>
      <c r="P75" s="458"/>
      <c r="Q75" s="458"/>
      <c r="R75" s="458"/>
    </row>
    <row r="76" s="456" customFormat="1" ht="20.25" spans="1:18">
      <c r="A76" s="489"/>
      <c r="B76" s="489"/>
      <c r="C76" s="489"/>
      <c r="D76" s="489"/>
      <c r="E76" s="489"/>
      <c r="F76" s="489"/>
      <c r="G76" s="489"/>
      <c r="H76" s="489"/>
      <c r="I76" s="489"/>
      <c r="J76" s="489"/>
      <c r="K76" s="489"/>
      <c r="L76" s="457"/>
      <c r="M76" s="458"/>
      <c r="N76" s="458"/>
      <c r="O76" s="458"/>
      <c r="P76" s="458"/>
      <c r="Q76" s="458"/>
      <c r="R76" s="458"/>
    </row>
    <row r="77" s="456" customFormat="1" ht="20.25" spans="1:18">
      <c r="A77" s="489"/>
      <c r="B77" s="489"/>
      <c r="C77" s="489"/>
      <c r="D77" s="489"/>
      <c r="E77" s="489"/>
      <c r="F77" s="489"/>
      <c r="G77" s="489"/>
      <c r="H77" s="489"/>
      <c r="I77" s="489"/>
      <c r="J77" s="489"/>
      <c r="K77" s="489"/>
      <c r="L77" s="457"/>
      <c r="M77" s="458"/>
      <c r="N77" s="458"/>
      <c r="O77" s="458"/>
      <c r="P77" s="458"/>
      <c r="Q77" s="458"/>
      <c r="R77" s="458"/>
    </row>
    <row r="78" s="456" customFormat="1" ht="20.25" spans="1:18">
      <c r="A78" s="489"/>
      <c r="B78" s="489"/>
      <c r="C78" s="489"/>
      <c r="D78" s="489"/>
      <c r="E78" s="489"/>
      <c r="F78" s="489"/>
      <c r="G78" s="489"/>
      <c r="H78" s="489"/>
      <c r="I78" s="489"/>
      <c r="J78" s="489"/>
      <c r="K78" s="489"/>
      <c r="L78" s="457"/>
      <c r="M78" s="458"/>
      <c r="N78" s="458"/>
      <c r="O78" s="458"/>
      <c r="P78" s="458"/>
      <c r="Q78" s="458"/>
      <c r="R78" s="458"/>
    </row>
    <row r="79" s="456" customFormat="1" ht="20.25" spans="1:18">
      <c r="A79" s="489"/>
      <c r="B79" s="489"/>
      <c r="C79" s="489"/>
      <c r="D79" s="489"/>
      <c r="E79" s="489"/>
      <c r="F79" s="489"/>
      <c r="G79" s="489"/>
      <c r="H79" s="489"/>
      <c r="I79" s="489"/>
      <c r="J79" s="489"/>
      <c r="K79" s="489"/>
      <c r="L79" s="457"/>
      <c r="M79" s="458"/>
      <c r="N79" s="458"/>
      <c r="O79" s="458"/>
      <c r="P79" s="458"/>
      <c r="Q79" s="458"/>
      <c r="R79" s="458"/>
    </row>
    <row r="80" s="456" customFormat="1" ht="20.25" spans="1:18">
      <c r="A80" s="489"/>
      <c r="B80" s="489"/>
      <c r="C80" s="489"/>
      <c r="D80" s="489"/>
      <c r="E80" s="489"/>
      <c r="F80" s="489"/>
      <c r="G80" s="489"/>
      <c r="H80" s="489"/>
      <c r="I80" s="489"/>
      <c r="J80" s="489"/>
      <c r="K80" s="489"/>
      <c r="L80" s="457"/>
      <c r="M80" s="458"/>
      <c r="N80" s="458"/>
      <c r="O80" s="458"/>
      <c r="P80" s="458"/>
      <c r="Q80" s="458"/>
      <c r="R80" s="458"/>
    </row>
    <row r="81" s="456" customFormat="1" ht="20.25" spans="1:18">
      <c r="A81" s="489"/>
      <c r="B81" s="489"/>
      <c r="C81" s="489"/>
      <c r="D81" s="489"/>
      <c r="E81" s="489"/>
      <c r="F81" s="489"/>
      <c r="G81" s="489"/>
      <c r="H81" s="489"/>
      <c r="I81" s="489"/>
      <c r="J81" s="489"/>
      <c r="K81" s="489"/>
      <c r="L81" s="457"/>
      <c r="M81" s="458"/>
      <c r="N81" s="458"/>
      <c r="O81" s="458"/>
      <c r="P81" s="458"/>
      <c r="Q81" s="458"/>
      <c r="R81" s="458"/>
    </row>
    <row r="82" s="456" customFormat="1" ht="20.25" spans="1:18">
      <c r="A82" s="489"/>
      <c r="B82" s="489"/>
      <c r="C82" s="489"/>
      <c r="D82" s="489"/>
      <c r="E82" s="489"/>
      <c r="F82" s="489"/>
      <c r="G82" s="489"/>
      <c r="H82" s="489"/>
      <c r="I82" s="489"/>
      <c r="J82" s="489"/>
      <c r="K82" s="489"/>
      <c r="L82" s="457"/>
      <c r="M82" s="458"/>
      <c r="N82" s="458"/>
      <c r="O82" s="458"/>
      <c r="P82" s="458"/>
      <c r="Q82" s="458"/>
      <c r="R82" s="458"/>
    </row>
    <row r="83" s="456" customFormat="1" ht="20.25" spans="1:18">
      <c r="A83" s="489"/>
      <c r="B83" s="489"/>
      <c r="C83" s="489"/>
      <c r="D83" s="489"/>
      <c r="E83" s="489"/>
      <c r="F83" s="489"/>
      <c r="G83" s="489"/>
      <c r="H83" s="489"/>
      <c r="I83" s="489"/>
      <c r="J83" s="489"/>
      <c r="K83" s="489"/>
      <c r="L83" s="457"/>
      <c r="M83" s="458"/>
      <c r="N83" s="458"/>
      <c r="O83" s="458"/>
      <c r="P83" s="458"/>
      <c r="Q83" s="458"/>
      <c r="R83" s="458"/>
    </row>
    <row r="84" s="456" customFormat="1" ht="20.25" spans="1:18">
      <c r="A84" s="489"/>
      <c r="B84" s="489"/>
      <c r="C84" s="489"/>
      <c r="D84" s="489"/>
      <c r="E84" s="489"/>
      <c r="F84" s="489"/>
      <c r="G84" s="489"/>
      <c r="H84" s="489"/>
      <c r="I84" s="489"/>
      <c r="J84" s="489"/>
      <c r="K84" s="489"/>
      <c r="L84" s="457"/>
      <c r="M84" s="458"/>
      <c r="N84" s="458"/>
      <c r="O84" s="458"/>
      <c r="P84" s="458"/>
      <c r="Q84" s="458"/>
      <c r="R84" s="458"/>
    </row>
    <row r="85" s="456" customFormat="1" ht="20.25" spans="1:18">
      <c r="A85" s="489"/>
      <c r="B85" s="489"/>
      <c r="C85" s="489"/>
      <c r="D85" s="489"/>
      <c r="E85" s="489"/>
      <c r="F85" s="489"/>
      <c r="G85" s="489"/>
      <c r="H85" s="489"/>
      <c r="I85" s="489"/>
      <c r="J85" s="489"/>
      <c r="K85" s="489"/>
      <c r="L85" s="457"/>
      <c r="M85" s="458"/>
      <c r="N85" s="458"/>
      <c r="O85" s="458"/>
      <c r="P85" s="458"/>
      <c r="Q85" s="458"/>
      <c r="R85" s="458"/>
    </row>
    <row r="86" s="456" customFormat="1" ht="20.25" spans="1:18">
      <c r="A86" s="489"/>
      <c r="B86" s="489"/>
      <c r="C86" s="489"/>
      <c r="D86" s="489"/>
      <c r="E86" s="489"/>
      <c r="F86" s="489"/>
      <c r="G86" s="489"/>
      <c r="H86" s="489"/>
      <c r="I86" s="489"/>
      <c r="J86" s="489"/>
      <c r="K86" s="489"/>
      <c r="L86" s="457"/>
      <c r="M86" s="458"/>
      <c r="N86" s="458"/>
      <c r="O86" s="458"/>
      <c r="P86" s="458"/>
      <c r="Q86" s="458"/>
      <c r="R86" s="458"/>
    </row>
    <row r="87" s="456" customFormat="1" ht="20.25" spans="1:18">
      <c r="A87" s="489"/>
      <c r="B87" s="489"/>
      <c r="C87" s="489"/>
      <c r="D87" s="489"/>
      <c r="E87" s="489"/>
      <c r="F87" s="489"/>
      <c r="G87" s="489"/>
      <c r="H87" s="489"/>
      <c r="I87" s="489"/>
      <c r="J87" s="489"/>
      <c r="K87" s="489"/>
      <c r="L87" s="457"/>
      <c r="M87" s="458"/>
      <c r="N87" s="458"/>
      <c r="O87" s="458"/>
      <c r="P87" s="458"/>
      <c r="Q87" s="458"/>
      <c r="R87" s="458"/>
    </row>
    <row r="88" s="456" customFormat="1" ht="20.25" spans="1:18">
      <c r="A88" s="489"/>
      <c r="B88" s="489"/>
      <c r="C88" s="489"/>
      <c r="D88" s="489"/>
      <c r="E88" s="489"/>
      <c r="F88" s="489"/>
      <c r="G88" s="489"/>
      <c r="H88" s="489"/>
      <c r="I88" s="489"/>
      <c r="J88" s="489"/>
      <c r="K88" s="489"/>
      <c r="L88" s="457"/>
      <c r="M88" s="458"/>
      <c r="N88" s="458"/>
      <c r="O88" s="458"/>
      <c r="P88" s="458"/>
      <c r="Q88" s="458"/>
      <c r="R88" s="458"/>
    </row>
    <row r="89" s="456" customFormat="1" ht="20.25" spans="1:18">
      <c r="A89" s="489"/>
      <c r="B89" s="489"/>
      <c r="C89" s="489"/>
      <c r="D89" s="489"/>
      <c r="E89" s="489"/>
      <c r="F89" s="489"/>
      <c r="G89" s="489"/>
      <c r="H89" s="489"/>
      <c r="I89" s="489"/>
      <c r="J89" s="489"/>
      <c r="K89" s="489"/>
      <c r="L89" s="457"/>
      <c r="M89" s="458"/>
      <c r="N89" s="458"/>
      <c r="O89" s="458"/>
      <c r="P89" s="458"/>
      <c r="Q89" s="458"/>
      <c r="R89" s="458"/>
    </row>
    <row r="90" s="456" customFormat="1" ht="20.25" spans="1:18">
      <c r="A90" s="489"/>
      <c r="B90" s="489"/>
      <c r="C90" s="489"/>
      <c r="D90" s="489"/>
      <c r="E90" s="489"/>
      <c r="F90" s="489"/>
      <c r="G90" s="489"/>
      <c r="H90" s="489"/>
      <c r="I90" s="489"/>
      <c r="J90" s="489"/>
      <c r="K90" s="489"/>
      <c r="L90" s="457"/>
      <c r="M90" s="458"/>
      <c r="N90" s="458"/>
      <c r="O90" s="458"/>
      <c r="P90" s="458"/>
      <c r="Q90" s="458"/>
      <c r="R90" s="458"/>
    </row>
    <row r="91" s="456" customFormat="1" ht="20.25" spans="1:18">
      <c r="A91" s="489"/>
      <c r="B91" s="489"/>
      <c r="C91" s="489"/>
      <c r="D91" s="489"/>
      <c r="E91" s="489"/>
      <c r="F91" s="489"/>
      <c r="G91" s="489"/>
      <c r="H91" s="489"/>
      <c r="I91" s="489"/>
      <c r="J91" s="489"/>
      <c r="K91" s="489"/>
      <c r="L91" s="457"/>
      <c r="M91" s="458"/>
      <c r="N91" s="458"/>
      <c r="O91" s="458"/>
      <c r="P91" s="458"/>
      <c r="Q91" s="458"/>
      <c r="R91" s="458"/>
    </row>
    <row r="92" s="456" customFormat="1" ht="20.25" spans="1:18">
      <c r="A92" s="489"/>
      <c r="B92" s="489"/>
      <c r="C92" s="489"/>
      <c r="D92" s="489"/>
      <c r="E92" s="489"/>
      <c r="F92" s="489"/>
      <c r="G92" s="489"/>
      <c r="H92" s="489"/>
      <c r="I92" s="489"/>
      <c r="J92" s="489"/>
      <c r="K92" s="489"/>
      <c r="L92" s="457"/>
      <c r="M92" s="458"/>
      <c r="N92" s="458"/>
      <c r="O92" s="458"/>
      <c r="P92" s="458"/>
      <c r="Q92" s="458"/>
      <c r="R92" s="458"/>
    </row>
    <row r="93" s="456" customFormat="1" ht="20.25" spans="1:18">
      <c r="A93" s="489"/>
      <c r="B93" s="489"/>
      <c r="C93" s="489"/>
      <c r="D93" s="489"/>
      <c r="E93" s="489"/>
      <c r="F93" s="489"/>
      <c r="G93" s="489"/>
      <c r="H93" s="489"/>
      <c r="I93" s="489"/>
      <c r="J93" s="489"/>
      <c r="K93" s="489"/>
      <c r="L93" s="457"/>
      <c r="M93" s="458"/>
      <c r="N93" s="458"/>
      <c r="O93" s="458"/>
      <c r="P93" s="458"/>
      <c r="Q93" s="458"/>
      <c r="R93" s="458"/>
    </row>
    <row r="94" s="456" customFormat="1" ht="20.25" spans="1:18">
      <c r="A94" s="489"/>
      <c r="B94" s="489"/>
      <c r="C94" s="489"/>
      <c r="D94" s="489"/>
      <c r="E94" s="489"/>
      <c r="F94" s="489"/>
      <c r="G94" s="489"/>
      <c r="H94" s="489"/>
      <c r="I94" s="489"/>
      <c r="J94" s="489"/>
      <c r="K94" s="489"/>
      <c r="L94" s="457"/>
      <c r="M94" s="458"/>
      <c r="N94" s="458"/>
      <c r="O94" s="458"/>
      <c r="P94" s="458"/>
      <c r="Q94" s="458"/>
      <c r="R94" s="458"/>
    </row>
    <row r="95" s="456" customFormat="1" ht="20.25" spans="1:18">
      <c r="A95" s="489"/>
      <c r="B95" s="489"/>
      <c r="C95" s="489"/>
      <c r="D95" s="489"/>
      <c r="E95" s="489"/>
      <c r="F95" s="489"/>
      <c r="G95" s="489"/>
      <c r="H95" s="489"/>
      <c r="I95" s="489"/>
      <c r="J95" s="489"/>
      <c r="K95" s="489"/>
      <c r="L95" s="457"/>
      <c r="M95" s="458"/>
      <c r="N95" s="458"/>
      <c r="O95" s="458"/>
      <c r="P95" s="458"/>
      <c r="Q95" s="458"/>
      <c r="R95" s="458"/>
    </row>
    <row r="96" s="456" customFormat="1" ht="20.25" spans="1:18">
      <c r="A96" s="489"/>
      <c r="B96" s="489"/>
      <c r="C96" s="489"/>
      <c r="D96" s="489"/>
      <c r="E96" s="489"/>
      <c r="F96" s="489"/>
      <c r="G96" s="489"/>
      <c r="H96" s="489"/>
      <c r="I96" s="489"/>
      <c r="J96" s="489"/>
      <c r="K96" s="489"/>
      <c r="L96" s="457"/>
      <c r="M96" s="458"/>
      <c r="N96" s="458"/>
      <c r="O96" s="458"/>
      <c r="P96" s="458"/>
      <c r="Q96" s="458"/>
      <c r="R96" s="458"/>
    </row>
    <row r="97" s="456" customFormat="1" ht="20.25" spans="1:18">
      <c r="A97" s="489"/>
      <c r="B97" s="489"/>
      <c r="C97" s="489"/>
      <c r="D97" s="489"/>
      <c r="E97" s="489"/>
      <c r="F97" s="489"/>
      <c r="G97" s="489"/>
      <c r="H97" s="489"/>
      <c r="I97" s="489"/>
      <c r="J97" s="489"/>
      <c r="K97" s="489"/>
      <c r="L97" s="457"/>
      <c r="M97" s="458"/>
      <c r="N97" s="458"/>
      <c r="O97" s="458"/>
      <c r="P97" s="458"/>
      <c r="Q97" s="458"/>
      <c r="R97" s="458"/>
    </row>
    <row r="98" s="456" customFormat="1" ht="20.25" spans="1:18">
      <c r="A98" s="489"/>
      <c r="B98" s="489"/>
      <c r="C98" s="489"/>
      <c r="D98" s="489"/>
      <c r="E98" s="489"/>
      <c r="F98" s="489"/>
      <c r="G98" s="489"/>
      <c r="H98" s="489"/>
      <c r="I98" s="489"/>
      <c r="J98" s="489"/>
      <c r="K98" s="489"/>
      <c r="L98" s="457"/>
      <c r="M98" s="458"/>
      <c r="N98" s="458"/>
      <c r="O98" s="458"/>
      <c r="P98" s="458"/>
      <c r="Q98" s="458"/>
      <c r="R98" s="458"/>
    </row>
    <row r="99" s="456" customFormat="1" ht="20.25" spans="1:18">
      <c r="A99" s="489"/>
      <c r="B99" s="489"/>
      <c r="C99" s="489"/>
      <c r="D99" s="489"/>
      <c r="E99" s="489"/>
      <c r="F99" s="489"/>
      <c r="G99" s="489"/>
      <c r="H99" s="489"/>
      <c r="I99" s="489"/>
      <c r="J99" s="489"/>
      <c r="K99" s="489"/>
      <c r="L99" s="457"/>
      <c r="M99" s="458"/>
      <c r="N99" s="458"/>
      <c r="O99" s="458"/>
      <c r="P99" s="458"/>
      <c r="Q99" s="458"/>
      <c r="R99" s="458"/>
    </row>
    <row r="100" s="456" customFormat="1" ht="20.25" spans="1:18">
      <c r="A100" s="489"/>
      <c r="B100" s="489"/>
      <c r="C100" s="489"/>
      <c r="D100" s="489"/>
      <c r="E100" s="489"/>
      <c r="F100" s="489"/>
      <c r="G100" s="489"/>
      <c r="H100" s="489"/>
      <c r="I100" s="489"/>
      <c r="J100" s="489"/>
      <c r="K100" s="489"/>
      <c r="L100" s="457"/>
      <c r="M100" s="458"/>
      <c r="N100" s="458"/>
      <c r="O100" s="458"/>
      <c r="P100" s="458"/>
      <c r="Q100" s="458"/>
      <c r="R100" s="458"/>
    </row>
    <row r="101" s="456" customFormat="1" ht="20.25" spans="1:18">
      <c r="A101" s="489"/>
      <c r="B101" s="489"/>
      <c r="C101" s="489"/>
      <c r="D101" s="489"/>
      <c r="E101" s="489"/>
      <c r="F101" s="489"/>
      <c r="G101" s="489"/>
      <c r="H101" s="489"/>
      <c r="I101" s="489"/>
      <c r="J101" s="489"/>
      <c r="K101" s="489"/>
      <c r="L101" s="457"/>
      <c r="M101" s="458"/>
      <c r="N101" s="458"/>
      <c r="O101" s="458"/>
      <c r="P101" s="458"/>
      <c r="Q101" s="458"/>
      <c r="R101" s="458"/>
    </row>
    <row r="102" s="456" customFormat="1" ht="20.25" spans="1:18">
      <c r="A102" s="489"/>
      <c r="B102" s="489"/>
      <c r="C102" s="489"/>
      <c r="D102" s="489"/>
      <c r="E102" s="489"/>
      <c r="F102" s="489"/>
      <c r="G102" s="489"/>
      <c r="H102" s="489"/>
      <c r="I102" s="489"/>
      <c r="J102" s="489"/>
      <c r="K102" s="489"/>
      <c r="L102" s="457"/>
      <c r="M102" s="458"/>
      <c r="N102" s="458"/>
      <c r="O102" s="458"/>
      <c r="P102" s="458"/>
      <c r="Q102" s="458"/>
      <c r="R102" s="458"/>
    </row>
    <row r="103" s="456" customFormat="1" ht="20.25" spans="1:18">
      <c r="A103" s="489"/>
      <c r="B103" s="489"/>
      <c r="C103" s="489"/>
      <c r="D103" s="489"/>
      <c r="E103" s="489"/>
      <c r="F103" s="489"/>
      <c r="G103" s="489"/>
      <c r="H103" s="489"/>
      <c r="I103" s="489"/>
      <c r="J103" s="489"/>
      <c r="K103" s="489"/>
      <c r="L103" s="457"/>
      <c r="M103" s="458"/>
      <c r="N103" s="458"/>
      <c r="O103" s="458"/>
      <c r="P103" s="458"/>
      <c r="Q103" s="458"/>
      <c r="R103" s="458"/>
    </row>
    <row r="104" s="456" customFormat="1" ht="20.25" spans="1:18">
      <c r="A104" s="489"/>
      <c r="B104" s="489"/>
      <c r="C104" s="489"/>
      <c r="D104" s="489"/>
      <c r="E104" s="489"/>
      <c r="F104" s="489"/>
      <c r="G104" s="489"/>
      <c r="H104" s="489"/>
      <c r="I104" s="489"/>
      <c r="J104" s="489"/>
      <c r="K104" s="489"/>
      <c r="L104" s="457"/>
      <c r="M104" s="458"/>
      <c r="N104" s="458"/>
      <c r="O104" s="458"/>
      <c r="P104" s="458"/>
      <c r="Q104" s="458"/>
      <c r="R104" s="458"/>
    </row>
    <row r="105" s="456" customFormat="1" ht="20.25" spans="1:18">
      <c r="A105" s="489"/>
      <c r="B105" s="489"/>
      <c r="C105" s="489"/>
      <c r="D105" s="489"/>
      <c r="E105" s="489"/>
      <c r="F105" s="489"/>
      <c r="G105" s="489"/>
      <c r="H105" s="489"/>
      <c r="I105" s="489"/>
      <c r="J105" s="489"/>
      <c r="K105" s="489"/>
      <c r="L105" s="457"/>
      <c r="M105" s="458"/>
      <c r="N105" s="458"/>
      <c r="O105" s="458"/>
      <c r="P105" s="458"/>
      <c r="Q105" s="458"/>
      <c r="R105" s="458"/>
    </row>
    <row r="106" s="456" customFormat="1" ht="20.25" spans="1:18">
      <c r="A106" s="489"/>
      <c r="B106" s="489"/>
      <c r="C106" s="489"/>
      <c r="D106" s="489"/>
      <c r="E106" s="489"/>
      <c r="F106" s="489"/>
      <c r="G106" s="489"/>
      <c r="H106" s="489"/>
      <c r="I106" s="489"/>
      <c r="J106" s="489"/>
      <c r="K106" s="489"/>
      <c r="L106" s="457"/>
      <c r="M106" s="458"/>
      <c r="N106" s="458"/>
      <c r="O106" s="458"/>
      <c r="P106" s="458"/>
      <c r="Q106" s="458"/>
      <c r="R106" s="458"/>
    </row>
    <row r="107" s="456" customFormat="1" ht="20.25" spans="1:18">
      <c r="A107" s="489"/>
      <c r="B107" s="489"/>
      <c r="C107" s="489"/>
      <c r="D107" s="489"/>
      <c r="E107" s="489"/>
      <c r="F107" s="489"/>
      <c r="G107" s="489"/>
      <c r="H107" s="489"/>
      <c r="I107" s="489"/>
      <c r="J107" s="489"/>
      <c r="K107" s="489"/>
      <c r="L107" s="457"/>
      <c r="M107" s="458"/>
      <c r="N107" s="458"/>
      <c r="O107" s="458"/>
      <c r="P107" s="458"/>
      <c r="Q107" s="458"/>
      <c r="R107" s="458"/>
    </row>
    <row r="108" s="456" customFormat="1" ht="20.25" spans="1:18">
      <c r="A108" s="489"/>
      <c r="B108" s="489"/>
      <c r="C108" s="489"/>
      <c r="D108" s="489"/>
      <c r="E108" s="489"/>
      <c r="F108" s="489"/>
      <c r="G108" s="489"/>
      <c r="H108" s="489"/>
      <c r="I108" s="489"/>
      <c r="J108" s="489"/>
      <c r="K108" s="489"/>
      <c r="L108" s="457"/>
      <c r="M108" s="458"/>
      <c r="N108" s="458"/>
      <c r="O108" s="458"/>
      <c r="P108" s="458"/>
      <c r="Q108" s="458"/>
      <c r="R108" s="458"/>
    </row>
    <row r="109" s="456" customFormat="1" ht="20.25" spans="1:18">
      <c r="A109" s="489"/>
      <c r="B109" s="489"/>
      <c r="C109" s="489"/>
      <c r="D109" s="489"/>
      <c r="E109" s="489"/>
      <c r="F109" s="489"/>
      <c r="G109" s="489"/>
      <c r="H109" s="489"/>
      <c r="I109" s="489"/>
      <c r="J109" s="489"/>
      <c r="K109" s="489"/>
      <c r="L109" s="457"/>
      <c r="M109" s="458"/>
      <c r="N109" s="458"/>
      <c r="O109" s="458"/>
      <c r="P109" s="458"/>
      <c r="Q109" s="458"/>
      <c r="R109" s="458"/>
    </row>
    <row r="110" s="456" customFormat="1" ht="20.25" spans="1:18">
      <c r="A110" s="489"/>
      <c r="B110" s="489"/>
      <c r="C110" s="489"/>
      <c r="D110" s="489"/>
      <c r="E110" s="489"/>
      <c r="F110" s="489"/>
      <c r="G110" s="489"/>
      <c r="H110" s="489"/>
      <c r="I110" s="489"/>
      <c r="J110" s="489"/>
      <c r="K110" s="489"/>
      <c r="L110" s="457"/>
      <c r="M110" s="458"/>
      <c r="N110" s="458"/>
      <c r="O110" s="458"/>
      <c r="P110" s="458"/>
      <c r="Q110" s="458"/>
      <c r="R110" s="458"/>
    </row>
    <row r="111" s="456" customFormat="1" ht="20.25" spans="1:18">
      <c r="A111" s="489"/>
      <c r="B111" s="489"/>
      <c r="C111" s="489"/>
      <c r="D111" s="489"/>
      <c r="E111" s="489"/>
      <c r="F111" s="489"/>
      <c r="G111" s="489"/>
      <c r="H111" s="489"/>
      <c r="I111" s="489"/>
      <c r="J111" s="489"/>
      <c r="K111" s="489"/>
      <c r="L111" s="457"/>
      <c r="M111" s="458"/>
      <c r="N111" s="458"/>
      <c r="O111" s="458"/>
      <c r="P111" s="458"/>
      <c r="Q111" s="458"/>
      <c r="R111" s="458"/>
    </row>
    <row r="112" s="456" customFormat="1" ht="20.25" spans="1:18">
      <c r="A112" s="489"/>
      <c r="B112" s="489"/>
      <c r="C112" s="489"/>
      <c r="D112" s="489"/>
      <c r="E112" s="489"/>
      <c r="F112" s="489"/>
      <c r="G112" s="489"/>
      <c r="H112" s="489"/>
      <c r="I112" s="489"/>
      <c r="J112" s="489"/>
      <c r="K112" s="489"/>
      <c r="L112" s="457"/>
      <c r="M112" s="458"/>
      <c r="N112" s="458"/>
      <c r="O112" s="458"/>
      <c r="P112" s="458"/>
      <c r="Q112" s="458"/>
      <c r="R112" s="458"/>
    </row>
    <row r="113" s="456" customFormat="1" ht="20.25" spans="1:18">
      <c r="A113" s="489"/>
      <c r="B113" s="489"/>
      <c r="C113" s="489"/>
      <c r="D113" s="489"/>
      <c r="E113" s="489"/>
      <c r="F113" s="489"/>
      <c r="G113" s="489"/>
      <c r="H113" s="489"/>
      <c r="I113" s="489"/>
      <c r="J113" s="489"/>
      <c r="K113" s="489"/>
      <c r="L113" s="457"/>
      <c r="M113" s="458"/>
      <c r="N113" s="458"/>
      <c r="O113" s="458"/>
      <c r="P113" s="458"/>
      <c r="Q113" s="458"/>
      <c r="R113" s="458"/>
    </row>
    <row r="114" s="456" customFormat="1" ht="20.25" spans="1:18">
      <c r="A114" s="489"/>
      <c r="B114" s="489"/>
      <c r="C114" s="489"/>
      <c r="D114" s="489"/>
      <c r="E114" s="489"/>
      <c r="F114" s="489"/>
      <c r="G114" s="489"/>
      <c r="H114" s="489"/>
      <c r="I114" s="489"/>
      <c r="J114" s="489"/>
      <c r="K114" s="489"/>
      <c r="L114" s="457"/>
      <c r="M114" s="458"/>
      <c r="N114" s="458"/>
      <c r="O114" s="458"/>
      <c r="P114" s="458"/>
      <c r="Q114" s="458"/>
      <c r="R114" s="458"/>
    </row>
    <row r="115" s="456" customFormat="1" ht="20.25" spans="1:18">
      <c r="A115" s="489"/>
      <c r="B115" s="489"/>
      <c r="C115" s="489"/>
      <c r="D115" s="489"/>
      <c r="E115" s="489"/>
      <c r="F115" s="489"/>
      <c r="G115" s="489"/>
      <c r="H115" s="489"/>
      <c r="I115" s="489"/>
      <c r="J115" s="489"/>
      <c r="K115" s="489"/>
      <c r="L115" s="457"/>
      <c r="M115" s="458"/>
      <c r="N115" s="458"/>
      <c r="O115" s="458"/>
      <c r="P115" s="458"/>
      <c r="Q115" s="458"/>
      <c r="R115" s="458"/>
    </row>
    <row r="116" s="456" customFormat="1" ht="20.25" spans="1:18">
      <c r="A116" s="489"/>
      <c r="B116" s="489"/>
      <c r="C116" s="489"/>
      <c r="D116" s="489"/>
      <c r="E116" s="489"/>
      <c r="F116" s="489"/>
      <c r="G116" s="489"/>
      <c r="H116" s="489"/>
      <c r="I116" s="489"/>
      <c r="J116" s="489"/>
      <c r="K116" s="489"/>
      <c r="L116" s="457"/>
      <c r="M116" s="458"/>
      <c r="N116" s="458"/>
      <c r="O116" s="458"/>
      <c r="P116" s="458"/>
      <c r="Q116" s="458"/>
      <c r="R116" s="458"/>
    </row>
    <row r="117" s="456" customFormat="1" ht="20.25" spans="1:18">
      <c r="A117" s="489"/>
      <c r="B117" s="489"/>
      <c r="C117" s="489"/>
      <c r="D117" s="489"/>
      <c r="E117" s="489"/>
      <c r="F117" s="489"/>
      <c r="G117" s="489"/>
      <c r="H117" s="489"/>
      <c r="I117" s="489"/>
      <c r="J117" s="489"/>
      <c r="K117" s="489"/>
      <c r="L117" s="457"/>
      <c r="M117" s="458"/>
      <c r="N117" s="458"/>
      <c r="O117" s="458"/>
      <c r="P117" s="458"/>
      <c r="Q117" s="458"/>
      <c r="R117" s="458"/>
    </row>
    <row r="118" s="456" customFormat="1" ht="20.25" spans="1:18">
      <c r="A118" s="489"/>
      <c r="B118" s="489"/>
      <c r="C118" s="489"/>
      <c r="D118" s="489"/>
      <c r="E118" s="489"/>
      <c r="F118" s="489"/>
      <c r="G118" s="489"/>
      <c r="H118" s="489"/>
      <c r="I118" s="489"/>
      <c r="J118" s="489"/>
      <c r="K118" s="489"/>
      <c r="L118" s="457"/>
      <c r="M118" s="458"/>
      <c r="N118" s="458"/>
      <c r="O118" s="458"/>
      <c r="P118" s="458"/>
      <c r="Q118" s="458"/>
      <c r="R118" s="458"/>
    </row>
    <row r="119" s="456" customFormat="1" ht="20.25" spans="1:18">
      <c r="A119" s="489"/>
      <c r="B119" s="489"/>
      <c r="C119" s="489"/>
      <c r="D119" s="489"/>
      <c r="E119" s="489"/>
      <c r="F119" s="489"/>
      <c r="G119" s="489"/>
      <c r="H119" s="489"/>
      <c r="I119" s="489"/>
      <c r="J119" s="489"/>
      <c r="K119" s="489"/>
      <c r="L119" s="457"/>
      <c r="M119" s="458"/>
      <c r="N119" s="458"/>
      <c r="O119" s="458"/>
      <c r="P119" s="458"/>
      <c r="Q119" s="458"/>
      <c r="R119" s="458"/>
    </row>
    <row r="120" s="456" customFormat="1" ht="20.25" spans="1:18">
      <c r="A120" s="489"/>
      <c r="B120" s="489"/>
      <c r="C120" s="489"/>
      <c r="D120" s="489"/>
      <c r="E120" s="489"/>
      <c r="F120" s="489"/>
      <c r="G120" s="489"/>
      <c r="H120" s="489"/>
      <c r="I120" s="489"/>
      <c r="J120" s="489"/>
      <c r="K120" s="489"/>
      <c r="L120" s="457"/>
      <c r="M120" s="458"/>
      <c r="N120" s="458"/>
      <c r="O120" s="458"/>
      <c r="P120" s="458"/>
      <c r="Q120" s="458"/>
      <c r="R120" s="458"/>
    </row>
    <row r="121" s="456" customFormat="1" ht="20.25" spans="1:18">
      <c r="A121" s="489"/>
      <c r="B121" s="489"/>
      <c r="C121" s="489"/>
      <c r="D121" s="489"/>
      <c r="E121" s="489"/>
      <c r="F121" s="489"/>
      <c r="G121" s="489"/>
      <c r="H121" s="489"/>
      <c r="I121" s="489"/>
      <c r="J121" s="489"/>
      <c r="K121" s="489"/>
      <c r="L121" s="457"/>
      <c r="M121" s="458"/>
      <c r="N121" s="458"/>
      <c r="O121" s="458"/>
      <c r="P121" s="458"/>
      <c r="Q121" s="458"/>
      <c r="R121" s="458"/>
    </row>
    <row r="122" s="456" customFormat="1" ht="20.25" spans="1:18">
      <c r="A122" s="489"/>
      <c r="B122" s="489"/>
      <c r="C122" s="489"/>
      <c r="D122" s="489"/>
      <c r="E122" s="489"/>
      <c r="F122" s="489"/>
      <c r="G122" s="489"/>
      <c r="H122" s="489"/>
      <c r="I122" s="489"/>
      <c r="J122" s="489"/>
      <c r="K122" s="489"/>
      <c r="L122" s="457"/>
      <c r="M122" s="458"/>
      <c r="N122" s="458"/>
      <c r="O122" s="458"/>
      <c r="P122" s="458"/>
      <c r="Q122" s="458"/>
      <c r="R122" s="458"/>
    </row>
    <row r="123" ht="20.25" spans="1:11">
      <c r="A123" s="143"/>
      <c r="B123" s="143"/>
      <c r="C123" s="143"/>
      <c r="D123" s="143"/>
      <c r="E123" s="143"/>
      <c r="F123" s="143"/>
      <c r="G123" s="143"/>
      <c r="H123" s="143"/>
      <c r="I123" s="143"/>
      <c r="J123" s="143"/>
      <c r="K123" s="143"/>
    </row>
    <row r="124" ht="20.25" spans="1:11">
      <c r="A124" s="143"/>
      <c r="B124" s="143"/>
      <c r="C124" s="143"/>
      <c r="D124" s="143"/>
      <c r="E124" s="143"/>
      <c r="F124" s="143"/>
      <c r="G124" s="143"/>
      <c r="H124" s="143"/>
      <c r="I124" s="143"/>
      <c r="J124" s="143"/>
      <c r="K124" s="143"/>
    </row>
    <row r="125" ht="20.25" spans="1:11">
      <c r="A125" s="143"/>
      <c r="B125" s="143"/>
      <c r="C125" s="143"/>
      <c r="D125" s="143"/>
      <c r="E125" s="143"/>
      <c r="F125" s="143"/>
      <c r="G125" s="143"/>
      <c r="H125" s="143"/>
      <c r="I125" s="143"/>
      <c r="J125" s="143"/>
      <c r="K125" s="143"/>
    </row>
    <row r="126" ht="20.25" spans="1:11">
      <c r="A126" s="143"/>
      <c r="B126" s="143"/>
      <c r="C126" s="143"/>
      <c r="D126" s="143"/>
      <c r="E126" s="143"/>
      <c r="F126" s="143"/>
      <c r="G126" s="143"/>
      <c r="H126" s="143"/>
      <c r="I126" s="143"/>
      <c r="J126" s="143"/>
      <c r="K126" s="143"/>
    </row>
    <row r="127" ht="20.25" spans="1:11">
      <c r="A127" s="143"/>
      <c r="B127" s="143"/>
      <c r="C127" s="143"/>
      <c r="D127" s="143"/>
      <c r="E127" s="143"/>
      <c r="F127" s="143"/>
      <c r="G127" s="143"/>
      <c r="H127" s="143"/>
      <c r="I127" s="143"/>
      <c r="J127" s="143"/>
      <c r="K127" s="143"/>
    </row>
    <row r="128" ht="20.25" spans="1:11">
      <c r="A128" s="143"/>
      <c r="B128" s="143"/>
      <c r="C128" s="143"/>
      <c r="D128" s="143"/>
      <c r="E128" s="143"/>
      <c r="F128" s="143"/>
      <c r="G128" s="143"/>
      <c r="H128" s="143"/>
      <c r="I128" s="143"/>
      <c r="J128" s="143"/>
      <c r="K128" s="143"/>
    </row>
    <row r="129" ht="20.25" spans="1:11">
      <c r="A129" s="143"/>
      <c r="B129" s="143"/>
      <c r="C129" s="143"/>
      <c r="D129" s="143"/>
      <c r="E129" s="143"/>
      <c r="F129" s="143"/>
      <c r="G129" s="143"/>
      <c r="H129" s="143"/>
      <c r="I129" s="143"/>
      <c r="J129" s="143"/>
      <c r="K129" s="143"/>
    </row>
    <row r="130" ht="20.25" spans="1:11">
      <c r="A130" s="143"/>
      <c r="B130" s="143"/>
      <c r="C130" s="143"/>
      <c r="D130" s="143"/>
      <c r="E130" s="143"/>
      <c r="F130" s="143"/>
      <c r="G130" s="143"/>
      <c r="H130" s="143"/>
      <c r="I130" s="143"/>
      <c r="J130" s="143"/>
      <c r="K130" s="143"/>
    </row>
    <row r="131" ht="20.25" spans="1:11">
      <c r="A131" s="143"/>
      <c r="B131" s="143"/>
      <c r="C131" s="143"/>
      <c r="D131" s="143"/>
      <c r="E131" s="143"/>
      <c r="F131" s="143"/>
      <c r="G131" s="143"/>
      <c r="H131" s="143"/>
      <c r="I131" s="143"/>
      <c r="J131" s="143"/>
      <c r="K131" s="143"/>
    </row>
    <row r="132" ht="20.25" spans="1:11">
      <c r="A132" s="143"/>
      <c r="B132" s="143"/>
      <c r="C132" s="143"/>
      <c r="D132" s="143"/>
      <c r="E132" s="143"/>
      <c r="F132" s="143"/>
      <c r="G132" s="143"/>
      <c r="H132" s="143"/>
      <c r="I132" s="143"/>
      <c r="J132" s="143"/>
      <c r="K132" s="143"/>
    </row>
    <row r="133" ht="20.25" spans="1:11">
      <c r="A133" s="143"/>
      <c r="B133" s="143"/>
      <c r="C133" s="143"/>
      <c r="D133" s="143"/>
      <c r="E133" s="143"/>
      <c r="F133" s="143"/>
      <c r="G133" s="143"/>
      <c r="H133" s="143"/>
      <c r="I133" s="143"/>
      <c r="J133" s="143"/>
      <c r="K133" s="143"/>
    </row>
    <row r="134" ht="20.25" spans="1:11">
      <c r="A134" s="143"/>
      <c r="B134" s="143"/>
      <c r="C134" s="143"/>
      <c r="D134" s="143"/>
      <c r="E134" s="143"/>
      <c r="F134" s="143"/>
      <c r="G134" s="143"/>
      <c r="H134" s="143"/>
      <c r="I134" s="143"/>
      <c r="J134" s="143"/>
      <c r="K134" s="143"/>
    </row>
    <row r="135" ht="20.25" spans="1:11">
      <c r="A135" s="143"/>
      <c r="B135" s="143"/>
      <c r="C135" s="143"/>
      <c r="D135" s="143"/>
      <c r="E135" s="143"/>
      <c r="F135" s="143"/>
      <c r="G135" s="143"/>
      <c r="H135" s="143"/>
      <c r="I135" s="143"/>
      <c r="J135" s="143"/>
      <c r="K135" s="143"/>
    </row>
    <row r="136" ht="20.25" spans="1:11">
      <c r="A136" s="143"/>
      <c r="B136" s="143"/>
      <c r="C136" s="143"/>
      <c r="D136" s="143"/>
      <c r="E136" s="143"/>
      <c r="F136" s="143"/>
      <c r="G136" s="143"/>
      <c r="H136" s="143"/>
      <c r="I136" s="143"/>
      <c r="J136" s="143"/>
      <c r="K136" s="143"/>
    </row>
    <row r="137" ht="20.25" spans="1:11">
      <c r="A137" s="143"/>
      <c r="B137" s="143"/>
      <c r="C137" s="143"/>
      <c r="D137" s="143"/>
      <c r="E137" s="143"/>
      <c r="F137" s="143"/>
      <c r="G137" s="143"/>
      <c r="H137" s="143"/>
      <c r="I137" s="143"/>
      <c r="J137" s="143"/>
      <c r="K137" s="143"/>
    </row>
    <row r="138" ht="20.25" spans="1:11">
      <c r="A138" s="143"/>
      <c r="B138" s="143"/>
      <c r="C138" s="143"/>
      <c r="D138" s="143"/>
      <c r="E138" s="143"/>
      <c r="F138" s="143"/>
      <c r="G138" s="143"/>
      <c r="H138" s="143"/>
      <c r="I138" s="143"/>
      <c r="J138" s="143"/>
      <c r="K138" s="143"/>
    </row>
    <row r="139" ht="20.25" spans="1:11">
      <c r="A139" s="143"/>
      <c r="B139" s="143"/>
      <c r="C139" s="143"/>
      <c r="D139" s="143"/>
      <c r="E139" s="143"/>
      <c r="F139" s="143"/>
      <c r="G139" s="143"/>
      <c r="H139" s="143"/>
      <c r="I139" s="143"/>
      <c r="J139" s="143"/>
      <c r="K139" s="143"/>
    </row>
    <row r="140" ht="20.25" spans="1:11">
      <c r="A140" s="143"/>
      <c r="B140" s="143"/>
      <c r="C140" s="143"/>
      <c r="D140" s="143"/>
      <c r="E140" s="143"/>
      <c r="F140" s="143"/>
      <c r="G140" s="143"/>
      <c r="H140" s="143"/>
      <c r="I140" s="143"/>
      <c r="J140" s="143"/>
      <c r="K140" s="143"/>
    </row>
    <row r="141" ht="20.25" spans="1:11">
      <c r="A141" s="143"/>
      <c r="B141" s="143"/>
      <c r="C141" s="143"/>
      <c r="D141" s="143"/>
      <c r="E141" s="143"/>
      <c r="F141" s="143"/>
      <c r="G141" s="143"/>
      <c r="H141" s="143"/>
      <c r="I141" s="143"/>
      <c r="J141" s="143"/>
      <c r="K141" s="143"/>
    </row>
    <row r="142" ht="20.25" spans="1:11">
      <c r="A142" s="143"/>
      <c r="B142" s="143"/>
      <c r="C142" s="143"/>
      <c r="D142" s="143"/>
      <c r="E142" s="143"/>
      <c r="F142" s="143"/>
      <c r="G142" s="143"/>
      <c r="H142" s="143"/>
      <c r="I142" s="143"/>
      <c r="J142" s="143"/>
      <c r="K142" s="143"/>
    </row>
    <row r="143" ht="20.25" spans="1:11">
      <c r="A143" s="143"/>
      <c r="B143" s="143"/>
      <c r="C143" s="143"/>
      <c r="D143" s="143"/>
      <c r="E143" s="143"/>
      <c r="F143" s="143"/>
      <c r="G143" s="143"/>
      <c r="H143" s="143"/>
      <c r="I143" s="143"/>
      <c r="J143" s="143"/>
      <c r="K143" s="143"/>
    </row>
    <row r="144" ht="20.25" spans="1:11">
      <c r="A144" s="143"/>
      <c r="B144" s="143"/>
      <c r="C144" s="143"/>
      <c r="D144" s="143"/>
      <c r="E144" s="143"/>
      <c r="F144" s="143"/>
      <c r="G144" s="143"/>
      <c r="H144" s="143"/>
      <c r="I144" s="143"/>
      <c r="J144" s="143"/>
      <c r="K144" s="143"/>
    </row>
    <row r="145" ht="20.25" spans="1:11">
      <c r="A145" s="143"/>
      <c r="B145" s="143"/>
      <c r="C145" s="143"/>
      <c r="D145" s="143"/>
      <c r="E145" s="143"/>
      <c r="F145" s="143"/>
      <c r="G145" s="143"/>
      <c r="H145" s="143"/>
      <c r="I145" s="143"/>
      <c r="J145" s="143"/>
      <c r="K145" s="143"/>
    </row>
    <row r="146" ht="20.25" spans="1:11">
      <c r="A146" s="143"/>
      <c r="B146" s="143"/>
      <c r="C146" s="143"/>
      <c r="D146" s="143"/>
      <c r="E146" s="143"/>
      <c r="F146" s="143"/>
      <c r="G146" s="143"/>
      <c r="H146" s="143"/>
      <c r="I146" s="143"/>
      <c r="J146" s="143"/>
      <c r="K146" s="143"/>
    </row>
    <row r="147" ht="20.25" spans="1:11">
      <c r="A147" s="143"/>
      <c r="B147" s="143"/>
      <c r="C147" s="143"/>
      <c r="D147" s="143"/>
      <c r="E147" s="143"/>
      <c r="F147" s="143"/>
      <c r="G147" s="143"/>
      <c r="H147" s="143"/>
      <c r="I147" s="143"/>
      <c r="J147" s="143"/>
      <c r="K147" s="143"/>
    </row>
    <row r="148" ht="20.25" spans="1:11">
      <c r="A148" s="143"/>
      <c r="B148" s="143"/>
      <c r="C148" s="143"/>
      <c r="D148" s="143"/>
      <c r="E148" s="143"/>
      <c r="F148" s="143"/>
      <c r="G148" s="143"/>
      <c r="H148" s="143"/>
      <c r="I148" s="143"/>
      <c r="J148" s="143"/>
      <c r="K148" s="143"/>
    </row>
    <row r="149" ht="20.25" spans="1:11">
      <c r="A149" s="143"/>
      <c r="B149" s="143"/>
      <c r="C149" s="143"/>
      <c r="D149" s="143"/>
      <c r="E149" s="143"/>
      <c r="F149" s="143"/>
      <c r="G149" s="143"/>
      <c r="H149" s="143"/>
      <c r="I149" s="143"/>
      <c r="J149" s="143"/>
      <c r="K149" s="143"/>
    </row>
    <row r="150" ht="20.25" spans="1:11">
      <c r="A150" s="143"/>
      <c r="B150" s="143"/>
      <c r="C150" s="143"/>
      <c r="D150" s="143"/>
      <c r="E150" s="143"/>
      <c r="F150" s="143"/>
      <c r="G150" s="143"/>
      <c r="H150" s="143"/>
      <c r="I150" s="143"/>
      <c r="J150" s="143"/>
      <c r="K150" s="143"/>
    </row>
    <row r="151" ht="20.25" spans="1:11">
      <c r="A151" s="143"/>
      <c r="B151" s="143"/>
      <c r="C151" s="143"/>
      <c r="D151" s="143"/>
      <c r="E151" s="143"/>
      <c r="F151" s="143"/>
      <c r="G151" s="143"/>
      <c r="H151" s="143"/>
      <c r="I151" s="143"/>
      <c r="J151" s="143"/>
      <c r="K151" s="143"/>
    </row>
    <row r="152" ht="20.25" spans="1:11">
      <c r="A152" s="143"/>
      <c r="B152" s="143"/>
      <c r="C152" s="143"/>
      <c r="D152" s="143"/>
      <c r="E152" s="143"/>
      <c r="F152" s="143"/>
      <c r="G152" s="143"/>
      <c r="H152" s="143"/>
      <c r="I152" s="143"/>
      <c r="J152" s="143"/>
      <c r="K152" s="143"/>
    </row>
    <row r="153" ht="20.25" spans="1:11">
      <c r="A153" s="143"/>
      <c r="B153" s="143"/>
      <c r="C153" s="143"/>
      <c r="D153" s="143"/>
      <c r="E153" s="143"/>
      <c r="F153" s="143"/>
      <c r="G153" s="143"/>
      <c r="H153" s="143"/>
      <c r="I153" s="143"/>
      <c r="J153" s="143"/>
      <c r="K153" s="143"/>
    </row>
    <row r="154" ht="20.25" spans="1:11">
      <c r="A154" s="143"/>
      <c r="B154" s="143"/>
      <c r="C154" s="143"/>
      <c r="D154" s="143"/>
      <c r="E154" s="143"/>
      <c r="F154" s="143"/>
      <c r="G154" s="143"/>
      <c r="H154" s="143"/>
      <c r="I154" s="143"/>
      <c r="J154" s="143"/>
      <c r="K154" s="143"/>
    </row>
    <row r="155" ht="20.25" spans="1:11">
      <c r="A155" s="143"/>
      <c r="B155" s="143"/>
      <c r="C155" s="143"/>
      <c r="D155" s="143"/>
      <c r="E155" s="143"/>
      <c r="F155" s="143"/>
      <c r="G155" s="143"/>
      <c r="H155" s="143"/>
      <c r="I155" s="143"/>
      <c r="J155" s="143"/>
      <c r="K155" s="143"/>
    </row>
    <row r="156" ht="20.25" spans="1:11">
      <c r="A156" s="143"/>
      <c r="B156" s="143"/>
      <c r="C156" s="143"/>
      <c r="D156" s="143"/>
      <c r="E156" s="143"/>
      <c r="F156" s="143"/>
      <c r="G156" s="143"/>
      <c r="H156" s="143"/>
      <c r="I156" s="143"/>
      <c r="J156" s="143"/>
      <c r="K156" s="143"/>
    </row>
    <row r="157" ht="20.25" spans="1:11">
      <c r="A157" s="143"/>
      <c r="B157" s="143"/>
      <c r="C157" s="143"/>
      <c r="D157" s="143"/>
      <c r="E157" s="143"/>
      <c r="F157" s="143"/>
      <c r="G157" s="143"/>
      <c r="H157" s="143"/>
      <c r="I157" s="143"/>
      <c r="J157" s="143"/>
      <c r="K157" s="143"/>
    </row>
    <row r="158" ht="20.25" spans="1:11">
      <c r="A158" s="143"/>
      <c r="B158" s="143"/>
      <c r="C158" s="143"/>
      <c r="D158" s="143"/>
      <c r="E158" s="143"/>
      <c r="F158" s="143"/>
      <c r="G158" s="143"/>
      <c r="H158" s="143"/>
      <c r="I158" s="143"/>
      <c r="J158" s="143"/>
      <c r="K158" s="143"/>
    </row>
    <row r="159" ht="20.25" spans="1:11">
      <c r="A159" s="143"/>
      <c r="B159" s="143"/>
      <c r="C159" s="143"/>
      <c r="D159" s="143"/>
      <c r="E159" s="143"/>
      <c r="F159" s="143"/>
      <c r="G159" s="143"/>
      <c r="H159" s="143"/>
      <c r="I159" s="143"/>
      <c r="J159" s="143"/>
      <c r="K159" s="143"/>
    </row>
    <row r="160" ht="20.25" spans="1:11">
      <c r="A160" s="143"/>
      <c r="B160" s="143"/>
      <c r="C160" s="143"/>
      <c r="D160" s="143"/>
      <c r="E160" s="143"/>
      <c r="F160" s="143"/>
      <c r="G160" s="143"/>
      <c r="H160" s="143"/>
      <c r="I160" s="143"/>
      <c r="J160" s="143"/>
      <c r="K160" s="143"/>
    </row>
    <row r="161" ht="20.25" spans="1:11">
      <c r="A161" s="143"/>
      <c r="B161" s="143"/>
      <c r="C161" s="143"/>
      <c r="D161" s="143"/>
      <c r="E161" s="143"/>
      <c r="F161" s="143"/>
      <c r="G161" s="143"/>
      <c r="H161" s="143"/>
      <c r="I161" s="143"/>
      <c r="J161" s="143"/>
      <c r="K161" s="143"/>
    </row>
    <row r="162" ht="20.25" spans="1:11">
      <c r="A162" s="143"/>
      <c r="B162" s="143"/>
      <c r="C162" s="143"/>
      <c r="D162" s="143"/>
      <c r="E162" s="143"/>
      <c r="F162" s="143"/>
      <c r="G162" s="143"/>
      <c r="H162" s="143"/>
      <c r="I162" s="143"/>
      <c r="J162" s="143"/>
      <c r="K162" s="143"/>
    </row>
    <row r="163" ht="20.25" spans="1:11">
      <c r="A163" s="143"/>
      <c r="B163" s="143"/>
      <c r="C163" s="143"/>
      <c r="D163" s="143"/>
      <c r="E163" s="143"/>
      <c r="F163" s="143"/>
      <c r="G163" s="143"/>
      <c r="H163" s="143"/>
      <c r="I163" s="143"/>
      <c r="J163" s="143"/>
      <c r="K163" s="143"/>
    </row>
    <row r="164" ht="20.25" spans="1:11">
      <c r="A164" s="143"/>
      <c r="B164" s="143"/>
      <c r="C164" s="143"/>
      <c r="D164" s="143"/>
      <c r="E164" s="143"/>
      <c r="F164" s="143"/>
      <c r="G164" s="143"/>
      <c r="H164" s="143"/>
      <c r="I164" s="143"/>
      <c r="J164" s="143"/>
      <c r="K164" s="143"/>
    </row>
    <row r="165" ht="20.25" spans="1:11">
      <c r="A165" s="143"/>
      <c r="B165" s="143"/>
      <c r="C165" s="143"/>
      <c r="D165" s="143"/>
      <c r="E165" s="143"/>
      <c r="F165" s="143"/>
      <c r="G165" s="143"/>
      <c r="H165" s="143"/>
      <c r="I165" s="143"/>
      <c r="J165" s="143"/>
      <c r="K165" s="143"/>
    </row>
    <row r="166" ht="20.25" spans="1:11">
      <c r="A166" s="143"/>
      <c r="B166" s="143"/>
      <c r="C166" s="143"/>
      <c r="D166" s="143"/>
      <c r="E166" s="143"/>
      <c r="F166" s="143"/>
      <c r="G166" s="143"/>
      <c r="H166" s="143"/>
      <c r="I166" s="143"/>
      <c r="J166" s="143"/>
      <c r="K166" s="143"/>
    </row>
    <row r="167" ht="20.25" spans="1:11">
      <c r="A167" s="143"/>
      <c r="B167" s="143"/>
      <c r="C167" s="143"/>
      <c r="D167" s="143"/>
      <c r="E167" s="143"/>
      <c r="F167" s="143"/>
      <c r="G167" s="143"/>
      <c r="H167" s="143"/>
      <c r="I167" s="143"/>
      <c r="J167" s="143"/>
      <c r="K167" s="143"/>
    </row>
    <row r="168" ht="20.25" spans="1:11">
      <c r="A168" s="143"/>
      <c r="B168" s="143"/>
      <c r="C168" s="143"/>
      <c r="D168" s="143"/>
      <c r="E168" s="143"/>
      <c r="F168" s="143"/>
      <c r="G168" s="143"/>
      <c r="H168" s="143"/>
      <c r="I168" s="143"/>
      <c r="J168" s="143"/>
      <c r="K168" s="143"/>
    </row>
    <row r="169" ht="20.25" spans="1:11">
      <c r="A169" s="143"/>
      <c r="B169" s="143"/>
      <c r="C169" s="143"/>
      <c r="D169" s="143"/>
      <c r="E169" s="143"/>
      <c r="F169" s="143"/>
      <c r="G169" s="143"/>
      <c r="H169" s="143"/>
      <c r="I169" s="143"/>
      <c r="J169" s="143"/>
      <c r="K169" s="143"/>
    </row>
    <row r="170" ht="20.25" spans="1:11">
      <c r="A170" s="143"/>
      <c r="B170" s="143"/>
      <c r="C170" s="143"/>
      <c r="D170" s="143"/>
      <c r="E170" s="143"/>
      <c r="F170" s="143"/>
      <c r="G170" s="143"/>
      <c r="H170" s="143"/>
      <c r="I170" s="143"/>
      <c r="J170" s="143"/>
      <c r="K170" s="143"/>
    </row>
    <row r="171" ht="20.25" spans="1:11">
      <c r="A171" s="143"/>
      <c r="B171" s="143"/>
      <c r="C171" s="143"/>
      <c r="D171" s="143"/>
      <c r="E171" s="143"/>
      <c r="F171" s="143"/>
      <c r="G171" s="143"/>
      <c r="H171" s="143"/>
      <c r="I171" s="143"/>
      <c r="J171" s="143"/>
      <c r="K171" s="143"/>
    </row>
    <row r="172" ht="20.25" spans="1:11">
      <c r="A172" s="143"/>
      <c r="B172" s="143"/>
      <c r="C172" s="143"/>
      <c r="D172" s="143"/>
      <c r="E172" s="143"/>
      <c r="F172" s="143"/>
      <c r="G172" s="143"/>
      <c r="H172" s="143"/>
      <c r="I172" s="143"/>
      <c r="J172" s="143"/>
      <c r="K172" s="143"/>
    </row>
    <row r="173" ht="20.25" spans="1:11">
      <c r="A173" s="143"/>
      <c r="B173" s="143"/>
      <c r="C173" s="143"/>
      <c r="D173" s="143"/>
      <c r="E173" s="143"/>
      <c r="F173" s="143"/>
      <c r="G173" s="143"/>
      <c r="H173" s="143"/>
      <c r="I173" s="143"/>
      <c r="J173" s="143"/>
      <c r="K173" s="143"/>
    </row>
    <row r="174" ht="20.25" spans="1:11">
      <c r="A174" s="143"/>
      <c r="B174" s="143"/>
      <c r="C174" s="143"/>
      <c r="D174" s="143"/>
      <c r="E174" s="143"/>
      <c r="F174" s="143"/>
      <c r="G174" s="143"/>
      <c r="H174" s="143"/>
      <c r="I174" s="143"/>
      <c r="J174" s="143"/>
      <c r="K174" s="143"/>
    </row>
    <row r="175" ht="20.25" spans="1:11">
      <c r="A175" s="143"/>
      <c r="B175" s="143"/>
      <c r="C175" s="143"/>
      <c r="D175" s="143"/>
      <c r="E175" s="143"/>
      <c r="F175" s="143"/>
      <c r="G175" s="143"/>
      <c r="H175" s="143"/>
      <c r="I175" s="143"/>
      <c r="J175" s="143"/>
      <c r="K175" s="143"/>
    </row>
    <row r="176" ht="20.25" spans="1:11">
      <c r="A176" s="143"/>
      <c r="B176" s="143"/>
      <c r="C176" s="143"/>
      <c r="D176" s="143"/>
      <c r="E176" s="143"/>
      <c r="F176" s="143"/>
      <c r="G176" s="143"/>
      <c r="H176" s="143"/>
      <c r="I176" s="143"/>
      <c r="J176" s="143"/>
      <c r="K176" s="143"/>
    </row>
    <row r="177" ht="20.25" spans="1:11">
      <c r="A177" s="143"/>
      <c r="B177" s="143"/>
      <c r="C177" s="143"/>
      <c r="D177" s="143"/>
      <c r="E177" s="143"/>
      <c r="F177" s="143"/>
      <c r="G177" s="143"/>
      <c r="H177" s="143"/>
      <c r="I177" s="143"/>
      <c r="J177" s="143"/>
      <c r="K177" s="143"/>
    </row>
    <row r="178" ht="20.25" spans="1:11">
      <c r="A178" s="143"/>
      <c r="B178" s="143"/>
      <c r="C178" s="143"/>
      <c r="D178" s="143"/>
      <c r="E178" s="143"/>
      <c r="F178" s="143"/>
      <c r="G178" s="143"/>
      <c r="H178" s="143"/>
      <c r="I178" s="143"/>
      <c r="J178" s="143"/>
      <c r="K178" s="143"/>
    </row>
    <row r="179" ht="20.25" spans="1:11">
      <c r="A179" s="143"/>
      <c r="B179" s="143"/>
      <c r="C179" s="143"/>
      <c r="D179" s="143"/>
      <c r="E179" s="143"/>
      <c r="F179" s="143"/>
      <c r="G179" s="143"/>
      <c r="H179" s="143"/>
      <c r="I179" s="143"/>
      <c r="J179" s="143"/>
      <c r="K179" s="143"/>
    </row>
    <row r="180" ht="20.25" spans="1:11">
      <c r="A180" s="143"/>
      <c r="B180" s="143"/>
      <c r="C180" s="143"/>
      <c r="D180" s="143"/>
      <c r="E180" s="143"/>
      <c r="F180" s="143"/>
      <c r="G180" s="143"/>
      <c r="H180" s="143"/>
      <c r="I180" s="143"/>
      <c r="J180" s="143"/>
      <c r="K180" s="143"/>
    </row>
    <row r="181" ht="20.25" spans="1:11">
      <c r="A181" s="143"/>
      <c r="B181" s="143"/>
      <c r="C181" s="143"/>
      <c r="D181" s="143"/>
      <c r="E181" s="143"/>
      <c r="F181" s="143"/>
      <c r="G181" s="143"/>
      <c r="H181" s="143"/>
      <c r="I181" s="143"/>
      <c r="J181" s="143"/>
      <c r="K181" s="143"/>
    </row>
    <row r="182" ht="20.25" spans="1:11">
      <c r="A182" s="143"/>
      <c r="B182" s="143"/>
      <c r="C182" s="143"/>
      <c r="D182" s="143"/>
      <c r="E182" s="143"/>
      <c r="F182" s="143"/>
      <c r="G182" s="143"/>
      <c r="H182" s="143"/>
      <c r="I182" s="143"/>
      <c r="J182" s="143"/>
      <c r="K182" s="143"/>
    </row>
    <row r="183" ht="20.25" spans="1:11">
      <c r="A183" s="143"/>
      <c r="B183" s="143"/>
      <c r="C183" s="143"/>
      <c r="D183" s="143"/>
      <c r="E183" s="143"/>
      <c r="F183" s="143"/>
      <c r="G183" s="143"/>
      <c r="H183" s="143"/>
      <c r="I183" s="143"/>
      <c r="J183" s="143"/>
      <c r="K183" s="143"/>
    </row>
    <row r="184" ht="20.25" spans="1:11">
      <c r="A184" s="143"/>
      <c r="B184" s="143"/>
      <c r="C184" s="143"/>
      <c r="D184" s="143"/>
      <c r="E184" s="143"/>
      <c r="F184" s="143"/>
      <c r="G184" s="143"/>
      <c r="H184" s="143"/>
      <c r="I184" s="143"/>
      <c r="J184" s="143"/>
      <c r="K184" s="143"/>
    </row>
    <row r="185" ht="20.25" spans="1:11">
      <c r="A185" s="143"/>
      <c r="B185" s="143"/>
      <c r="C185" s="143"/>
      <c r="D185" s="143"/>
      <c r="E185" s="143"/>
      <c r="F185" s="143"/>
      <c r="G185" s="143"/>
      <c r="H185" s="143"/>
      <c r="I185" s="143"/>
      <c r="J185" s="143"/>
      <c r="K185" s="143"/>
    </row>
    <row r="186" ht="20.25" spans="1:11">
      <c r="A186" s="143"/>
      <c r="B186" s="143"/>
      <c r="C186" s="143"/>
      <c r="D186" s="143"/>
      <c r="E186" s="143"/>
      <c r="F186" s="143"/>
      <c r="G186" s="143"/>
      <c r="H186" s="143"/>
      <c r="I186" s="143"/>
      <c r="J186" s="143"/>
      <c r="K186" s="143"/>
    </row>
    <row r="187" ht="20.25" spans="1:11">
      <c r="A187" s="143"/>
      <c r="B187" s="143"/>
      <c r="C187" s="143"/>
      <c r="D187" s="143"/>
      <c r="E187" s="143"/>
      <c r="F187" s="143"/>
      <c r="G187" s="143"/>
      <c r="H187" s="143"/>
      <c r="I187" s="143"/>
      <c r="J187" s="143"/>
      <c r="K187" s="143"/>
    </row>
    <row r="188" ht="20.25" spans="1:11">
      <c r="A188" s="143"/>
      <c r="B188" s="143"/>
      <c r="C188" s="143"/>
      <c r="D188" s="143"/>
      <c r="E188" s="143"/>
      <c r="F188" s="143"/>
      <c r="G188" s="143"/>
      <c r="H188" s="143"/>
      <c r="I188" s="143"/>
      <c r="J188" s="143"/>
      <c r="K188" s="143"/>
    </row>
    <row r="189" ht="20.25" spans="1:11">
      <c r="A189" s="143"/>
      <c r="B189" s="143"/>
      <c r="C189" s="143"/>
      <c r="D189" s="143"/>
      <c r="E189" s="143"/>
      <c r="F189" s="143"/>
      <c r="G189" s="143"/>
      <c r="H189" s="143"/>
      <c r="I189" s="143"/>
      <c r="J189" s="143"/>
      <c r="K189" s="143"/>
    </row>
    <row r="190" ht="20.25" spans="1:11">
      <c r="A190" s="143"/>
      <c r="B190" s="143"/>
      <c r="C190" s="143"/>
      <c r="D190" s="143"/>
      <c r="E190" s="143"/>
      <c r="F190" s="143"/>
      <c r="G190" s="143"/>
      <c r="H190" s="143"/>
      <c r="I190" s="143"/>
      <c r="J190" s="143"/>
      <c r="K190" s="143"/>
    </row>
    <row r="191" ht="20.25" spans="1:11">
      <c r="A191" s="143"/>
      <c r="B191" s="143"/>
      <c r="C191" s="143"/>
      <c r="D191" s="143"/>
      <c r="E191" s="143"/>
      <c r="F191" s="143"/>
      <c r="G191" s="143"/>
      <c r="H191" s="143"/>
      <c r="I191" s="143"/>
      <c r="J191" s="143"/>
      <c r="K191" s="143"/>
    </row>
    <row r="192" ht="20.25" spans="1:11">
      <c r="A192" s="143"/>
      <c r="B192" s="143"/>
      <c r="C192" s="143"/>
      <c r="D192" s="143"/>
      <c r="E192" s="143"/>
      <c r="F192" s="143"/>
      <c r="G192" s="143"/>
      <c r="H192" s="143"/>
      <c r="I192" s="143"/>
      <c r="J192" s="143"/>
      <c r="K192" s="143"/>
    </row>
    <row r="193" ht="20.25" spans="1:11">
      <c r="A193" s="143"/>
      <c r="B193" s="143"/>
      <c r="C193" s="143"/>
      <c r="D193" s="143"/>
      <c r="E193" s="143"/>
      <c r="F193" s="143"/>
      <c r="G193" s="143"/>
      <c r="H193" s="143"/>
      <c r="I193" s="143"/>
      <c r="J193" s="143"/>
      <c r="K193" s="143"/>
    </row>
    <row r="194" ht="20.25" spans="1:11">
      <c r="A194" s="143"/>
      <c r="B194" s="143"/>
      <c r="C194" s="143"/>
      <c r="D194" s="143"/>
      <c r="E194" s="143"/>
      <c r="F194" s="143"/>
      <c r="G194" s="143"/>
      <c r="H194" s="143"/>
      <c r="I194" s="143"/>
      <c r="J194" s="143"/>
      <c r="K194" s="143"/>
    </row>
    <row r="195" ht="20.25" spans="1:11">
      <c r="A195" s="143"/>
      <c r="B195" s="143"/>
      <c r="C195" s="143"/>
      <c r="D195" s="143"/>
      <c r="E195" s="143"/>
      <c r="F195" s="143"/>
      <c r="G195" s="143"/>
      <c r="H195" s="143"/>
      <c r="I195" s="143"/>
      <c r="J195" s="143"/>
      <c r="K195" s="143"/>
    </row>
    <row r="196" ht="20.25" spans="1:11">
      <c r="A196" s="143"/>
      <c r="B196" s="143"/>
      <c r="C196" s="143"/>
      <c r="D196" s="143"/>
      <c r="E196" s="143"/>
      <c r="F196" s="143"/>
      <c r="G196" s="143"/>
      <c r="H196" s="143"/>
      <c r="I196" s="143"/>
      <c r="J196" s="143"/>
      <c r="K196" s="143"/>
    </row>
    <row r="197" ht="20.25" spans="1:11">
      <c r="A197" s="143"/>
      <c r="B197" s="143"/>
      <c r="C197" s="143"/>
      <c r="D197" s="143"/>
      <c r="E197" s="143"/>
      <c r="F197" s="143"/>
      <c r="G197" s="143"/>
      <c r="H197" s="143"/>
      <c r="I197" s="143"/>
      <c r="J197" s="143"/>
      <c r="K197" s="143"/>
    </row>
    <row r="198" ht="20.25" spans="1:11">
      <c r="A198" s="143"/>
      <c r="B198" s="143"/>
      <c r="C198" s="143"/>
      <c r="D198" s="143"/>
      <c r="E198" s="143"/>
      <c r="F198" s="143"/>
      <c r="G198" s="143"/>
      <c r="H198" s="143"/>
      <c r="I198" s="143"/>
      <c r="J198" s="143"/>
      <c r="K198" s="143"/>
    </row>
    <row r="199" ht="20.25" spans="1:11">
      <c r="A199" s="143"/>
      <c r="B199" s="143"/>
      <c r="C199" s="143"/>
      <c r="D199" s="143"/>
      <c r="E199" s="143"/>
      <c r="F199" s="143"/>
      <c r="G199" s="143"/>
      <c r="H199" s="143"/>
      <c r="I199" s="143"/>
      <c r="J199" s="143"/>
      <c r="K199" s="143"/>
    </row>
    <row r="200" ht="20.25" spans="1:11">
      <c r="A200" s="143"/>
      <c r="B200" s="143"/>
      <c r="C200" s="143"/>
      <c r="D200" s="143"/>
      <c r="E200" s="143"/>
      <c r="F200" s="143"/>
      <c r="G200" s="143"/>
      <c r="H200" s="143"/>
      <c r="I200" s="143"/>
      <c r="J200" s="143"/>
      <c r="K200" s="143"/>
    </row>
    <row r="201" ht="20.25" spans="1:11">
      <c r="A201" s="143"/>
      <c r="B201" s="143"/>
      <c r="C201" s="143"/>
      <c r="D201" s="143"/>
      <c r="E201" s="143"/>
      <c r="F201" s="143"/>
      <c r="G201" s="143"/>
      <c r="H201" s="143"/>
      <c r="I201" s="143"/>
      <c r="J201" s="143"/>
      <c r="K201" s="143"/>
    </row>
    <row r="202" ht="20.25" spans="1:11">
      <c r="A202" s="143"/>
      <c r="B202" s="143"/>
      <c r="C202" s="143"/>
      <c r="D202" s="143"/>
      <c r="E202" s="143"/>
      <c r="F202" s="143"/>
      <c r="G202" s="143"/>
      <c r="H202" s="143"/>
      <c r="I202" s="143"/>
      <c r="J202" s="143"/>
      <c r="K202" s="143"/>
    </row>
    <row r="203" ht="20.25" spans="1:11">
      <c r="A203" s="143"/>
      <c r="B203" s="143"/>
      <c r="C203" s="143"/>
      <c r="D203" s="143"/>
      <c r="E203" s="143"/>
      <c r="F203" s="143"/>
      <c r="G203" s="143"/>
      <c r="H203" s="143"/>
      <c r="I203" s="143"/>
      <c r="J203" s="143"/>
      <c r="K203" s="143"/>
    </row>
    <row r="204" ht="20.25" spans="1:11">
      <c r="A204" s="143"/>
      <c r="B204" s="143"/>
      <c r="C204" s="143"/>
      <c r="D204" s="143"/>
      <c r="E204" s="143"/>
      <c r="F204" s="143"/>
      <c r="G204" s="143"/>
      <c r="H204" s="143"/>
      <c r="I204" s="143"/>
      <c r="J204" s="143"/>
      <c r="K204" s="143"/>
    </row>
    <row r="205" ht="20.25" spans="1:11">
      <c r="A205" s="143"/>
      <c r="B205" s="143"/>
      <c r="C205" s="143"/>
      <c r="D205" s="143"/>
      <c r="E205" s="143"/>
      <c r="F205" s="143"/>
      <c r="G205" s="143"/>
      <c r="H205" s="143"/>
      <c r="I205" s="143"/>
      <c r="J205" s="143"/>
      <c r="K205" s="143"/>
    </row>
    <row r="206" ht="20.25" spans="1:11">
      <c r="A206" s="143"/>
      <c r="B206" s="143"/>
      <c r="C206" s="143"/>
      <c r="D206" s="143"/>
      <c r="E206" s="143"/>
      <c r="F206" s="143"/>
      <c r="G206" s="143"/>
      <c r="H206" s="143"/>
      <c r="I206" s="143"/>
      <c r="J206" s="143"/>
      <c r="K206" s="143"/>
    </row>
    <row r="207" ht="20.25" spans="1:11">
      <c r="A207" s="143"/>
      <c r="B207" s="143"/>
      <c r="C207" s="143"/>
      <c r="D207" s="143"/>
      <c r="E207" s="143"/>
      <c r="F207" s="143"/>
      <c r="G207" s="143"/>
      <c r="H207" s="143"/>
      <c r="I207" s="143"/>
      <c r="J207" s="143"/>
      <c r="K207" s="143"/>
    </row>
    <row r="208" ht="20.25" spans="1:11">
      <c r="A208" s="143"/>
      <c r="B208" s="143"/>
      <c r="C208" s="143"/>
      <c r="D208" s="143"/>
      <c r="E208" s="143"/>
      <c r="F208" s="143"/>
      <c r="G208" s="143"/>
      <c r="H208" s="143"/>
      <c r="I208" s="143"/>
      <c r="J208" s="143"/>
      <c r="K208" s="143"/>
    </row>
    <row r="209" ht="20.25" spans="1:11">
      <c r="A209" s="143"/>
      <c r="B209" s="143"/>
      <c r="C209" s="143"/>
      <c r="D209" s="143"/>
      <c r="E209" s="143"/>
      <c r="F209" s="143"/>
      <c r="G209" s="143"/>
      <c r="H209" s="143"/>
      <c r="I209" s="143"/>
      <c r="J209" s="143"/>
      <c r="K209" s="143"/>
    </row>
    <row r="210" ht="20.25" spans="1:11">
      <c r="A210" s="143"/>
      <c r="B210" s="143"/>
      <c r="C210" s="143"/>
      <c r="D210" s="143"/>
      <c r="E210" s="143"/>
      <c r="F210" s="143"/>
      <c r="G210" s="143"/>
      <c r="H210" s="143"/>
      <c r="I210" s="143"/>
      <c r="J210" s="143"/>
      <c r="K210" s="143"/>
    </row>
    <row r="211" ht="20.25" spans="1:11">
      <c r="A211" s="143"/>
      <c r="B211" s="143"/>
      <c r="C211" s="143"/>
      <c r="D211" s="143"/>
      <c r="E211" s="143"/>
      <c r="F211" s="143"/>
      <c r="G211" s="143"/>
      <c r="H211" s="143"/>
      <c r="I211" s="143"/>
      <c r="J211" s="143"/>
      <c r="K211" s="143"/>
    </row>
    <row r="212" ht="20.25" spans="1:11">
      <c r="A212" s="143"/>
      <c r="B212" s="143"/>
      <c r="C212" s="143"/>
      <c r="D212" s="143"/>
      <c r="E212" s="143"/>
      <c r="F212" s="143"/>
      <c r="G212" s="143"/>
      <c r="H212" s="143"/>
      <c r="I212" s="143"/>
      <c r="J212" s="143"/>
      <c r="K212" s="143"/>
    </row>
    <row r="213" ht="20.25" spans="1:11">
      <c r="A213" s="143"/>
      <c r="B213" s="143"/>
      <c r="C213" s="143"/>
      <c r="D213" s="143"/>
      <c r="E213" s="143"/>
      <c r="F213" s="143"/>
      <c r="G213" s="143"/>
      <c r="H213" s="143"/>
      <c r="I213" s="143"/>
      <c r="J213" s="143"/>
      <c r="K213" s="143"/>
    </row>
    <row r="214" ht="20.25" spans="1:11">
      <c r="A214" s="143"/>
      <c r="B214" s="143"/>
      <c r="C214" s="143"/>
      <c r="D214" s="143"/>
      <c r="E214" s="143"/>
      <c r="F214" s="143"/>
      <c r="G214" s="143"/>
      <c r="H214" s="143"/>
      <c r="I214" s="143"/>
      <c r="J214" s="143"/>
      <c r="K214" s="143"/>
    </row>
    <row r="215" ht="20.25" spans="1:11">
      <c r="A215" s="143"/>
      <c r="B215" s="143"/>
      <c r="C215" s="143"/>
      <c r="D215" s="143"/>
      <c r="E215" s="143"/>
      <c r="F215" s="143"/>
      <c r="G215" s="143"/>
      <c r="H215" s="143"/>
      <c r="I215" s="143"/>
      <c r="J215" s="143"/>
      <c r="K215" s="143"/>
    </row>
    <row r="216" ht="20.25" spans="1:11">
      <c r="A216" s="143"/>
      <c r="B216" s="143"/>
      <c r="C216" s="143"/>
      <c r="D216" s="143"/>
      <c r="E216" s="143"/>
      <c r="F216" s="143"/>
      <c r="G216" s="143"/>
      <c r="H216" s="143"/>
      <c r="I216" s="143"/>
      <c r="J216" s="143"/>
      <c r="K216" s="143"/>
    </row>
    <row r="217" ht="20.25" spans="1:11">
      <c r="A217" s="143"/>
      <c r="B217" s="143"/>
      <c r="C217" s="143"/>
      <c r="D217" s="143"/>
      <c r="E217" s="143"/>
      <c r="F217" s="143"/>
      <c r="G217" s="143"/>
      <c r="H217" s="143"/>
      <c r="I217" s="143"/>
      <c r="J217" s="143"/>
      <c r="K217" s="143"/>
    </row>
    <row r="218" ht="20.25" spans="1:11">
      <c r="A218" s="143"/>
      <c r="B218" s="143"/>
      <c r="C218" s="143"/>
      <c r="D218" s="143"/>
      <c r="E218" s="143"/>
      <c r="F218" s="143"/>
      <c r="G218" s="143"/>
      <c r="H218" s="143"/>
      <c r="I218" s="143"/>
      <c r="J218" s="143"/>
      <c r="K218" s="143"/>
    </row>
    <row r="219" ht="20.25" spans="1:11">
      <c r="A219" s="143"/>
      <c r="B219" s="143"/>
      <c r="C219" s="143"/>
      <c r="D219" s="143"/>
      <c r="E219" s="143"/>
      <c r="F219" s="143"/>
      <c r="G219" s="143"/>
      <c r="H219" s="143"/>
      <c r="I219" s="143"/>
      <c r="J219" s="143"/>
      <c r="K219" s="143"/>
    </row>
    <row r="220" ht="20.25" spans="1:11">
      <c r="A220" s="143"/>
      <c r="B220" s="143"/>
      <c r="C220" s="143"/>
      <c r="D220" s="143"/>
      <c r="E220" s="143"/>
      <c r="F220" s="143"/>
      <c r="G220" s="143"/>
      <c r="H220" s="143"/>
      <c r="I220" s="143"/>
      <c r="J220" s="143"/>
      <c r="K220" s="143"/>
    </row>
    <row r="221" ht="20.25" spans="1:11">
      <c r="A221" s="143"/>
      <c r="B221" s="143"/>
      <c r="C221" s="143"/>
      <c r="D221" s="143"/>
      <c r="E221" s="143"/>
      <c r="F221" s="143"/>
      <c r="G221" s="143"/>
      <c r="H221" s="143"/>
      <c r="I221" s="143"/>
      <c r="J221" s="143"/>
      <c r="K221" s="143"/>
    </row>
    <row r="222" ht="20.25" spans="1:11">
      <c r="A222" s="143"/>
      <c r="B222" s="143"/>
      <c r="C222" s="143"/>
      <c r="D222" s="143"/>
      <c r="E222" s="143"/>
      <c r="F222" s="143"/>
      <c r="G222" s="143"/>
      <c r="H222" s="143"/>
      <c r="I222" s="143"/>
      <c r="J222" s="143"/>
      <c r="K222" s="143"/>
    </row>
    <row r="223" ht="20.25" spans="1:11">
      <c r="A223" s="143"/>
      <c r="B223" s="143"/>
      <c r="C223" s="143"/>
      <c r="D223" s="143"/>
      <c r="E223" s="143"/>
      <c r="F223" s="143"/>
      <c r="G223" s="143"/>
      <c r="H223" s="143"/>
      <c r="I223" s="143"/>
      <c r="J223" s="143"/>
      <c r="K223" s="143"/>
    </row>
    <row r="224" ht="20.25" spans="1:11">
      <c r="A224" s="143"/>
      <c r="B224" s="143"/>
      <c r="C224" s="143"/>
      <c r="D224" s="143"/>
      <c r="E224" s="143"/>
      <c r="F224" s="143"/>
      <c r="G224" s="143"/>
      <c r="H224" s="143"/>
      <c r="I224" s="143"/>
      <c r="J224" s="143"/>
      <c r="K224" s="143"/>
    </row>
    <row r="225" ht="20.25" spans="1:11">
      <c r="A225" s="143"/>
      <c r="B225" s="143"/>
      <c r="C225" s="143"/>
      <c r="D225" s="143"/>
      <c r="E225" s="143"/>
      <c r="F225" s="143"/>
      <c r="G225" s="143"/>
      <c r="H225" s="143"/>
      <c r="I225" s="143"/>
      <c r="J225" s="143"/>
      <c r="K225" s="143"/>
    </row>
    <row r="226" ht="20.25" spans="1:11">
      <c r="A226" s="143"/>
      <c r="B226" s="143"/>
      <c r="C226" s="143"/>
      <c r="D226" s="143"/>
      <c r="E226" s="143"/>
      <c r="F226" s="143"/>
      <c r="G226" s="143"/>
      <c r="H226" s="143"/>
      <c r="I226" s="143"/>
      <c r="J226" s="143"/>
      <c r="K226" s="143"/>
    </row>
    <row r="227" ht="20.25" spans="1:11">
      <c r="A227" s="143"/>
      <c r="B227" s="143"/>
      <c r="C227" s="143"/>
      <c r="D227" s="143"/>
      <c r="E227" s="143"/>
      <c r="F227" s="143"/>
      <c r="G227" s="143"/>
      <c r="H227" s="143"/>
      <c r="I227" s="143"/>
      <c r="J227" s="143"/>
      <c r="K227" s="143"/>
    </row>
    <row r="228" ht="20.25" spans="1:11">
      <c r="A228" s="143"/>
      <c r="B228" s="143"/>
      <c r="C228" s="143"/>
      <c r="D228" s="143"/>
      <c r="E228" s="143"/>
      <c r="F228" s="143"/>
      <c r="G228" s="143"/>
      <c r="H228" s="143"/>
      <c r="I228" s="143"/>
      <c r="J228" s="143"/>
      <c r="K228" s="143"/>
    </row>
    <row r="229" ht="20.25" spans="1:11">
      <c r="A229" s="143"/>
      <c r="B229" s="143"/>
      <c r="C229" s="143"/>
      <c r="D229" s="143"/>
      <c r="E229" s="143"/>
      <c r="F229" s="143"/>
      <c r="G229" s="143"/>
      <c r="H229" s="143"/>
      <c r="I229" s="143"/>
      <c r="J229" s="143"/>
      <c r="K229" s="143"/>
    </row>
    <row r="230" ht="20.25" spans="1:11">
      <c r="A230" s="143"/>
      <c r="B230" s="143"/>
      <c r="C230" s="143"/>
      <c r="D230" s="143"/>
      <c r="E230" s="143"/>
      <c r="F230" s="143"/>
      <c r="G230" s="143"/>
      <c r="H230" s="143"/>
      <c r="I230" s="143"/>
      <c r="J230" s="143"/>
      <c r="K230" s="143"/>
    </row>
    <row r="231" ht="20.25" spans="1:11">
      <c r="A231" s="143"/>
      <c r="B231" s="143"/>
      <c r="C231" s="143"/>
      <c r="D231" s="143"/>
      <c r="E231" s="143"/>
      <c r="F231" s="143"/>
      <c r="G231" s="143"/>
      <c r="H231" s="143"/>
      <c r="I231" s="143"/>
      <c r="J231" s="143"/>
      <c r="K231" s="143"/>
    </row>
    <row r="232" ht="20.25" spans="1:11">
      <c r="A232" s="143"/>
      <c r="B232" s="143"/>
      <c r="C232" s="143"/>
      <c r="D232" s="143"/>
      <c r="E232" s="143"/>
      <c r="F232" s="143"/>
      <c r="G232" s="143"/>
      <c r="H232" s="143"/>
      <c r="I232" s="143"/>
      <c r="J232" s="143"/>
      <c r="K232" s="143"/>
    </row>
    <row r="233" ht="20.25" spans="1:11">
      <c r="A233" s="143"/>
      <c r="B233" s="143"/>
      <c r="C233" s="143"/>
      <c r="D233" s="143"/>
      <c r="E233" s="143"/>
      <c r="F233" s="143"/>
      <c r="G233" s="143"/>
      <c r="H233" s="143"/>
      <c r="I233" s="143"/>
      <c r="J233" s="143"/>
      <c r="K233" s="143"/>
    </row>
    <row r="234" ht="20.25" spans="1:11">
      <c r="A234" s="143"/>
      <c r="B234" s="143"/>
      <c r="C234" s="143"/>
      <c r="D234" s="143"/>
      <c r="E234" s="143"/>
      <c r="F234" s="143"/>
      <c r="G234" s="143"/>
      <c r="H234" s="143"/>
      <c r="I234" s="143"/>
      <c r="J234" s="143"/>
      <c r="K234" s="143"/>
    </row>
    <row r="235" ht="20.25" spans="1:11">
      <c r="A235" s="143"/>
      <c r="B235" s="143"/>
      <c r="C235" s="143"/>
      <c r="D235" s="143"/>
      <c r="E235" s="143"/>
      <c r="F235" s="143"/>
      <c r="G235" s="143"/>
      <c r="H235" s="143"/>
      <c r="I235" s="143"/>
      <c r="J235" s="143"/>
      <c r="K235" s="143"/>
    </row>
    <row r="236" ht="20.25" spans="1:11">
      <c r="A236" s="143"/>
      <c r="B236" s="143"/>
      <c r="C236" s="143"/>
      <c r="D236" s="143"/>
      <c r="E236" s="143"/>
      <c r="F236" s="143"/>
      <c r="G236" s="143"/>
      <c r="H236" s="143"/>
      <c r="I236" s="143"/>
      <c r="J236" s="143"/>
      <c r="K236" s="143"/>
    </row>
    <row r="237" ht="20.25" spans="1:11">
      <c r="A237" s="143"/>
      <c r="B237" s="143"/>
      <c r="C237" s="143"/>
      <c r="D237" s="143"/>
      <c r="E237" s="143"/>
      <c r="F237" s="143"/>
      <c r="G237" s="143"/>
      <c r="H237" s="143"/>
      <c r="I237" s="143"/>
      <c r="J237" s="143"/>
      <c r="K237" s="143"/>
    </row>
    <row r="238" ht="20.25" spans="1:11">
      <c r="A238" s="143"/>
      <c r="B238" s="143"/>
      <c r="C238" s="143"/>
      <c r="D238" s="143"/>
      <c r="E238" s="143"/>
      <c r="F238" s="143"/>
      <c r="G238" s="143"/>
      <c r="H238" s="143"/>
      <c r="I238" s="143"/>
      <c r="J238" s="143"/>
      <c r="K238" s="143"/>
    </row>
    <row r="239" ht="20.25" spans="1:11">
      <c r="A239" s="143"/>
      <c r="B239" s="143"/>
      <c r="C239" s="143"/>
      <c r="D239" s="143"/>
      <c r="E239" s="143"/>
      <c r="F239" s="143"/>
      <c r="G239" s="143"/>
      <c r="H239" s="143"/>
      <c r="I239" s="143"/>
      <c r="J239" s="143"/>
      <c r="K239" s="143"/>
    </row>
    <row r="240" ht="20.25" spans="1:11">
      <c r="A240" s="143"/>
      <c r="B240" s="143"/>
      <c r="C240" s="143"/>
      <c r="D240" s="143"/>
      <c r="E240" s="143"/>
      <c r="F240" s="143"/>
      <c r="G240" s="143"/>
      <c r="H240" s="143"/>
      <c r="I240" s="143"/>
      <c r="J240" s="143"/>
      <c r="K240" s="143"/>
    </row>
    <row r="241" ht="20.25" spans="1:11">
      <c r="A241" s="143"/>
      <c r="B241" s="143"/>
      <c r="C241" s="143"/>
      <c r="D241" s="143"/>
      <c r="E241" s="143"/>
      <c r="F241" s="143"/>
      <c r="G241" s="143"/>
      <c r="H241" s="143"/>
      <c r="I241" s="143"/>
      <c r="J241" s="143"/>
      <c r="K241" s="143"/>
    </row>
    <row r="242" ht="20.25" spans="1:11">
      <c r="A242" s="143"/>
      <c r="B242" s="143"/>
      <c r="C242" s="143"/>
      <c r="D242" s="143"/>
      <c r="E242" s="143"/>
      <c r="F242" s="143"/>
      <c r="G242" s="143"/>
      <c r="H242" s="143"/>
      <c r="I242" s="143"/>
      <c r="J242" s="143"/>
      <c r="K242" s="143"/>
    </row>
    <row r="243" ht="20.25" spans="1:11">
      <c r="A243" s="143"/>
      <c r="B243" s="143"/>
      <c r="C243" s="143"/>
      <c r="D243" s="143"/>
      <c r="E243" s="143"/>
      <c r="F243" s="143"/>
      <c r="G243" s="143"/>
      <c r="H243" s="143"/>
      <c r="I243" s="143"/>
      <c r="J243" s="143"/>
      <c r="K243" s="143"/>
    </row>
    <row r="244" ht="20.25" spans="1:11">
      <c r="A244" s="143"/>
      <c r="B244" s="143"/>
      <c r="C244" s="143"/>
      <c r="D244" s="143"/>
      <c r="E244" s="143"/>
      <c r="F244" s="143"/>
      <c r="G244" s="143"/>
      <c r="H244" s="143"/>
      <c r="I244" s="143"/>
      <c r="J244" s="143"/>
      <c r="K244" s="143"/>
    </row>
    <row r="245" ht="20.25" spans="1:11">
      <c r="A245" s="143"/>
      <c r="B245" s="143"/>
      <c r="C245" s="143"/>
      <c r="D245" s="143"/>
      <c r="E245" s="143"/>
      <c r="F245" s="143"/>
      <c r="G245" s="143"/>
      <c r="H245" s="143"/>
      <c r="I245" s="143"/>
      <c r="J245" s="143"/>
      <c r="K245" s="143"/>
    </row>
    <row r="246" ht="20.25" spans="1:11">
      <c r="A246" s="143"/>
      <c r="B246" s="143"/>
      <c r="C246" s="143"/>
      <c r="D246" s="143"/>
      <c r="E246" s="143"/>
      <c r="F246" s="143"/>
      <c r="G246" s="143"/>
      <c r="H246" s="143"/>
      <c r="I246" s="143"/>
      <c r="J246" s="143"/>
      <c r="K246" s="143"/>
    </row>
    <row r="247" ht="20.25" spans="1:11">
      <c r="A247" s="143"/>
      <c r="B247" s="143"/>
      <c r="C247" s="143"/>
      <c r="D247" s="143"/>
      <c r="E247" s="143"/>
      <c r="F247" s="143"/>
      <c r="G247" s="143"/>
      <c r="H247" s="143"/>
      <c r="I247" s="143"/>
      <c r="J247" s="143"/>
      <c r="K247" s="143"/>
    </row>
    <row r="248" ht="20.25" spans="1:11">
      <c r="A248" s="143"/>
      <c r="B248" s="143"/>
      <c r="C248" s="143"/>
      <c r="D248" s="143"/>
      <c r="E248" s="143"/>
      <c r="F248" s="143"/>
      <c r="G248" s="143"/>
      <c r="H248" s="143"/>
      <c r="I248" s="143"/>
      <c r="J248" s="143"/>
      <c r="K248" s="143"/>
    </row>
    <row r="249" ht="20.25" spans="1:11">
      <c r="A249" s="143"/>
      <c r="B249" s="143"/>
      <c r="C249" s="143"/>
      <c r="D249" s="143"/>
      <c r="E249" s="143"/>
      <c r="F249" s="143"/>
      <c r="G249" s="143"/>
      <c r="H249" s="143"/>
      <c r="I249" s="143"/>
      <c r="J249" s="143"/>
      <c r="K249" s="143"/>
    </row>
    <row r="250" ht="20.25" spans="1:11">
      <c r="A250" s="143"/>
      <c r="B250" s="143"/>
      <c r="C250" s="143"/>
      <c r="D250" s="143"/>
      <c r="E250" s="143"/>
      <c r="F250" s="143"/>
      <c r="G250" s="143"/>
      <c r="H250" s="143"/>
      <c r="I250" s="143"/>
      <c r="J250" s="143"/>
      <c r="K250" s="143"/>
    </row>
    <row r="251" ht="20.25" spans="1:11">
      <c r="A251" s="143"/>
      <c r="B251" s="143"/>
      <c r="C251" s="143"/>
      <c r="D251" s="143"/>
      <c r="E251" s="143"/>
      <c r="F251" s="143"/>
      <c r="G251" s="143"/>
      <c r="H251" s="143"/>
      <c r="I251" s="143"/>
      <c r="J251" s="143"/>
      <c r="K251" s="143"/>
    </row>
    <row r="252" ht="20.25" spans="1:11">
      <c r="A252" s="143"/>
      <c r="B252" s="143"/>
      <c r="C252" s="143"/>
      <c r="D252" s="143"/>
      <c r="E252" s="143"/>
      <c r="F252" s="143"/>
      <c r="G252" s="143"/>
      <c r="H252" s="143"/>
      <c r="I252" s="143"/>
      <c r="J252" s="143"/>
      <c r="K252" s="143"/>
    </row>
    <row r="253" ht="20.25" spans="1:11">
      <c r="A253" s="143"/>
      <c r="B253" s="143"/>
      <c r="C253" s="143"/>
      <c r="D253" s="143"/>
      <c r="E253" s="143"/>
      <c r="F253" s="143"/>
      <c r="G253" s="143"/>
      <c r="H253" s="143"/>
      <c r="I253" s="143"/>
      <c r="J253" s="143"/>
      <c r="K253" s="143"/>
    </row>
    <row r="254" ht="20.25" spans="1:11">
      <c r="A254" s="143"/>
      <c r="B254" s="143"/>
      <c r="C254" s="143"/>
      <c r="D254" s="143"/>
      <c r="E254" s="143"/>
      <c r="F254" s="143"/>
      <c r="G254" s="143"/>
      <c r="H254" s="143"/>
      <c r="I254" s="143"/>
      <c r="J254" s="143"/>
      <c r="K254" s="143"/>
    </row>
    <row r="255" ht="20.25" spans="1:11">
      <c r="A255" s="143"/>
      <c r="B255" s="143"/>
      <c r="C255" s="143"/>
      <c r="D255" s="143"/>
      <c r="E255" s="143"/>
      <c r="F255" s="143"/>
      <c r="G255" s="143"/>
      <c r="H255" s="143"/>
      <c r="I255" s="143"/>
      <c r="J255" s="143"/>
      <c r="K255" s="143"/>
    </row>
    <row r="256" ht="20.25" spans="1:11">
      <c r="A256" s="143"/>
      <c r="B256" s="143"/>
      <c r="C256" s="143"/>
      <c r="D256" s="143"/>
      <c r="E256" s="143"/>
      <c r="F256" s="143"/>
      <c r="G256" s="143"/>
      <c r="H256" s="143"/>
      <c r="I256" s="143"/>
      <c r="J256" s="143"/>
      <c r="K256" s="143"/>
    </row>
    <row r="257" ht="20.25" spans="1:11">
      <c r="A257" s="143"/>
      <c r="B257" s="143"/>
      <c r="C257" s="143"/>
      <c r="D257" s="143"/>
      <c r="E257" s="143"/>
      <c r="F257" s="143"/>
      <c r="G257" s="143"/>
      <c r="H257" s="143"/>
      <c r="I257" s="143"/>
      <c r="J257" s="143"/>
      <c r="K257" s="143"/>
    </row>
    <row r="258" ht="20.25" spans="1:11">
      <c r="A258" s="143"/>
      <c r="B258" s="143"/>
      <c r="C258" s="143"/>
      <c r="D258" s="143"/>
      <c r="E258" s="143"/>
      <c r="F258" s="143"/>
      <c r="G258" s="143"/>
      <c r="H258" s="143"/>
      <c r="I258" s="143"/>
      <c r="J258" s="143"/>
      <c r="K258" s="143"/>
    </row>
    <row r="259" ht="20.25" spans="1:11">
      <c r="A259" s="143"/>
      <c r="B259" s="143"/>
      <c r="C259" s="143"/>
      <c r="D259" s="143"/>
      <c r="E259" s="143"/>
      <c r="F259" s="143"/>
      <c r="G259" s="143"/>
      <c r="H259" s="143"/>
      <c r="I259" s="143"/>
      <c r="J259" s="143"/>
      <c r="K259" s="143"/>
    </row>
    <row r="260" ht="20.25" spans="1:11">
      <c r="A260" s="143"/>
      <c r="B260" s="143"/>
      <c r="C260" s="143"/>
      <c r="D260" s="143"/>
      <c r="E260" s="143"/>
      <c r="F260" s="143"/>
      <c r="G260" s="143"/>
      <c r="H260" s="143"/>
      <c r="I260" s="143"/>
      <c r="J260" s="143"/>
      <c r="K260" s="143"/>
    </row>
    <row r="261" ht="20.25" spans="1:11">
      <c r="A261" s="143"/>
      <c r="B261" s="143"/>
      <c r="C261" s="143"/>
      <c r="D261" s="143"/>
      <c r="E261" s="143"/>
      <c r="F261" s="143"/>
      <c r="G261" s="143"/>
      <c r="H261" s="143"/>
      <c r="I261" s="143"/>
      <c r="J261" s="143"/>
      <c r="K261" s="143"/>
    </row>
    <row r="262" ht="20.25" spans="1:11">
      <c r="A262" s="143"/>
      <c r="B262" s="143"/>
      <c r="C262" s="143"/>
      <c r="D262" s="143"/>
      <c r="E262" s="143"/>
      <c r="F262" s="143"/>
      <c r="G262" s="143"/>
      <c r="H262" s="143"/>
      <c r="I262" s="143"/>
      <c r="J262" s="143"/>
      <c r="K262" s="143"/>
    </row>
    <row r="263" ht="20.25" spans="1:11">
      <c r="A263" s="143"/>
      <c r="B263" s="143"/>
      <c r="C263" s="143"/>
      <c r="D263" s="143"/>
      <c r="E263" s="143"/>
      <c r="F263" s="143"/>
      <c r="G263" s="143"/>
      <c r="H263" s="143"/>
      <c r="I263" s="143"/>
      <c r="J263" s="143"/>
      <c r="K263" s="143"/>
    </row>
    <row r="264" ht="20.25" spans="1:11">
      <c r="A264" s="143"/>
      <c r="B264" s="143"/>
      <c r="C264" s="143"/>
      <c r="D264" s="143"/>
      <c r="E264" s="143"/>
      <c r="F264" s="143"/>
      <c r="G264" s="143"/>
      <c r="H264" s="143"/>
      <c r="I264" s="143"/>
      <c r="J264" s="143"/>
      <c r="K264" s="143"/>
    </row>
    <row r="265" ht="20.25" spans="1:11">
      <c r="A265" s="143"/>
      <c r="B265" s="143"/>
      <c r="C265" s="143"/>
      <c r="D265" s="143"/>
      <c r="E265" s="143"/>
      <c r="F265" s="143"/>
      <c r="G265" s="143"/>
      <c r="H265" s="143"/>
      <c r="I265" s="143"/>
      <c r="J265" s="143"/>
      <c r="K265" s="143"/>
    </row>
    <row r="266" ht="20.25" spans="1:11">
      <c r="A266" s="143"/>
      <c r="B266" s="143"/>
      <c r="C266" s="143"/>
      <c r="D266" s="143"/>
      <c r="E266" s="143"/>
      <c r="F266" s="143"/>
      <c r="G266" s="143"/>
      <c r="H266" s="143"/>
      <c r="I266" s="143"/>
      <c r="J266" s="143"/>
      <c r="K266" s="143"/>
    </row>
    <row r="267" ht="20.25" spans="1:11">
      <c r="A267" s="143"/>
      <c r="B267" s="143"/>
      <c r="C267" s="143"/>
      <c r="D267" s="143"/>
      <c r="E267" s="143"/>
      <c r="F267" s="143"/>
      <c r="G267" s="143"/>
      <c r="H267" s="143"/>
      <c r="I267" s="143"/>
      <c r="J267" s="143"/>
      <c r="K267" s="143"/>
    </row>
    <row r="268" ht="20.25" spans="1:11">
      <c r="A268" s="143"/>
      <c r="B268" s="143"/>
      <c r="C268" s="143"/>
      <c r="D268" s="143"/>
      <c r="E268" s="143"/>
      <c r="F268" s="143"/>
      <c r="G268" s="143"/>
      <c r="H268" s="143"/>
      <c r="I268" s="143"/>
      <c r="J268" s="143"/>
      <c r="K268" s="143"/>
    </row>
    <row r="269" ht="20.25" spans="1:11">
      <c r="A269" s="143"/>
      <c r="B269" s="143"/>
      <c r="C269" s="143"/>
      <c r="D269" s="143"/>
      <c r="E269" s="143"/>
      <c r="F269" s="143"/>
      <c r="G269" s="143"/>
      <c r="H269" s="143"/>
      <c r="I269" s="143"/>
      <c r="J269" s="143"/>
      <c r="K269" s="143"/>
    </row>
    <row r="270" ht="20.25" spans="1:11">
      <c r="A270" s="143"/>
      <c r="B270" s="143"/>
      <c r="C270" s="143"/>
      <c r="D270" s="143"/>
      <c r="E270" s="143"/>
      <c r="F270" s="143"/>
      <c r="G270" s="143"/>
      <c r="H270" s="143"/>
      <c r="I270" s="143"/>
      <c r="J270" s="143"/>
      <c r="K270" s="143"/>
    </row>
    <row r="271" ht="20.25" spans="1:11">
      <c r="A271" s="143"/>
      <c r="B271" s="143"/>
      <c r="C271" s="143"/>
      <c r="D271" s="143"/>
      <c r="E271" s="143"/>
      <c r="F271" s="143"/>
      <c r="G271" s="143"/>
      <c r="H271" s="143"/>
      <c r="I271" s="143"/>
      <c r="J271" s="143"/>
      <c r="K271" s="143"/>
    </row>
    <row r="272" ht="20.25" spans="1:11">
      <c r="A272" s="143"/>
      <c r="B272" s="143"/>
      <c r="C272" s="143"/>
      <c r="D272" s="143"/>
      <c r="E272" s="143"/>
      <c r="F272" s="143"/>
      <c r="G272" s="143"/>
      <c r="H272" s="143"/>
      <c r="I272" s="143"/>
      <c r="J272" s="143"/>
      <c r="K272" s="143"/>
    </row>
    <row r="273" ht="20.25" spans="1:11">
      <c r="A273" s="143"/>
      <c r="B273" s="143"/>
      <c r="C273" s="143"/>
      <c r="D273" s="143"/>
      <c r="E273" s="143"/>
      <c r="F273" s="143"/>
      <c r="G273" s="143"/>
      <c r="H273" s="143"/>
      <c r="I273" s="143"/>
      <c r="J273" s="143"/>
      <c r="K273" s="143"/>
    </row>
    <row r="274" ht="20.25" spans="1:11">
      <c r="A274" s="143"/>
      <c r="B274" s="143"/>
      <c r="C274" s="143"/>
      <c r="D274" s="143"/>
      <c r="E274" s="143"/>
      <c r="F274" s="143"/>
      <c r="G274" s="143"/>
      <c r="H274" s="143"/>
      <c r="I274" s="143"/>
      <c r="J274" s="143"/>
      <c r="K274" s="143"/>
    </row>
    <row r="275" ht="20.25" spans="1:11">
      <c r="A275" s="143"/>
      <c r="B275" s="143"/>
      <c r="C275" s="143"/>
      <c r="D275" s="143"/>
      <c r="E275" s="143"/>
      <c r="F275" s="143"/>
      <c r="G275" s="143"/>
      <c r="H275" s="143"/>
      <c r="I275" s="143"/>
      <c r="J275" s="143"/>
      <c r="K275" s="143"/>
    </row>
    <row r="276" ht="20.25" spans="1:11">
      <c r="A276" s="143"/>
      <c r="B276" s="143"/>
      <c r="C276" s="143"/>
      <c r="D276" s="143"/>
      <c r="E276" s="143"/>
      <c r="F276" s="143"/>
      <c r="G276" s="143"/>
      <c r="H276" s="143"/>
      <c r="I276" s="143"/>
      <c r="J276" s="143"/>
      <c r="K276" s="143"/>
    </row>
    <row r="277" ht="20.25" spans="1:11">
      <c r="A277" s="143"/>
      <c r="B277" s="143"/>
      <c r="C277" s="143"/>
      <c r="D277" s="143"/>
      <c r="E277" s="143"/>
      <c r="F277" s="143"/>
      <c r="G277" s="143"/>
      <c r="H277" s="143"/>
      <c r="I277" s="143"/>
      <c r="J277" s="143"/>
      <c r="K277" s="143"/>
    </row>
    <row r="278" ht="20.25" spans="1:11">
      <c r="A278" s="143"/>
      <c r="B278" s="143"/>
      <c r="C278" s="143"/>
      <c r="D278" s="143"/>
      <c r="E278" s="143"/>
      <c r="F278" s="143"/>
      <c r="G278" s="143"/>
      <c r="H278" s="143"/>
      <c r="I278" s="143"/>
      <c r="J278" s="143"/>
      <c r="K278" s="143"/>
    </row>
    <row r="279" ht="20.25" spans="1:11">
      <c r="A279" s="143"/>
      <c r="B279" s="143"/>
      <c r="C279" s="143"/>
      <c r="D279" s="143"/>
      <c r="E279" s="143"/>
      <c r="F279" s="143"/>
      <c r="G279" s="143"/>
      <c r="H279" s="143"/>
      <c r="I279" s="143"/>
      <c r="J279" s="143"/>
      <c r="K279" s="143"/>
    </row>
    <row r="280" ht="20.25" spans="1:11">
      <c r="A280" s="143"/>
      <c r="B280" s="143"/>
      <c r="C280" s="143"/>
      <c r="D280" s="143"/>
      <c r="E280" s="143"/>
      <c r="F280" s="143"/>
      <c r="G280" s="143"/>
      <c r="H280" s="143"/>
      <c r="I280" s="143"/>
      <c r="J280" s="143"/>
      <c r="K280" s="143"/>
    </row>
    <row r="281" ht="20.25" spans="1:11">
      <c r="A281" s="143"/>
      <c r="B281" s="143"/>
      <c r="C281" s="143"/>
      <c r="D281" s="143"/>
      <c r="E281" s="143"/>
      <c r="F281" s="143"/>
      <c r="G281" s="143"/>
      <c r="H281" s="143"/>
      <c r="I281" s="143"/>
      <c r="J281" s="143"/>
      <c r="K281" s="143"/>
    </row>
    <row r="282" ht="20.25" spans="1:11">
      <c r="A282" s="143"/>
      <c r="B282" s="143"/>
      <c r="C282" s="143"/>
      <c r="D282" s="143"/>
      <c r="E282" s="143"/>
      <c r="F282" s="143"/>
      <c r="G282" s="143"/>
      <c r="H282" s="143"/>
      <c r="I282" s="143"/>
      <c r="J282" s="143"/>
      <c r="K282" s="143"/>
    </row>
    <row r="283" ht="20.25" spans="1:11">
      <c r="A283" s="143"/>
      <c r="B283" s="143"/>
      <c r="C283" s="143"/>
      <c r="D283" s="143"/>
      <c r="E283" s="143"/>
      <c r="F283" s="143"/>
      <c r="G283" s="143"/>
      <c r="H283" s="143"/>
      <c r="I283" s="143"/>
      <c r="J283" s="143"/>
      <c r="K283" s="143"/>
    </row>
    <row r="284" ht="20.25" spans="1:11">
      <c r="A284" s="143"/>
      <c r="B284" s="143"/>
      <c r="C284" s="143"/>
      <c r="D284" s="143"/>
      <c r="E284" s="143"/>
      <c r="F284" s="143"/>
      <c r="G284" s="143"/>
      <c r="H284" s="143"/>
      <c r="I284" s="143"/>
      <c r="J284" s="143"/>
      <c r="K284" s="143"/>
    </row>
    <row r="285" ht="20.25" spans="1:11">
      <c r="A285" s="143"/>
      <c r="B285" s="143"/>
      <c r="C285" s="143"/>
      <c r="D285" s="143"/>
      <c r="E285" s="143"/>
      <c r="F285" s="143"/>
      <c r="G285" s="143"/>
      <c r="H285" s="143"/>
      <c r="I285" s="143"/>
      <c r="J285" s="143"/>
      <c r="K285" s="143"/>
    </row>
    <row r="286" ht="20.25" spans="1:11">
      <c r="A286" s="143"/>
      <c r="B286" s="143"/>
      <c r="C286" s="143"/>
      <c r="D286" s="143"/>
      <c r="E286" s="143"/>
      <c r="F286" s="143"/>
      <c r="G286" s="143"/>
      <c r="H286" s="143"/>
      <c r="I286" s="143"/>
      <c r="J286" s="143"/>
      <c r="K286" s="143"/>
    </row>
    <row r="287" ht="20.25" spans="1:11">
      <c r="A287" s="143"/>
      <c r="B287" s="143"/>
      <c r="C287" s="143"/>
      <c r="D287" s="143"/>
      <c r="E287" s="143"/>
      <c r="F287" s="143"/>
      <c r="G287" s="143"/>
      <c r="H287" s="143"/>
      <c r="I287" s="143"/>
      <c r="J287" s="143"/>
      <c r="K287" s="143"/>
    </row>
    <row r="288" ht="20.25" spans="1:11">
      <c r="A288" s="143"/>
      <c r="B288" s="143"/>
      <c r="C288" s="143"/>
      <c r="D288" s="143"/>
      <c r="E288" s="143"/>
      <c r="F288" s="143"/>
      <c r="G288" s="143"/>
      <c r="H288" s="143"/>
      <c r="I288" s="143"/>
      <c r="J288" s="143"/>
      <c r="K288" s="143"/>
    </row>
    <row r="289" ht="20.25" spans="1:11">
      <c r="A289" s="143"/>
      <c r="B289" s="143"/>
      <c r="C289" s="143"/>
      <c r="D289" s="143"/>
      <c r="E289" s="143"/>
      <c r="F289" s="143"/>
      <c r="G289" s="143"/>
      <c r="H289" s="143"/>
      <c r="I289" s="143"/>
      <c r="J289" s="143"/>
      <c r="K289" s="143"/>
    </row>
    <row r="290" ht="20.25" spans="1:11">
      <c r="A290" s="143"/>
      <c r="B290" s="143"/>
      <c r="C290" s="143"/>
      <c r="D290" s="143"/>
      <c r="E290" s="143"/>
      <c r="F290" s="143"/>
      <c r="G290" s="143"/>
      <c r="H290" s="143"/>
      <c r="I290" s="143"/>
      <c r="J290" s="143"/>
      <c r="K290" s="143"/>
    </row>
    <row r="291" ht="20.25" spans="1:11">
      <c r="A291" s="143"/>
      <c r="B291" s="143"/>
      <c r="C291" s="143"/>
      <c r="D291" s="143"/>
      <c r="E291" s="143"/>
      <c r="F291" s="143"/>
      <c r="G291" s="143"/>
      <c r="H291" s="143"/>
      <c r="I291" s="143"/>
      <c r="J291" s="143"/>
      <c r="K291" s="143"/>
    </row>
    <row r="292" ht="20.25" spans="1:11">
      <c r="A292" s="143"/>
      <c r="B292" s="143"/>
      <c r="C292" s="143"/>
      <c r="D292" s="143"/>
      <c r="E292" s="143"/>
      <c r="F292" s="143"/>
      <c r="G292" s="143"/>
      <c r="H292" s="143"/>
      <c r="I292" s="143"/>
      <c r="J292" s="143"/>
      <c r="K292" s="143"/>
    </row>
    <row r="293" ht="20.25" spans="1:11">
      <c r="A293" s="143"/>
      <c r="B293" s="143"/>
      <c r="C293" s="143"/>
      <c r="D293" s="143"/>
      <c r="E293" s="143"/>
      <c r="F293" s="143"/>
      <c r="G293" s="143"/>
      <c r="H293" s="143"/>
      <c r="I293" s="143"/>
      <c r="J293" s="143"/>
      <c r="K293" s="143"/>
    </row>
    <row r="294" ht="20.25" spans="1:11">
      <c r="A294" s="143"/>
      <c r="B294" s="143"/>
      <c r="C294" s="143"/>
      <c r="D294" s="143"/>
      <c r="E294" s="143"/>
      <c r="F294" s="143"/>
      <c r="G294" s="143"/>
      <c r="H294" s="143"/>
      <c r="I294" s="143"/>
      <c r="J294" s="143"/>
      <c r="K294" s="143"/>
    </row>
    <row r="295" ht="20.25" spans="1:11">
      <c r="A295" s="143"/>
      <c r="B295" s="143"/>
      <c r="C295" s="143"/>
      <c r="D295" s="143"/>
      <c r="E295" s="143"/>
      <c r="F295" s="143"/>
      <c r="G295" s="143"/>
      <c r="H295" s="143"/>
      <c r="I295" s="143"/>
      <c r="J295" s="143"/>
      <c r="K295" s="143"/>
    </row>
    <row r="296" ht="20.25" spans="1:11">
      <c r="A296" s="143"/>
      <c r="B296" s="143"/>
      <c r="C296" s="143"/>
      <c r="D296" s="143"/>
      <c r="E296" s="143"/>
      <c r="F296" s="143"/>
      <c r="G296" s="143"/>
      <c r="H296" s="143"/>
      <c r="I296" s="143"/>
      <c r="J296" s="143"/>
      <c r="K296" s="143"/>
    </row>
    <row r="297" ht="20.25" spans="1:11">
      <c r="A297" s="143"/>
      <c r="B297" s="143"/>
      <c r="C297" s="143"/>
      <c r="D297" s="143"/>
      <c r="E297" s="143"/>
      <c r="F297" s="143"/>
      <c r="G297" s="143"/>
      <c r="H297" s="143"/>
      <c r="I297" s="143"/>
      <c r="J297" s="143"/>
      <c r="K297" s="143"/>
    </row>
    <row r="298" ht="20.25" spans="1:11">
      <c r="A298" s="143"/>
      <c r="B298" s="143"/>
      <c r="C298" s="143"/>
      <c r="D298" s="143"/>
      <c r="E298" s="143"/>
      <c r="F298" s="143"/>
      <c r="G298" s="143"/>
      <c r="H298" s="143"/>
      <c r="I298" s="143"/>
      <c r="J298" s="143"/>
      <c r="K298" s="143"/>
    </row>
    <row r="299" ht="20.25" spans="1:11">
      <c r="A299" s="143"/>
      <c r="B299" s="143"/>
      <c r="C299" s="143"/>
      <c r="D299" s="143"/>
      <c r="E299" s="143"/>
      <c r="F299" s="143"/>
      <c r="G299" s="143"/>
      <c r="H299" s="143"/>
      <c r="I299" s="143"/>
      <c r="J299" s="143"/>
      <c r="K299" s="143"/>
    </row>
    <row r="300" ht="20.25" spans="1:11">
      <c r="A300" s="143"/>
      <c r="B300" s="143"/>
      <c r="C300" s="143"/>
      <c r="D300" s="143"/>
      <c r="E300" s="143"/>
      <c r="F300" s="143"/>
      <c r="G300" s="143"/>
      <c r="H300" s="143"/>
      <c r="I300" s="143"/>
      <c r="J300" s="143"/>
      <c r="K300" s="143"/>
    </row>
    <row r="301" ht="20.25" spans="1:11">
      <c r="A301" s="143"/>
      <c r="B301" s="143"/>
      <c r="C301" s="143"/>
      <c r="D301" s="143"/>
      <c r="E301" s="143"/>
      <c r="F301" s="143"/>
      <c r="G301" s="143"/>
      <c r="H301" s="143"/>
      <c r="I301" s="143"/>
      <c r="J301" s="143"/>
      <c r="K301" s="143"/>
    </row>
    <row r="302" ht="20.25" spans="1:11">
      <c r="A302" s="143"/>
      <c r="B302" s="143"/>
      <c r="C302" s="143"/>
      <c r="D302" s="143"/>
      <c r="E302" s="143"/>
      <c r="F302" s="143"/>
      <c r="G302" s="143"/>
      <c r="H302" s="143"/>
      <c r="I302" s="143"/>
      <c r="J302" s="143"/>
      <c r="K302" s="143"/>
    </row>
    <row r="303" ht="20.25" spans="1:11">
      <c r="A303" s="143"/>
      <c r="B303" s="143"/>
      <c r="C303" s="143"/>
      <c r="D303" s="143"/>
      <c r="E303" s="143"/>
      <c r="F303" s="143"/>
      <c r="G303" s="143"/>
      <c r="H303" s="143"/>
      <c r="I303" s="143"/>
      <c r="J303" s="143"/>
      <c r="K303" s="143"/>
    </row>
    <row r="304" ht="20.25" spans="1:11">
      <c r="A304" s="143"/>
      <c r="B304" s="143"/>
      <c r="C304" s="143"/>
      <c r="D304" s="143"/>
      <c r="E304" s="143"/>
      <c r="F304" s="143"/>
      <c r="G304" s="143"/>
      <c r="H304" s="143"/>
      <c r="I304" s="143"/>
      <c r="J304" s="143"/>
      <c r="K304" s="143"/>
    </row>
    <row r="305" ht="20.25" spans="1:11">
      <c r="A305" s="143"/>
      <c r="B305" s="143"/>
      <c r="C305" s="143"/>
      <c r="D305" s="143"/>
      <c r="E305" s="143"/>
      <c r="F305" s="143"/>
      <c r="G305" s="143"/>
      <c r="H305" s="143"/>
      <c r="I305" s="143"/>
      <c r="J305" s="143"/>
      <c r="K305" s="143"/>
    </row>
    <row r="306" ht="20.25" spans="1:11">
      <c r="A306" s="143"/>
      <c r="B306" s="143"/>
      <c r="C306" s="143"/>
      <c r="D306" s="143"/>
      <c r="E306" s="143"/>
      <c r="F306" s="143"/>
      <c r="G306" s="143"/>
      <c r="H306" s="143"/>
      <c r="I306" s="143"/>
      <c r="J306" s="143"/>
      <c r="K306" s="143"/>
    </row>
    <row r="307" ht="20.25" spans="1:11">
      <c r="A307" s="143"/>
      <c r="B307" s="143"/>
      <c r="C307" s="143"/>
      <c r="D307" s="143"/>
      <c r="E307" s="143"/>
      <c r="F307" s="143"/>
      <c r="G307" s="143"/>
      <c r="H307" s="143"/>
      <c r="I307" s="143"/>
      <c r="J307" s="143"/>
      <c r="K307" s="143"/>
    </row>
    <row r="308" ht="20.25" spans="1:11">
      <c r="A308" s="143"/>
      <c r="B308" s="143"/>
      <c r="C308" s="143"/>
      <c r="D308" s="143"/>
      <c r="E308" s="143"/>
      <c r="F308" s="143"/>
      <c r="G308" s="143"/>
      <c r="H308" s="143"/>
      <c r="I308" s="143"/>
      <c r="J308" s="143"/>
      <c r="K308" s="143"/>
    </row>
    <row r="309" ht="20.25" spans="1:11">
      <c r="A309" s="143"/>
      <c r="B309" s="143"/>
      <c r="C309" s="143"/>
      <c r="D309" s="143"/>
      <c r="E309" s="143"/>
      <c r="F309" s="143"/>
      <c r="G309" s="143"/>
      <c r="H309" s="143"/>
      <c r="I309" s="143"/>
      <c r="J309" s="143"/>
      <c r="K309" s="143"/>
    </row>
    <row r="310" ht="20.25" spans="1:11">
      <c r="A310" s="143"/>
      <c r="B310" s="143"/>
      <c r="C310" s="143"/>
      <c r="D310" s="143"/>
      <c r="E310" s="143"/>
      <c r="F310" s="143"/>
      <c r="G310" s="143"/>
      <c r="H310" s="143"/>
      <c r="I310" s="143"/>
      <c r="J310" s="143"/>
      <c r="K310" s="143"/>
    </row>
    <row r="311" ht="20.25" spans="1:11">
      <c r="A311" s="143"/>
      <c r="B311" s="143"/>
      <c r="C311" s="143"/>
      <c r="D311" s="143"/>
      <c r="E311" s="143"/>
      <c r="F311" s="143"/>
      <c r="G311" s="143"/>
      <c r="H311" s="143"/>
      <c r="I311" s="143"/>
      <c r="J311" s="143"/>
      <c r="K311" s="143"/>
    </row>
    <row r="312" ht="20.25" spans="1:11">
      <c r="A312" s="143"/>
      <c r="B312" s="143"/>
      <c r="C312" s="143"/>
      <c r="D312" s="143"/>
      <c r="E312" s="143"/>
      <c r="F312" s="143"/>
      <c r="G312" s="143"/>
      <c r="H312" s="143"/>
      <c r="I312" s="143"/>
      <c r="J312" s="143"/>
      <c r="K312" s="143"/>
    </row>
    <row r="313" ht="20.25" spans="1:11">
      <c r="A313" s="143"/>
      <c r="B313" s="143"/>
      <c r="C313" s="143"/>
      <c r="D313" s="143"/>
      <c r="E313" s="143"/>
      <c r="F313" s="143"/>
      <c r="G313" s="143"/>
      <c r="H313" s="143"/>
      <c r="I313" s="143"/>
      <c r="J313" s="143"/>
      <c r="K313" s="143"/>
    </row>
    <row r="314" ht="20.25" spans="1:11">
      <c r="A314" s="143"/>
      <c r="B314" s="143"/>
      <c r="C314" s="143"/>
      <c r="D314" s="143"/>
      <c r="E314" s="143"/>
      <c r="F314" s="143"/>
      <c r="G314" s="143"/>
      <c r="H314" s="143"/>
      <c r="I314" s="143"/>
      <c r="J314" s="143"/>
      <c r="K314" s="143"/>
    </row>
    <row r="315" ht="20.25" spans="1:11">
      <c r="A315" s="143"/>
      <c r="B315" s="143"/>
      <c r="C315" s="143"/>
      <c r="D315" s="143"/>
      <c r="E315" s="143"/>
      <c r="F315" s="143"/>
      <c r="G315" s="143"/>
      <c r="H315" s="143"/>
      <c r="I315" s="143"/>
      <c r="J315" s="143"/>
      <c r="K315" s="143"/>
    </row>
    <row r="316" ht="20.25" spans="1:11">
      <c r="A316" s="143"/>
      <c r="B316" s="143"/>
      <c r="C316" s="143"/>
      <c r="D316" s="143"/>
      <c r="E316" s="143"/>
      <c r="F316" s="143"/>
      <c r="G316" s="143"/>
      <c r="H316" s="143"/>
      <c r="I316" s="143"/>
      <c r="J316" s="143"/>
      <c r="K316" s="143"/>
    </row>
    <row r="317" ht="20.25" spans="1:11">
      <c r="A317" s="143"/>
      <c r="B317" s="143"/>
      <c r="C317" s="143"/>
      <c r="D317" s="143"/>
      <c r="E317" s="143"/>
      <c r="F317" s="143"/>
      <c r="G317" s="143"/>
      <c r="H317" s="143"/>
      <c r="I317" s="143"/>
      <c r="J317" s="143"/>
      <c r="K317" s="143"/>
    </row>
    <row r="318" ht="20.25" spans="1:11">
      <c r="A318" s="143"/>
      <c r="B318" s="143"/>
      <c r="C318" s="143"/>
      <c r="D318" s="143"/>
      <c r="E318" s="143"/>
      <c r="F318" s="143"/>
      <c r="G318" s="143"/>
      <c r="H318" s="143"/>
      <c r="I318" s="143"/>
      <c r="J318" s="143"/>
      <c r="K318" s="143"/>
    </row>
    <row r="319" ht="20.25" spans="1:11">
      <c r="A319" s="143"/>
      <c r="B319" s="143"/>
      <c r="C319" s="143"/>
      <c r="D319" s="143"/>
      <c r="E319" s="143"/>
      <c r="F319" s="143"/>
      <c r="G319" s="143"/>
      <c r="H319" s="143"/>
      <c r="I319" s="143"/>
      <c r="J319" s="143"/>
      <c r="K319" s="143"/>
    </row>
    <row r="320" ht="20.25" spans="1:11">
      <c r="A320" s="143"/>
      <c r="B320" s="143"/>
      <c r="C320" s="143"/>
      <c r="D320" s="143"/>
      <c r="E320" s="143"/>
      <c r="F320" s="143"/>
      <c r="G320" s="143"/>
      <c r="H320" s="143"/>
      <c r="I320" s="143"/>
      <c r="J320" s="143"/>
      <c r="K320" s="143"/>
    </row>
    <row r="321" ht="20.25" spans="1:11">
      <c r="A321" s="143"/>
      <c r="B321" s="143"/>
      <c r="C321" s="143"/>
      <c r="D321" s="143"/>
      <c r="E321" s="143"/>
      <c r="F321" s="143"/>
      <c r="G321" s="143"/>
      <c r="H321" s="143"/>
      <c r="I321" s="143"/>
      <c r="J321" s="143"/>
      <c r="K321" s="143"/>
    </row>
    <row r="322" ht="20.25" spans="1:11">
      <c r="A322" s="143"/>
      <c r="B322" s="143"/>
      <c r="C322" s="143"/>
      <c r="D322" s="143"/>
      <c r="E322" s="143"/>
      <c r="F322" s="143"/>
      <c r="G322" s="143"/>
      <c r="H322" s="143"/>
      <c r="I322" s="143"/>
      <c r="J322" s="143"/>
      <c r="K322" s="143"/>
    </row>
    <row r="323" ht="20.25" spans="1:11">
      <c r="A323" s="143"/>
      <c r="B323" s="143"/>
      <c r="C323" s="143"/>
      <c r="D323" s="143"/>
      <c r="E323" s="143"/>
      <c r="F323" s="143"/>
      <c r="G323" s="143"/>
      <c r="H323" s="143"/>
      <c r="I323" s="143"/>
      <c r="J323" s="143"/>
      <c r="K323" s="143"/>
    </row>
    <row r="324" ht="20.25" spans="1:11">
      <c r="A324" s="143"/>
      <c r="B324" s="143"/>
      <c r="C324" s="143"/>
      <c r="D324" s="143"/>
      <c r="E324" s="143"/>
      <c r="F324" s="143"/>
      <c r="G324" s="143"/>
      <c r="H324" s="143"/>
      <c r="I324" s="143"/>
      <c r="J324" s="143"/>
      <c r="K324" s="143"/>
    </row>
    <row r="325" ht="20.25" spans="1:11">
      <c r="A325" s="143"/>
      <c r="B325" s="143"/>
      <c r="C325" s="143"/>
      <c r="D325" s="143"/>
      <c r="E325" s="143"/>
      <c r="F325" s="143"/>
      <c r="G325" s="143"/>
      <c r="H325" s="143"/>
      <c r="I325" s="143"/>
      <c r="J325" s="143"/>
      <c r="K325" s="143"/>
    </row>
    <row r="326" ht="20.25" spans="1:11">
      <c r="A326" s="143"/>
      <c r="B326" s="143"/>
      <c r="C326" s="143"/>
      <c r="D326" s="143"/>
      <c r="E326" s="143"/>
      <c r="F326" s="143"/>
      <c r="G326" s="143"/>
      <c r="H326" s="143"/>
      <c r="I326" s="143"/>
      <c r="J326" s="143"/>
      <c r="K326" s="143"/>
    </row>
    <row r="327" ht="20.25" spans="1:11">
      <c r="A327" s="143"/>
      <c r="B327" s="143"/>
      <c r="C327" s="143"/>
      <c r="D327" s="143"/>
      <c r="E327" s="143"/>
      <c r="F327" s="143"/>
      <c r="G327" s="143"/>
      <c r="H327" s="143"/>
      <c r="I327" s="143"/>
      <c r="J327" s="143"/>
      <c r="K327" s="143"/>
    </row>
    <row r="328" ht="20.25" spans="1:11">
      <c r="A328" s="143"/>
      <c r="B328" s="143"/>
      <c r="C328" s="143"/>
      <c r="D328" s="143"/>
      <c r="E328" s="143"/>
      <c r="F328" s="143"/>
      <c r="G328" s="143"/>
      <c r="H328" s="143"/>
      <c r="I328" s="143"/>
      <c r="J328" s="143"/>
      <c r="K328" s="143"/>
    </row>
    <row r="329" ht="20.25" spans="1:11">
      <c r="A329" s="143"/>
      <c r="B329" s="143"/>
      <c r="C329" s="143"/>
      <c r="D329" s="143"/>
      <c r="E329" s="143"/>
      <c r="F329" s="143"/>
      <c r="G329" s="143"/>
      <c r="H329" s="143"/>
      <c r="I329" s="143"/>
      <c r="J329" s="143"/>
      <c r="K329" s="143"/>
    </row>
    <row r="330" ht="20.25" spans="1:11">
      <c r="A330" s="143"/>
      <c r="B330" s="143"/>
      <c r="C330" s="143"/>
      <c r="D330" s="143"/>
      <c r="E330" s="143"/>
      <c r="F330" s="143"/>
      <c r="G330" s="143"/>
      <c r="H330" s="143"/>
      <c r="I330" s="143"/>
      <c r="J330" s="143"/>
      <c r="K330" s="143"/>
    </row>
    <row r="331" ht="20.25" spans="1:11">
      <c r="A331" s="143"/>
      <c r="B331" s="143"/>
      <c r="C331" s="143"/>
      <c r="D331" s="143"/>
      <c r="E331" s="143"/>
      <c r="F331" s="143"/>
      <c r="G331" s="143"/>
      <c r="H331" s="143"/>
      <c r="I331" s="143"/>
      <c r="J331" s="143"/>
      <c r="K331" s="143"/>
    </row>
    <row r="332" ht="20.25" spans="1:11">
      <c r="A332" s="143"/>
      <c r="B332" s="143"/>
      <c r="C332" s="143"/>
      <c r="D332" s="143"/>
      <c r="E332" s="143"/>
      <c r="F332" s="143"/>
      <c r="G332" s="143"/>
      <c r="H332" s="143"/>
      <c r="I332" s="143"/>
      <c r="J332" s="143"/>
      <c r="K332" s="143"/>
    </row>
    <row r="333" ht="20.25" spans="1:11">
      <c r="A333" s="143"/>
      <c r="B333" s="143"/>
      <c r="C333" s="143"/>
      <c r="D333" s="143"/>
      <c r="E333" s="143"/>
      <c r="F333" s="143"/>
      <c r="G333" s="143"/>
      <c r="H333" s="143"/>
      <c r="I333" s="143"/>
      <c r="J333" s="143"/>
      <c r="K333" s="143"/>
    </row>
    <row r="334" ht="20.25" spans="1:11">
      <c r="A334" s="143"/>
      <c r="B334" s="143"/>
      <c r="C334" s="143"/>
      <c r="D334" s="143"/>
      <c r="E334" s="143"/>
      <c r="F334" s="143"/>
      <c r="G334" s="143"/>
      <c r="H334" s="143"/>
      <c r="I334" s="143"/>
      <c r="J334" s="143"/>
      <c r="K334" s="143"/>
    </row>
    <row r="335" ht="20.25" spans="1:11">
      <c r="A335" s="143"/>
      <c r="B335" s="143"/>
      <c r="C335" s="143"/>
      <c r="D335" s="143"/>
      <c r="E335" s="143"/>
      <c r="F335" s="143"/>
      <c r="G335" s="143"/>
      <c r="H335" s="143"/>
      <c r="I335" s="143"/>
      <c r="J335" s="143"/>
      <c r="K335" s="143"/>
    </row>
    <row r="336" ht="20.25" spans="1:11">
      <c r="A336" s="143"/>
      <c r="B336" s="143"/>
      <c r="C336" s="143"/>
      <c r="D336" s="143"/>
      <c r="E336" s="143"/>
      <c r="F336" s="143"/>
      <c r="G336" s="143"/>
      <c r="H336" s="143"/>
      <c r="I336" s="143"/>
      <c r="J336" s="143"/>
      <c r="K336" s="143"/>
    </row>
    <row r="337" ht="20.25" spans="1:11">
      <c r="A337" s="143"/>
      <c r="B337" s="143"/>
      <c r="C337" s="143"/>
      <c r="D337" s="143"/>
      <c r="E337" s="143"/>
      <c r="F337" s="143"/>
      <c r="G337" s="143"/>
      <c r="H337" s="143"/>
      <c r="I337" s="143"/>
      <c r="J337" s="143"/>
      <c r="K337" s="143"/>
    </row>
    <row r="338" ht="20.25" spans="1:11">
      <c r="A338" s="143"/>
      <c r="B338" s="143"/>
      <c r="C338" s="143"/>
      <c r="D338" s="143"/>
      <c r="E338" s="143"/>
      <c r="F338" s="143"/>
      <c r="G338" s="143"/>
      <c r="H338" s="143"/>
      <c r="I338" s="143"/>
      <c r="J338" s="143"/>
      <c r="K338" s="143"/>
    </row>
    <row r="339" ht="20.25" spans="1:11">
      <c r="A339" s="143"/>
      <c r="B339" s="143"/>
      <c r="C339" s="143"/>
      <c r="D339" s="143"/>
      <c r="E339" s="143"/>
      <c r="F339" s="143"/>
      <c r="G339" s="143"/>
      <c r="H339" s="143"/>
      <c r="I339" s="143"/>
      <c r="J339" s="143"/>
      <c r="K339" s="143"/>
    </row>
    <row r="340" ht="20.25" spans="1:11">
      <c r="A340" s="143"/>
      <c r="B340" s="143"/>
      <c r="C340" s="143"/>
      <c r="D340" s="143"/>
      <c r="E340" s="143"/>
      <c r="F340" s="143"/>
      <c r="G340" s="143"/>
      <c r="H340" s="143"/>
      <c r="I340" s="143"/>
      <c r="J340" s="143"/>
      <c r="K340" s="143"/>
    </row>
    <row r="341" ht="20.25" spans="1:11">
      <c r="A341" s="143"/>
      <c r="B341" s="143"/>
      <c r="C341" s="143"/>
      <c r="D341" s="143"/>
      <c r="E341" s="143"/>
      <c r="F341" s="143"/>
      <c r="G341" s="143"/>
      <c r="H341" s="143"/>
      <c r="I341" s="143"/>
      <c r="J341" s="143"/>
      <c r="K341" s="143"/>
    </row>
    <row r="342" ht="20.25" spans="1:11">
      <c r="A342" s="143"/>
      <c r="B342" s="143"/>
      <c r="C342" s="143"/>
      <c r="D342" s="143"/>
      <c r="E342" s="143"/>
      <c r="F342" s="143"/>
      <c r="G342" s="143"/>
      <c r="H342" s="143"/>
      <c r="I342" s="143"/>
      <c r="J342" s="143"/>
      <c r="K342" s="143"/>
    </row>
    <row r="343" ht="20.25" spans="1:11">
      <c r="A343" s="143"/>
      <c r="B343" s="143"/>
      <c r="C343" s="143"/>
      <c r="D343" s="143"/>
      <c r="E343" s="143"/>
      <c r="F343" s="143"/>
      <c r="G343" s="143"/>
      <c r="H343" s="143"/>
      <c r="I343" s="143"/>
      <c r="J343" s="143"/>
      <c r="K343" s="143"/>
    </row>
    <row r="344" ht="20.25" spans="1:11">
      <c r="A344" s="143"/>
      <c r="B344" s="143"/>
      <c r="C344" s="143"/>
      <c r="D344" s="143"/>
      <c r="E344" s="143"/>
      <c r="F344" s="143"/>
      <c r="G344" s="143"/>
      <c r="H344" s="143"/>
      <c r="I344" s="143"/>
      <c r="J344" s="143"/>
      <c r="K344" s="143"/>
    </row>
    <row r="345" ht="20.25" spans="1:11">
      <c r="A345" s="143"/>
      <c r="B345" s="143"/>
      <c r="C345" s="143"/>
      <c r="D345" s="143"/>
      <c r="E345" s="143"/>
      <c r="F345" s="143"/>
      <c r="G345" s="143"/>
      <c r="H345" s="143"/>
      <c r="I345" s="143"/>
      <c r="J345" s="143"/>
      <c r="K345" s="143"/>
    </row>
    <row r="346" ht="20.25" spans="1:11">
      <c r="A346" s="143"/>
      <c r="B346" s="143"/>
      <c r="C346" s="143"/>
      <c r="D346" s="143"/>
      <c r="E346" s="143"/>
      <c r="F346" s="143"/>
      <c r="G346" s="143"/>
      <c r="H346" s="143"/>
      <c r="I346" s="143"/>
      <c r="J346" s="143"/>
      <c r="K346" s="143"/>
    </row>
    <row r="347" ht="20.25" spans="1:11">
      <c r="A347" s="143"/>
      <c r="B347" s="143"/>
      <c r="C347" s="143"/>
      <c r="D347" s="143"/>
      <c r="E347" s="143"/>
      <c r="F347" s="143"/>
      <c r="G347" s="143"/>
      <c r="H347" s="143"/>
      <c r="I347" s="143"/>
      <c r="J347" s="143"/>
      <c r="K347" s="143"/>
    </row>
    <row r="348" ht="20.25" spans="1:11">
      <c r="A348" s="143"/>
      <c r="B348" s="143"/>
      <c r="C348" s="143"/>
      <c r="D348" s="143"/>
      <c r="E348" s="143"/>
      <c r="F348" s="143"/>
      <c r="G348" s="143"/>
      <c r="H348" s="143"/>
      <c r="I348" s="143"/>
      <c r="J348" s="143"/>
      <c r="K348" s="143"/>
    </row>
    <row r="349" ht="20.25" spans="1:11">
      <c r="A349" s="143"/>
      <c r="B349" s="143"/>
      <c r="C349" s="143"/>
      <c r="D349" s="143"/>
      <c r="E349" s="143"/>
      <c r="F349" s="143"/>
      <c r="G349" s="143"/>
      <c r="H349" s="143"/>
      <c r="I349" s="143"/>
      <c r="J349" s="143"/>
      <c r="K349" s="143"/>
    </row>
    <row r="350" ht="20.25" spans="1:11">
      <c r="A350" s="143"/>
      <c r="B350" s="143"/>
      <c r="C350" s="143"/>
      <c r="D350" s="143"/>
      <c r="E350" s="143"/>
      <c r="F350" s="143"/>
      <c r="G350" s="143"/>
      <c r="H350" s="143"/>
      <c r="I350" s="143"/>
      <c r="J350" s="143"/>
      <c r="K350" s="143"/>
    </row>
    <row r="351" ht="20.25" spans="1:11">
      <c r="A351" s="143"/>
      <c r="B351" s="143"/>
      <c r="C351" s="143"/>
      <c r="D351" s="143"/>
      <c r="E351" s="143"/>
      <c r="F351" s="143"/>
      <c r="G351" s="143"/>
      <c r="H351" s="143"/>
      <c r="I351" s="143"/>
      <c r="J351" s="143"/>
      <c r="K351" s="143"/>
    </row>
    <row r="352" ht="20.25" spans="1:11">
      <c r="A352" s="143"/>
      <c r="B352" s="143"/>
      <c r="C352" s="143"/>
      <c r="D352" s="143"/>
      <c r="E352" s="143"/>
      <c r="F352" s="143"/>
      <c r="G352" s="143"/>
      <c r="H352" s="143"/>
      <c r="I352" s="143"/>
      <c r="J352" s="143"/>
      <c r="K352" s="143"/>
    </row>
    <row r="353" ht="20.25" spans="1:11">
      <c r="A353" s="143"/>
      <c r="B353" s="143"/>
      <c r="C353" s="143"/>
      <c r="D353" s="143"/>
      <c r="E353" s="143"/>
      <c r="F353" s="143"/>
      <c r="G353" s="143"/>
      <c r="H353" s="143"/>
      <c r="I353" s="143"/>
      <c r="J353" s="143"/>
      <c r="K353" s="143"/>
    </row>
    <row r="354" ht="20.25" spans="1:11">
      <c r="A354" s="143"/>
      <c r="B354" s="143"/>
      <c r="C354" s="143"/>
      <c r="D354" s="143"/>
      <c r="E354" s="143"/>
      <c r="F354" s="143"/>
      <c r="G354" s="143"/>
      <c r="H354" s="143"/>
      <c r="I354" s="143"/>
      <c r="J354" s="143"/>
      <c r="K354" s="143"/>
    </row>
    <row r="355" ht="20.25" spans="1:11">
      <c r="A355" s="143"/>
      <c r="B355" s="143"/>
      <c r="C355" s="143"/>
      <c r="D355" s="143"/>
      <c r="E355" s="143"/>
      <c r="F355" s="143"/>
      <c r="G355" s="143"/>
      <c r="H355" s="143"/>
      <c r="I355" s="143"/>
      <c r="J355" s="143"/>
      <c r="K355" s="143"/>
    </row>
    <row r="356" ht="20.25" spans="1:11">
      <c r="A356" s="143"/>
      <c r="B356" s="143"/>
      <c r="C356" s="143"/>
      <c r="D356" s="143"/>
      <c r="E356" s="143"/>
      <c r="F356" s="143"/>
      <c r="G356" s="143"/>
      <c r="H356" s="143"/>
      <c r="I356" s="143"/>
      <c r="J356" s="143"/>
      <c r="K356" s="143"/>
    </row>
    <row r="357" ht="20.25" spans="1:11">
      <c r="A357" s="143"/>
      <c r="B357" s="143"/>
      <c r="C357" s="143"/>
      <c r="D357" s="143"/>
      <c r="E357" s="143"/>
      <c r="F357" s="143"/>
      <c r="G357" s="143"/>
      <c r="H357" s="143"/>
      <c r="I357" s="143"/>
      <c r="J357" s="143"/>
      <c r="K357" s="143"/>
    </row>
    <row r="358" ht="20.25" spans="1:11">
      <c r="A358" s="143"/>
      <c r="B358" s="143"/>
      <c r="C358" s="143"/>
      <c r="D358" s="143"/>
      <c r="E358" s="143"/>
      <c r="F358" s="143"/>
      <c r="G358" s="143"/>
      <c r="H358" s="143"/>
      <c r="I358" s="143"/>
      <c r="J358" s="143"/>
      <c r="K358" s="143"/>
    </row>
    <row r="359" ht="20.25" spans="1:11">
      <c r="A359" s="143"/>
      <c r="B359" s="143"/>
      <c r="C359" s="143"/>
      <c r="D359" s="143"/>
      <c r="E359" s="143"/>
      <c r="F359" s="143"/>
      <c r="G359" s="143"/>
      <c r="H359" s="143"/>
      <c r="I359" s="143"/>
      <c r="J359" s="143"/>
      <c r="K359" s="143"/>
    </row>
    <row r="360" ht="20.25" spans="1:11">
      <c r="A360" s="143"/>
      <c r="B360" s="143"/>
      <c r="C360" s="143"/>
      <c r="D360" s="143"/>
      <c r="E360" s="143"/>
      <c r="F360" s="143"/>
      <c r="G360" s="143"/>
      <c r="H360" s="143"/>
      <c r="I360" s="143"/>
      <c r="J360" s="143"/>
      <c r="K360" s="143"/>
    </row>
    <row r="361" ht="20.25" spans="1:11">
      <c r="A361" s="143"/>
      <c r="B361" s="143"/>
      <c r="C361" s="143"/>
      <c r="D361" s="143"/>
      <c r="E361" s="143"/>
      <c r="F361" s="143"/>
      <c r="G361" s="143"/>
      <c r="H361" s="143"/>
      <c r="I361" s="143"/>
      <c r="J361" s="143"/>
      <c r="K361" s="143"/>
    </row>
    <row r="362" ht="20.25" spans="1:11">
      <c r="A362" s="143"/>
      <c r="B362" s="143"/>
      <c r="C362" s="143"/>
      <c r="D362" s="143"/>
      <c r="E362" s="143"/>
      <c r="F362" s="143"/>
      <c r="G362" s="143"/>
      <c r="H362" s="143"/>
      <c r="I362" s="143"/>
      <c r="J362" s="143"/>
      <c r="K362" s="143"/>
    </row>
    <row r="363" ht="20.25" spans="1:11">
      <c r="A363" s="143"/>
      <c r="B363" s="143"/>
      <c r="C363" s="143"/>
      <c r="D363" s="143"/>
      <c r="E363" s="143"/>
      <c r="F363" s="143"/>
      <c r="G363" s="143"/>
      <c r="H363" s="143"/>
      <c r="I363" s="143"/>
      <c r="J363" s="143"/>
      <c r="K363" s="143"/>
    </row>
    <row r="364" ht="20.25" spans="1:11">
      <c r="A364" s="143"/>
      <c r="B364" s="143"/>
      <c r="C364" s="143"/>
      <c r="D364" s="143"/>
      <c r="E364" s="143"/>
      <c r="F364" s="143"/>
      <c r="G364" s="143"/>
      <c r="H364" s="143"/>
      <c r="I364" s="143"/>
      <c r="J364" s="143"/>
      <c r="K364" s="143"/>
    </row>
    <row r="365" ht="20.25" spans="1:11">
      <c r="A365" s="143"/>
      <c r="B365" s="143"/>
      <c r="C365" s="143"/>
      <c r="D365" s="143"/>
      <c r="E365" s="143"/>
      <c r="F365" s="143"/>
      <c r="G365" s="143"/>
      <c r="H365" s="143"/>
      <c r="I365" s="143"/>
      <c r="J365" s="143"/>
      <c r="K365" s="143"/>
    </row>
    <row r="366" ht="20.25" spans="1:11">
      <c r="A366" s="143"/>
      <c r="B366" s="143"/>
      <c r="C366" s="143"/>
      <c r="D366" s="143"/>
      <c r="E366" s="143"/>
      <c r="F366" s="143"/>
      <c r="G366" s="143"/>
      <c r="H366" s="143"/>
      <c r="I366" s="143"/>
      <c r="J366" s="143"/>
      <c r="K366" s="143"/>
    </row>
    <row r="367" ht="20.25" spans="1:11">
      <c r="A367" s="143"/>
      <c r="B367" s="143"/>
      <c r="C367" s="143"/>
      <c r="D367" s="143"/>
      <c r="E367" s="143"/>
      <c r="F367" s="143"/>
      <c r="G367" s="143"/>
      <c r="H367" s="143"/>
      <c r="I367" s="143"/>
      <c r="J367" s="143"/>
      <c r="K367" s="143"/>
    </row>
    <row r="368" ht="20.25" spans="1:11">
      <c r="A368" s="143"/>
      <c r="B368" s="143"/>
      <c r="C368" s="143"/>
      <c r="D368" s="143"/>
      <c r="E368" s="143"/>
      <c r="F368" s="143"/>
      <c r="G368" s="143"/>
      <c r="H368" s="143"/>
      <c r="I368" s="143"/>
      <c r="J368" s="143"/>
      <c r="K368" s="143"/>
    </row>
    <row r="369" ht="20.25" spans="1:11">
      <c r="A369" s="143"/>
      <c r="B369" s="143"/>
      <c r="C369" s="143"/>
      <c r="D369" s="143"/>
      <c r="E369" s="143"/>
      <c r="F369" s="143"/>
      <c r="G369" s="143"/>
      <c r="H369" s="143"/>
      <c r="I369" s="143"/>
      <c r="J369" s="143"/>
      <c r="K369" s="143"/>
    </row>
    <row r="370" ht="20.25" spans="1:11">
      <c r="A370" s="143"/>
      <c r="B370" s="143"/>
      <c r="C370" s="143"/>
      <c r="D370" s="143"/>
      <c r="E370" s="143"/>
      <c r="F370" s="143"/>
      <c r="G370" s="143"/>
      <c r="H370" s="143"/>
      <c r="I370" s="143"/>
      <c r="J370" s="143"/>
      <c r="K370" s="143"/>
    </row>
    <row r="371" ht="20.25" spans="1:11">
      <c r="A371" s="143"/>
      <c r="B371" s="143"/>
      <c r="C371" s="143"/>
      <c r="D371" s="143"/>
      <c r="E371" s="143"/>
      <c r="F371" s="143"/>
      <c r="G371" s="143"/>
      <c r="H371" s="143"/>
      <c r="I371" s="143"/>
      <c r="J371" s="143"/>
      <c r="K371" s="143"/>
    </row>
    <row r="372" ht="20.25" spans="1:11">
      <c r="A372" s="143"/>
      <c r="B372" s="143"/>
      <c r="C372" s="143"/>
      <c r="D372" s="143"/>
      <c r="E372" s="143"/>
      <c r="F372" s="143"/>
      <c r="G372" s="143"/>
      <c r="H372" s="143"/>
      <c r="I372" s="143"/>
      <c r="J372" s="143"/>
      <c r="K372" s="143"/>
    </row>
    <row r="373" ht="20.25" spans="1:11">
      <c r="A373" s="143"/>
      <c r="B373" s="143"/>
      <c r="C373" s="143"/>
      <c r="D373" s="143"/>
      <c r="E373" s="143"/>
      <c r="F373" s="143"/>
      <c r="G373" s="143"/>
      <c r="H373" s="143"/>
      <c r="I373" s="143"/>
      <c r="J373" s="143"/>
      <c r="K373" s="143"/>
    </row>
    <row r="374" ht="20.25" spans="1:11">
      <c r="A374" s="143"/>
      <c r="B374" s="143"/>
      <c r="C374" s="143"/>
      <c r="D374" s="143"/>
      <c r="E374" s="143"/>
      <c r="F374" s="143"/>
      <c r="G374" s="143"/>
      <c r="H374" s="143"/>
      <c r="I374" s="143"/>
      <c r="J374" s="143"/>
      <c r="K374" s="143"/>
    </row>
    <row r="375" ht="20.25" spans="1:11">
      <c r="A375" s="143"/>
      <c r="B375" s="143"/>
      <c r="C375" s="143"/>
      <c r="D375" s="143"/>
      <c r="E375" s="143"/>
      <c r="F375" s="143"/>
      <c r="G375" s="143"/>
      <c r="H375" s="143"/>
      <c r="I375" s="143"/>
      <c r="J375" s="143"/>
      <c r="K375" s="143"/>
    </row>
    <row r="376" ht="20.25" spans="1:11">
      <c r="A376" s="143"/>
      <c r="B376" s="143"/>
      <c r="C376" s="143"/>
      <c r="D376" s="143"/>
      <c r="E376" s="143"/>
      <c r="F376" s="143"/>
      <c r="G376" s="143"/>
      <c r="H376" s="143"/>
      <c r="I376" s="143"/>
      <c r="J376" s="143"/>
      <c r="K376" s="143"/>
    </row>
    <row r="377" ht="20.25" spans="1:11">
      <c r="A377" s="143"/>
      <c r="B377" s="143"/>
      <c r="C377" s="143"/>
      <c r="D377" s="143"/>
      <c r="E377" s="143"/>
      <c r="F377" s="143"/>
      <c r="G377" s="143"/>
      <c r="H377" s="143"/>
      <c r="I377" s="143"/>
      <c r="J377" s="143"/>
      <c r="K377" s="143"/>
    </row>
    <row r="378" ht="20.25" spans="1:11">
      <c r="A378" s="143"/>
      <c r="B378" s="143"/>
      <c r="C378" s="143"/>
      <c r="D378" s="143"/>
      <c r="E378" s="143"/>
      <c r="F378" s="143"/>
      <c r="G378" s="143"/>
      <c r="H378" s="143"/>
      <c r="I378" s="143"/>
      <c r="J378" s="143"/>
      <c r="K378" s="143"/>
    </row>
    <row r="379" ht="20.25" spans="1:11">
      <c r="A379" s="143"/>
      <c r="B379" s="143"/>
      <c r="C379" s="143"/>
      <c r="D379" s="143"/>
      <c r="E379" s="143"/>
      <c r="F379" s="143"/>
      <c r="G379" s="143"/>
      <c r="H379" s="143"/>
      <c r="I379" s="143"/>
      <c r="J379" s="143"/>
      <c r="K379" s="143"/>
    </row>
    <row r="380" ht="20.25" spans="1:11">
      <c r="A380" s="143"/>
      <c r="B380" s="143"/>
      <c r="C380" s="143"/>
      <c r="D380" s="143"/>
      <c r="E380" s="143"/>
      <c r="F380" s="143"/>
      <c r="G380" s="143"/>
      <c r="H380" s="143"/>
      <c r="I380" s="143"/>
      <c r="J380" s="143"/>
      <c r="K380" s="143"/>
    </row>
    <row r="381" ht="20.25" spans="1:11">
      <c r="A381" s="143"/>
      <c r="B381" s="143"/>
      <c r="C381" s="143"/>
      <c r="D381" s="143"/>
      <c r="E381" s="143"/>
      <c r="F381" s="143"/>
      <c r="G381" s="143"/>
      <c r="H381" s="143"/>
      <c r="I381" s="143"/>
      <c r="J381" s="143"/>
      <c r="K381" s="143"/>
    </row>
    <row r="382" ht="20.25" spans="1:11">
      <c r="A382" s="143"/>
      <c r="B382" s="143"/>
      <c r="C382" s="143"/>
      <c r="D382" s="143"/>
      <c r="E382" s="143"/>
      <c r="F382" s="143"/>
      <c r="G382" s="143"/>
      <c r="H382" s="143"/>
      <c r="I382" s="143"/>
      <c r="J382" s="143"/>
      <c r="K382" s="143"/>
    </row>
    <row r="383" ht="20.25" spans="1:11">
      <c r="A383" s="143"/>
      <c r="B383" s="143"/>
      <c r="C383" s="143"/>
      <c r="D383" s="143"/>
      <c r="E383" s="143"/>
      <c r="F383" s="143"/>
      <c r="G383" s="143"/>
      <c r="H383" s="143"/>
      <c r="I383" s="143"/>
      <c r="J383" s="143"/>
      <c r="K383" s="143"/>
    </row>
    <row r="384" ht="20.25" spans="1:11">
      <c r="A384" s="143"/>
      <c r="B384" s="143"/>
      <c r="C384" s="143"/>
      <c r="D384" s="143"/>
      <c r="E384" s="143"/>
      <c r="F384" s="143"/>
      <c r="G384" s="143"/>
      <c r="H384" s="143"/>
      <c r="I384" s="143"/>
      <c r="J384" s="143"/>
      <c r="K384" s="143"/>
    </row>
    <row r="385" ht="20.25" spans="1:11">
      <c r="A385" s="143"/>
      <c r="B385" s="143"/>
      <c r="C385" s="143"/>
      <c r="D385" s="143"/>
      <c r="E385" s="143"/>
      <c r="F385" s="143"/>
      <c r="G385" s="143"/>
      <c r="H385" s="143"/>
      <c r="I385" s="143"/>
      <c r="J385" s="143"/>
      <c r="K385" s="143"/>
    </row>
    <row r="386" ht="20.25" spans="1:11">
      <c r="A386" s="143"/>
      <c r="B386" s="143"/>
      <c r="C386" s="143"/>
      <c r="D386" s="143"/>
      <c r="E386" s="143"/>
      <c r="F386" s="143"/>
      <c r="G386" s="143"/>
      <c r="H386" s="143"/>
      <c r="I386" s="143"/>
      <c r="J386" s="143"/>
      <c r="K386" s="143"/>
    </row>
    <row r="387" ht="20.25" spans="1:11">
      <c r="A387" s="143"/>
      <c r="B387" s="143"/>
      <c r="C387" s="143"/>
      <c r="D387" s="143"/>
      <c r="E387" s="143"/>
      <c r="F387" s="143"/>
      <c r="G387" s="143"/>
      <c r="H387" s="143"/>
      <c r="I387" s="143"/>
      <c r="J387" s="143"/>
      <c r="K387" s="143"/>
    </row>
    <row r="388" ht="20.25" spans="1:11">
      <c r="A388" s="143"/>
      <c r="B388" s="143"/>
      <c r="C388" s="143"/>
      <c r="D388" s="143"/>
      <c r="E388" s="143"/>
      <c r="F388" s="143"/>
      <c r="G388" s="143"/>
      <c r="H388" s="143"/>
      <c r="I388" s="143"/>
      <c r="J388" s="143"/>
      <c r="K388" s="143"/>
    </row>
    <row r="389" ht="20.25" spans="1:11">
      <c r="A389" s="143"/>
      <c r="B389" s="143"/>
      <c r="C389" s="143"/>
      <c r="D389" s="143"/>
      <c r="E389" s="143"/>
      <c r="F389" s="143"/>
      <c r="G389" s="143"/>
      <c r="H389" s="143"/>
      <c r="I389" s="143"/>
      <c r="J389" s="143"/>
      <c r="K389" s="143"/>
    </row>
    <row r="390" ht="20.25" spans="1:11">
      <c r="A390" s="143"/>
      <c r="B390" s="143"/>
      <c r="C390" s="143"/>
      <c r="D390" s="143"/>
      <c r="E390" s="143"/>
      <c r="F390" s="143"/>
      <c r="G390" s="143"/>
      <c r="H390" s="143"/>
      <c r="I390" s="143"/>
      <c r="J390" s="143"/>
      <c r="K390" s="143"/>
    </row>
    <row r="391" ht="20.25" spans="1:11">
      <c r="A391" s="143"/>
      <c r="B391" s="143"/>
      <c r="C391" s="143"/>
      <c r="D391" s="143"/>
      <c r="E391" s="143"/>
      <c r="F391" s="143"/>
      <c r="G391" s="143"/>
      <c r="H391" s="143"/>
      <c r="I391" s="143"/>
      <c r="J391" s="143"/>
      <c r="K391" s="143"/>
    </row>
    <row r="392" ht="20.25" spans="1:11">
      <c r="A392" s="143"/>
      <c r="B392" s="143"/>
      <c r="C392" s="143"/>
      <c r="D392" s="143"/>
      <c r="E392" s="143"/>
      <c r="F392" s="143"/>
      <c r="G392" s="143"/>
      <c r="H392" s="143"/>
      <c r="I392" s="143"/>
      <c r="J392" s="143"/>
      <c r="K392" s="143"/>
    </row>
    <row r="393" ht="20.25" spans="1:11">
      <c r="A393" s="143"/>
      <c r="B393" s="143"/>
      <c r="C393" s="143"/>
      <c r="D393" s="143"/>
      <c r="E393" s="143"/>
      <c r="F393" s="143"/>
      <c r="G393" s="143"/>
      <c r="H393" s="143"/>
      <c r="I393" s="143"/>
      <c r="J393" s="143"/>
      <c r="K393" s="143"/>
    </row>
    <row r="394" ht="20.25" spans="1:11">
      <c r="A394" s="143"/>
      <c r="B394" s="143"/>
      <c r="C394" s="143"/>
      <c r="D394" s="143"/>
      <c r="E394" s="143"/>
      <c r="F394" s="143"/>
      <c r="G394" s="143"/>
      <c r="H394" s="143"/>
      <c r="I394" s="143"/>
      <c r="J394" s="143"/>
      <c r="K394" s="143"/>
    </row>
    <row r="395" ht="20.25" spans="1:11">
      <c r="A395" s="143"/>
      <c r="B395" s="143"/>
      <c r="C395" s="143"/>
      <c r="D395" s="143"/>
      <c r="E395" s="143"/>
      <c r="F395" s="143"/>
      <c r="G395" s="143"/>
      <c r="H395" s="143"/>
      <c r="I395" s="143"/>
      <c r="J395" s="143"/>
      <c r="K395" s="143"/>
    </row>
    <row r="396" ht="20.25" spans="1:11">
      <c r="A396" s="143"/>
      <c r="B396" s="143"/>
      <c r="C396" s="143"/>
      <c r="D396" s="143"/>
      <c r="E396" s="143"/>
      <c r="F396" s="143"/>
      <c r="G396" s="143"/>
      <c r="H396" s="143"/>
      <c r="I396" s="143"/>
      <c r="J396" s="143"/>
      <c r="K396" s="143"/>
    </row>
    <row r="397" ht="20.25" spans="1:11">
      <c r="A397" s="143"/>
      <c r="B397" s="143"/>
      <c r="C397" s="143"/>
      <c r="D397" s="143"/>
      <c r="E397" s="143"/>
      <c r="F397" s="143"/>
      <c r="G397" s="143"/>
      <c r="H397" s="143"/>
      <c r="I397" s="143"/>
      <c r="J397" s="143"/>
      <c r="K397" s="143"/>
    </row>
    <row r="398" ht="20.25" spans="1:11">
      <c r="A398" s="143"/>
      <c r="B398" s="143"/>
      <c r="C398" s="143"/>
      <c r="D398" s="143"/>
      <c r="E398" s="143"/>
      <c r="F398" s="143"/>
      <c r="G398" s="143"/>
      <c r="H398" s="143"/>
      <c r="I398" s="143"/>
      <c r="J398" s="143"/>
      <c r="K398" s="143"/>
    </row>
    <row r="399" ht="20.25" spans="1:11">
      <c r="A399" s="143"/>
      <c r="B399" s="143"/>
      <c r="C399" s="143"/>
      <c r="D399" s="143"/>
      <c r="E399" s="143"/>
      <c r="F399" s="143"/>
      <c r="G399" s="143"/>
      <c r="H399" s="143"/>
      <c r="I399" s="143"/>
      <c r="J399" s="143"/>
      <c r="K399" s="143"/>
    </row>
    <row r="400" ht="20.25" spans="1:11">
      <c r="A400" s="143"/>
      <c r="B400" s="143"/>
      <c r="C400" s="143"/>
      <c r="D400" s="143"/>
      <c r="E400" s="143"/>
      <c r="F400" s="143"/>
      <c r="G400" s="143"/>
      <c r="H400" s="143"/>
      <c r="I400" s="143"/>
      <c r="J400" s="143"/>
      <c r="K400" s="143"/>
    </row>
    <row r="401" ht="20.25" spans="1:11">
      <c r="A401" s="143"/>
      <c r="B401" s="143"/>
      <c r="C401" s="143"/>
      <c r="D401" s="143"/>
      <c r="E401" s="143"/>
      <c r="F401" s="143"/>
      <c r="G401" s="143"/>
      <c r="H401" s="143"/>
      <c r="I401" s="143"/>
      <c r="J401" s="143"/>
      <c r="K401" s="143"/>
    </row>
    <row r="402" ht="20.25" spans="1:11">
      <c r="A402" s="143"/>
      <c r="B402" s="143"/>
      <c r="C402" s="143"/>
      <c r="D402" s="143"/>
      <c r="E402" s="143"/>
      <c r="F402" s="143"/>
      <c r="G402" s="143"/>
      <c r="H402" s="143"/>
      <c r="I402" s="143"/>
      <c r="J402" s="143"/>
      <c r="K402" s="143"/>
    </row>
    <row r="403" ht="20.25" spans="1:11">
      <c r="A403" s="143"/>
      <c r="B403" s="143"/>
      <c r="C403" s="143"/>
      <c r="D403" s="143"/>
      <c r="E403" s="143"/>
      <c r="F403" s="143"/>
      <c r="G403" s="143"/>
      <c r="H403" s="143"/>
      <c r="I403" s="143"/>
      <c r="J403" s="143"/>
      <c r="K403" s="143"/>
    </row>
    <row r="404" ht="20.25" spans="1:11">
      <c r="A404" s="143"/>
      <c r="B404" s="143"/>
      <c r="C404" s="143"/>
      <c r="D404" s="143"/>
      <c r="E404" s="143"/>
      <c r="F404" s="143"/>
      <c r="G404" s="143"/>
      <c r="H404" s="143"/>
      <c r="I404" s="143"/>
      <c r="J404" s="143"/>
      <c r="K404" s="143"/>
    </row>
    <row r="405" ht="20.25" spans="1:11">
      <c r="A405" s="143"/>
      <c r="B405" s="143"/>
      <c r="C405" s="143"/>
      <c r="D405" s="143"/>
      <c r="E405" s="143"/>
      <c r="F405" s="143"/>
      <c r="G405" s="143"/>
      <c r="H405" s="143"/>
      <c r="I405" s="143"/>
      <c r="J405" s="143"/>
      <c r="K405" s="143"/>
    </row>
    <row r="406" ht="20.25" spans="1:11">
      <c r="A406" s="143"/>
      <c r="B406" s="143"/>
      <c r="C406" s="143"/>
      <c r="D406" s="143"/>
      <c r="E406" s="143"/>
      <c r="F406" s="143"/>
      <c r="G406" s="143"/>
      <c r="H406" s="143"/>
      <c r="I406" s="143"/>
      <c r="J406" s="143"/>
      <c r="K406" s="143"/>
    </row>
    <row r="407" ht="20.25" spans="1:11">
      <c r="A407" s="143"/>
      <c r="B407" s="143"/>
      <c r="C407" s="143"/>
      <c r="D407" s="143"/>
      <c r="E407" s="143"/>
      <c r="F407" s="143"/>
      <c r="G407" s="143"/>
      <c r="H407" s="143"/>
      <c r="I407" s="143"/>
      <c r="J407" s="143"/>
      <c r="K407" s="143"/>
    </row>
    <row r="408" ht="20.25" spans="1:11">
      <c r="A408" s="143"/>
      <c r="B408" s="143"/>
      <c r="C408" s="143"/>
      <c r="D408" s="143"/>
      <c r="E408" s="143"/>
      <c r="F408" s="143"/>
      <c r="G408" s="143"/>
      <c r="H408" s="143"/>
      <c r="I408" s="143"/>
      <c r="J408" s="143"/>
      <c r="K408" s="143"/>
    </row>
    <row r="409" ht="20.25" spans="1:11">
      <c r="A409" s="143"/>
      <c r="B409" s="143"/>
      <c r="C409" s="143"/>
      <c r="D409" s="143"/>
      <c r="E409" s="143"/>
      <c r="F409" s="143"/>
      <c r="G409" s="143"/>
      <c r="H409" s="143"/>
      <c r="I409" s="143"/>
      <c r="J409" s="143"/>
      <c r="K409" s="143"/>
    </row>
    <row r="410" ht="20.25" spans="1:11">
      <c r="A410" s="143"/>
      <c r="B410" s="143"/>
      <c r="C410" s="143"/>
      <c r="D410" s="143"/>
      <c r="E410" s="143"/>
      <c r="F410" s="143"/>
      <c r="G410" s="143"/>
      <c r="H410" s="143"/>
      <c r="I410" s="143"/>
      <c r="J410" s="143"/>
      <c r="K410" s="143"/>
    </row>
    <row r="411" ht="20.25" spans="1:11">
      <c r="A411" s="143"/>
      <c r="B411" s="143"/>
      <c r="C411" s="143"/>
      <c r="D411" s="143"/>
      <c r="E411" s="143"/>
      <c r="F411" s="143"/>
      <c r="G411" s="143"/>
      <c r="H411" s="143"/>
      <c r="I411" s="143"/>
      <c r="J411" s="143"/>
      <c r="K411" s="143"/>
    </row>
    <row r="412" ht="20.25" spans="1:11">
      <c r="A412" s="143"/>
      <c r="B412" s="143"/>
      <c r="C412" s="143"/>
      <c r="D412" s="143"/>
      <c r="E412" s="143"/>
      <c r="F412" s="143"/>
      <c r="G412" s="143"/>
      <c r="H412" s="143"/>
      <c r="I412" s="143"/>
      <c r="J412" s="143"/>
      <c r="K412" s="143"/>
    </row>
    <row r="413" ht="20.25" spans="1:11">
      <c r="A413" s="143"/>
      <c r="B413" s="143"/>
      <c r="C413" s="143"/>
      <c r="D413" s="143"/>
      <c r="E413" s="143"/>
      <c r="F413" s="143"/>
      <c r="G413" s="143"/>
      <c r="H413" s="143"/>
      <c r="I413" s="143"/>
      <c r="J413" s="143"/>
      <c r="K413" s="143"/>
    </row>
    <row r="414" ht="20.25" spans="1:11">
      <c r="A414" s="143"/>
      <c r="B414" s="143"/>
      <c r="C414" s="143"/>
      <c r="D414" s="143"/>
      <c r="E414" s="143"/>
      <c r="F414" s="143"/>
      <c r="G414" s="143"/>
      <c r="H414" s="143"/>
      <c r="I414" s="143"/>
      <c r="J414" s="143"/>
      <c r="K414" s="143"/>
    </row>
    <row r="415" ht="20.25" spans="1:11">
      <c r="A415" s="143"/>
      <c r="B415" s="143"/>
      <c r="C415" s="143"/>
      <c r="D415" s="143"/>
      <c r="E415" s="143"/>
      <c r="F415" s="143"/>
      <c r="G415" s="143"/>
      <c r="H415" s="143"/>
      <c r="I415" s="143"/>
      <c r="J415" s="143"/>
      <c r="K415" s="143"/>
    </row>
    <row r="416" ht="20.25" spans="1:11">
      <c r="A416" s="143"/>
      <c r="B416" s="143"/>
      <c r="C416" s="143"/>
      <c r="D416" s="143"/>
      <c r="E416" s="143"/>
      <c r="F416" s="143"/>
      <c r="G416" s="143"/>
      <c r="H416" s="143"/>
      <c r="I416" s="143"/>
      <c r="J416" s="143"/>
      <c r="K416" s="143"/>
    </row>
    <row r="417" ht="20.25" spans="1:11">
      <c r="A417" s="143"/>
      <c r="B417" s="143"/>
      <c r="C417" s="143"/>
      <c r="D417" s="143"/>
      <c r="E417" s="143"/>
      <c r="F417" s="143"/>
      <c r="G417" s="143"/>
      <c r="H417" s="143"/>
      <c r="I417" s="143"/>
      <c r="J417" s="143"/>
      <c r="K417" s="143"/>
    </row>
    <row r="418" ht="20.25" spans="1:11">
      <c r="A418" s="143"/>
      <c r="B418" s="143"/>
      <c r="C418" s="143"/>
      <c r="D418" s="143"/>
      <c r="E418" s="143"/>
      <c r="F418" s="143"/>
      <c r="G418" s="143"/>
      <c r="H418" s="143"/>
      <c r="I418" s="143"/>
      <c r="J418" s="143"/>
      <c r="K418" s="143"/>
    </row>
    <row r="419" ht="20.25" spans="1:11">
      <c r="A419" s="143"/>
      <c r="B419" s="143"/>
      <c r="C419" s="143"/>
      <c r="D419" s="143"/>
      <c r="E419" s="143"/>
      <c r="F419" s="143"/>
      <c r="G419" s="143"/>
      <c r="H419" s="143"/>
      <c r="I419" s="143"/>
      <c r="J419" s="143"/>
      <c r="K419" s="143"/>
    </row>
    <row r="420" ht="20.25" spans="1:11">
      <c r="A420" s="143"/>
      <c r="B420" s="143"/>
      <c r="C420" s="143"/>
      <c r="D420" s="143"/>
      <c r="E420" s="143"/>
      <c r="F420" s="143"/>
      <c r="G420" s="143"/>
      <c r="H420" s="143"/>
      <c r="I420" s="143"/>
      <c r="J420" s="143"/>
      <c r="K420" s="143"/>
    </row>
    <row r="421" ht="20.25" spans="1:11">
      <c r="A421" s="143"/>
      <c r="B421" s="143"/>
      <c r="C421" s="143"/>
      <c r="D421" s="143"/>
      <c r="E421" s="143"/>
      <c r="F421" s="143"/>
      <c r="G421" s="143"/>
      <c r="H421" s="143"/>
      <c r="I421" s="143"/>
      <c r="J421" s="143"/>
      <c r="K421" s="143"/>
    </row>
    <row r="422" ht="20.25" spans="1:11">
      <c r="A422" s="143"/>
      <c r="B422" s="143"/>
      <c r="C422" s="143"/>
      <c r="D422" s="143"/>
      <c r="E422" s="143"/>
      <c r="F422" s="143"/>
      <c r="G422" s="143"/>
      <c r="H422" s="143"/>
      <c r="I422" s="143"/>
      <c r="J422" s="143"/>
      <c r="K422" s="143"/>
    </row>
    <row r="423" ht="20.25" spans="1:11">
      <c r="A423" s="143"/>
      <c r="B423" s="143"/>
      <c r="C423" s="143"/>
      <c r="D423" s="143"/>
      <c r="E423" s="143"/>
      <c r="F423" s="143"/>
      <c r="G423" s="143"/>
      <c r="H423" s="143"/>
      <c r="I423" s="143"/>
      <c r="J423" s="143"/>
      <c r="K423" s="143"/>
    </row>
    <row r="424" ht="20.25" spans="1:11">
      <c r="A424" s="143"/>
      <c r="B424" s="143"/>
      <c r="C424" s="143"/>
      <c r="D424" s="143"/>
      <c r="E424" s="143"/>
      <c r="F424" s="143"/>
      <c r="G424" s="143"/>
      <c r="H424" s="143"/>
      <c r="I424" s="143"/>
      <c r="J424" s="143"/>
      <c r="K424" s="143"/>
    </row>
    <row r="425" ht="20.25" spans="1:11">
      <c r="A425" s="143"/>
      <c r="B425" s="143"/>
      <c r="C425" s="143"/>
      <c r="D425" s="143"/>
      <c r="E425" s="143"/>
      <c r="F425" s="143"/>
      <c r="G425" s="143"/>
      <c r="H425" s="143"/>
      <c r="I425" s="143"/>
      <c r="J425" s="143"/>
      <c r="K425" s="143"/>
    </row>
    <row r="426" ht="20.25" spans="1:11">
      <c r="A426" s="143"/>
      <c r="B426" s="143"/>
      <c r="C426" s="143"/>
      <c r="D426" s="143"/>
      <c r="E426" s="143"/>
      <c r="F426" s="143"/>
      <c r="G426" s="143"/>
      <c r="H426" s="143"/>
      <c r="I426" s="143"/>
      <c r="J426" s="143"/>
      <c r="K426" s="143"/>
    </row>
    <row r="427" ht="20.25" spans="1:11">
      <c r="A427" s="143"/>
      <c r="B427" s="143"/>
      <c r="C427" s="143"/>
      <c r="D427" s="143"/>
      <c r="E427" s="143"/>
      <c r="F427" s="143"/>
      <c r="G427" s="143"/>
      <c r="H427" s="143"/>
      <c r="I427" s="143"/>
      <c r="J427" s="143"/>
      <c r="K427" s="143"/>
    </row>
    <row r="428" ht="20.25" spans="1:11">
      <c r="A428" s="143"/>
      <c r="B428" s="143"/>
      <c r="C428" s="143"/>
      <c r="D428" s="143"/>
      <c r="E428" s="143"/>
      <c r="F428" s="143"/>
      <c r="G428" s="143"/>
      <c r="H428" s="143"/>
      <c r="I428" s="143"/>
      <c r="J428" s="143"/>
      <c r="K428" s="143"/>
    </row>
    <row r="429" ht="20.25" spans="1:11">
      <c r="A429" s="143"/>
      <c r="B429" s="143"/>
      <c r="C429" s="143"/>
      <c r="D429" s="143"/>
      <c r="E429" s="143"/>
      <c r="F429" s="143"/>
      <c r="G429" s="143"/>
      <c r="H429" s="143"/>
      <c r="I429" s="143"/>
      <c r="J429" s="143"/>
      <c r="K429" s="143"/>
    </row>
    <row r="430" ht="20.25" spans="1:11">
      <c r="A430" s="143"/>
      <c r="B430" s="143"/>
      <c r="C430" s="143"/>
      <c r="D430" s="143"/>
      <c r="E430" s="143"/>
      <c r="F430" s="143"/>
      <c r="G430" s="143"/>
      <c r="H430" s="143"/>
      <c r="I430" s="143"/>
      <c r="J430" s="143"/>
      <c r="K430" s="143"/>
    </row>
    <row r="431" ht="20.25" spans="1:11">
      <c r="A431" s="143"/>
      <c r="B431" s="143"/>
      <c r="C431" s="143"/>
      <c r="D431" s="143"/>
      <c r="E431" s="143"/>
      <c r="F431" s="143"/>
      <c r="G431" s="143"/>
      <c r="H431" s="143"/>
      <c r="I431" s="143"/>
      <c r="J431" s="143"/>
      <c r="K431" s="143"/>
    </row>
    <row r="432" ht="20.25" spans="1:11">
      <c r="A432" s="143"/>
      <c r="B432" s="143"/>
      <c r="C432" s="143"/>
      <c r="D432" s="143"/>
      <c r="E432" s="143"/>
      <c r="F432" s="143"/>
      <c r="G432" s="143"/>
      <c r="H432" s="143"/>
      <c r="I432" s="143"/>
      <c r="J432" s="143"/>
      <c r="K432" s="143"/>
    </row>
    <row r="433" ht="20.25" spans="1:11">
      <c r="A433" s="143"/>
      <c r="B433" s="143"/>
      <c r="C433" s="143"/>
      <c r="D433" s="143"/>
      <c r="E433" s="143"/>
      <c r="F433" s="143"/>
      <c r="G433" s="143"/>
      <c r="H433" s="143"/>
      <c r="I433" s="143"/>
      <c r="J433" s="143"/>
      <c r="K433" s="143"/>
    </row>
    <row r="434" ht="20.25" spans="1:11">
      <c r="A434" s="143"/>
      <c r="B434" s="143"/>
      <c r="C434" s="143"/>
      <c r="D434" s="143"/>
      <c r="E434" s="143"/>
      <c r="F434" s="143"/>
      <c r="G434" s="143"/>
      <c r="H434" s="143"/>
      <c r="I434" s="143"/>
      <c r="J434" s="143"/>
      <c r="K434" s="143"/>
    </row>
    <row r="435" ht="20.25" spans="1:11">
      <c r="A435" s="143"/>
      <c r="B435" s="143"/>
      <c r="C435" s="143"/>
      <c r="D435" s="143"/>
      <c r="E435" s="143"/>
      <c r="F435" s="143"/>
      <c r="G435" s="143"/>
      <c r="H435" s="143"/>
      <c r="I435" s="143"/>
      <c r="J435" s="143"/>
      <c r="K435" s="143"/>
    </row>
    <row r="436" ht="20.25" spans="1:11">
      <c r="A436" s="143"/>
      <c r="B436" s="143"/>
      <c r="C436" s="143"/>
      <c r="D436" s="143"/>
      <c r="E436" s="143"/>
      <c r="F436" s="143"/>
      <c r="G436" s="143"/>
      <c r="H436" s="143"/>
      <c r="I436" s="143"/>
      <c r="J436" s="143"/>
      <c r="K436" s="143"/>
    </row>
    <row r="437" ht="20.25" spans="1:11">
      <c r="A437" s="143"/>
      <c r="B437" s="143"/>
      <c r="C437" s="143"/>
      <c r="D437" s="143"/>
      <c r="E437" s="143"/>
      <c r="F437" s="143"/>
      <c r="G437" s="143"/>
      <c r="H437" s="143"/>
      <c r="I437" s="143"/>
      <c r="J437" s="143"/>
      <c r="K437" s="143"/>
    </row>
    <row r="438" ht="20.25" spans="1:11">
      <c r="A438" s="143"/>
      <c r="B438" s="143"/>
      <c r="C438" s="143"/>
      <c r="D438" s="143"/>
      <c r="E438" s="143"/>
      <c r="F438" s="143"/>
      <c r="G438" s="143"/>
      <c r="H438" s="143"/>
      <c r="I438" s="143"/>
      <c r="J438" s="143"/>
      <c r="K438" s="143"/>
    </row>
    <row r="439" ht="20.25" spans="1:11">
      <c r="A439" s="143"/>
      <c r="B439" s="143"/>
      <c r="C439" s="143"/>
      <c r="D439" s="143"/>
      <c r="E439" s="143"/>
      <c r="F439" s="143"/>
      <c r="G439" s="143"/>
      <c r="H439" s="143"/>
      <c r="I439" s="143"/>
      <c r="J439" s="143"/>
      <c r="K439" s="143"/>
    </row>
    <row r="440" ht="20.25" spans="1:11">
      <c r="A440" s="143"/>
      <c r="B440" s="143"/>
      <c r="C440" s="143"/>
      <c r="D440" s="143"/>
      <c r="E440" s="143"/>
      <c r="F440" s="143"/>
      <c r="G440" s="143"/>
      <c r="H440" s="143"/>
      <c r="I440" s="143"/>
      <c r="J440" s="143"/>
      <c r="K440" s="143"/>
    </row>
    <row r="441" ht="20.25" spans="1:11">
      <c r="A441" s="143"/>
      <c r="B441" s="143"/>
      <c r="C441" s="143"/>
      <c r="D441" s="143"/>
      <c r="E441" s="143"/>
      <c r="F441" s="143"/>
      <c r="G441" s="143"/>
      <c r="H441" s="143"/>
      <c r="I441" s="143"/>
      <c r="J441" s="143"/>
      <c r="K441" s="143"/>
    </row>
    <row r="442" ht="20.25" spans="1:11">
      <c r="A442" s="143"/>
      <c r="B442" s="143"/>
      <c r="C442" s="143"/>
      <c r="D442" s="143"/>
      <c r="E442" s="143"/>
      <c r="F442" s="143"/>
      <c r="G442" s="143"/>
      <c r="H442" s="143"/>
      <c r="I442" s="143"/>
      <c r="J442" s="143"/>
      <c r="K442" s="143"/>
    </row>
    <row r="443" ht="20.25" spans="1:11">
      <c r="A443" s="143"/>
      <c r="B443" s="143"/>
      <c r="C443" s="143"/>
      <c r="D443" s="143"/>
      <c r="E443" s="143"/>
      <c r="F443" s="143"/>
      <c r="G443" s="143"/>
      <c r="H443" s="143"/>
      <c r="I443" s="143"/>
      <c r="J443" s="143"/>
      <c r="K443" s="143"/>
    </row>
    <row r="444" ht="20.25" spans="1:11">
      <c r="A444" s="143"/>
      <c r="B444" s="143"/>
      <c r="C444" s="143"/>
      <c r="D444" s="143"/>
      <c r="E444" s="143"/>
      <c r="F444" s="143"/>
      <c r="G444" s="143"/>
      <c r="H444" s="143"/>
      <c r="I444" s="143"/>
      <c r="J444" s="143"/>
      <c r="K444" s="143"/>
    </row>
    <row r="445" ht="20.25" spans="1:11">
      <c r="A445" s="143"/>
      <c r="B445" s="143"/>
      <c r="C445" s="143"/>
      <c r="D445" s="143"/>
      <c r="E445" s="143"/>
      <c r="F445" s="143"/>
      <c r="G445" s="143"/>
      <c r="H445" s="143"/>
      <c r="I445" s="143"/>
      <c r="J445" s="143"/>
      <c r="K445" s="143"/>
    </row>
    <row r="446" ht="20.25" spans="1:11">
      <c r="A446" s="143"/>
      <c r="B446" s="143"/>
      <c r="C446" s="143"/>
      <c r="D446" s="143"/>
      <c r="E446" s="143"/>
      <c r="F446" s="143"/>
      <c r="G446" s="143"/>
      <c r="H446" s="143"/>
      <c r="I446" s="143"/>
      <c r="J446" s="143"/>
      <c r="K446" s="143"/>
    </row>
    <row r="447" ht="20.25" spans="1:11">
      <c r="A447" s="143"/>
      <c r="B447" s="143"/>
      <c r="C447" s="143"/>
      <c r="D447" s="143"/>
      <c r="E447" s="143"/>
      <c r="F447" s="143"/>
      <c r="G447" s="143"/>
      <c r="H447" s="143"/>
      <c r="I447" s="143"/>
      <c r="J447" s="143"/>
      <c r="K447" s="143"/>
    </row>
    <row r="448" ht="20.25" spans="1:11">
      <c r="A448" s="143"/>
      <c r="B448" s="143"/>
      <c r="C448" s="143"/>
      <c r="D448" s="143"/>
      <c r="E448" s="143"/>
      <c r="F448" s="143"/>
      <c r="G448" s="143"/>
      <c r="H448" s="143"/>
      <c r="I448" s="143"/>
      <c r="J448" s="143"/>
      <c r="K448" s="143"/>
    </row>
    <row r="449" ht="20.25" spans="1:11">
      <c r="A449" s="143"/>
      <c r="B449" s="143"/>
      <c r="C449" s="143"/>
      <c r="D449" s="143"/>
      <c r="E449" s="143"/>
      <c r="F449" s="143"/>
      <c r="G449" s="143"/>
      <c r="H449" s="143"/>
      <c r="I449" s="143"/>
      <c r="J449" s="143"/>
      <c r="K449" s="143"/>
    </row>
    <row r="450" ht="20.25" spans="1:11">
      <c r="A450" s="143"/>
      <c r="B450" s="143"/>
      <c r="C450" s="143"/>
      <c r="D450" s="143"/>
      <c r="E450" s="143"/>
      <c r="F450" s="143"/>
      <c r="G450" s="143"/>
      <c r="H450" s="143"/>
      <c r="I450" s="143"/>
      <c r="J450" s="143"/>
      <c r="K450" s="143"/>
    </row>
    <row r="451" ht="20.25" spans="1:11">
      <c r="A451" s="143"/>
      <c r="B451" s="143"/>
      <c r="C451" s="143"/>
      <c r="D451" s="143"/>
      <c r="E451" s="143"/>
      <c r="F451" s="143"/>
      <c r="G451" s="143"/>
      <c r="H451" s="143"/>
      <c r="I451" s="143"/>
      <c r="J451" s="143"/>
      <c r="K451" s="143"/>
    </row>
    <row r="452" ht="20.25" spans="1:11">
      <c r="A452" s="143"/>
      <c r="B452" s="143"/>
      <c r="C452" s="143"/>
      <c r="D452" s="143"/>
      <c r="E452" s="143"/>
      <c r="F452" s="143"/>
      <c r="G452" s="143"/>
      <c r="H452" s="143"/>
      <c r="I452" s="143"/>
      <c r="J452" s="143"/>
      <c r="K452" s="143"/>
    </row>
    <row r="453" ht="20.25" spans="1:11">
      <c r="A453" s="143"/>
      <c r="B453" s="143"/>
      <c r="C453" s="143"/>
      <c r="D453" s="143"/>
      <c r="E453" s="143"/>
      <c r="F453" s="143"/>
      <c r="G453" s="143"/>
      <c r="H453" s="143"/>
      <c r="I453" s="143"/>
      <c r="J453" s="143"/>
      <c r="K453" s="143"/>
    </row>
    <row r="454" ht="20.25" spans="1:11">
      <c r="A454" s="143"/>
      <c r="B454" s="143"/>
      <c r="C454" s="143"/>
      <c r="D454" s="143"/>
      <c r="E454" s="143"/>
      <c r="F454" s="143"/>
      <c r="G454" s="143"/>
      <c r="H454" s="143"/>
      <c r="I454" s="143"/>
      <c r="J454" s="143"/>
      <c r="K454" s="143"/>
    </row>
    <row r="455" ht="20.25" spans="1:11">
      <c r="A455" s="143"/>
      <c r="B455" s="143"/>
      <c r="C455" s="143"/>
      <c r="D455" s="143"/>
      <c r="E455" s="143"/>
      <c r="F455" s="143"/>
      <c r="G455" s="143"/>
      <c r="H455" s="143"/>
      <c r="I455" s="143"/>
      <c r="J455" s="143"/>
      <c r="K455" s="143"/>
    </row>
    <row r="456" ht="20.25" spans="1:11">
      <c r="A456" s="143"/>
      <c r="B456" s="143"/>
      <c r="C456" s="143"/>
      <c r="D456" s="143"/>
      <c r="E456" s="143"/>
      <c r="F456" s="143"/>
      <c r="G456" s="143"/>
      <c r="H456" s="143"/>
      <c r="I456" s="143"/>
      <c r="J456" s="143"/>
      <c r="K456" s="143"/>
    </row>
    <row r="457" ht="20.25" spans="1:11">
      <c r="A457" s="143"/>
      <c r="B457" s="143"/>
      <c r="C457" s="143"/>
      <c r="D457" s="143"/>
      <c r="E457" s="143"/>
      <c r="F457" s="143"/>
      <c r="G457" s="143"/>
      <c r="H457" s="143"/>
      <c r="I457" s="143"/>
      <c r="J457" s="143"/>
      <c r="K457" s="143"/>
    </row>
    <row r="458" ht="20.25" spans="1:11">
      <c r="A458" s="143"/>
      <c r="B458" s="143"/>
      <c r="C458" s="143"/>
      <c r="D458" s="143"/>
      <c r="E458" s="143"/>
      <c r="F458" s="143"/>
      <c r="G458" s="143"/>
      <c r="H458" s="143"/>
      <c r="I458" s="143"/>
      <c r="J458" s="143"/>
      <c r="K458" s="143"/>
    </row>
    <row r="459" ht="20.25" spans="1:11">
      <c r="A459" s="143"/>
      <c r="B459" s="143"/>
      <c r="C459" s="143"/>
      <c r="D459" s="143"/>
      <c r="E459" s="143"/>
      <c r="F459" s="143"/>
      <c r="G459" s="143"/>
      <c r="H459" s="143"/>
      <c r="I459" s="143"/>
      <c r="J459" s="143"/>
      <c r="K459" s="143"/>
    </row>
    <row r="460" ht="20.25" spans="1:11">
      <c r="A460" s="143"/>
      <c r="B460" s="143"/>
      <c r="C460" s="143"/>
      <c r="D460" s="143"/>
      <c r="E460" s="143"/>
      <c r="F460" s="143"/>
      <c r="G460" s="143"/>
      <c r="H460" s="143"/>
      <c r="I460" s="143"/>
      <c r="J460" s="143"/>
      <c r="K460" s="143"/>
    </row>
    <row r="461" ht="20.25" spans="1:11">
      <c r="A461" s="143"/>
      <c r="B461" s="143"/>
      <c r="C461" s="143"/>
      <c r="D461" s="143"/>
      <c r="E461" s="143"/>
      <c r="F461" s="143"/>
      <c r="G461" s="143"/>
      <c r="H461" s="143"/>
      <c r="I461" s="143"/>
      <c r="J461" s="143"/>
      <c r="K461" s="143"/>
    </row>
    <row r="462" ht="20.25" spans="1:11">
      <c r="A462" s="143"/>
      <c r="B462" s="143"/>
      <c r="C462" s="143"/>
      <c r="D462" s="143"/>
      <c r="E462" s="143"/>
      <c r="F462" s="143"/>
      <c r="G462" s="143"/>
      <c r="H462" s="143"/>
      <c r="I462" s="143"/>
      <c r="J462" s="143"/>
      <c r="K462" s="143"/>
    </row>
    <row r="463" ht="20.25" spans="1:11">
      <c r="A463" s="143"/>
      <c r="B463" s="143"/>
      <c r="C463" s="143"/>
      <c r="D463" s="143"/>
      <c r="E463" s="143"/>
      <c r="F463" s="143"/>
      <c r="G463" s="143"/>
      <c r="H463" s="143"/>
      <c r="I463" s="143"/>
      <c r="J463" s="143"/>
      <c r="K463" s="143"/>
    </row>
    <row r="464" ht="20.25" spans="1:11">
      <c r="A464" s="143"/>
      <c r="B464" s="143"/>
      <c r="C464" s="143"/>
      <c r="D464" s="143"/>
      <c r="E464" s="143"/>
      <c r="F464" s="143"/>
      <c r="G464" s="143"/>
      <c r="H464" s="143"/>
      <c r="I464" s="143"/>
      <c r="J464" s="143"/>
      <c r="K464" s="143"/>
    </row>
    <row r="465" ht="20.25" spans="1:11">
      <c r="A465" s="143"/>
      <c r="B465" s="143"/>
      <c r="C465" s="143"/>
      <c r="D465" s="143"/>
      <c r="E465" s="143"/>
      <c r="F465" s="143"/>
      <c r="G465" s="143"/>
      <c r="H465" s="143"/>
      <c r="I465" s="143"/>
      <c r="J465" s="143"/>
      <c r="K465" s="143"/>
    </row>
    <row r="466" ht="20.25" spans="1:11">
      <c r="A466" s="143"/>
      <c r="B466" s="143"/>
      <c r="C466" s="143"/>
      <c r="D466" s="143"/>
      <c r="E466" s="143"/>
      <c r="F466" s="143"/>
      <c r="G466" s="143"/>
      <c r="H466" s="143"/>
      <c r="I466" s="143"/>
      <c r="J466" s="143"/>
      <c r="K466" s="143"/>
    </row>
    <row r="467" ht="20.25" spans="1:11">
      <c r="A467" s="143"/>
      <c r="B467" s="143"/>
      <c r="C467" s="143"/>
      <c r="D467" s="143"/>
      <c r="E467" s="143"/>
      <c r="F467" s="143"/>
      <c r="G467" s="143"/>
      <c r="H467" s="143"/>
      <c r="I467" s="143"/>
      <c r="J467" s="143"/>
      <c r="K467" s="143"/>
    </row>
    <row r="468" ht="20.25" spans="1:11">
      <c r="A468" s="143"/>
      <c r="B468" s="143"/>
      <c r="C468" s="143"/>
      <c r="D468" s="143"/>
      <c r="E468" s="143"/>
      <c r="F468" s="143"/>
      <c r="G468" s="143"/>
      <c r="H468" s="143"/>
      <c r="I468" s="143"/>
      <c r="J468" s="143"/>
      <c r="K468" s="143"/>
    </row>
    <row r="469" ht="20.25" spans="1:11">
      <c r="A469" s="143"/>
      <c r="B469" s="143"/>
      <c r="C469" s="143"/>
      <c r="D469" s="143"/>
      <c r="E469" s="143"/>
      <c r="F469" s="143"/>
      <c r="G469" s="143"/>
      <c r="H469" s="143"/>
      <c r="I469" s="143"/>
      <c r="J469" s="143"/>
      <c r="K469" s="143"/>
    </row>
    <row r="470" ht="20.25" spans="1:11">
      <c r="A470" s="143"/>
      <c r="B470" s="143"/>
      <c r="C470" s="143"/>
      <c r="D470" s="143"/>
      <c r="E470" s="143"/>
      <c r="F470" s="143"/>
      <c r="G470" s="143"/>
      <c r="H470" s="143"/>
      <c r="I470" s="143"/>
      <c r="J470" s="143"/>
      <c r="K470" s="143"/>
    </row>
    <row r="471" ht="20.25" spans="1:11">
      <c r="A471" s="143"/>
      <c r="B471" s="143"/>
      <c r="C471" s="143"/>
      <c r="D471" s="143"/>
      <c r="E471" s="143"/>
      <c r="F471" s="143"/>
      <c r="G471" s="143"/>
      <c r="H471" s="143"/>
      <c r="I471" s="143"/>
      <c r="J471" s="143"/>
      <c r="K471" s="143"/>
    </row>
    <row r="472" ht="20.25" spans="1:11">
      <c r="A472" s="143"/>
      <c r="B472" s="143"/>
      <c r="C472" s="143"/>
      <c r="D472" s="143"/>
      <c r="E472" s="143"/>
      <c r="F472" s="143"/>
      <c r="G472" s="143"/>
      <c r="H472" s="143"/>
      <c r="I472" s="143"/>
      <c r="J472" s="143"/>
      <c r="K472" s="143"/>
    </row>
    <row r="473" ht="20.25" spans="1:11">
      <c r="A473" s="143"/>
      <c r="B473" s="143"/>
      <c r="C473" s="143"/>
      <c r="D473" s="143"/>
      <c r="E473" s="143"/>
      <c r="F473" s="143"/>
      <c r="G473" s="143"/>
      <c r="H473" s="143"/>
      <c r="I473" s="143"/>
      <c r="J473" s="143"/>
      <c r="K473" s="143"/>
    </row>
    <row r="474" ht="20.25" spans="1:11">
      <c r="A474" s="143"/>
      <c r="B474" s="143"/>
      <c r="C474" s="143"/>
      <c r="D474" s="143"/>
      <c r="E474" s="143"/>
      <c r="F474" s="143"/>
      <c r="G474" s="143"/>
      <c r="H474" s="143"/>
      <c r="I474" s="143"/>
      <c r="J474" s="143"/>
      <c r="K474" s="143"/>
    </row>
    <row r="475" ht="20.25" spans="1:11">
      <c r="A475" s="143"/>
      <c r="B475" s="143"/>
      <c r="C475" s="143"/>
      <c r="D475" s="143"/>
      <c r="E475" s="143"/>
      <c r="F475" s="143"/>
      <c r="G475" s="143"/>
      <c r="H475" s="143"/>
      <c r="I475" s="143"/>
      <c r="J475" s="143"/>
      <c r="K475" s="143"/>
    </row>
    <row r="476" ht="20.25" spans="1:11">
      <c r="A476" s="143"/>
      <c r="B476" s="143"/>
      <c r="C476" s="143"/>
      <c r="D476" s="143"/>
      <c r="E476" s="143"/>
      <c r="F476" s="143"/>
      <c r="G476" s="143"/>
      <c r="H476" s="143"/>
      <c r="I476" s="143"/>
      <c r="J476" s="143"/>
      <c r="K476" s="143"/>
    </row>
    <row r="477" ht="20.25" spans="1:11">
      <c r="A477" s="143"/>
      <c r="B477" s="143"/>
      <c r="C477" s="143"/>
      <c r="D477" s="143"/>
      <c r="E477" s="143"/>
      <c r="F477" s="143"/>
      <c r="G477" s="143"/>
      <c r="H477" s="143"/>
      <c r="I477" s="143"/>
      <c r="J477" s="143"/>
      <c r="K477" s="143"/>
    </row>
    <row r="478" ht="20.25" spans="1:11">
      <c r="A478" s="143"/>
      <c r="B478" s="143"/>
      <c r="C478" s="143"/>
      <c r="D478" s="143"/>
      <c r="E478" s="143"/>
      <c r="F478" s="143"/>
      <c r="G478" s="143"/>
      <c r="H478" s="143"/>
      <c r="I478" s="143"/>
      <c r="J478" s="143"/>
      <c r="K478" s="143"/>
    </row>
    <row r="479" ht="20.25" spans="1:11">
      <c r="A479" s="143"/>
      <c r="B479" s="143"/>
      <c r="C479" s="143"/>
      <c r="D479" s="143"/>
      <c r="E479" s="143"/>
      <c r="F479" s="143"/>
      <c r="G479" s="143"/>
      <c r="H479" s="143"/>
      <c r="I479" s="143"/>
      <c r="J479" s="143"/>
      <c r="K479" s="143"/>
    </row>
    <row r="480" ht="20.25" spans="1:11">
      <c r="A480" s="143"/>
      <c r="B480" s="143"/>
      <c r="C480" s="143"/>
      <c r="D480" s="143"/>
      <c r="E480" s="143"/>
      <c r="F480" s="143"/>
      <c r="G480" s="143"/>
      <c r="H480" s="143"/>
      <c r="I480" s="143"/>
      <c r="J480" s="143"/>
      <c r="K480" s="143"/>
    </row>
    <row r="481" ht="20.25" spans="1:11">
      <c r="A481" s="143"/>
      <c r="B481" s="143"/>
      <c r="C481" s="143"/>
      <c r="D481" s="143"/>
      <c r="E481" s="143"/>
      <c r="F481" s="143"/>
      <c r="G481" s="143"/>
      <c r="H481" s="143"/>
      <c r="I481" s="143"/>
      <c r="J481" s="143"/>
      <c r="K481" s="143"/>
    </row>
    <row r="482" ht="20.25" spans="1:11">
      <c r="A482" s="143"/>
      <c r="B482" s="143"/>
      <c r="C482" s="143"/>
      <c r="D482" s="143"/>
      <c r="E482" s="143"/>
      <c r="F482" s="143"/>
      <c r="G482" s="143"/>
      <c r="H482" s="143"/>
      <c r="I482" s="143"/>
      <c r="J482" s="143"/>
      <c r="K482" s="143"/>
    </row>
    <row r="483" ht="20.25" spans="1:11">
      <c r="A483" s="143"/>
      <c r="B483" s="143"/>
      <c r="C483" s="143"/>
      <c r="D483" s="143"/>
      <c r="E483" s="143"/>
      <c r="F483" s="143"/>
      <c r="G483" s="143"/>
      <c r="H483" s="143"/>
      <c r="I483" s="143"/>
      <c r="J483" s="143"/>
      <c r="K483" s="143"/>
    </row>
    <row r="484" ht="20.25" spans="1:11">
      <c r="A484" s="143"/>
      <c r="B484" s="143"/>
      <c r="C484" s="143"/>
      <c r="D484" s="143"/>
      <c r="E484" s="143"/>
      <c r="F484" s="143"/>
      <c r="G484" s="143"/>
      <c r="H484" s="143"/>
      <c r="I484" s="143"/>
      <c r="J484" s="143"/>
      <c r="K484" s="143"/>
    </row>
    <row r="485" ht="20.25" spans="1:11">
      <c r="A485" s="143"/>
      <c r="B485" s="143"/>
      <c r="C485" s="143"/>
      <c r="D485" s="143"/>
      <c r="E485" s="143"/>
      <c r="F485" s="143"/>
      <c r="G485" s="143"/>
      <c r="H485" s="143"/>
      <c r="I485" s="143"/>
      <c r="J485" s="143"/>
      <c r="K485" s="143"/>
    </row>
    <row r="486" ht="20.25" spans="1:11">
      <c r="A486" s="143"/>
      <c r="B486" s="143"/>
      <c r="C486" s="143"/>
      <c r="D486" s="143"/>
      <c r="E486" s="143"/>
      <c r="F486" s="143"/>
      <c r="G486" s="143"/>
      <c r="H486" s="143"/>
      <c r="I486" s="143"/>
      <c r="J486" s="143"/>
      <c r="K486" s="143"/>
    </row>
    <row r="487" ht="20.25" spans="1:11">
      <c r="A487" s="143"/>
      <c r="B487" s="143"/>
      <c r="C487" s="143"/>
      <c r="D487" s="143"/>
      <c r="E487" s="143"/>
      <c r="F487" s="143"/>
      <c r="G487" s="143"/>
      <c r="H487" s="143"/>
      <c r="I487" s="143"/>
      <c r="J487" s="143"/>
      <c r="K487" s="143"/>
    </row>
    <row r="488" ht="20.25" spans="1:11">
      <c r="A488" s="143"/>
      <c r="B488" s="143"/>
      <c r="C488" s="143"/>
      <c r="D488" s="143"/>
      <c r="E488" s="143"/>
      <c r="F488" s="143"/>
      <c r="G488" s="143"/>
      <c r="H488" s="143"/>
      <c r="I488" s="143"/>
      <c r="J488" s="143"/>
      <c r="K488" s="143"/>
    </row>
    <row r="489" ht="20.25" spans="1:11">
      <c r="A489" s="143"/>
      <c r="B489" s="143"/>
      <c r="C489" s="143"/>
      <c r="D489" s="143"/>
      <c r="E489" s="143"/>
      <c r="F489" s="143"/>
      <c r="G489" s="143"/>
      <c r="H489" s="143"/>
      <c r="I489" s="143"/>
      <c r="J489" s="143"/>
      <c r="K489" s="143"/>
    </row>
    <row r="490" ht="20.25" spans="1:11">
      <c r="A490" s="143"/>
      <c r="B490" s="143"/>
      <c r="C490" s="143"/>
      <c r="D490" s="143"/>
      <c r="E490" s="143"/>
      <c r="F490" s="143"/>
      <c r="G490" s="143"/>
      <c r="H490" s="143"/>
      <c r="I490" s="143"/>
      <c r="J490" s="143"/>
      <c r="K490" s="143"/>
    </row>
    <row r="491" ht="20.25" spans="1:11">
      <c r="A491" s="143"/>
      <c r="B491" s="143"/>
      <c r="C491" s="143"/>
      <c r="D491" s="143"/>
      <c r="E491" s="143"/>
      <c r="F491" s="143"/>
      <c r="G491" s="143"/>
      <c r="H491" s="143"/>
      <c r="I491" s="143"/>
      <c r="J491" s="143"/>
      <c r="K491" s="143"/>
    </row>
    <row r="492" ht="20.25" spans="1:11">
      <c r="A492" s="143"/>
      <c r="B492" s="143"/>
      <c r="C492" s="143"/>
      <c r="D492" s="143"/>
      <c r="E492" s="143"/>
      <c r="F492" s="143"/>
      <c r="G492" s="143"/>
      <c r="H492" s="143"/>
      <c r="I492" s="143"/>
      <c r="J492" s="143"/>
      <c r="K492" s="143"/>
    </row>
    <row r="493" ht="20.25" spans="1:11">
      <c r="A493" s="143"/>
      <c r="B493" s="143"/>
      <c r="C493" s="143"/>
      <c r="D493" s="143"/>
      <c r="E493" s="143"/>
      <c r="F493" s="143"/>
      <c r="G493" s="143"/>
      <c r="H493" s="143"/>
      <c r="I493" s="143"/>
      <c r="J493" s="143"/>
      <c r="K493" s="143"/>
    </row>
    <row r="494" ht="20.25" spans="1:11">
      <c r="A494" s="143"/>
      <c r="B494" s="143"/>
      <c r="C494" s="143"/>
      <c r="D494" s="143"/>
      <c r="E494" s="143"/>
      <c r="F494" s="143"/>
      <c r="G494" s="143"/>
      <c r="H494" s="143"/>
      <c r="I494" s="143"/>
      <c r="J494" s="143"/>
      <c r="K494" s="143"/>
    </row>
    <row r="495" ht="20.25" spans="1:11">
      <c r="A495" s="143"/>
      <c r="B495" s="143"/>
      <c r="C495" s="143"/>
      <c r="D495" s="143"/>
      <c r="E495" s="143"/>
      <c r="F495" s="143"/>
      <c r="G495" s="143"/>
      <c r="H495" s="143"/>
      <c r="I495" s="143"/>
      <c r="J495" s="143"/>
      <c r="K495" s="143"/>
    </row>
    <row r="496" ht="20.25" spans="1:11">
      <c r="A496" s="143"/>
      <c r="B496" s="143"/>
      <c r="C496" s="143"/>
      <c r="D496" s="143"/>
      <c r="E496" s="143"/>
      <c r="F496" s="143"/>
      <c r="G496" s="143"/>
      <c r="H496" s="143"/>
      <c r="I496" s="143"/>
      <c r="J496" s="143"/>
      <c r="K496" s="143"/>
    </row>
    <row r="497" ht="20.25" spans="1:11">
      <c r="A497" s="143"/>
      <c r="B497" s="143"/>
      <c r="C497" s="143"/>
      <c r="D497" s="143"/>
      <c r="E497" s="143"/>
      <c r="F497" s="143"/>
      <c r="G497" s="143"/>
      <c r="H497" s="143"/>
      <c r="I497" s="143"/>
      <c r="J497" s="143"/>
      <c r="K497" s="143"/>
    </row>
    <row r="498" ht="20.25" spans="1:11">
      <c r="A498" s="143"/>
      <c r="B498" s="143"/>
      <c r="C498" s="143"/>
      <c r="D498" s="143"/>
      <c r="E498" s="143"/>
      <c r="F498" s="143"/>
      <c r="G498" s="143"/>
      <c r="H498" s="143"/>
      <c r="I498" s="143"/>
      <c r="J498" s="143"/>
      <c r="K498" s="143"/>
    </row>
    <row r="499" ht="20.25" spans="1:11">
      <c r="A499" s="143"/>
      <c r="B499" s="143"/>
      <c r="C499" s="143"/>
      <c r="D499" s="143"/>
      <c r="E499" s="143"/>
      <c r="F499" s="143"/>
      <c r="G499" s="143"/>
      <c r="H499" s="143"/>
      <c r="I499" s="143"/>
      <c r="J499" s="143"/>
      <c r="K499" s="143"/>
    </row>
    <row r="500" ht="20.25" spans="1:11">
      <c r="A500" s="143"/>
      <c r="B500" s="143"/>
      <c r="C500" s="143"/>
      <c r="D500" s="143"/>
      <c r="E500" s="143"/>
      <c r="F500" s="143"/>
      <c r="G500" s="143"/>
      <c r="H500" s="143"/>
      <c r="I500" s="143"/>
      <c r="J500" s="143"/>
      <c r="K500" s="143"/>
    </row>
    <row r="501" ht="20.25" spans="1:11">
      <c r="A501" s="143"/>
      <c r="B501" s="143"/>
      <c r="C501" s="143"/>
      <c r="D501" s="143"/>
      <c r="E501" s="143"/>
      <c r="F501" s="143"/>
      <c r="G501" s="143"/>
      <c r="H501" s="143"/>
      <c r="I501" s="143"/>
      <c r="J501" s="143"/>
      <c r="K501" s="143"/>
    </row>
    <row r="502" ht="20.25" spans="1:11">
      <c r="A502" s="143"/>
      <c r="B502" s="143"/>
      <c r="C502" s="143"/>
      <c r="D502" s="143"/>
      <c r="E502" s="143"/>
      <c r="F502" s="143"/>
      <c r="G502" s="143"/>
      <c r="H502" s="143"/>
      <c r="I502" s="143"/>
      <c r="J502" s="143"/>
      <c r="K502" s="143"/>
    </row>
    <row r="503" ht="20.25" spans="1:11">
      <c r="A503" s="143"/>
      <c r="B503" s="143"/>
      <c r="C503" s="143"/>
      <c r="D503" s="143"/>
      <c r="E503" s="143"/>
      <c r="F503" s="143"/>
      <c r="G503" s="143"/>
      <c r="H503" s="143"/>
      <c r="I503" s="143"/>
      <c r="J503" s="143"/>
      <c r="K503" s="143"/>
    </row>
    <row r="504" ht="20.25" spans="1:11">
      <c r="A504" s="143"/>
      <c r="B504" s="143"/>
      <c r="C504" s="143"/>
      <c r="D504" s="143"/>
      <c r="E504" s="143"/>
      <c r="F504" s="143"/>
      <c r="G504" s="143"/>
      <c r="H504" s="143"/>
      <c r="I504" s="143"/>
      <c r="J504" s="143"/>
      <c r="K504" s="143"/>
    </row>
    <row r="505" ht="20.25" spans="1:11">
      <c r="A505" s="143"/>
      <c r="B505" s="143"/>
      <c r="C505" s="143"/>
      <c r="D505" s="143"/>
      <c r="E505" s="143"/>
      <c r="F505" s="143"/>
      <c r="G505" s="143"/>
      <c r="H505" s="143"/>
      <c r="I505" s="143"/>
      <c r="J505" s="143"/>
      <c r="K505" s="143"/>
    </row>
    <row r="506" ht="20.25" spans="1:11">
      <c r="A506" s="143"/>
      <c r="B506" s="143"/>
      <c r="C506" s="143"/>
      <c r="D506" s="143"/>
      <c r="E506" s="143"/>
      <c r="F506" s="143"/>
      <c r="G506" s="143"/>
      <c r="H506" s="143"/>
      <c r="I506" s="143"/>
      <c r="J506" s="143"/>
      <c r="K506" s="143"/>
    </row>
    <row r="507" ht="20.25" spans="1:11">
      <c r="A507" s="143"/>
      <c r="B507" s="143"/>
      <c r="C507" s="143"/>
      <c r="D507" s="143"/>
      <c r="E507" s="143"/>
      <c r="F507" s="143"/>
      <c r="G507" s="143"/>
      <c r="H507" s="143"/>
      <c r="I507" s="143"/>
      <c r="J507" s="143"/>
      <c r="K507" s="143"/>
    </row>
    <row r="508" ht="20.25" spans="1:11">
      <c r="A508" s="143"/>
      <c r="B508" s="143"/>
      <c r="C508" s="143"/>
      <c r="D508" s="143"/>
      <c r="E508" s="143"/>
      <c r="F508" s="143"/>
      <c r="G508" s="143"/>
      <c r="H508" s="143"/>
      <c r="I508" s="143"/>
      <c r="J508" s="143"/>
      <c r="K508" s="143"/>
    </row>
    <row r="509" ht="20.25" spans="1:11">
      <c r="A509" s="143"/>
      <c r="B509" s="143"/>
      <c r="C509" s="143"/>
      <c r="D509" s="143"/>
      <c r="E509" s="143"/>
      <c r="F509" s="143"/>
      <c r="G509" s="143"/>
      <c r="H509" s="143"/>
      <c r="I509" s="143"/>
      <c r="J509" s="143"/>
      <c r="K509" s="143"/>
    </row>
    <row r="510" ht="20.25" spans="1:11">
      <c r="A510" s="143"/>
      <c r="B510" s="143"/>
      <c r="C510" s="143"/>
      <c r="D510" s="143"/>
      <c r="E510" s="143"/>
      <c r="F510" s="143"/>
      <c r="G510" s="143"/>
      <c r="H510" s="143"/>
      <c r="I510" s="143"/>
      <c r="J510" s="143"/>
      <c r="K510" s="143"/>
    </row>
    <row r="511" ht="20.25" spans="1:11">
      <c r="A511" s="143"/>
      <c r="B511" s="143"/>
      <c r="C511" s="143"/>
      <c r="D511" s="143"/>
      <c r="E511" s="143"/>
      <c r="F511" s="143"/>
      <c r="G511" s="143"/>
      <c r="H511" s="143"/>
      <c r="I511" s="143"/>
      <c r="J511" s="143"/>
      <c r="K511" s="143"/>
    </row>
    <row r="512" ht="20.25" spans="1:11">
      <c r="A512" s="143"/>
      <c r="B512" s="143"/>
      <c r="C512" s="143"/>
      <c r="D512" s="143"/>
      <c r="E512" s="143"/>
      <c r="F512" s="143"/>
      <c r="G512" s="143"/>
      <c r="H512" s="143"/>
      <c r="I512" s="143"/>
      <c r="J512" s="143"/>
      <c r="K512" s="143"/>
    </row>
    <row r="513" ht="20.25" spans="1:11">
      <c r="A513" s="143"/>
      <c r="B513" s="143"/>
      <c r="C513" s="143"/>
      <c r="D513" s="143"/>
      <c r="E513" s="143"/>
      <c r="F513" s="143"/>
      <c r="G513" s="143"/>
      <c r="H513" s="143"/>
      <c r="I513" s="143"/>
      <c r="J513" s="143"/>
      <c r="K513" s="143"/>
    </row>
    <row r="514" ht="20.25" spans="1:11">
      <c r="A514" s="143"/>
      <c r="B514" s="143"/>
      <c r="C514" s="143"/>
      <c r="D514" s="143"/>
      <c r="E514" s="143"/>
      <c r="F514" s="143"/>
      <c r="G514" s="143"/>
      <c r="H514" s="143"/>
      <c r="I514" s="143"/>
      <c r="J514" s="143"/>
      <c r="K514" s="143"/>
    </row>
    <row r="515" ht="20.25" spans="1:11">
      <c r="A515" s="143"/>
      <c r="B515" s="143"/>
      <c r="C515" s="143"/>
      <c r="D515" s="143"/>
      <c r="E515" s="143"/>
      <c r="F515" s="143"/>
      <c r="G515" s="143"/>
      <c r="H515" s="143"/>
      <c r="I515" s="143"/>
      <c r="J515" s="143"/>
      <c r="K515" s="143"/>
    </row>
    <row r="516" ht="20.25" spans="1:11">
      <c r="A516" s="143"/>
      <c r="B516" s="143"/>
      <c r="C516" s="143"/>
      <c r="D516" s="143"/>
      <c r="E516" s="143"/>
      <c r="F516" s="143"/>
      <c r="G516" s="143"/>
      <c r="H516" s="143"/>
      <c r="I516" s="143"/>
      <c r="J516" s="143"/>
      <c r="K516" s="143"/>
    </row>
    <row r="517" ht="20.25" spans="1:11">
      <c r="A517" s="143"/>
      <c r="B517" s="143"/>
      <c r="C517" s="143"/>
      <c r="D517" s="143"/>
      <c r="E517" s="143"/>
      <c r="F517" s="143"/>
      <c r="G517" s="143"/>
      <c r="H517" s="143"/>
      <c r="I517" s="143"/>
      <c r="J517" s="143"/>
      <c r="K517" s="143"/>
    </row>
    <row r="518" ht="20.25" spans="1:11">
      <c r="A518" s="143"/>
      <c r="B518" s="143"/>
      <c r="C518" s="143"/>
      <c r="D518" s="143"/>
      <c r="E518" s="143"/>
      <c r="F518" s="143"/>
      <c r="G518" s="143"/>
      <c r="H518" s="143"/>
      <c r="I518" s="143"/>
      <c r="J518" s="143"/>
      <c r="K518" s="143"/>
    </row>
    <row r="519" ht="20.25" spans="1:11">
      <c r="A519" s="143"/>
      <c r="B519" s="143"/>
      <c r="C519" s="143"/>
      <c r="D519" s="143"/>
      <c r="E519" s="143"/>
      <c r="F519" s="143"/>
      <c r="G519" s="143"/>
      <c r="H519" s="143"/>
      <c r="I519" s="143"/>
      <c r="J519" s="143"/>
      <c r="K519" s="143"/>
    </row>
    <row r="520" ht="20.25" spans="1:11">
      <c r="A520" s="143"/>
      <c r="B520" s="143"/>
      <c r="C520" s="143"/>
      <c r="D520" s="143"/>
      <c r="E520" s="143"/>
      <c r="F520" s="143"/>
      <c r="G520" s="143"/>
      <c r="H520" s="143"/>
      <c r="I520" s="143"/>
      <c r="J520" s="143"/>
      <c r="K520" s="143"/>
    </row>
    <row r="521" ht="20.25" spans="1:11">
      <c r="A521" s="143"/>
      <c r="B521" s="143"/>
      <c r="C521" s="143"/>
      <c r="D521" s="143"/>
      <c r="E521" s="143"/>
      <c r="F521" s="143"/>
      <c r="G521" s="143"/>
      <c r="H521" s="143"/>
      <c r="I521" s="143"/>
      <c r="J521" s="143"/>
      <c r="K521" s="143"/>
    </row>
    <row r="522" ht="20.25" spans="1:11">
      <c r="A522" s="143"/>
      <c r="B522" s="143"/>
      <c r="C522" s="143"/>
      <c r="D522" s="143"/>
      <c r="E522" s="143"/>
      <c r="F522" s="143"/>
      <c r="G522" s="143"/>
      <c r="H522" s="143"/>
      <c r="I522" s="143"/>
      <c r="J522" s="143"/>
      <c r="K522" s="143"/>
    </row>
    <row r="523" ht="20.25" spans="1:11">
      <c r="A523" s="143"/>
      <c r="B523" s="143"/>
      <c r="C523" s="143"/>
      <c r="D523" s="143"/>
      <c r="E523" s="143"/>
      <c r="F523" s="143"/>
      <c r="G523" s="143"/>
      <c r="H523" s="143"/>
      <c r="I523" s="143"/>
      <c r="J523" s="143"/>
      <c r="K523" s="143"/>
    </row>
    <row r="524" ht="20.25" spans="1:11">
      <c r="A524" s="143"/>
      <c r="B524" s="143"/>
      <c r="C524" s="143"/>
      <c r="D524" s="143"/>
      <c r="E524" s="143"/>
      <c r="F524" s="143"/>
      <c r="G524" s="143"/>
      <c r="H524" s="143"/>
      <c r="I524" s="143"/>
      <c r="J524" s="143"/>
      <c r="K524" s="143"/>
    </row>
    <row r="525" ht="20.25" spans="1:11">
      <c r="A525" s="143"/>
      <c r="B525" s="143"/>
      <c r="C525" s="143"/>
      <c r="D525" s="143"/>
      <c r="E525" s="143"/>
      <c r="F525" s="143"/>
      <c r="G525" s="143"/>
      <c r="H525" s="143"/>
      <c r="I525" s="143"/>
      <c r="J525" s="143"/>
      <c r="K525" s="143"/>
    </row>
    <row r="526" ht="20.25" spans="1:11">
      <c r="A526" s="143"/>
      <c r="B526" s="143"/>
      <c r="C526" s="143"/>
      <c r="D526" s="143"/>
      <c r="E526" s="143"/>
      <c r="F526" s="143"/>
      <c r="G526" s="143"/>
      <c r="H526" s="143"/>
      <c r="I526" s="143"/>
      <c r="J526" s="143"/>
      <c r="K526" s="143"/>
    </row>
    <row r="527" ht="20.25" spans="1:11">
      <c r="A527" s="143"/>
      <c r="B527" s="143"/>
      <c r="C527" s="143"/>
      <c r="D527" s="143"/>
      <c r="E527" s="143"/>
      <c r="F527" s="143"/>
      <c r="G527" s="143"/>
      <c r="H527" s="143"/>
      <c r="I527" s="143"/>
      <c r="J527" s="143"/>
      <c r="K527" s="143"/>
    </row>
    <row r="528" ht="20.25" spans="1:11">
      <c r="A528" s="143"/>
      <c r="B528" s="143"/>
      <c r="C528" s="143"/>
      <c r="D528" s="143"/>
      <c r="E528" s="143"/>
      <c r="F528" s="143"/>
      <c r="G528" s="143"/>
      <c r="H528" s="143"/>
      <c r="I528" s="143"/>
      <c r="J528" s="143"/>
      <c r="K528" s="143"/>
    </row>
    <row r="529" ht="20.25" spans="1:11">
      <c r="A529" s="143"/>
      <c r="B529" s="143"/>
      <c r="C529" s="143"/>
      <c r="D529" s="143"/>
      <c r="E529" s="143"/>
      <c r="F529" s="143"/>
      <c r="G529" s="143"/>
      <c r="H529" s="143"/>
      <c r="I529" s="143"/>
      <c r="J529" s="143"/>
      <c r="K529" s="143"/>
    </row>
    <row r="530" ht="20.25" spans="1:11">
      <c r="A530" s="143"/>
      <c r="B530" s="143"/>
      <c r="C530" s="143"/>
      <c r="D530" s="143"/>
      <c r="E530" s="143"/>
      <c r="F530" s="143"/>
      <c r="G530" s="143"/>
      <c r="H530" s="143"/>
      <c r="I530" s="143"/>
      <c r="J530" s="143"/>
      <c r="K530" s="143"/>
    </row>
    <row r="531" ht="20.25" spans="1:11">
      <c r="A531" s="143"/>
      <c r="B531" s="143"/>
      <c r="C531" s="143"/>
      <c r="D531" s="143"/>
      <c r="E531" s="143"/>
      <c r="F531" s="143"/>
      <c r="G531" s="143"/>
      <c r="H531" s="143"/>
      <c r="I531" s="143"/>
      <c r="J531" s="143"/>
      <c r="K531" s="143"/>
    </row>
    <row r="532" ht="20.25" spans="1:11">
      <c r="A532" s="143"/>
      <c r="B532" s="143"/>
      <c r="C532" s="143"/>
      <c r="D532" s="143"/>
      <c r="E532" s="143"/>
      <c r="F532" s="143"/>
      <c r="G532" s="143"/>
      <c r="H532" s="143"/>
      <c r="I532" s="143"/>
      <c r="J532" s="143"/>
      <c r="K532" s="143"/>
    </row>
    <row r="533" ht="20.25" spans="1:11">
      <c r="A533" s="143"/>
      <c r="B533" s="143"/>
      <c r="C533" s="143"/>
      <c r="D533" s="143"/>
      <c r="E533" s="143"/>
      <c r="F533" s="143"/>
      <c r="G533" s="143"/>
      <c r="H533" s="143"/>
      <c r="I533" s="143"/>
      <c r="J533" s="143"/>
      <c r="K533" s="143"/>
    </row>
    <row r="534" ht="20.25" spans="1:11">
      <c r="A534" s="143"/>
      <c r="B534" s="143"/>
      <c r="C534" s="143"/>
      <c r="D534" s="143"/>
      <c r="E534" s="143"/>
      <c r="F534" s="143"/>
      <c r="G534" s="143"/>
      <c r="H534" s="143"/>
      <c r="I534" s="143"/>
      <c r="J534" s="143"/>
      <c r="K534" s="143"/>
    </row>
    <row r="535" ht="20.25" spans="1:11">
      <c r="A535" s="143"/>
      <c r="B535" s="143"/>
      <c r="C535" s="143"/>
      <c r="D535" s="143"/>
      <c r="E535" s="143"/>
      <c r="F535" s="143"/>
      <c r="G535" s="143"/>
      <c r="H535" s="143"/>
      <c r="I535" s="143"/>
      <c r="J535" s="143"/>
      <c r="K535" s="143"/>
    </row>
    <row r="536" ht="20.25" spans="1:11">
      <c r="A536" s="143"/>
      <c r="B536" s="143"/>
      <c r="C536" s="143"/>
      <c r="D536" s="143"/>
      <c r="E536" s="143"/>
      <c r="F536" s="143"/>
      <c r="G536" s="143"/>
      <c r="H536" s="143"/>
      <c r="I536" s="143"/>
      <c r="J536" s="143"/>
      <c r="K536" s="143"/>
    </row>
    <row r="537" ht="20.25" spans="1:11">
      <c r="A537" s="143"/>
      <c r="B537" s="143"/>
      <c r="C537" s="143"/>
      <c r="D537" s="143"/>
      <c r="E537" s="143"/>
      <c r="F537" s="143"/>
      <c r="G537" s="143"/>
      <c r="H537" s="143"/>
      <c r="I537" s="143"/>
      <c r="J537" s="143"/>
      <c r="K537" s="143"/>
    </row>
    <row r="538" ht="20.25" spans="1:11">
      <c r="A538" s="143"/>
      <c r="B538" s="143"/>
      <c r="C538" s="143"/>
      <c r="D538" s="143"/>
      <c r="E538" s="143"/>
      <c r="F538" s="143"/>
      <c r="G538" s="143"/>
      <c r="H538" s="143"/>
      <c r="I538" s="143"/>
      <c r="J538" s="143"/>
      <c r="K538" s="143"/>
    </row>
    <row r="539" ht="20.25" spans="1:11">
      <c r="A539" s="143"/>
      <c r="B539" s="143"/>
      <c r="C539" s="143"/>
      <c r="D539" s="143"/>
      <c r="E539" s="143"/>
      <c r="F539" s="143"/>
      <c r="G539" s="143"/>
      <c r="H539" s="143"/>
      <c r="I539" s="143"/>
      <c r="J539" s="143"/>
      <c r="K539" s="143"/>
    </row>
    <row r="540" ht="20.25" spans="1:11">
      <c r="A540" s="143"/>
      <c r="B540" s="143"/>
      <c r="C540" s="143"/>
      <c r="D540" s="143"/>
      <c r="E540" s="143"/>
      <c r="F540" s="143"/>
      <c r="G540" s="143"/>
      <c r="H540" s="143"/>
      <c r="I540" s="143"/>
      <c r="J540" s="143"/>
      <c r="K540" s="143"/>
    </row>
    <row r="541" ht="20.25" spans="1:11">
      <c r="A541" s="143"/>
      <c r="B541" s="143"/>
      <c r="C541" s="143"/>
      <c r="D541" s="143"/>
      <c r="E541" s="143"/>
      <c r="F541" s="143"/>
      <c r="G541" s="143"/>
      <c r="H541" s="143"/>
      <c r="I541" s="143"/>
      <c r="J541" s="143"/>
      <c r="K541" s="143"/>
    </row>
    <row r="542" ht="20.25" spans="1:11">
      <c r="A542" s="143"/>
      <c r="B542" s="143"/>
      <c r="C542" s="143"/>
      <c r="D542" s="143"/>
      <c r="E542" s="143"/>
      <c r="F542" s="143"/>
      <c r="G542" s="143"/>
      <c r="H542" s="143"/>
      <c r="I542" s="143"/>
      <c r="J542" s="143"/>
      <c r="K542" s="143"/>
    </row>
    <row r="543" ht="20.25" spans="1:11">
      <c r="A543" s="143"/>
      <c r="B543" s="143"/>
      <c r="C543" s="143"/>
      <c r="D543" s="143"/>
      <c r="E543" s="143"/>
      <c r="F543" s="143"/>
      <c r="G543" s="143"/>
      <c r="H543" s="143"/>
      <c r="I543" s="143"/>
      <c r="J543" s="143"/>
      <c r="K543" s="143"/>
    </row>
    <row r="544" ht="20.25" spans="1:11">
      <c r="A544" s="143"/>
      <c r="B544" s="143"/>
      <c r="C544" s="143"/>
      <c r="D544" s="143"/>
      <c r="E544" s="143"/>
      <c r="F544" s="143"/>
      <c r="G544" s="143"/>
      <c r="H544" s="143"/>
      <c r="I544" s="143"/>
      <c r="J544" s="143"/>
      <c r="K544" s="143"/>
    </row>
    <row r="545" ht="20.25" spans="1:11">
      <c r="A545" s="143"/>
      <c r="B545" s="143"/>
      <c r="C545" s="143"/>
      <c r="D545" s="143"/>
      <c r="E545" s="143"/>
      <c r="F545" s="143"/>
      <c r="G545" s="143"/>
      <c r="H545" s="143"/>
      <c r="I545" s="143"/>
      <c r="J545" s="143"/>
      <c r="K545" s="143"/>
    </row>
    <row r="546" ht="20.25" spans="1:11">
      <c r="A546" s="143"/>
      <c r="B546" s="143"/>
      <c r="C546" s="143"/>
      <c r="D546" s="143"/>
      <c r="E546" s="143"/>
      <c r="F546" s="143"/>
      <c r="G546" s="143"/>
      <c r="H546" s="143"/>
      <c r="I546" s="143"/>
      <c r="J546" s="143"/>
      <c r="K546" s="143"/>
    </row>
    <row r="547" ht="20.25" spans="1:11">
      <c r="A547" s="143"/>
      <c r="B547" s="143"/>
      <c r="C547" s="143"/>
      <c r="D547" s="143"/>
      <c r="E547" s="143"/>
      <c r="F547" s="143"/>
      <c r="G547" s="143"/>
      <c r="H547" s="143"/>
      <c r="I547" s="143"/>
      <c r="J547" s="143"/>
      <c r="K547" s="143"/>
    </row>
    <row r="548" ht="20.25" spans="1:11">
      <c r="A548" s="143"/>
      <c r="B548" s="143"/>
      <c r="C548" s="143"/>
      <c r="D548" s="143"/>
      <c r="E548" s="143"/>
      <c r="F548" s="143"/>
      <c r="G548" s="143"/>
      <c r="H548" s="143"/>
      <c r="I548" s="143"/>
      <c r="J548" s="143"/>
      <c r="K548" s="143"/>
    </row>
    <row r="549" ht="20.25" spans="1:11">
      <c r="A549" s="143"/>
      <c r="B549" s="143"/>
      <c r="C549" s="143"/>
      <c r="D549" s="143"/>
      <c r="E549" s="143"/>
      <c r="F549" s="143"/>
      <c r="G549" s="143"/>
      <c r="H549" s="143"/>
      <c r="I549" s="143"/>
      <c r="J549" s="143"/>
      <c r="K549" s="143"/>
    </row>
    <row r="550" ht="20.25" spans="1:11">
      <c r="A550" s="143"/>
      <c r="B550" s="143"/>
      <c r="C550" s="143"/>
      <c r="D550" s="143"/>
      <c r="E550" s="143"/>
      <c r="F550" s="143"/>
      <c r="G550" s="143"/>
      <c r="H550" s="143"/>
      <c r="I550" s="143"/>
      <c r="J550" s="143"/>
      <c r="K550" s="143"/>
    </row>
    <row r="551" ht="20.25" spans="1:11">
      <c r="A551" s="143"/>
      <c r="B551" s="143"/>
      <c r="C551" s="143"/>
      <c r="D551" s="143"/>
      <c r="E551" s="143"/>
      <c r="F551" s="143"/>
      <c r="G551" s="143"/>
      <c r="H551" s="143"/>
      <c r="I551" s="143"/>
      <c r="J551" s="143"/>
      <c r="K551" s="143"/>
    </row>
    <row r="552" ht="20.25" spans="1:11">
      <c r="A552" s="143"/>
      <c r="B552" s="143"/>
      <c r="C552" s="143"/>
      <c r="D552" s="143"/>
      <c r="E552" s="143"/>
      <c r="F552" s="143"/>
      <c r="G552" s="143"/>
      <c r="H552" s="143"/>
      <c r="I552" s="143"/>
      <c r="J552" s="143"/>
      <c r="K552" s="143"/>
    </row>
    <row r="553" ht="20.25" spans="1:11">
      <c r="A553" s="143"/>
      <c r="B553" s="143"/>
      <c r="C553" s="143"/>
      <c r="D553" s="143"/>
      <c r="E553" s="143"/>
      <c r="F553" s="143"/>
      <c r="G553" s="143"/>
      <c r="H553" s="143"/>
      <c r="I553" s="143"/>
      <c r="J553" s="143"/>
      <c r="K553" s="143"/>
    </row>
    <row r="554" ht="20.25" spans="1:11">
      <c r="A554" s="143"/>
      <c r="B554" s="143"/>
      <c r="C554" s="143"/>
      <c r="D554" s="143"/>
      <c r="E554" s="143"/>
      <c r="F554" s="143"/>
      <c r="G554" s="143"/>
      <c r="H554" s="143"/>
      <c r="I554" s="143"/>
      <c r="J554" s="143"/>
      <c r="K554" s="143"/>
    </row>
    <row r="555" ht="20.25" spans="1:11">
      <c r="A555" s="143"/>
      <c r="B555" s="143"/>
      <c r="C555" s="143"/>
      <c r="D555" s="143"/>
      <c r="E555" s="143"/>
      <c r="F555" s="143"/>
      <c r="G555" s="143"/>
      <c r="H555" s="143"/>
      <c r="I555" s="143"/>
      <c r="J555" s="143"/>
      <c r="K555" s="143"/>
    </row>
    <row r="556" ht="20.25" spans="1:11">
      <c r="A556" s="143"/>
      <c r="B556" s="143"/>
      <c r="C556" s="143"/>
      <c r="D556" s="143"/>
      <c r="E556" s="143"/>
      <c r="F556" s="143"/>
      <c r="G556" s="143"/>
      <c r="H556" s="143"/>
      <c r="I556" s="143"/>
      <c r="J556" s="143"/>
      <c r="K556" s="143"/>
    </row>
    <row r="557" ht="20.25" spans="1:11">
      <c r="A557" s="143"/>
      <c r="B557" s="143"/>
      <c r="C557" s="143"/>
      <c r="D557" s="143"/>
      <c r="E557" s="143"/>
      <c r="F557" s="143"/>
      <c r="G557" s="143"/>
      <c r="H557" s="143"/>
      <c r="I557" s="143"/>
      <c r="J557" s="143"/>
      <c r="K557" s="143"/>
    </row>
    <row r="558" ht="20.25" spans="1:11">
      <c r="A558" s="143"/>
      <c r="B558" s="143"/>
      <c r="C558" s="143"/>
      <c r="D558" s="143"/>
      <c r="E558" s="143"/>
      <c r="F558" s="143"/>
      <c r="G558" s="143"/>
      <c r="H558" s="143"/>
      <c r="I558" s="143"/>
      <c r="J558" s="143"/>
      <c r="K558" s="143"/>
    </row>
    <row r="559" ht="20.25" spans="1:11">
      <c r="A559" s="143"/>
      <c r="B559" s="143"/>
      <c r="C559" s="143"/>
      <c r="D559" s="143"/>
      <c r="E559" s="143"/>
      <c r="F559" s="143"/>
      <c r="G559" s="143"/>
      <c r="H559" s="143"/>
      <c r="I559" s="143"/>
      <c r="J559" s="143"/>
      <c r="K559" s="143"/>
    </row>
    <row r="560" ht="20.25" spans="1:11">
      <c r="A560" s="143"/>
      <c r="B560" s="143"/>
      <c r="C560" s="143"/>
      <c r="D560" s="143"/>
      <c r="E560" s="143"/>
      <c r="F560" s="143"/>
      <c r="G560" s="143"/>
      <c r="H560" s="143"/>
      <c r="I560" s="143"/>
      <c r="J560" s="143"/>
      <c r="K560" s="143"/>
    </row>
    <row r="561" ht="20.25" spans="1:11">
      <c r="A561" s="143"/>
      <c r="B561" s="143"/>
      <c r="C561" s="143"/>
      <c r="D561" s="143"/>
      <c r="E561" s="143"/>
      <c r="F561" s="143"/>
      <c r="G561" s="143"/>
      <c r="H561" s="143"/>
      <c r="I561" s="143"/>
      <c r="J561" s="143"/>
      <c r="K561" s="143"/>
    </row>
    <row r="562" ht="20.25" spans="1:11">
      <c r="A562" s="143"/>
      <c r="B562" s="143"/>
      <c r="C562" s="143"/>
      <c r="D562" s="143"/>
      <c r="E562" s="143"/>
      <c r="F562" s="143"/>
      <c r="G562" s="143"/>
      <c r="H562" s="143"/>
      <c r="I562" s="143"/>
      <c r="J562" s="143"/>
      <c r="K562" s="143"/>
    </row>
    <row r="563" ht="20.25" spans="1:11">
      <c r="A563" s="143"/>
      <c r="B563" s="143"/>
      <c r="C563" s="143"/>
      <c r="D563" s="143"/>
      <c r="E563" s="143"/>
      <c r="F563" s="143"/>
      <c r="G563" s="143"/>
      <c r="H563" s="143"/>
      <c r="I563" s="143"/>
      <c r="J563" s="143"/>
      <c r="K563" s="143"/>
    </row>
    <row r="564" ht="20.25" spans="1:11">
      <c r="A564" s="143"/>
      <c r="B564" s="143"/>
      <c r="C564" s="143"/>
      <c r="D564" s="143"/>
      <c r="E564" s="143"/>
      <c r="F564" s="143"/>
      <c r="G564" s="143"/>
      <c r="H564" s="143"/>
      <c r="I564" s="143"/>
      <c r="J564" s="143"/>
      <c r="K564" s="143"/>
    </row>
    <row r="565" ht="20.25" spans="1:11">
      <c r="A565" s="143"/>
      <c r="B565" s="143"/>
      <c r="C565" s="143"/>
      <c r="D565" s="143"/>
      <c r="E565" s="143"/>
      <c r="F565" s="143"/>
      <c r="G565" s="143"/>
      <c r="H565" s="143"/>
      <c r="I565" s="143"/>
      <c r="J565" s="143"/>
      <c r="K565" s="143"/>
    </row>
    <row r="566" ht="20.25" spans="1:11">
      <c r="A566" s="143"/>
      <c r="B566" s="143"/>
      <c r="C566" s="143"/>
      <c r="D566" s="143"/>
      <c r="E566" s="143"/>
      <c r="F566" s="143"/>
      <c r="G566" s="143"/>
      <c r="H566" s="143"/>
      <c r="I566" s="143"/>
      <c r="J566" s="143"/>
      <c r="K566" s="143"/>
    </row>
    <row r="567" ht="20.25" spans="1:11">
      <c r="A567" s="143"/>
      <c r="B567" s="143"/>
      <c r="C567" s="143"/>
      <c r="D567" s="143"/>
      <c r="E567" s="143"/>
      <c r="F567" s="143"/>
      <c r="G567" s="143"/>
      <c r="H567" s="143"/>
      <c r="I567" s="143"/>
      <c r="J567" s="143"/>
      <c r="K567" s="143"/>
    </row>
    <row r="568" ht="20.25" spans="1:11">
      <c r="A568" s="143"/>
      <c r="B568" s="143"/>
      <c r="C568" s="143"/>
      <c r="D568" s="143"/>
      <c r="E568" s="143"/>
      <c r="F568" s="143"/>
      <c r="G568" s="143"/>
      <c r="H568" s="143"/>
      <c r="I568" s="143"/>
      <c r="J568" s="143"/>
      <c r="K568" s="143"/>
    </row>
    <row r="569" ht="20.25" spans="1:11">
      <c r="A569" s="143"/>
      <c r="B569" s="143"/>
      <c r="C569" s="143"/>
      <c r="D569" s="143"/>
      <c r="E569" s="143"/>
      <c r="F569" s="143"/>
      <c r="G569" s="143"/>
      <c r="H569" s="143"/>
      <c r="I569" s="143"/>
      <c r="J569" s="143"/>
      <c r="K569" s="143"/>
    </row>
    <row r="570" ht="20.25" spans="1:11">
      <c r="A570" s="143"/>
      <c r="B570" s="143"/>
      <c r="C570" s="143"/>
      <c r="D570" s="143"/>
      <c r="E570" s="143"/>
      <c r="F570" s="143"/>
      <c r="G570" s="143"/>
      <c r="H570" s="143"/>
      <c r="I570" s="143"/>
      <c r="J570" s="143"/>
      <c r="K570" s="143"/>
    </row>
    <row r="571" ht="20.25" spans="1:11">
      <c r="A571" s="143"/>
      <c r="B571" s="143"/>
      <c r="C571" s="143"/>
      <c r="D571" s="143"/>
      <c r="E571" s="143"/>
      <c r="F571" s="143"/>
      <c r="G571" s="143"/>
      <c r="H571" s="143"/>
      <c r="I571" s="143"/>
      <c r="J571" s="143"/>
      <c r="K571" s="143"/>
    </row>
    <row r="572" ht="20.25" spans="1:11">
      <c r="A572" s="143"/>
      <c r="B572" s="143"/>
      <c r="C572" s="143"/>
      <c r="D572" s="143"/>
      <c r="E572" s="143"/>
      <c r="F572" s="143"/>
      <c r="G572" s="143"/>
      <c r="H572" s="143"/>
      <c r="I572" s="143"/>
      <c r="J572" s="143"/>
      <c r="K572" s="143"/>
    </row>
    <row r="573" ht="20.25" spans="1:11">
      <c r="A573" s="143"/>
      <c r="B573" s="143"/>
      <c r="C573" s="143"/>
      <c r="D573" s="143"/>
      <c r="E573" s="143"/>
      <c r="F573" s="143"/>
      <c r="G573" s="143"/>
      <c r="H573" s="143"/>
      <c r="I573" s="143"/>
      <c r="J573" s="143"/>
      <c r="K573" s="143"/>
    </row>
    <row r="574" ht="20.25" spans="1:11">
      <c r="A574" s="143"/>
      <c r="B574" s="143"/>
      <c r="C574" s="143"/>
      <c r="D574" s="143"/>
      <c r="E574" s="143"/>
      <c r="F574" s="143"/>
      <c r="G574" s="143"/>
      <c r="H574" s="143"/>
      <c r="I574" s="143"/>
      <c r="J574" s="143"/>
      <c r="K574" s="143"/>
    </row>
    <row r="575" ht="20.25" spans="1:11">
      <c r="A575" s="143"/>
      <c r="B575" s="143"/>
      <c r="C575" s="143"/>
      <c r="D575" s="143"/>
      <c r="E575" s="143"/>
      <c r="F575" s="143"/>
      <c r="G575" s="143"/>
      <c r="H575" s="143"/>
      <c r="I575" s="143"/>
      <c r="J575" s="143"/>
      <c r="K575" s="143"/>
    </row>
    <row r="576" ht="20.25" spans="1:11">
      <c r="A576" s="143"/>
      <c r="B576" s="143"/>
      <c r="C576" s="143"/>
      <c r="D576" s="143"/>
      <c r="E576" s="143"/>
      <c r="F576" s="143"/>
      <c r="G576" s="143"/>
      <c r="H576" s="143"/>
      <c r="I576" s="143"/>
      <c r="J576" s="143"/>
      <c r="K576" s="143"/>
    </row>
    <row r="577" ht="20.25" spans="1:11">
      <c r="A577" s="143"/>
      <c r="B577" s="143"/>
      <c r="C577" s="143"/>
      <c r="D577" s="143"/>
      <c r="E577" s="143"/>
      <c r="F577" s="143"/>
      <c r="G577" s="143"/>
      <c r="H577" s="143"/>
      <c r="I577" s="143"/>
      <c r="J577" s="143"/>
      <c r="K577" s="143"/>
    </row>
    <row r="578" ht="20.25" spans="1:11">
      <c r="A578" s="143"/>
      <c r="B578" s="143"/>
      <c r="C578" s="143"/>
      <c r="D578" s="143"/>
      <c r="E578" s="143"/>
      <c r="F578" s="143"/>
      <c r="G578" s="143"/>
      <c r="H578" s="143"/>
      <c r="I578" s="143"/>
      <c r="J578" s="143"/>
      <c r="K578" s="143"/>
    </row>
    <row r="579" ht="20.25" spans="1:11">
      <c r="A579" s="143"/>
      <c r="B579" s="143"/>
      <c r="C579" s="143"/>
      <c r="D579" s="143"/>
      <c r="E579" s="143"/>
      <c r="F579" s="143"/>
      <c r="G579" s="143"/>
      <c r="H579" s="143"/>
      <c r="I579" s="143"/>
      <c r="J579" s="143"/>
      <c r="K579" s="143"/>
    </row>
    <row r="580" ht="20.25" spans="1:11">
      <c r="A580" s="143"/>
      <c r="B580" s="143"/>
      <c r="C580" s="143"/>
      <c r="D580" s="143"/>
      <c r="E580" s="143"/>
      <c r="F580" s="143"/>
      <c r="G580" s="143"/>
      <c r="H580" s="143"/>
      <c r="I580" s="143"/>
      <c r="J580" s="143"/>
      <c r="K580" s="143"/>
    </row>
    <row r="581" ht="20.25" spans="1:11">
      <c r="A581" s="143"/>
      <c r="B581" s="143"/>
      <c r="C581" s="143"/>
      <c r="D581" s="143"/>
      <c r="E581" s="143"/>
      <c r="F581" s="143"/>
      <c r="G581" s="143"/>
      <c r="H581" s="143"/>
      <c r="I581" s="143"/>
      <c r="J581" s="143"/>
      <c r="K581" s="143"/>
    </row>
    <row r="582" ht="20.25" spans="1:11">
      <c r="A582" s="143"/>
      <c r="B582" s="143"/>
      <c r="C582" s="143"/>
      <c r="D582" s="143"/>
      <c r="E582" s="143"/>
      <c r="F582" s="143"/>
      <c r="G582" s="143"/>
      <c r="H582" s="143"/>
      <c r="I582" s="143"/>
      <c r="J582" s="143"/>
      <c r="K582" s="143"/>
    </row>
    <row r="583" ht="20.25" spans="1:11">
      <c r="A583" s="143"/>
      <c r="B583" s="143"/>
      <c r="C583" s="143"/>
      <c r="D583" s="143"/>
      <c r="E583" s="143"/>
      <c r="F583" s="143"/>
      <c r="G583" s="143"/>
      <c r="H583" s="143"/>
      <c r="I583" s="143"/>
      <c r="J583" s="143"/>
      <c r="K583" s="143"/>
    </row>
    <row r="584" ht="20.25" spans="1:11">
      <c r="A584" s="143"/>
      <c r="B584" s="143"/>
      <c r="C584" s="143"/>
      <c r="D584" s="143"/>
      <c r="E584" s="143"/>
      <c r="F584" s="143"/>
      <c r="G584" s="143"/>
      <c r="H584" s="143"/>
      <c r="I584" s="143"/>
      <c r="J584" s="143"/>
      <c r="K584" s="143"/>
    </row>
    <row r="585" ht="20.25" spans="1:11">
      <c r="A585" s="143"/>
      <c r="B585" s="143"/>
      <c r="C585" s="143"/>
      <c r="D585" s="143"/>
      <c r="E585" s="143"/>
      <c r="F585" s="143"/>
      <c r="G585" s="143"/>
      <c r="H585" s="143"/>
      <c r="I585" s="143"/>
      <c r="J585" s="143"/>
      <c r="K585" s="143"/>
    </row>
    <row r="586" ht="20.25" spans="1:11">
      <c r="A586" s="143"/>
      <c r="B586" s="143"/>
      <c r="C586" s="143"/>
      <c r="D586" s="143"/>
      <c r="E586" s="143"/>
      <c r="F586" s="143"/>
      <c r="G586" s="143"/>
      <c r="H586" s="143"/>
      <c r="I586" s="143"/>
      <c r="J586" s="143"/>
      <c r="K586" s="143"/>
    </row>
    <row r="587" ht="20.25" spans="1:11">
      <c r="A587" s="143"/>
      <c r="B587" s="143"/>
      <c r="C587" s="143"/>
      <c r="D587" s="143"/>
      <c r="E587" s="143"/>
      <c r="F587" s="143"/>
      <c r="G587" s="143"/>
      <c r="H587" s="143"/>
      <c r="I587" s="143"/>
      <c r="J587" s="143"/>
      <c r="K587" s="143"/>
    </row>
    <row r="588" ht="20.25" spans="1:11">
      <c r="A588" s="143"/>
      <c r="B588" s="143"/>
      <c r="C588" s="143"/>
      <c r="D588" s="143"/>
      <c r="E588" s="143"/>
      <c r="F588" s="143"/>
      <c r="G588" s="143"/>
      <c r="H588" s="143"/>
      <c r="I588" s="143"/>
      <c r="J588" s="143"/>
      <c r="K588" s="143"/>
    </row>
    <row r="589" ht="20.25" spans="1:11">
      <c r="A589" s="143"/>
      <c r="B589" s="143"/>
      <c r="C589" s="143"/>
      <c r="D589" s="143"/>
      <c r="E589" s="143"/>
      <c r="F589" s="143"/>
      <c r="G589" s="143"/>
      <c r="H589" s="143"/>
      <c r="I589" s="143"/>
      <c r="J589" s="143"/>
      <c r="K589" s="143"/>
    </row>
    <row r="590" ht="20.25" spans="1:11">
      <c r="A590" s="143"/>
      <c r="B590" s="143"/>
      <c r="C590" s="143"/>
      <c r="D590" s="143"/>
      <c r="E590" s="143"/>
      <c r="F590" s="143"/>
      <c r="G590" s="143"/>
      <c r="H590" s="143"/>
      <c r="I590" s="143"/>
      <c r="J590" s="143"/>
      <c r="K590" s="143"/>
    </row>
    <row r="591" ht="20.25" spans="1:11">
      <c r="A591" s="143"/>
      <c r="B591" s="143"/>
      <c r="C591" s="143"/>
      <c r="D591" s="143"/>
      <c r="E591" s="143"/>
      <c r="F591" s="143"/>
      <c r="G591" s="143"/>
      <c r="H591" s="143"/>
      <c r="I591" s="143"/>
      <c r="J591" s="143"/>
      <c r="K591" s="143"/>
    </row>
    <row r="592" ht="20.25" spans="1:11">
      <c r="A592" s="143"/>
      <c r="B592" s="143"/>
      <c r="C592" s="143"/>
      <c r="D592" s="143"/>
      <c r="E592" s="143"/>
      <c r="F592" s="143"/>
      <c r="G592" s="143"/>
      <c r="H592" s="143"/>
      <c r="I592" s="143"/>
      <c r="J592" s="143"/>
      <c r="K592" s="143"/>
    </row>
    <row r="593" ht="20.25" spans="1:11">
      <c r="A593" s="143"/>
      <c r="B593" s="143"/>
      <c r="C593" s="143"/>
      <c r="D593" s="143"/>
      <c r="E593" s="143"/>
      <c r="F593" s="143"/>
      <c r="G593" s="143"/>
      <c r="H593" s="143"/>
      <c r="I593" s="143"/>
      <c r="J593" s="143"/>
      <c r="K593" s="143"/>
    </row>
    <row r="594" ht="20.25" spans="1:11">
      <c r="A594" s="143"/>
      <c r="B594" s="143"/>
      <c r="C594" s="143"/>
      <c r="D594" s="143"/>
      <c r="E594" s="143"/>
      <c r="F594" s="143"/>
      <c r="G594" s="143"/>
      <c r="H594" s="143"/>
      <c r="I594" s="143"/>
      <c r="J594" s="143"/>
      <c r="K594" s="143"/>
    </row>
    <row r="595" ht="20.25" spans="1:11">
      <c r="A595" s="143"/>
      <c r="B595" s="143"/>
      <c r="C595" s="143"/>
      <c r="D595" s="143"/>
      <c r="E595" s="143"/>
      <c r="F595" s="143"/>
      <c r="G595" s="143"/>
      <c r="H595" s="143"/>
      <c r="I595" s="143"/>
      <c r="J595" s="143"/>
      <c r="K595" s="143"/>
    </row>
    <row r="596" ht="20.25" spans="1:11">
      <c r="A596" s="143"/>
      <c r="B596" s="143"/>
      <c r="C596" s="143"/>
      <c r="D596" s="143"/>
      <c r="E596" s="143"/>
      <c r="F596" s="143"/>
      <c r="G596" s="143"/>
      <c r="H596" s="143"/>
      <c r="I596" s="143"/>
      <c r="J596" s="143"/>
      <c r="K596" s="143"/>
    </row>
    <row r="597" ht="20.25" spans="1:11">
      <c r="A597" s="143"/>
      <c r="B597" s="143"/>
      <c r="C597" s="143"/>
      <c r="D597" s="143"/>
      <c r="E597" s="143"/>
      <c r="F597" s="143"/>
      <c r="G597" s="143"/>
      <c r="H597" s="143"/>
      <c r="I597" s="143"/>
      <c r="J597" s="143"/>
      <c r="K597" s="143"/>
    </row>
    <row r="598" ht="20.25" spans="1:11">
      <c r="A598" s="143"/>
      <c r="B598" s="143"/>
      <c r="C598" s="143"/>
      <c r="D598" s="143"/>
      <c r="E598" s="143"/>
      <c r="F598" s="143"/>
      <c r="G598" s="143"/>
      <c r="H598" s="143"/>
      <c r="I598" s="143"/>
      <c r="J598" s="143"/>
      <c r="K598" s="143"/>
    </row>
    <row r="599" ht="20.25" spans="1:11">
      <c r="A599" s="143"/>
      <c r="B599" s="143"/>
      <c r="C599" s="143"/>
      <c r="D599" s="143"/>
      <c r="E599" s="143"/>
      <c r="F599" s="143"/>
      <c r="G599" s="143"/>
      <c r="H599" s="143"/>
      <c r="I599" s="143"/>
      <c r="J599" s="143"/>
      <c r="K599" s="143"/>
    </row>
    <row r="600" ht="20.25" spans="1:11">
      <c r="A600" s="143"/>
      <c r="B600" s="143"/>
      <c r="C600" s="143"/>
      <c r="D600" s="143"/>
      <c r="E600" s="143"/>
      <c r="F600" s="143"/>
      <c r="G600" s="143"/>
      <c r="H600" s="143"/>
      <c r="I600" s="143"/>
      <c r="J600" s="143"/>
      <c r="K600" s="143"/>
    </row>
    <row r="601" ht="20.25" spans="1:11">
      <c r="A601" s="143"/>
      <c r="B601" s="143"/>
      <c r="C601" s="143"/>
      <c r="D601" s="143"/>
      <c r="E601" s="143"/>
      <c r="F601" s="143"/>
      <c r="G601" s="143"/>
      <c r="H601" s="143"/>
      <c r="I601" s="143"/>
      <c r="J601" s="143"/>
      <c r="K601" s="143"/>
    </row>
    <row r="602" ht="20.25" spans="1:11">
      <c r="A602" s="143"/>
      <c r="B602" s="143"/>
      <c r="C602" s="143"/>
      <c r="D602" s="143"/>
      <c r="E602" s="143"/>
      <c r="F602" s="143"/>
      <c r="G602" s="143"/>
      <c r="H602" s="143"/>
      <c r="I602" s="143"/>
      <c r="J602" s="143"/>
      <c r="K602" s="143"/>
    </row>
    <row r="603" ht="20.25" spans="1:11">
      <c r="A603" s="143"/>
      <c r="B603" s="143"/>
      <c r="C603" s="143"/>
      <c r="D603" s="143"/>
      <c r="E603" s="143"/>
      <c r="F603" s="143"/>
      <c r="G603" s="143"/>
      <c r="H603" s="143"/>
      <c r="I603" s="143"/>
      <c r="J603" s="143"/>
      <c r="K603" s="143"/>
    </row>
    <row r="604" ht="20.25" spans="1:11">
      <c r="A604" s="143"/>
      <c r="B604" s="143"/>
      <c r="C604" s="143"/>
      <c r="D604" s="143"/>
      <c r="E604" s="143"/>
      <c r="F604" s="143"/>
      <c r="G604" s="143"/>
      <c r="H604" s="143"/>
      <c r="I604" s="143"/>
      <c r="J604" s="143"/>
      <c r="K604" s="143"/>
    </row>
    <row r="605" ht="20.25" spans="1:11">
      <c r="A605" s="143"/>
      <c r="B605" s="143"/>
      <c r="C605" s="143"/>
      <c r="D605" s="143"/>
      <c r="E605" s="143"/>
      <c r="F605" s="143"/>
      <c r="G605" s="143"/>
      <c r="H605" s="143"/>
      <c r="I605" s="143"/>
      <c r="J605" s="143"/>
      <c r="K605" s="143"/>
    </row>
    <row r="606" ht="20.25" spans="1:11">
      <c r="A606" s="143"/>
      <c r="B606" s="143"/>
      <c r="C606" s="143"/>
      <c r="D606" s="143"/>
      <c r="E606" s="143"/>
      <c r="F606" s="143"/>
      <c r="G606" s="143"/>
      <c r="H606" s="143"/>
      <c r="I606" s="143"/>
      <c r="J606" s="143"/>
      <c r="K606" s="143"/>
    </row>
    <row r="607" ht="20.25" spans="1:11">
      <c r="A607" s="143"/>
      <c r="B607" s="143"/>
      <c r="C607" s="143"/>
      <c r="D607" s="143"/>
      <c r="E607" s="143"/>
      <c r="F607" s="143"/>
      <c r="G607" s="143"/>
      <c r="H607" s="143"/>
      <c r="I607" s="143"/>
      <c r="J607" s="143"/>
      <c r="K607" s="143"/>
    </row>
    <row r="608" ht="20.25" spans="1:11">
      <c r="A608" s="143"/>
      <c r="B608" s="143"/>
      <c r="C608" s="143"/>
      <c r="D608" s="143"/>
      <c r="E608" s="143"/>
      <c r="F608" s="143"/>
      <c r="G608" s="143"/>
      <c r="H608" s="143"/>
      <c r="I608" s="143"/>
      <c r="J608" s="143"/>
      <c r="K608" s="143"/>
    </row>
    <row r="609" ht="20.25" spans="1:11">
      <c r="A609" s="143"/>
      <c r="B609" s="143"/>
      <c r="C609" s="143"/>
      <c r="D609" s="143"/>
      <c r="E609" s="143"/>
      <c r="F609" s="143"/>
      <c r="G609" s="143"/>
      <c r="H609" s="143"/>
      <c r="I609" s="143"/>
      <c r="J609" s="143"/>
      <c r="K609" s="143"/>
    </row>
    <row r="610" ht="20.25" spans="1:11">
      <c r="A610" s="143"/>
      <c r="B610" s="143"/>
      <c r="C610" s="143"/>
      <c r="D610" s="143"/>
      <c r="E610" s="143"/>
      <c r="F610" s="143"/>
      <c r="G610" s="143"/>
      <c r="H610" s="143"/>
      <c r="I610" s="143"/>
      <c r="J610" s="143"/>
      <c r="K610" s="143"/>
    </row>
    <row r="611" ht="20.25" spans="1:11">
      <c r="A611" s="143"/>
      <c r="B611" s="143"/>
      <c r="C611" s="143"/>
      <c r="D611" s="143"/>
      <c r="E611" s="143"/>
      <c r="F611" s="143"/>
      <c r="G611" s="143"/>
      <c r="H611" s="143"/>
      <c r="I611" s="143"/>
      <c r="J611" s="143"/>
      <c r="K611" s="143"/>
    </row>
    <row r="612" ht="20.25" spans="1:11">
      <c r="A612" s="143"/>
      <c r="B612" s="143"/>
      <c r="C612" s="143"/>
      <c r="D612" s="143"/>
      <c r="E612" s="143"/>
      <c r="F612" s="143"/>
      <c r="G612" s="143"/>
      <c r="H612" s="143"/>
      <c r="I612" s="143"/>
      <c r="J612" s="143"/>
      <c r="K612" s="143"/>
    </row>
    <row r="613" ht="20.25" spans="1:11">
      <c r="A613" s="143"/>
      <c r="B613" s="143"/>
      <c r="C613" s="143"/>
      <c r="D613" s="143"/>
      <c r="E613" s="143"/>
      <c r="F613" s="143"/>
      <c r="G613" s="143"/>
      <c r="H613" s="143"/>
      <c r="I613" s="143"/>
      <c r="J613" s="143"/>
      <c r="K613" s="143"/>
    </row>
    <row r="614" ht="20.25" spans="1:11">
      <c r="A614" s="143"/>
      <c r="B614" s="143"/>
      <c r="C614" s="143"/>
      <c r="D614" s="143"/>
      <c r="E614" s="143"/>
      <c r="F614" s="143"/>
      <c r="G614" s="143"/>
      <c r="H614" s="143"/>
      <c r="I614" s="143"/>
      <c r="J614" s="143"/>
      <c r="K614" s="143"/>
    </row>
    <row r="615" ht="20.25" spans="1:11">
      <c r="A615" s="143"/>
      <c r="B615" s="143"/>
      <c r="C615" s="143"/>
      <c r="D615" s="143"/>
      <c r="E615" s="143"/>
      <c r="F615" s="143"/>
      <c r="G615" s="143"/>
      <c r="H615" s="143"/>
      <c r="I615" s="143"/>
      <c r="J615" s="143"/>
      <c r="K615" s="143"/>
    </row>
    <row r="616" ht="20.25" spans="1:11">
      <c r="A616" s="143"/>
      <c r="B616" s="143"/>
      <c r="C616" s="143"/>
      <c r="D616" s="143"/>
      <c r="E616" s="143"/>
      <c r="F616" s="143"/>
      <c r="G616" s="143"/>
      <c r="H616" s="143"/>
      <c r="I616" s="143"/>
      <c r="J616" s="143"/>
      <c r="K616" s="143"/>
    </row>
    <row r="617" ht="20.25" spans="1:11">
      <c r="A617" s="143"/>
      <c r="B617" s="143"/>
      <c r="C617" s="143"/>
      <c r="D617" s="143"/>
      <c r="E617" s="143"/>
      <c r="F617" s="143"/>
      <c r="G617" s="143"/>
      <c r="H617" s="143"/>
      <c r="I617" s="143"/>
      <c r="J617" s="143"/>
      <c r="K617" s="143"/>
    </row>
    <row r="618" ht="20.25" spans="1:11">
      <c r="A618" s="143"/>
      <c r="B618" s="143"/>
      <c r="C618" s="143"/>
      <c r="D618" s="143"/>
      <c r="E618" s="143"/>
      <c r="F618" s="143"/>
      <c r="G618" s="143"/>
      <c r="H618" s="143"/>
      <c r="I618" s="143"/>
      <c r="J618" s="143"/>
      <c r="K618" s="143"/>
    </row>
    <row r="619" ht="20.25" spans="1:11">
      <c r="A619" s="143"/>
      <c r="B619" s="143"/>
      <c r="C619" s="143"/>
      <c r="D619" s="143"/>
      <c r="E619" s="143"/>
      <c r="F619" s="143"/>
      <c r="G619" s="143"/>
      <c r="H619" s="143"/>
      <c r="I619" s="143"/>
      <c r="J619" s="143"/>
      <c r="K619" s="143"/>
    </row>
    <row r="620" ht="20.25" spans="1:11">
      <c r="A620" s="143"/>
      <c r="B620" s="143"/>
      <c r="C620" s="143"/>
      <c r="D620" s="143"/>
      <c r="E620" s="143"/>
      <c r="F620" s="143"/>
      <c r="G620" s="143"/>
      <c r="H620" s="143"/>
      <c r="I620" s="143"/>
      <c r="J620" s="143"/>
      <c r="K620" s="143"/>
    </row>
    <row r="621" ht="20.25" spans="1:11">
      <c r="A621" s="143"/>
      <c r="B621" s="143"/>
      <c r="C621" s="143"/>
      <c r="D621" s="143"/>
      <c r="E621" s="143"/>
      <c r="F621" s="143"/>
      <c r="G621" s="143"/>
      <c r="H621" s="143"/>
      <c r="I621" s="143"/>
      <c r="J621" s="143"/>
      <c r="K621" s="143"/>
    </row>
    <row r="622" ht="20.25" spans="1:11">
      <c r="A622" s="143"/>
      <c r="B622" s="143"/>
      <c r="C622" s="143"/>
      <c r="D622" s="143"/>
      <c r="E622" s="143"/>
      <c r="F622" s="143"/>
      <c r="G622" s="143"/>
      <c r="H622" s="143"/>
      <c r="I622" s="143"/>
      <c r="J622" s="143"/>
      <c r="K622" s="143"/>
    </row>
    <row r="623" ht="20.25" spans="1:11">
      <c r="A623" s="143"/>
      <c r="B623" s="143"/>
      <c r="C623" s="143"/>
      <c r="D623" s="143"/>
      <c r="E623" s="143"/>
      <c r="F623" s="143"/>
      <c r="G623" s="143"/>
      <c r="H623" s="143"/>
      <c r="I623" s="143"/>
      <c r="J623" s="143"/>
      <c r="K623" s="143"/>
    </row>
    <row r="624" ht="20.25" spans="1:11">
      <c r="A624" s="143"/>
      <c r="B624" s="143"/>
      <c r="C624" s="143"/>
      <c r="D624" s="143"/>
      <c r="E624" s="143"/>
      <c r="F624" s="143"/>
      <c r="G624" s="143"/>
      <c r="H624" s="143"/>
      <c r="I624" s="143"/>
      <c r="J624" s="143"/>
      <c r="K624" s="143"/>
    </row>
    <row r="625" ht="20.25" spans="1:11">
      <c r="A625" s="143"/>
      <c r="B625" s="143"/>
      <c r="C625" s="143"/>
      <c r="D625" s="143"/>
      <c r="E625" s="143"/>
      <c r="F625" s="143"/>
      <c r="G625" s="143"/>
      <c r="H625" s="143"/>
      <c r="I625" s="143"/>
      <c r="J625" s="143"/>
      <c r="K625" s="143"/>
    </row>
    <row r="626" ht="20.25" spans="1:11">
      <c r="A626" s="143"/>
      <c r="B626" s="143"/>
      <c r="C626" s="143"/>
      <c r="D626" s="143"/>
      <c r="E626" s="143"/>
      <c r="F626" s="143"/>
      <c r="G626" s="143"/>
      <c r="H626" s="143"/>
      <c r="I626" s="143"/>
      <c r="J626" s="143"/>
      <c r="K626" s="143"/>
    </row>
    <row r="627" ht="20.25" spans="1:11">
      <c r="A627" s="143"/>
      <c r="B627" s="143"/>
      <c r="C627" s="143"/>
      <c r="D627" s="143"/>
      <c r="E627" s="143"/>
      <c r="F627" s="143"/>
      <c r="G627" s="143"/>
      <c r="H627" s="143"/>
      <c r="I627" s="143"/>
      <c r="J627" s="143"/>
      <c r="K627" s="143"/>
    </row>
    <row r="628" ht="20.25" spans="1:11">
      <c r="A628" s="143"/>
      <c r="B628" s="143"/>
      <c r="C628" s="143"/>
      <c r="D628" s="143"/>
      <c r="E628" s="143"/>
      <c r="F628" s="143"/>
      <c r="G628" s="143"/>
      <c r="H628" s="143"/>
      <c r="I628" s="143"/>
      <c r="J628" s="143"/>
      <c r="K628" s="143"/>
    </row>
    <row r="629" ht="20.25" spans="1:11">
      <c r="A629" s="143"/>
      <c r="B629" s="143"/>
      <c r="C629" s="143"/>
      <c r="D629" s="143"/>
      <c r="E629" s="143"/>
      <c r="F629" s="143"/>
      <c r="G629" s="143"/>
      <c r="H629" s="143"/>
      <c r="I629" s="143"/>
      <c r="J629" s="143"/>
      <c r="K629" s="143"/>
    </row>
    <row r="630" ht="20.25" spans="1:11">
      <c r="A630" s="143"/>
      <c r="B630" s="143"/>
      <c r="C630" s="143"/>
      <c r="D630" s="143"/>
      <c r="E630" s="143"/>
      <c r="F630" s="143"/>
      <c r="G630" s="143"/>
      <c r="H630" s="143"/>
      <c r="I630" s="143"/>
      <c r="J630" s="143"/>
      <c r="K630" s="143"/>
    </row>
    <row r="631" ht="20.25" spans="1:11">
      <c r="A631" s="143"/>
      <c r="B631" s="143"/>
      <c r="C631" s="143"/>
      <c r="D631" s="143"/>
      <c r="E631" s="143"/>
      <c r="F631" s="143"/>
      <c r="G631" s="143"/>
      <c r="H631" s="143"/>
      <c r="I631" s="143"/>
      <c r="J631" s="143"/>
      <c r="K631" s="143"/>
    </row>
    <row r="632" ht="20.25" spans="1:11">
      <c r="A632" s="143"/>
      <c r="B632" s="143"/>
      <c r="C632" s="143"/>
      <c r="D632" s="143"/>
      <c r="E632" s="143"/>
      <c r="F632" s="143"/>
      <c r="G632" s="143"/>
      <c r="H632" s="143"/>
      <c r="I632" s="143"/>
      <c r="J632" s="143"/>
      <c r="K632" s="143"/>
    </row>
    <row r="633" ht="20.25" spans="1:11">
      <c r="A633" s="143"/>
      <c r="B633" s="143"/>
      <c r="C633" s="143"/>
      <c r="D633" s="143"/>
      <c r="E633" s="143"/>
      <c r="F633" s="143"/>
      <c r="G633" s="143"/>
      <c r="H633" s="143"/>
      <c r="I633" s="143"/>
      <c r="J633" s="143"/>
      <c r="K633" s="143"/>
    </row>
    <row r="634" ht="20.25" spans="1:11">
      <c r="A634" s="143"/>
      <c r="B634" s="143"/>
      <c r="C634" s="143"/>
      <c r="D634" s="143"/>
      <c r="E634" s="143"/>
      <c r="F634" s="143"/>
      <c r="G634" s="143"/>
      <c r="H634" s="143"/>
      <c r="I634" s="143"/>
      <c r="J634" s="143"/>
      <c r="K634" s="143"/>
    </row>
    <row r="635" ht="20.25" spans="1:11">
      <c r="A635" s="143"/>
      <c r="B635" s="143"/>
      <c r="C635" s="143"/>
      <c r="D635" s="143"/>
      <c r="E635" s="143"/>
      <c r="F635" s="143"/>
      <c r="G635" s="143"/>
      <c r="H635" s="143"/>
      <c r="I635" s="143"/>
      <c r="J635" s="143"/>
      <c r="K635" s="143"/>
    </row>
    <row r="636" ht="20.25" spans="1:11">
      <c r="A636" s="143"/>
      <c r="B636" s="143"/>
      <c r="C636" s="143"/>
      <c r="D636" s="143"/>
      <c r="E636" s="143"/>
      <c r="F636" s="143"/>
      <c r="G636" s="143"/>
      <c r="H636" s="143"/>
      <c r="I636" s="143"/>
      <c r="J636" s="143"/>
      <c r="K636" s="143"/>
    </row>
    <row r="637" ht="20.25" spans="1:11">
      <c r="A637" s="143"/>
      <c r="B637" s="143"/>
      <c r="C637" s="143"/>
      <c r="D637" s="143"/>
      <c r="E637" s="143"/>
      <c r="F637" s="143"/>
      <c r="G637" s="143"/>
      <c r="H637" s="143"/>
      <c r="I637" s="143"/>
      <c r="J637" s="143"/>
      <c r="K637" s="143"/>
    </row>
    <row r="638" ht="20.25" spans="1:11">
      <c r="A638" s="143"/>
      <c r="B638" s="143"/>
      <c r="C638" s="143"/>
      <c r="D638" s="143"/>
      <c r="E638" s="143"/>
      <c r="F638" s="143"/>
      <c r="G638" s="143"/>
      <c r="H638" s="143"/>
      <c r="I638" s="143"/>
      <c r="J638" s="143"/>
      <c r="K638" s="143"/>
    </row>
    <row r="639" ht="20.25" spans="1:11">
      <c r="A639" s="143"/>
      <c r="B639" s="143"/>
      <c r="C639" s="143"/>
      <c r="D639" s="143"/>
      <c r="E639" s="143"/>
      <c r="F639" s="143"/>
      <c r="G639" s="143"/>
      <c r="H639" s="143"/>
      <c r="I639" s="143"/>
      <c r="J639" s="143"/>
      <c r="K639" s="143"/>
    </row>
    <row r="640" ht="20.25" spans="1:11">
      <c r="A640" s="143"/>
      <c r="B640" s="143"/>
      <c r="C640" s="143"/>
      <c r="D640" s="143"/>
      <c r="E640" s="143"/>
      <c r="F640" s="143"/>
      <c r="G640" s="143"/>
      <c r="H640" s="143"/>
      <c r="I640" s="143"/>
      <c r="J640" s="143"/>
      <c r="K640" s="143"/>
    </row>
    <row r="641" ht="20.25" spans="1:11">
      <c r="A641" s="143"/>
      <c r="B641" s="143"/>
      <c r="C641" s="143"/>
      <c r="D641" s="143"/>
      <c r="E641" s="143"/>
      <c r="F641" s="143"/>
      <c r="G641" s="143"/>
      <c r="H641" s="143"/>
      <c r="I641" s="143"/>
      <c r="J641" s="143"/>
      <c r="K641" s="143"/>
    </row>
    <row r="642" ht="20.25" spans="1:11">
      <c r="A642" s="143"/>
      <c r="B642" s="143"/>
      <c r="C642" s="143"/>
      <c r="D642" s="143"/>
      <c r="E642" s="143"/>
      <c r="F642" s="143"/>
      <c r="G642" s="143"/>
      <c r="H642" s="143"/>
      <c r="I642" s="143"/>
      <c r="J642" s="143"/>
      <c r="K642" s="143"/>
    </row>
    <row r="643" ht="20.25" spans="1:11">
      <c r="A643" s="143"/>
      <c r="B643" s="143"/>
      <c r="C643" s="143"/>
      <c r="D643" s="143"/>
      <c r="E643" s="143"/>
      <c r="F643" s="143"/>
      <c r="G643" s="143"/>
      <c r="H643" s="143"/>
      <c r="I643" s="143"/>
      <c r="J643" s="143"/>
      <c r="K643" s="143"/>
    </row>
    <row r="644" ht="20.25" spans="1:11">
      <c r="A644" s="143"/>
      <c r="B644" s="143"/>
      <c r="C644" s="143"/>
      <c r="D644" s="143"/>
      <c r="E644" s="143"/>
      <c r="F644" s="143"/>
      <c r="G644" s="143"/>
      <c r="H644" s="143"/>
      <c r="I644" s="143"/>
      <c r="J644" s="143"/>
      <c r="K644" s="143"/>
    </row>
    <row r="645" ht="20.25" spans="1:11">
      <c r="A645" s="143"/>
      <c r="B645" s="143"/>
      <c r="C645" s="143"/>
      <c r="D645" s="143"/>
      <c r="E645" s="143"/>
      <c r="F645" s="143"/>
      <c r="G645" s="143"/>
      <c r="H645" s="143"/>
      <c r="I645" s="143"/>
      <c r="J645" s="143"/>
      <c r="K645" s="143"/>
    </row>
    <row r="646" ht="20.25" spans="1:11">
      <c r="A646" s="143"/>
      <c r="B646" s="143"/>
      <c r="C646" s="143"/>
      <c r="D646" s="143"/>
      <c r="E646" s="143"/>
      <c r="F646" s="143"/>
      <c r="G646" s="143"/>
      <c r="H646" s="143"/>
      <c r="I646" s="143"/>
      <c r="J646" s="143"/>
      <c r="K646" s="143"/>
    </row>
    <row r="647" ht="20.25" spans="1:11">
      <c r="A647" s="143"/>
      <c r="B647" s="143"/>
      <c r="C647" s="143"/>
      <c r="D647" s="143"/>
      <c r="E647" s="143"/>
      <c r="F647" s="143"/>
      <c r="G647" s="143"/>
      <c r="H647" s="143"/>
      <c r="I647" s="143"/>
      <c r="J647" s="143"/>
      <c r="K647" s="143"/>
    </row>
    <row r="648" ht="20.25" spans="1:11">
      <c r="A648" s="143"/>
      <c r="B648" s="143"/>
      <c r="C648" s="143"/>
      <c r="D648" s="143"/>
      <c r="E648" s="143"/>
      <c r="F648" s="143"/>
      <c r="G648" s="143"/>
      <c r="H648" s="143"/>
      <c r="I648" s="143"/>
      <c r="J648" s="143"/>
      <c r="K648" s="143"/>
    </row>
    <row r="649" ht="20.25" spans="1:11">
      <c r="A649" s="143"/>
      <c r="B649" s="143"/>
      <c r="C649" s="143"/>
      <c r="D649" s="143"/>
      <c r="E649" s="143"/>
      <c r="F649" s="143"/>
      <c r="G649" s="143"/>
      <c r="H649" s="143"/>
      <c r="I649" s="143"/>
      <c r="J649" s="143"/>
      <c r="K649" s="143"/>
    </row>
    <row r="650" ht="20.25" spans="1:11">
      <c r="A650" s="143"/>
      <c r="B650" s="143"/>
      <c r="C650" s="143"/>
      <c r="D650" s="143"/>
      <c r="E650" s="143"/>
      <c r="F650" s="143"/>
      <c r="G650" s="143"/>
      <c r="H650" s="143"/>
      <c r="I650" s="143"/>
      <c r="J650" s="143"/>
      <c r="K650" s="143"/>
    </row>
    <row r="651" ht="20.25" spans="1:11">
      <c r="A651" s="143"/>
      <c r="B651" s="143"/>
      <c r="C651" s="143"/>
      <c r="D651" s="143"/>
      <c r="E651" s="143"/>
      <c r="F651" s="143"/>
      <c r="G651" s="143"/>
      <c r="H651" s="143"/>
      <c r="I651" s="143"/>
      <c r="J651" s="143"/>
      <c r="K651" s="143"/>
    </row>
    <row r="652" ht="20.25" spans="1:11">
      <c r="A652" s="143"/>
      <c r="B652" s="143"/>
      <c r="C652" s="143"/>
      <c r="D652" s="143"/>
      <c r="E652" s="143"/>
      <c r="F652" s="143"/>
      <c r="G652" s="143"/>
      <c r="H652" s="143"/>
      <c r="I652" s="143"/>
      <c r="J652" s="143"/>
      <c r="K652" s="143"/>
    </row>
    <row r="653" ht="20.25" spans="1:11">
      <c r="A653" s="143"/>
      <c r="B653" s="143"/>
      <c r="C653" s="143"/>
      <c r="D653" s="143"/>
      <c r="E653" s="143"/>
      <c r="F653" s="143"/>
      <c r="G653" s="143"/>
      <c r="H653" s="143"/>
      <c r="I653" s="143"/>
      <c r="J653" s="143"/>
      <c r="K653" s="143"/>
    </row>
    <row r="654" ht="20.25" spans="1:11">
      <c r="A654" s="143"/>
      <c r="B654" s="143"/>
      <c r="C654" s="143"/>
      <c r="D654" s="143"/>
      <c r="E654" s="143"/>
      <c r="F654" s="143"/>
      <c r="G654" s="143"/>
      <c r="H654" s="143"/>
      <c r="I654" s="143"/>
      <c r="J654" s="143"/>
      <c r="K654" s="143"/>
    </row>
    <row r="655" ht="20.25" spans="1:11">
      <c r="A655" s="143"/>
      <c r="B655" s="143"/>
      <c r="C655" s="143"/>
      <c r="D655" s="143"/>
      <c r="E655" s="143"/>
      <c r="F655" s="143"/>
      <c r="G655" s="143"/>
      <c r="H655" s="143"/>
      <c r="I655" s="143"/>
      <c r="J655" s="143"/>
      <c r="K655" s="143"/>
    </row>
    <row r="656" ht="20.25" spans="1:11">
      <c r="A656" s="143"/>
      <c r="B656" s="143"/>
      <c r="C656" s="143"/>
      <c r="D656" s="143"/>
      <c r="E656" s="143"/>
      <c r="F656" s="143"/>
      <c r="G656" s="143"/>
      <c r="H656" s="143"/>
      <c r="I656" s="143"/>
      <c r="J656" s="143"/>
      <c r="K656" s="143"/>
    </row>
    <row r="657" ht="20.25" spans="1:11">
      <c r="A657" s="143"/>
      <c r="B657" s="143"/>
      <c r="C657" s="143"/>
      <c r="D657" s="143"/>
      <c r="E657" s="143"/>
      <c r="F657" s="143"/>
      <c r="G657" s="143"/>
      <c r="H657" s="143"/>
      <c r="I657" s="143"/>
      <c r="J657" s="143"/>
      <c r="K657" s="143"/>
    </row>
    <row r="658" ht="20.25" spans="1:11">
      <c r="A658" s="143"/>
      <c r="B658" s="143"/>
      <c r="C658" s="143"/>
      <c r="D658" s="143"/>
      <c r="E658" s="143"/>
      <c r="F658" s="143"/>
      <c r="G658" s="143"/>
      <c r="H658" s="143"/>
      <c r="I658" s="143"/>
      <c r="J658" s="143"/>
      <c r="K658" s="143"/>
    </row>
    <row r="659" ht="20.25" spans="1:11">
      <c r="A659" s="143"/>
      <c r="B659" s="143"/>
      <c r="C659" s="143"/>
      <c r="D659" s="143"/>
      <c r="E659" s="143"/>
      <c r="F659" s="143"/>
      <c r="G659" s="143"/>
      <c r="H659" s="143"/>
      <c r="I659" s="143"/>
      <c r="J659" s="143"/>
      <c r="K659" s="143"/>
    </row>
    <row r="660" ht="20.25" spans="1:11">
      <c r="A660" s="143"/>
      <c r="B660" s="143"/>
      <c r="C660" s="143"/>
      <c r="D660" s="143"/>
      <c r="E660" s="143"/>
      <c r="F660" s="143"/>
      <c r="G660" s="143"/>
      <c r="H660" s="143"/>
      <c r="I660" s="143"/>
      <c r="J660" s="143"/>
      <c r="K660" s="143"/>
    </row>
    <row r="661" ht="20.25" spans="1:11">
      <c r="A661" s="143"/>
      <c r="B661" s="143"/>
      <c r="C661" s="143"/>
      <c r="D661" s="143"/>
      <c r="E661" s="143"/>
      <c r="F661" s="143"/>
      <c r="G661" s="143"/>
      <c r="H661" s="143"/>
      <c r="I661" s="143"/>
      <c r="J661" s="143"/>
      <c r="K661" s="143"/>
    </row>
    <row r="662" ht="20.25" spans="1:11">
      <c r="A662" s="143"/>
      <c r="B662" s="143"/>
      <c r="C662" s="143"/>
      <c r="D662" s="143"/>
      <c r="E662" s="143"/>
      <c r="F662" s="143"/>
      <c r="G662" s="143"/>
      <c r="H662" s="143"/>
      <c r="I662" s="143"/>
      <c r="J662" s="143"/>
      <c r="K662" s="143"/>
    </row>
    <row r="663" ht="20.25" spans="1:11">
      <c r="A663" s="143"/>
      <c r="B663" s="143"/>
      <c r="C663" s="143"/>
      <c r="D663" s="143"/>
      <c r="E663" s="143"/>
      <c r="F663" s="143"/>
      <c r="G663" s="143"/>
      <c r="H663" s="143"/>
      <c r="I663" s="143"/>
      <c r="J663" s="143"/>
      <c r="K663" s="143"/>
    </row>
    <row r="664" ht="20.25" spans="1:11">
      <c r="A664" s="143"/>
      <c r="B664" s="143"/>
      <c r="C664" s="143"/>
      <c r="D664" s="143"/>
      <c r="E664" s="143"/>
      <c r="F664" s="143"/>
      <c r="G664" s="143"/>
      <c r="H664" s="143"/>
      <c r="I664" s="143"/>
      <c r="J664" s="143"/>
      <c r="K664" s="143"/>
    </row>
    <row r="665" ht="20.25" spans="1:11">
      <c r="A665" s="143"/>
      <c r="B665" s="143"/>
      <c r="C665" s="143"/>
      <c r="D665" s="143"/>
      <c r="E665" s="143"/>
      <c r="F665" s="143"/>
      <c r="G665" s="143"/>
      <c r="H665" s="143"/>
      <c r="I665" s="143"/>
      <c r="J665" s="143"/>
      <c r="K665" s="143"/>
    </row>
    <row r="666" ht="20.25" spans="1:11">
      <c r="A666" s="143"/>
      <c r="B666" s="143"/>
      <c r="C666" s="143"/>
      <c r="D666" s="143"/>
      <c r="E666" s="143"/>
      <c r="F666" s="143"/>
      <c r="G666" s="143"/>
      <c r="H666" s="143"/>
      <c r="I666" s="143"/>
      <c r="J666" s="143"/>
      <c r="K666" s="143"/>
    </row>
    <row r="667" ht="20.25" spans="1:11">
      <c r="A667" s="143"/>
      <c r="B667" s="143"/>
      <c r="C667" s="143"/>
      <c r="D667" s="143"/>
      <c r="E667" s="143"/>
      <c r="F667" s="143"/>
      <c r="G667" s="143"/>
      <c r="H667" s="143"/>
      <c r="I667" s="143"/>
      <c r="J667" s="143"/>
      <c r="K667" s="143"/>
    </row>
    <row r="668" ht="20.25" spans="1:11">
      <c r="A668" s="143"/>
      <c r="B668" s="143"/>
      <c r="C668" s="143"/>
      <c r="D668" s="143"/>
      <c r="E668" s="143"/>
      <c r="F668" s="143"/>
      <c r="G668" s="143"/>
      <c r="H668" s="143"/>
      <c r="I668" s="143"/>
      <c r="J668" s="143"/>
      <c r="K668" s="143"/>
    </row>
    <row r="669" ht="20.25" spans="1:11">
      <c r="A669" s="143"/>
      <c r="B669" s="143"/>
      <c r="C669" s="143"/>
      <c r="D669" s="143"/>
      <c r="E669" s="143"/>
      <c r="F669" s="143"/>
      <c r="G669" s="143"/>
      <c r="H669" s="143"/>
      <c r="I669" s="143"/>
      <c r="J669" s="143"/>
      <c r="K669" s="143"/>
    </row>
    <row r="670" ht="20.25" spans="1:11">
      <c r="A670" s="143"/>
      <c r="B670" s="143"/>
      <c r="C670" s="143"/>
      <c r="D670" s="143"/>
      <c r="E670" s="143"/>
      <c r="F670" s="143"/>
      <c r="G670" s="143"/>
      <c r="H670" s="143"/>
      <c r="I670" s="143"/>
      <c r="J670" s="143"/>
      <c r="K670" s="143"/>
    </row>
    <row r="671" ht="20.25" spans="1:11">
      <c r="A671" s="143"/>
      <c r="B671" s="143"/>
      <c r="C671" s="143"/>
      <c r="D671" s="143"/>
      <c r="E671" s="143"/>
      <c r="F671" s="143"/>
      <c r="G671" s="143"/>
      <c r="H671" s="143"/>
      <c r="I671" s="143"/>
      <c r="J671" s="143"/>
      <c r="K671" s="143"/>
    </row>
    <row r="672" ht="20.25" spans="1:11">
      <c r="A672" s="143"/>
      <c r="B672" s="143"/>
      <c r="C672" s="143"/>
      <c r="D672" s="143"/>
      <c r="E672" s="143"/>
      <c r="F672" s="143"/>
      <c r="G672" s="143"/>
      <c r="H672" s="143"/>
      <c r="I672" s="143"/>
      <c r="J672" s="143"/>
      <c r="K672" s="143"/>
    </row>
    <row r="673" ht="20.25" spans="1:11">
      <c r="A673" s="143"/>
      <c r="B673" s="143"/>
      <c r="C673" s="143"/>
      <c r="D673" s="143"/>
      <c r="E673" s="143"/>
      <c r="F673" s="143"/>
      <c r="G673" s="143"/>
      <c r="H673" s="143"/>
      <c r="I673" s="143"/>
      <c r="J673" s="143"/>
      <c r="K673" s="143"/>
    </row>
    <row r="674" ht="20.25" spans="1:11">
      <c r="A674" s="143"/>
      <c r="B674" s="143"/>
      <c r="C674" s="143"/>
      <c r="D674" s="143"/>
      <c r="E674" s="143"/>
      <c r="F674" s="143"/>
      <c r="G674" s="143"/>
      <c r="H674" s="143"/>
      <c r="I674" s="143"/>
      <c r="J674" s="143"/>
      <c r="K674" s="143"/>
    </row>
    <row r="675" ht="20.25" spans="1:11">
      <c r="A675" s="143"/>
      <c r="B675" s="143"/>
      <c r="C675" s="143"/>
      <c r="D675" s="143"/>
      <c r="E675" s="143"/>
      <c r="F675" s="143"/>
      <c r="G675" s="143"/>
      <c r="H675" s="143"/>
      <c r="I675" s="143"/>
      <c r="J675" s="143"/>
      <c r="K675" s="143"/>
    </row>
    <row r="676" ht="20.25" spans="1:11">
      <c r="A676" s="143"/>
      <c r="B676" s="143"/>
      <c r="C676" s="143"/>
      <c r="D676" s="143"/>
      <c r="E676" s="143"/>
      <c r="F676" s="143"/>
      <c r="G676" s="143"/>
      <c r="H676" s="143"/>
      <c r="I676" s="143"/>
      <c r="J676" s="143"/>
      <c r="K676" s="143"/>
    </row>
    <row r="677" ht="20.25" spans="1:11">
      <c r="A677" s="143"/>
      <c r="B677" s="143"/>
      <c r="C677" s="143"/>
      <c r="D677" s="143"/>
      <c r="E677" s="143"/>
      <c r="F677" s="143"/>
      <c r="G677" s="143"/>
      <c r="H677" s="143"/>
      <c r="I677" s="143"/>
      <c r="J677" s="143"/>
      <c r="K677" s="143"/>
    </row>
    <row r="678" ht="20.25" spans="1:11">
      <c r="A678" s="143"/>
      <c r="B678" s="143"/>
      <c r="C678" s="143"/>
      <c r="D678" s="143"/>
      <c r="E678" s="143"/>
      <c r="F678" s="143"/>
      <c r="G678" s="143"/>
      <c r="H678" s="143"/>
      <c r="I678" s="143"/>
      <c r="J678" s="143"/>
      <c r="K678" s="143"/>
    </row>
    <row r="679" ht="20.25" spans="1:11">
      <c r="A679" s="143"/>
      <c r="B679" s="143"/>
      <c r="C679" s="143"/>
      <c r="D679" s="143"/>
      <c r="E679" s="143"/>
      <c r="F679" s="143"/>
      <c r="G679" s="143"/>
      <c r="H679" s="143"/>
      <c r="I679" s="143"/>
      <c r="J679" s="143"/>
      <c r="K679" s="143"/>
    </row>
    <row r="680" ht="20.25" spans="1:11">
      <c r="A680" s="143"/>
      <c r="B680" s="143"/>
      <c r="C680" s="143"/>
      <c r="D680" s="143"/>
      <c r="E680" s="143"/>
      <c r="F680" s="143"/>
      <c r="G680" s="143"/>
      <c r="H680" s="143"/>
      <c r="I680" s="143"/>
      <c r="J680" s="143"/>
      <c r="K680" s="143"/>
    </row>
    <row r="681" ht="20.25" spans="1:11">
      <c r="A681" s="143"/>
      <c r="B681" s="143"/>
      <c r="C681" s="143"/>
      <c r="D681" s="143"/>
      <c r="E681" s="143"/>
      <c r="F681" s="143"/>
      <c r="G681" s="143"/>
      <c r="H681" s="143"/>
      <c r="I681" s="143"/>
      <c r="J681" s="143"/>
      <c r="K681" s="143"/>
    </row>
    <row r="682" ht="20.25" spans="1:11">
      <c r="A682" s="143"/>
      <c r="B682" s="143"/>
      <c r="C682" s="143"/>
      <c r="D682" s="143"/>
      <c r="E682" s="143"/>
      <c r="F682" s="143"/>
      <c r="G682" s="143"/>
      <c r="H682" s="143"/>
      <c r="I682" s="143"/>
      <c r="J682" s="143"/>
      <c r="K682" s="143"/>
    </row>
    <row r="683" ht="20.25" spans="1:11">
      <c r="A683" s="143"/>
      <c r="B683" s="143"/>
      <c r="C683" s="143"/>
      <c r="D683" s="143"/>
      <c r="E683" s="143"/>
      <c r="F683" s="143"/>
      <c r="G683" s="143"/>
      <c r="H683" s="143"/>
      <c r="I683" s="143"/>
      <c r="J683" s="143"/>
      <c r="K683" s="143"/>
    </row>
    <row r="684" ht="20.25" spans="1:11">
      <c r="A684" s="143"/>
      <c r="B684" s="143"/>
      <c r="C684" s="143"/>
      <c r="D684" s="143"/>
      <c r="E684" s="143"/>
      <c r="F684" s="143"/>
      <c r="G684" s="143"/>
      <c r="H684" s="143"/>
      <c r="I684" s="143"/>
      <c r="J684" s="143"/>
      <c r="K684" s="143"/>
    </row>
    <row r="685" ht="20.25" spans="1:11">
      <c r="A685" s="143"/>
      <c r="B685" s="143"/>
      <c r="C685" s="143"/>
      <c r="D685" s="143"/>
      <c r="E685" s="143"/>
      <c r="F685" s="143"/>
      <c r="G685" s="143"/>
      <c r="H685" s="143"/>
      <c r="I685" s="143"/>
      <c r="J685" s="143"/>
      <c r="K685" s="143"/>
    </row>
    <row r="686" ht="20.25" spans="1:11">
      <c r="A686" s="143"/>
      <c r="B686" s="143"/>
      <c r="C686" s="143"/>
      <c r="D686" s="143"/>
      <c r="E686" s="143"/>
      <c r="F686" s="143"/>
      <c r="G686" s="143"/>
      <c r="H686" s="143"/>
      <c r="I686" s="143"/>
      <c r="J686" s="143"/>
      <c r="K686" s="143"/>
    </row>
    <row r="687" ht="20.25" spans="1:11">
      <c r="A687" s="143"/>
      <c r="B687" s="143"/>
      <c r="C687" s="143"/>
      <c r="D687" s="143"/>
      <c r="E687" s="143"/>
      <c r="F687" s="143"/>
      <c r="G687" s="143"/>
      <c r="H687" s="143"/>
      <c r="I687" s="143"/>
      <c r="J687" s="143"/>
      <c r="K687" s="143"/>
    </row>
    <row r="688" ht="20.25" spans="1:11">
      <c r="A688" s="143"/>
      <c r="B688" s="143"/>
      <c r="C688" s="143"/>
      <c r="D688" s="143"/>
      <c r="E688" s="143"/>
      <c r="F688" s="143"/>
      <c r="G688" s="143"/>
      <c r="H688" s="143"/>
      <c r="I688" s="143"/>
      <c r="J688" s="143"/>
      <c r="K688" s="143"/>
    </row>
    <row r="689" ht="20.25" spans="1:11">
      <c r="A689" s="143"/>
      <c r="B689" s="143"/>
      <c r="C689" s="143"/>
      <c r="D689" s="143"/>
      <c r="E689" s="143"/>
      <c r="F689" s="143"/>
      <c r="G689" s="143"/>
      <c r="H689" s="143"/>
      <c r="I689" s="143"/>
      <c r="J689" s="143"/>
      <c r="K689" s="143"/>
    </row>
    <row r="690" ht="20.25" spans="1:11">
      <c r="A690" s="143"/>
      <c r="B690" s="143"/>
      <c r="C690" s="143"/>
      <c r="D690" s="143"/>
      <c r="E690" s="143"/>
      <c r="F690" s="143"/>
      <c r="G690" s="143"/>
      <c r="H690" s="143"/>
      <c r="I690" s="143"/>
      <c r="J690" s="143"/>
      <c r="K690" s="143"/>
    </row>
    <row r="691" ht="20.25" spans="1:11">
      <c r="A691" s="143"/>
      <c r="B691" s="143"/>
      <c r="C691" s="143"/>
      <c r="D691" s="143"/>
      <c r="E691" s="143"/>
      <c r="F691" s="143"/>
      <c r="G691" s="143"/>
      <c r="H691" s="143"/>
      <c r="I691" s="143"/>
      <c r="J691" s="143"/>
      <c r="K691" s="143"/>
    </row>
    <row r="692" ht="20.25" spans="1:11">
      <c r="A692" s="143"/>
      <c r="B692" s="143"/>
      <c r="C692" s="143"/>
      <c r="D692" s="143"/>
      <c r="E692" s="143"/>
      <c r="F692" s="143"/>
      <c r="G692" s="143"/>
      <c r="H692" s="143"/>
      <c r="I692" s="143"/>
      <c r="J692" s="143"/>
      <c r="K692" s="143"/>
    </row>
    <row r="693" ht="20.25" spans="1:11">
      <c r="A693" s="143"/>
      <c r="B693" s="143"/>
      <c r="C693" s="143"/>
      <c r="D693" s="143"/>
      <c r="E693" s="143"/>
      <c r="F693" s="143"/>
      <c r="G693" s="143"/>
      <c r="H693" s="143"/>
      <c r="I693" s="143"/>
      <c r="J693" s="143"/>
      <c r="K693" s="143"/>
    </row>
    <row r="694" ht="20.25" spans="1:11">
      <c r="A694" s="143"/>
      <c r="B694" s="143"/>
      <c r="C694" s="143"/>
      <c r="D694" s="143"/>
      <c r="E694" s="143"/>
      <c r="F694" s="143"/>
      <c r="G694" s="143"/>
      <c r="H694" s="143"/>
      <c r="I694" s="143"/>
      <c r="J694" s="143"/>
      <c r="K694" s="143"/>
    </row>
    <row r="695" ht="20.25" spans="1:11">
      <c r="A695" s="143"/>
      <c r="B695" s="143"/>
      <c r="C695" s="143"/>
      <c r="D695" s="143"/>
      <c r="E695" s="143"/>
      <c r="F695" s="143"/>
      <c r="G695" s="143"/>
      <c r="H695" s="143"/>
      <c r="I695" s="143"/>
      <c r="J695" s="143"/>
      <c r="K695" s="143"/>
    </row>
    <row r="696" ht="20.25" spans="1:11">
      <c r="A696" s="143"/>
      <c r="B696" s="143"/>
      <c r="C696" s="143"/>
      <c r="D696" s="143"/>
      <c r="E696" s="143"/>
      <c r="F696" s="143"/>
      <c r="G696" s="143"/>
      <c r="H696" s="143"/>
      <c r="I696" s="143"/>
      <c r="J696" s="143"/>
      <c r="K696" s="143"/>
    </row>
    <row r="697" ht="20.25" spans="1:11">
      <c r="A697" s="143"/>
      <c r="B697" s="143"/>
      <c r="C697" s="143"/>
      <c r="D697" s="143"/>
      <c r="E697" s="143"/>
      <c r="F697" s="143"/>
      <c r="G697" s="143"/>
      <c r="H697" s="143"/>
      <c r="I697" s="143"/>
      <c r="J697" s="143"/>
      <c r="K697" s="143"/>
    </row>
    <row r="698" ht="20.25" spans="1:11">
      <c r="A698" s="143"/>
      <c r="B698" s="143"/>
      <c r="C698" s="143"/>
      <c r="D698" s="143"/>
      <c r="E698" s="143"/>
      <c r="F698" s="143"/>
      <c r="G698" s="143"/>
      <c r="H698" s="143"/>
      <c r="I698" s="143"/>
      <c r="J698" s="143"/>
      <c r="K698" s="143"/>
    </row>
    <row r="699" ht="20.25" spans="1:11">
      <c r="A699" s="143"/>
      <c r="B699" s="143"/>
      <c r="C699" s="143"/>
      <c r="D699" s="143"/>
      <c r="E699" s="143"/>
      <c r="F699" s="143"/>
      <c r="G699" s="143"/>
      <c r="H699" s="143"/>
      <c r="I699" s="143"/>
      <c r="J699" s="143"/>
      <c r="K699" s="143"/>
    </row>
    <row r="700" ht="20.25" spans="1:11">
      <c r="A700" s="143"/>
      <c r="B700" s="143"/>
      <c r="C700" s="143"/>
      <c r="D700" s="143"/>
      <c r="E700" s="143"/>
      <c r="F700" s="143"/>
      <c r="G700" s="143"/>
      <c r="H700" s="143"/>
      <c r="I700" s="143"/>
      <c r="J700" s="143"/>
      <c r="K700" s="143"/>
    </row>
    <row r="701" ht="20.25" spans="1:11">
      <c r="A701" s="143"/>
      <c r="B701" s="143"/>
      <c r="C701" s="143"/>
      <c r="D701" s="143"/>
      <c r="E701" s="143"/>
      <c r="F701" s="143"/>
      <c r="G701" s="143"/>
      <c r="H701" s="143"/>
      <c r="I701" s="143"/>
      <c r="J701" s="143"/>
      <c r="K701" s="143"/>
    </row>
    <row r="702" ht="20.25" spans="1:11">
      <c r="A702" s="143"/>
      <c r="B702" s="143"/>
      <c r="C702" s="143"/>
      <c r="D702" s="143"/>
      <c r="E702" s="143"/>
      <c r="F702" s="143"/>
      <c r="G702" s="143"/>
      <c r="H702" s="143"/>
      <c r="I702" s="143"/>
      <c r="J702" s="143"/>
      <c r="K702" s="143"/>
    </row>
    <row r="703" ht="20.25" spans="1:11">
      <c r="A703" s="143"/>
      <c r="B703" s="143"/>
      <c r="C703" s="143"/>
      <c r="D703" s="143"/>
      <c r="E703" s="143"/>
      <c r="F703" s="143"/>
      <c r="G703" s="143"/>
      <c r="H703" s="143"/>
      <c r="I703" s="143"/>
      <c r="J703" s="143"/>
      <c r="K703" s="143"/>
    </row>
    <row r="704" ht="20.25" spans="1:11">
      <c r="A704" s="143"/>
      <c r="B704" s="143"/>
      <c r="C704" s="143"/>
      <c r="D704" s="143"/>
      <c r="E704" s="143"/>
      <c r="F704" s="143"/>
      <c r="G704" s="143"/>
      <c r="H704" s="143"/>
      <c r="I704" s="143"/>
      <c r="J704" s="143"/>
      <c r="K704" s="143"/>
    </row>
    <row r="705" ht="20.25" spans="1:11">
      <c r="A705" s="143"/>
      <c r="B705" s="143"/>
      <c r="C705" s="143"/>
      <c r="D705" s="143"/>
      <c r="E705" s="143"/>
      <c r="F705" s="143"/>
      <c r="G705" s="143"/>
      <c r="H705" s="143"/>
      <c r="I705" s="143"/>
      <c r="J705" s="143"/>
      <c r="K705" s="143"/>
    </row>
    <row r="706" ht="20.25" spans="1:11">
      <c r="A706" s="143"/>
      <c r="B706" s="143"/>
      <c r="C706" s="143"/>
      <c r="D706" s="143"/>
      <c r="E706" s="143"/>
      <c r="F706" s="143"/>
      <c r="G706" s="143"/>
      <c r="H706" s="143"/>
      <c r="I706" s="143"/>
      <c r="J706" s="143"/>
      <c r="K706" s="143"/>
    </row>
    <row r="707" ht="20.25" spans="1:11">
      <c r="A707" s="143"/>
      <c r="B707" s="143"/>
      <c r="C707" s="143"/>
      <c r="D707" s="143"/>
      <c r="E707" s="143"/>
      <c r="F707" s="143"/>
      <c r="G707" s="143"/>
      <c r="H707" s="143"/>
      <c r="I707" s="143"/>
      <c r="J707" s="143"/>
      <c r="K707" s="143"/>
    </row>
    <row r="708" ht="20.25" spans="1:11">
      <c r="A708" s="143"/>
      <c r="B708" s="143"/>
      <c r="C708" s="143"/>
      <c r="D708" s="143"/>
      <c r="E708" s="143"/>
      <c r="F708" s="143"/>
      <c r="G708" s="143"/>
      <c r="H708" s="143"/>
      <c r="I708" s="143"/>
      <c r="J708" s="143"/>
      <c r="K708" s="143"/>
    </row>
    <row r="709" ht="20.25" spans="1:11">
      <c r="A709" s="143"/>
      <c r="B709" s="143"/>
      <c r="C709" s="143"/>
      <c r="D709" s="143"/>
      <c r="E709" s="143"/>
      <c r="F709" s="143"/>
      <c r="G709" s="143"/>
      <c r="H709" s="143"/>
      <c r="I709" s="143"/>
      <c r="J709" s="143"/>
      <c r="K709" s="143"/>
    </row>
    <row r="710" ht="20.25" spans="1:11">
      <c r="A710" s="143"/>
      <c r="B710" s="143"/>
      <c r="C710" s="143"/>
      <c r="D710" s="143"/>
      <c r="E710" s="143"/>
      <c r="F710" s="143"/>
      <c r="G710" s="143"/>
      <c r="H710" s="143"/>
      <c r="I710" s="143"/>
      <c r="J710" s="143"/>
      <c r="K710" s="143"/>
    </row>
    <row r="711" ht="20.25" spans="1:11">
      <c r="A711" s="143"/>
      <c r="B711" s="143"/>
      <c r="C711" s="143"/>
      <c r="D711" s="143"/>
      <c r="E711" s="143"/>
      <c r="F711" s="143"/>
      <c r="G711" s="143"/>
      <c r="H711" s="143"/>
      <c r="I711" s="143"/>
      <c r="J711" s="143"/>
      <c r="K711" s="143"/>
    </row>
    <row r="712" ht="20.25" spans="1:11">
      <c r="A712" s="143"/>
      <c r="B712" s="143"/>
      <c r="C712" s="143"/>
      <c r="D712" s="143"/>
      <c r="E712" s="143"/>
      <c r="F712" s="143"/>
      <c r="G712" s="143"/>
      <c r="H712" s="143"/>
      <c r="I712" s="143"/>
      <c r="J712" s="143"/>
      <c r="K712" s="143"/>
    </row>
    <row r="713" ht="20.25" spans="1:11">
      <c r="A713" s="143"/>
      <c r="B713" s="143"/>
      <c r="C713" s="143"/>
      <c r="D713" s="143"/>
      <c r="E713" s="143"/>
      <c r="F713" s="143"/>
      <c r="G713" s="143"/>
      <c r="H713" s="143"/>
      <c r="I713" s="143"/>
      <c r="J713" s="143"/>
      <c r="K713" s="143"/>
    </row>
    <row r="714" ht="20.25" spans="1:11">
      <c r="A714" s="143"/>
      <c r="B714" s="143"/>
      <c r="C714" s="143"/>
      <c r="D714" s="143"/>
      <c r="E714" s="143"/>
      <c r="F714" s="143"/>
      <c r="G714" s="143"/>
      <c r="H714" s="143"/>
      <c r="I714" s="143"/>
      <c r="J714" s="143"/>
      <c r="K714" s="143"/>
    </row>
    <row r="715" ht="20.25" spans="1:11">
      <c r="A715" s="143"/>
      <c r="B715" s="143"/>
      <c r="C715" s="143"/>
      <c r="D715" s="143"/>
      <c r="E715" s="143"/>
      <c r="F715" s="143"/>
      <c r="G715" s="143"/>
      <c r="H715" s="143"/>
      <c r="I715" s="143"/>
      <c r="J715" s="143"/>
      <c r="K715" s="143"/>
    </row>
    <row r="716" ht="20.25" spans="1:11">
      <c r="A716" s="143"/>
      <c r="B716" s="143"/>
      <c r="C716" s="143"/>
      <c r="D716" s="143"/>
      <c r="E716" s="143"/>
      <c r="F716" s="143"/>
      <c r="G716" s="143"/>
      <c r="H716" s="143"/>
      <c r="I716" s="143"/>
      <c r="J716" s="143"/>
      <c r="K716" s="143"/>
    </row>
    <row r="717" ht="20.25" spans="1:11">
      <c r="A717" s="143"/>
      <c r="B717" s="143"/>
      <c r="C717" s="143"/>
      <c r="D717" s="143"/>
      <c r="E717" s="143"/>
      <c r="F717" s="143"/>
      <c r="G717" s="143"/>
      <c r="H717" s="143"/>
      <c r="I717" s="143"/>
      <c r="J717" s="143"/>
      <c r="K717" s="143"/>
    </row>
    <row r="718" ht="20.25" spans="1:11">
      <c r="A718" s="143"/>
      <c r="B718" s="143"/>
      <c r="C718" s="143"/>
      <c r="D718" s="143"/>
      <c r="E718" s="143"/>
      <c r="F718" s="143"/>
      <c r="G718" s="143"/>
      <c r="H718" s="143"/>
      <c r="I718" s="143"/>
      <c r="J718" s="143"/>
      <c r="K718" s="143"/>
    </row>
    <row r="719" ht="20.25" spans="1:11">
      <c r="A719" s="143"/>
      <c r="B719" s="143"/>
      <c r="C719" s="143"/>
      <c r="D719" s="143"/>
      <c r="E719" s="143"/>
      <c r="F719" s="143"/>
      <c r="G719" s="143"/>
      <c r="H719" s="143"/>
      <c r="I719" s="143"/>
      <c r="J719" s="143"/>
      <c r="K719" s="143"/>
    </row>
    <row r="720" ht="20.25" spans="1:11">
      <c r="A720" s="143"/>
      <c r="B720" s="143"/>
      <c r="C720" s="143"/>
      <c r="D720" s="143"/>
      <c r="E720" s="143"/>
      <c r="F720" s="143"/>
      <c r="G720" s="143"/>
      <c r="H720" s="143"/>
      <c r="I720" s="143"/>
      <c r="J720" s="143"/>
      <c r="K720" s="143"/>
    </row>
    <row r="721" ht="20.25" spans="1:11">
      <c r="A721" s="143"/>
      <c r="B721" s="143"/>
      <c r="C721" s="143"/>
      <c r="D721" s="143"/>
      <c r="E721" s="143"/>
      <c r="F721" s="143"/>
      <c r="G721" s="143"/>
      <c r="H721" s="143"/>
      <c r="I721" s="143"/>
      <c r="J721" s="143"/>
      <c r="K721" s="143"/>
    </row>
    <row r="722" ht="20.25" spans="1:11">
      <c r="A722" s="143"/>
      <c r="B722" s="143"/>
      <c r="C722" s="143"/>
      <c r="D722" s="143"/>
      <c r="E722" s="143"/>
      <c r="F722" s="143"/>
      <c r="G722" s="143"/>
      <c r="H722" s="143"/>
      <c r="I722" s="143"/>
      <c r="J722" s="143"/>
      <c r="K722" s="143"/>
    </row>
    <row r="723" ht="20.25" spans="1:11">
      <c r="A723" s="143"/>
      <c r="B723" s="143"/>
      <c r="C723" s="143"/>
      <c r="D723" s="143"/>
      <c r="E723" s="143"/>
      <c r="F723" s="143"/>
      <c r="G723" s="143"/>
      <c r="H723" s="143"/>
      <c r="I723" s="143"/>
      <c r="J723" s="143"/>
      <c r="K723" s="143"/>
    </row>
    <row r="724" ht="20.25" spans="1:11">
      <c r="A724" s="143"/>
      <c r="B724" s="143"/>
      <c r="C724" s="143"/>
      <c r="D724" s="143"/>
      <c r="E724" s="143"/>
      <c r="F724" s="143"/>
      <c r="G724" s="143"/>
      <c r="H724" s="143"/>
      <c r="I724" s="143"/>
      <c r="J724" s="143"/>
      <c r="K724" s="143"/>
    </row>
    <row r="725" ht="20.25" spans="1:11">
      <c r="A725" s="143"/>
      <c r="B725" s="143"/>
      <c r="C725" s="143"/>
      <c r="D725" s="143"/>
      <c r="E725" s="143"/>
      <c r="F725" s="143"/>
      <c r="G725" s="143"/>
      <c r="H725" s="143"/>
      <c r="I725" s="143"/>
      <c r="J725" s="143"/>
      <c r="K725" s="143"/>
    </row>
    <row r="726" ht="20.25" spans="1:11">
      <c r="A726" s="143"/>
      <c r="B726" s="143"/>
      <c r="C726" s="143"/>
      <c r="D726" s="143"/>
      <c r="E726" s="143"/>
      <c r="F726" s="143"/>
      <c r="G726" s="143"/>
      <c r="H726" s="143"/>
      <c r="I726" s="143"/>
      <c r="J726" s="143"/>
      <c r="K726" s="143"/>
    </row>
    <row r="727" ht="20.25" spans="1:11">
      <c r="A727" s="143"/>
      <c r="B727" s="143"/>
      <c r="C727" s="143"/>
      <c r="D727" s="143"/>
      <c r="E727" s="143"/>
      <c r="F727" s="143"/>
      <c r="G727" s="143"/>
      <c r="H727" s="143"/>
      <c r="I727" s="143"/>
      <c r="J727" s="143"/>
      <c r="K727" s="143"/>
    </row>
    <row r="728" ht="20.25" spans="1:11">
      <c r="A728" s="143"/>
      <c r="B728" s="143"/>
      <c r="C728" s="143"/>
      <c r="D728" s="143"/>
      <c r="E728" s="143"/>
      <c r="F728" s="143"/>
      <c r="G728" s="143"/>
      <c r="H728" s="143"/>
      <c r="I728" s="143"/>
      <c r="J728" s="143"/>
      <c r="K728" s="143"/>
    </row>
    <row r="729" ht="20.25" spans="1:11">
      <c r="A729" s="143"/>
      <c r="B729" s="143"/>
      <c r="C729" s="143"/>
      <c r="D729" s="143"/>
      <c r="E729" s="143"/>
      <c r="F729" s="143"/>
      <c r="G729" s="143"/>
      <c r="H729" s="143"/>
      <c r="I729" s="143"/>
      <c r="J729" s="143"/>
      <c r="K729" s="143"/>
    </row>
    <row r="730" ht="20.25" spans="1:11">
      <c r="A730" s="143"/>
      <c r="B730" s="143"/>
      <c r="C730" s="143"/>
      <c r="D730" s="143"/>
      <c r="E730" s="143"/>
      <c r="F730" s="143"/>
      <c r="G730" s="143"/>
      <c r="H730" s="143"/>
      <c r="I730" s="143"/>
      <c r="J730" s="143"/>
      <c r="K730" s="143"/>
    </row>
    <row r="731" ht="20.25" spans="1:11">
      <c r="A731" s="143"/>
      <c r="B731" s="143"/>
      <c r="C731" s="143"/>
      <c r="D731" s="143"/>
      <c r="E731" s="143"/>
      <c r="F731" s="143"/>
      <c r="G731" s="143"/>
      <c r="H731" s="143"/>
      <c r="I731" s="143"/>
      <c r="J731" s="143"/>
      <c r="K731" s="143"/>
    </row>
    <row r="732" ht="20.25" spans="1:11">
      <c r="A732" s="143"/>
      <c r="B732" s="143"/>
      <c r="C732" s="143"/>
      <c r="D732" s="143"/>
      <c r="E732" s="143"/>
      <c r="F732" s="143"/>
      <c r="G732" s="143"/>
      <c r="H732" s="143"/>
      <c r="I732" s="143"/>
      <c r="J732" s="143"/>
      <c r="K732" s="143"/>
    </row>
    <row r="733" ht="20.25" spans="1:11">
      <c r="A733" s="143"/>
      <c r="B733" s="143"/>
      <c r="C733" s="143"/>
      <c r="D733" s="143"/>
      <c r="E733" s="143"/>
      <c r="F733" s="143"/>
      <c r="G733" s="143"/>
      <c r="H733" s="143"/>
      <c r="I733" s="143"/>
      <c r="J733" s="143"/>
      <c r="K733" s="143"/>
    </row>
    <row r="734" ht="20.25" spans="1:11">
      <c r="A734" s="143"/>
      <c r="B734" s="143"/>
      <c r="C734" s="143"/>
      <c r="D734" s="143"/>
      <c r="E734" s="143"/>
      <c r="F734" s="143"/>
      <c r="G734" s="143"/>
      <c r="H734" s="143"/>
      <c r="I734" s="143"/>
      <c r="J734" s="143"/>
      <c r="K734" s="143"/>
    </row>
    <row r="735" ht="20.25" spans="1:11">
      <c r="A735" s="143"/>
      <c r="B735" s="143"/>
      <c r="C735" s="143"/>
      <c r="D735" s="143"/>
      <c r="E735" s="143"/>
      <c r="F735" s="143"/>
      <c r="G735" s="143"/>
      <c r="H735" s="143"/>
      <c r="I735" s="143"/>
      <c r="J735" s="143"/>
      <c r="K735" s="143"/>
    </row>
    <row r="736" ht="20.25" spans="1:11">
      <c r="A736" s="143"/>
      <c r="B736" s="143"/>
      <c r="C736" s="143"/>
      <c r="D736" s="143"/>
      <c r="E736" s="143"/>
      <c r="F736" s="143"/>
      <c r="G736" s="143"/>
      <c r="H736" s="143"/>
      <c r="I736" s="143"/>
      <c r="J736" s="143"/>
      <c r="K736" s="143"/>
    </row>
    <row r="737" ht="20.25" spans="1:11">
      <c r="A737" s="143"/>
      <c r="B737" s="143"/>
      <c r="C737" s="143"/>
      <c r="D737" s="143"/>
      <c r="E737" s="143"/>
      <c r="F737" s="143"/>
      <c r="G737" s="143"/>
      <c r="H737" s="143"/>
      <c r="I737" s="143"/>
      <c r="J737" s="143"/>
      <c r="K737" s="143"/>
    </row>
    <row r="738" ht="20.25" spans="1:11">
      <c r="A738" s="143"/>
      <c r="B738" s="143"/>
      <c r="C738" s="143"/>
      <c r="D738" s="143"/>
      <c r="E738" s="143"/>
      <c r="F738" s="143"/>
      <c r="G738" s="143"/>
      <c r="H738" s="143"/>
      <c r="I738" s="143"/>
      <c r="J738" s="143"/>
      <c r="K738" s="143"/>
    </row>
    <row r="739" ht="20.25" spans="1:11">
      <c r="A739" s="143"/>
      <c r="B739" s="143"/>
      <c r="C739" s="143"/>
      <c r="D739" s="143"/>
      <c r="E739" s="143"/>
      <c r="F739" s="143"/>
      <c r="G739" s="143"/>
      <c r="H739" s="143"/>
      <c r="I739" s="143"/>
      <c r="J739" s="143"/>
      <c r="K739" s="143"/>
    </row>
    <row r="740" ht="20.25" spans="1:11">
      <c r="A740" s="143"/>
      <c r="B740" s="143"/>
      <c r="C740" s="143"/>
      <c r="D740" s="143"/>
      <c r="E740" s="143"/>
      <c r="F740" s="143"/>
      <c r="G740" s="143"/>
      <c r="H740" s="143"/>
      <c r="I740" s="143"/>
      <c r="J740" s="143"/>
      <c r="K740" s="143"/>
    </row>
    <row r="741" ht="20.25" spans="1:11">
      <c r="A741" s="143"/>
      <c r="B741" s="143"/>
      <c r="C741" s="143"/>
      <c r="D741" s="143"/>
      <c r="E741" s="143"/>
      <c r="F741" s="143"/>
      <c r="G741" s="143"/>
      <c r="H741" s="143"/>
      <c r="I741" s="143"/>
      <c r="J741" s="143"/>
      <c r="K741" s="143"/>
    </row>
    <row r="742" ht="20.25" spans="1:11">
      <c r="A742" s="143"/>
      <c r="B742" s="143"/>
      <c r="C742" s="143"/>
      <c r="D742" s="143"/>
      <c r="E742" s="143"/>
      <c r="F742" s="143"/>
      <c r="G742" s="143"/>
      <c r="H742" s="143"/>
      <c r="I742" s="143"/>
      <c r="J742" s="143"/>
      <c r="K742" s="143"/>
    </row>
    <row r="743" ht="20.25" spans="1:11">
      <c r="A743" s="143"/>
      <c r="B743" s="143"/>
      <c r="C743" s="143"/>
      <c r="D743" s="143"/>
      <c r="E743" s="143"/>
      <c r="F743" s="143"/>
      <c r="G743" s="143"/>
      <c r="H743" s="143"/>
      <c r="I743" s="143"/>
      <c r="J743" s="143"/>
      <c r="K743" s="143"/>
    </row>
    <row r="744" ht="20.25" spans="1:11">
      <c r="A744" s="143"/>
      <c r="B744" s="143"/>
      <c r="C744" s="143"/>
      <c r="D744" s="143"/>
      <c r="E744" s="143"/>
      <c r="F744" s="143"/>
      <c r="G744" s="143"/>
      <c r="H744" s="143"/>
      <c r="I744" s="143"/>
      <c r="J744" s="143"/>
      <c r="K744" s="143"/>
    </row>
    <row r="745" ht="20.25" spans="1:11">
      <c r="A745" s="143"/>
      <c r="B745" s="143"/>
      <c r="C745" s="143"/>
      <c r="D745" s="143"/>
      <c r="E745" s="143"/>
      <c r="F745" s="143"/>
      <c r="G745" s="143"/>
      <c r="H745" s="143"/>
      <c r="I745" s="143"/>
      <c r="J745" s="143"/>
      <c r="K745" s="143"/>
    </row>
    <row r="746" ht="20.25" spans="1:11">
      <c r="A746" s="143"/>
      <c r="B746" s="143"/>
      <c r="C746" s="143"/>
      <c r="D746" s="143"/>
      <c r="E746" s="143"/>
      <c r="F746" s="143"/>
      <c r="G746" s="143"/>
      <c r="H746" s="143"/>
      <c r="I746" s="143"/>
      <c r="J746" s="143"/>
      <c r="K746" s="143"/>
    </row>
    <row r="747" ht="20.25" spans="1:11">
      <c r="A747" s="143"/>
      <c r="B747" s="143"/>
      <c r="C747" s="143"/>
      <c r="D747" s="143"/>
      <c r="E747" s="143"/>
      <c r="F747" s="143"/>
      <c r="G747" s="143"/>
      <c r="H747" s="143"/>
      <c r="I747" s="143"/>
      <c r="J747" s="143"/>
      <c r="K747" s="143"/>
    </row>
    <row r="748" ht="20.25" spans="1:11">
      <c r="A748" s="143"/>
      <c r="B748" s="143"/>
      <c r="C748" s="143"/>
      <c r="D748" s="143"/>
      <c r="E748" s="143"/>
      <c r="F748" s="143"/>
      <c r="G748" s="143"/>
      <c r="H748" s="143"/>
      <c r="I748" s="143"/>
      <c r="J748" s="143"/>
      <c r="K748" s="143"/>
    </row>
    <row r="749" ht="20.25" spans="1:11">
      <c r="A749" s="143"/>
      <c r="B749" s="143"/>
      <c r="C749" s="143"/>
      <c r="D749" s="143"/>
      <c r="E749" s="143"/>
      <c r="F749" s="143"/>
      <c r="G749" s="143"/>
      <c r="H749" s="143"/>
      <c r="I749" s="143"/>
      <c r="J749" s="143"/>
      <c r="K749" s="143"/>
    </row>
    <row r="750" ht="20.25" spans="1:11">
      <c r="A750" s="143"/>
      <c r="B750" s="143"/>
      <c r="C750" s="143"/>
      <c r="D750" s="143"/>
      <c r="E750" s="143"/>
      <c r="F750" s="143"/>
      <c r="G750" s="143"/>
      <c r="H750" s="143"/>
      <c r="I750" s="143"/>
      <c r="J750" s="143"/>
      <c r="K750" s="143"/>
    </row>
    <row r="751" ht="20.25" spans="1:11">
      <c r="A751" s="143"/>
      <c r="B751" s="143"/>
      <c r="C751" s="143"/>
      <c r="D751" s="143"/>
      <c r="E751" s="143"/>
      <c r="F751" s="143"/>
      <c r="G751" s="143"/>
      <c r="H751" s="143"/>
      <c r="I751" s="143"/>
      <c r="J751" s="143"/>
      <c r="K751" s="143"/>
    </row>
    <row r="752" ht="20.25" spans="1:11">
      <c r="A752" s="143"/>
      <c r="B752" s="143"/>
      <c r="C752" s="143"/>
      <c r="D752" s="143"/>
      <c r="E752" s="143"/>
      <c r="F752" s="143"/>
      <c r="G752" s="143"/>
      <c r="H752" s="143"/>
      <c r="I752" s="143"/>
      <c r="J752" s="143"/>
      <c r="K752" s="143"/>
    </row>
    <row r="753" ht="20.25" spans="1:11">
      <c r="A753" s="143"/>
      <c r="B753" s="143"/>
      <c r="C753" s="143"/>
      <c r="D753" s="143"/>
      <c r="E753" s="143"/>
      <c r="F753" s="143"/>
      <c r="G753" s="143"/>
      <c r="H753" s="143"/>
      <c r="I753" s="143"/>
      <c r="J753" s="143"/>
      <c r="K753" s="143"/>
    </row>
    <row r="754" ht="20.25" spans="1:11">
      <c r="A754" s="143"/>
      <c r="B754" s="143"/>
      <c r="C754" s="143"/>
      <c r="D754" s="143"/>
      <c r="E754" s="143"/>
      <c r="F754" s="143"/>
      <c r="G754" s="143"/>
      <c r="H754" s="143"/>
      <c r="I754" s="143"/>
      <c r="J754" s="143"/>
      <c r="K754" s="143"/>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95" customWidth="1"/>
    <col min="2" max="2" width="6.875" style="95" customWidth="1"/>
    <col min="3" max="3" width="18.5" style="95" customWidth="1"/>
    <col min="4" max="4" width="10.875" style="95" customWidth="1"/>
    <col min="5" max="5" width="6.75" style="95" customWidth="1"/>
    <col min="6" max="6" width="9.375" style="199" customWidth="1"/>
    <col min="7" max="7" width="8.875" style="95" customWidth="1"/>
    <col min="8" max="8" width="14" style="95" customWidth="1"/>
    <col min="9" max="9" width="9.375" style="95" customWidth="1"/>
    <col min="10" max="10" width="8.625" style="95" customWidth="1"/>
    <col min="11" max="11" width="12.875" style="392" customWidth="1"/>
    <col min="12" max="12" width="13.375" style="392" customWidth="1"/>
    <col min="13" max="14" width="7.625" style="392" customWidth="1"/>
    <col min="15" max="15" width="4.625" style="392" customWidth="1"/>
    <col min="16" max="16" width="7.625" style="393" customWidth="1"/>
    <col min="17" max="17" width="7.625" style="392" customWidth="1"/>
    <col min="18" max="18" width="7.625" style="95" customWidth="1"/>
    <col min="19" max="19" width="4.625" style="95" customWidth="1"/>
    <col min="20" max="20" width="9.625" style="95" customWidth="1"/>
    <col min="21" max="21" width="8.75" style="95" customWidth="1"/>
    <col min="22" max="22" width="11.5" style="95" customWidth="1"/>
    <col min="23" max="23" width="6.125" style="95" customWidth="1"/>
    <col min="24" max="24" width="4.625" style="95" customWidth="1"/>
    <col min="25" max="27" width="6.125" style="95" customWidth="1"/>
    <col min="28" max="28" width="9" style="95"/>
    <col min="29" max="29" width="9.125" style="394" customWidth="1"/>
    <col min="30" max="31" width="9" style="394"/>
    <col min="32" max="256" width="9" style="95"/>
    <col min="257" max="257" width="4.75" style="95" customWidth="1"/>
    <col min="258" max="258" width="6.875" style="95" customWidth="1"/>
    <col min="259" max="259" width="18.5" style="95" customWidth="1"/>
    <col min="260" max="260" width="10.875" style="95" customWidth="1"/>
    <col min="261" max="261" width="6.75" style="95" customWidth="1"/>
    <col min="262" max="262" width="9.375" style="95" customWidth="1"/>
    <col min="263" max="263" width="8.875" style="95" customWidth="1"/>
    <col min="264" max="264" width="14" style="95" customWidth="1"/>
    <col min="265" max="265" width="9.375" style="95" customWidth="1"/>
    <col min="266" max="266" width="8.625" style="95" customWidth="1"/>
    <col min="267" max="267" width="12.875" style="95" customWidth="1"/>
    <col min="268" max="268" width="13.375" style="95" customWidth="1"/>
    <col min="269" max="270" width="7.625" style="95" customWidth="1"/>
    <col min="271" max="271" width="4.625" style="95" customWidth="1"/>
    <col min="272" max="274" width="7.625" style="95" customWidth="1"/>
    <col min="275" max="275" width="4.625" style="95" customWidth="1"/>
    <col min="276" max="276" width="9.625" style="95" customWidth="1"/>
    <col min="277" max="277" width="8.75" style="95" customWidth="1"/>
    <col min="278" max="278" width="11.5" style="95" customWidth="1"/>
    <col min="279" max="279" width="6.125" style="95" customWidth="1"/>
    <col min="280" max="280" width="4.625" style="95" customWidth="1"/>
    <col min="281" max="283" width="6.125" style="95" customWidth="1"/>
    <col min="284" max="284" width="9" style="95"/>
    <col min="285" max="285" width="9.125" style="95" customWidth="1"/>
    <col min="286" max="512" width="9" style="95"/>
    <col min="513" max="513" width="4.75" style="95" customWidth="1"/>
    <col min="514" max="514" width="6.875" style="95" customWidth="1"/>
    <col min="515" max="515" width="18.5" style="95" customWidth="1"/>
    <col min="516" max="516" width="10.875" style="95" customWidth="1"/>
    <col min="517" max="517" width="6.75" style="95" customWidth="1"/>
    <col min="518" max="518" width="9.375" style="95" customWidth="1"/>
    <col min="519" max="519" width="8.875" style="95" customWidth="1"/>
    <col min="520" max="520" width="14" style="95" customWidth="1"/>
    <col min="521" max="521" width="9.375" style="95" customWidth="1"/>
    <col min="522" max="522" width="8.625" style="95" customWidth="1"/>
    <col min="523" max="523" width="12.875" style="95" customWidth="1"/>
    <col min="524" max="524" width="13.375" style="95" customWidth="1"/>
    <col min="525" max="526" width="7.625" style="95" customWidth="1"/>
    <col min="527" max="527" width="4.625" style="95" customWidth="1"/>
    <col min="528" max="530" width="7.625" style="95" customWidth="1"/>
    <col min="531" max="531" width="4.625" style="95" customWidth="1"/>
    <col min="532" max="532" width="9.625" style="95" customWidth="1"/>
    <col min="533" max="533" width="8.75" style="95" customWidth="1"/>
    <col min="534" max="534" width="11.5" style="95" customWidth="1"/>
    <col min="535" max="535" width="6.125" style="95" customWidth="1"/>
    <col min="536" max="536" width="4.625" style="95" customWidth="1"/>
    <col min="537" max="539" width="6.125" style="95" customWidth="1"/>
    <col min="540" max="540" width="9" style="95"/>
    <col min="541" max="541" width="9.125" style="95" customWidth="1"/>
    <col min="542" max="768" width="9" style="95"/>
    <col min="769" max="769" width="4.75" style="95" customWidth="1"/>
    <col min="770" max="770" width="6.875" style="95" customWidth="1"/>
    <col min="771" max="771" width="18.5" style="95" customWidth="1"/>
    <col min="772" max="772" width="10.875" style="95" customWidth="1"/>
    <col min="773" max="773" width="6.75" style="95" customWidth="1"/>
    <col min="774" max="774" width="9.375" style="95" customWidth="1"/>
    <col min="775" max="775" width="8.875" style="95" customWidth="1"/>
    <col min="776" max="776" width="14" style="95" customWidth="1"/>
    <col min="777" max="777" width="9.375" style="95" customWidth="1"/>
    <col min="778" max="778" width="8.625" style="95" customWidth="1"/>
    <col min="779" max="779" width="12.875" style="95" customWidth="1"/>
    <col min="780" max="780" width="13.375" style="95" customWidth="1"/>
    <col min="781" max="782" width="7.625" style="95" customWidth="1"/>
    <col min="783" max="783" width="4.625" style="95" customWidth="1"/>
    <col min="784" max="786" width="7.625" style="95" customWidth="1"/>
    <col min="787" max="787" width="4.625" style="95" customWidth="1"/>
    <col min="788" max="788" width="9.625" style="95" customWidth="1"/>
    <col min="789" max="789" width="8.75" style="95" customWidth="1"/>
    <col min="790" max="790" width="11.5" style="95" customWidth="1"/>
    <col min="791" max="791" width="6.125" style="95" customWidth="1"/>
    <col min="792" max="792" width="4.625" style="95" customWidth="1"/>
    <col min="793" max="795" width="6.125" style="95" customWidth="1"/>
    <col min="796" max="796" width="9" style="95"/>
    <col min="797" max="797" width="9.125" style="95" customWidth="1"/>
    <col min="798" max="1024" width="9" style="95"/>
    <col min="1025" max="1025" width="4.75" style="95" customWidth="1"/>
    <col min="1026" max="1026" width="6.875" style="95" customWidth="1"/>
    <col min="1027" max="1027" width="18.5" style="95" customWidth="1"/>
    <col min="1028" max="1028" width="10.875" style="95" customWidth="1"/>
    <col min="1029" max="1029" width="6.75" style="95" customWidth="1"/>
    <col min="1030" max="1030" width="9.375" style="95" customWidth="1"/>
    <col min="1031" max="1031" width="8.875" style="95" customWidth="1"/>
    <col min="1032" max="1032" width="14" style="95" customWidth="1"/>
    <col min="1033" max="1033" width="9.375" style="95" customWidth="1"/>
    <col min="1034" max="1034" width="8.625" style="95" customWidth="1"/>
    <col min="1035" max="1035" width="12.875" style="95" customWidth="1"/>
    <col min="1036" max="1036" width="13.375" style="95" customWidth="1"/>
    <col min="1037" max="1038" width="7.625" style="95" customWidth="1"/>
    <col min="1039" max="1039" width="4.625" style="95" customWidth="1"/>
    <col min="1040" max="1042" width="7.625" style="95" customWidth="1"/>
    <col min="1043" max="1043" width="4.625" style="95" customWidth="1"/>
    <col min="1044" max="1044" width="9.625" style="95" customWidth="1"/>
    <col min="1045" max="1045" width="8.75" style="95" customWidth="1"/>
    <col min="1046" max="1046" width="11.5" style="95" customWidth="1"/>
    <col min="1047" max="1047" width="6.125" style="95" customWidth="1"/>
    <col min="1048" max="1048" width="4.625" style="95" customWidth="1"/>
    <col min="1049" max="1051" width="6.125" style="95" customWidth="1"/>
    <col min="1052" max="1052" width="9" style="95"/>
    <col min="1053" max="1053" width="9.125" style="95" customWidth="1"/>
    <col min="1054" max="1280" width="9" style="95"/>
    <col min="1281" max="1281" width="4.75" style="95" customWidth="1"/>
    <col min="1282" max="1282" width="6.875" style="95" customWidth="1"/>
    <col min="1283" max="1283" width="18.5" style="95" customWidth="1"/>
    <col min="1284" max="1284" width="10.875" style="95" customWidth="1"/>
    <col min="1285" max="1285" width="6.75" style="95" customWidth="1"/>
    <col min="1286" max="1286" width="9.375" style="95" customWidth="1"/>
    <col min="1287" max="1287" width="8.875" style="95" customWidth="1"/>
    <col min="1288" max="1288" width="14" style="95" customWidth="1"/>
    <col min="1289" max="1289" width="9.375" style="95" customWidth="1"/>
    <col min="1290" max="1290" width="8.625" style="95" customWidth="1"/>
    <col min="1291" max="1291" width="12.875" style="95" customWidth="1"/>
    <col min="1292" max="1292" width="13.375" style="95" customWidth="1"/>
    <col min="1293" max="1294" width="7.625" style="95" customWidth="1"/>
    <col min="1295" max="1295" width="4.625" style="95" customWidth="1"/>
    <col min="1296" max="1298" width="7.625" style="95" customWidth="1"/>
    <col min="1299" max="1299" width="4.625" style="95" customWidth="1"/>
    <col min="1300" max="1300" width="9.625" style="95" customWidth="1"/>
    <col min="1301" max="1301" width="8.75" style="95" customWidth="1"/>
    <col min="1302" max="1302" width="11.5" style="95" customWidth="1"/>
    <col min="1303" max="1303" width="6.125" style="95" customWidth="1"/>
    <col min="1304" max="1304" width="4.625" style="95" customWidth="1"/>
    <col min="1305" max="1307" width="6.125" style="95" customWidth="1"/>
    <col min="1308" max="1308" width="9" style="95"/>
    <col min="1309" max="1309" width="9.125" style="95" customWidth="1"/>
    <col min="1310" max="1536" width="9" style="95"/>
    <col min="1537" max="1537" width="4.75" style="95" customWidth="1"/>
    <col min="1538" max="1538" width="6.875" style="95" customWidth="1"/>
    <col min="1539" max="1539" width="18.5" style="95" customWidth="1"/>
    <col min="1540" max="1540" width="10.875" style="95" customWidth="1"/>
    <col min="1541" max="1541" width="6.75" style="95" customWidth="1"/>
    <col min="1542" max="1542" width="9.375" style="95" customWidth="1"/>
    <col min="1543" max="1543" width="8.875" style="95" customWidth="1"/>
    <col min="1544" max="1544" width="14" style="95" customWidth="1"/>
    <col min="1545" max="1545" width="9.375" style="95" customWidth="1"/>
    <col min="1546" max="1546" width="8.625" style="95" customWidth="1"/>
    <col min="1547" max="1547" width="12.875" style="95" customWidth="1"/>
    <col min="1548" max="1548" width="13.375" style="95" customWidth="1"/>
    <col min="1549" max="1550" width="7.625" style="95" customWidth="1"/>
    <col min="1551" max="1551" width="4.625" style="95" customWidth="1"/>
    <col min="1552" max="1554" width="7.625" style="95" customWidth="1"/>
    <col min="1555" max="1555" width="4.625" style="95" customWidth="1"/>
    <col min="1556" max="1556" width="9.625" style="95" customWidth="1"/>
    <col min="1557" max="1557" width="8.75" style="95" customWidth="1"/>
    <col min="1558" max="1558" width="11.5" style="95" customWidth="1"/>
    <col min="1559" max="1559" width="6.125" style="95" customWidth="1"/>
    <col min="1560" max="1560" width="4.625" style="95" customWidth="1"/>
    <col min="1561" max="1563" width="6.125" style="95" customWidth="1"/>
    <col min="1564" max="1564" width="9" style="95"/>
    <col min="1565" max="1565" width="9.125" style="95" customWidth="1"/>
    <col min="1566" max="1792" width="9" style="95"/>
    <col min="1793" max="1793" width="4.75" style="95" customWidth="1"/>
    <col min="1794" max="1794" width="6.875" style="95" customWidth="1"/>
    <col min="1795" max="1795" width="18.5" style="95" customWidth="1"/>
    <col min="1796" max="1796" width="10.875" style="95" customWidth="1"/>
    <col min="1797" max="1797" width="6.75" style="95" customWidth="1"/>
    <col min="1798" max="1798" width="9.375" style="95" customWidth="1"/>
    <col min="1799" max="1799" width="8.875" style="95" customWidth="1"/>
    <col min="1800" max="1800" width="14" style="95" customWidth="1"/>
    <col min="1801" max="1801" width="9.375" style="95" customWidth="1"/>
    <col min="1802" max="1802" width="8.625" style="95" customWidth="1"/>
    <col min="1803" max="1803" width="12.875" style="95" customWidth="1"/>
    <col min="1804" max="1804" width="13.375" style="95" customWidth="1"/>
    <col min="1805" max="1806" width="7.625" style="95" customWidth="1"/>
    <col min="1807" max="1807" width="4.625" style="95" customWidth="1"/>
    <col min="1808" max="1810" width="7.625" style="95" customWidth="1"/>
    <col min="1811" max="1811" width="4.625" style="95" customWidth="1"/>
    <col min="1812" max="1812" width="9.625" style="95" customWidth="1"/>
    <col min="1813" max="1813" width="8.75" style="95" customWidth="1"/>
    <col min="1814" max="1814" width="11.5" style="95" customWidth="1"/>
    <col min="1815" max="1815" width="6.125" style="95" customWidth="1"/>
    <col min="1816" max="1816" width="4.625" style="95" customWidth="1"/>
    <col min="1817" max="1819" width="6.125" style="95" customWidth="1"/>
    <col min="1820" max="1820" width="9" style="95"/>
    <col min="1821" max="1821" width="9.125" style="95" customWidth="1"/>
    <col min="1822" max="2048" width="9" style="95"/>
    <col min="2049" max="2049" width="4.75" style="95" customWidth="1"/>
    <col min="2050" max="2050" width="6.875" style="95" customWidth="1"/>
    <col min="2051" max="2051" width="18.5" style="95" customWidth="1"/>
    <col min="2052" max="2052" width="10.875" style="95" customWidth="1"/>
    <col min="2053" max="2053" width="6.75" style="95" customWidth="1"/>
    <col min="2054" max="2054" width="9.375" style="95" customWidth="1"/>
    <col min="2055" max="2055" width="8.875" style="95" customWidth="1"/>
    <col min="2056" max="2056" width="14" style="95" customWidth="1"/>
    <col min="2057" max="2057" width="9.375" style="95" customWidth="1"/>
    <col min="2058" max="2058" width="8.625" style="95" customWidth="1"/>
    <col min="2059" max="2059" width="12.875" style="95" customWidth="1"/>
    <col min="2060" max="2060" width="13.375" style="95" customWidth="1"/>
    <col min="2061" max="2062" width="7.625" style="95" customWidth="1"/>
    <col min="2063" max="2063" width="4.625" style="95" customWidth="1"/>
    <col min="2064" max="2066" width="7.625" style="95" customWidth="1"/>
    <col min="2067" max="2067" width="4.625" style="95" customWidth="1"/>
    <col min="2068" max="2068" width="9.625" style="95" customWidth="1"/>
    <col min="2069" max="2069" width="8.75" style="95" customWidth="1"/>
    <col min="2070" max="2070" width="11.5" style="95" customWidth="1"/>
    <col min="2071" max="2071" width="6.125" style="95" customWidth="1"/>
    <col min="2072" max="2072" width="4.625" style="95" customWidth="1"/>
    <col min="2073" max="2075" width="6.125" style="95" customWidth="1"/>
    <col min="2076" max="2076" width="9" style="95"/>
    <col min="2077" max="2077" width="9.125" style="95" customWidth="1"/>
    <col min="2078" max="2304" width="9" style="95"/>
    <col min="2305" max="2305" width="4.75" style="95" customWidth="1"/>
    <col min="2306" max="2306" width="6.875" style="95" customWidth="1"/>
    <col min="2307" max="2307" width="18.5" style="95" customWidth="1"/>
    <col min="2308" max="2308" width="10.875" style="95" customWidth="1"/>
    <col min="2309" max="2309" width="6.75" style="95" customWidth="1"/>
    <col min="2310" max="2310" width="9.375" style="95" customWidth="1"/>
    <col min="2311" max="2311" width="8.875" style="95" customWidth="1"/>
    <col min="2312" max="2312" width="14" style="95" customWidth="1"/>
    <col min="2313" max="2313" width="9.375" style="95" customWidth="1"/>
    <col min="2314" max="2314" width="8.625" style="95" customWidth="1"/>
    <col min="2315" max="2315" width="12.875" style="95" customWidth="1"/>
    <col min="2316" max="2316" width="13.375" style="95" customWidth="1"/>
    <col min="2317" max="2318" width="7.625" style="95" customWidth="1"/>
    <col min="2319" max="2319" width="4.625" style="95" customWidth="1"/>
    <col min="2320" max="2322" width="7.625" style="95" customWidth="1"/>
    <col min="2323" max="2323" width="4.625" style="95" customWidth="1"/>
    <col min="2324" max="2324" width="9.625" style="95" customWidth="1"/>
    <col min="2325" max="2325" width="8.75" style="95" customWidth="1"/>
    <col min="2326" max="2326" width="11.5" style="95" customWidth="1"/>
    <col min="2327" max="2327" width="6.125" style="95" customWidth="1"/>
    <col min="2328" max="2328" width="4.625" style="95" customWidth="1"/>
    <col min="2329" max="2331" width="6.125" style="95" customWidth="1"/>
    <col min="2332" max="2332" width="9" style="95"/>
    <col min="2333" max="2333" width="9.125" style="95" customWidth="1"/>
    <col min="2334" max="2560" width="9" style="95"/>
    <col min="2561" max="2561" width="4.75" style="95" customWidth="1"/>
    <col min="2562" max="2562" width="6.875" style="95" customWidth="1"/>
    <col min="2563" max="2563" width="18.5" style="95" customWidth="1"/>
    <col min="2564" max="2564" width="10.875" style="95" customWidth="1"/>
    <col min="2565" max="2565" width="6.75" style="95" customWidth="1"/>
    <col min="2566" max="2566" width="9.375" style="95" customWidth="1"/>
    <col min="2567" max="2567" width="8.875" style="95" customWidth="1"/>
    <col min="2568" max="2568" width="14" style="95" customWidth="1"/>
    <col min="2569" max="2569" width="9.375" style="95" customWidth="1"/>
    <col min="2570" max="2570" width="8.625" style="95" customWidth="1"/>
    <col min="2571" max="2571" width="12.875" style="95" customWidth="1"/>
    <col min="2572" max="2572" width="13.375" style="95" customWidth="1"/>
    <col min="2573" max="2574" width="7.625" style="95" customWidth="1"/>
    <col min="2575" max="2575" width="4.625" style="95" customWidth="1"/>
    <col min="2576" max="2578" width="7.625" style="95" customWidth="1"/>
    <col min="2579" max="2579" width="4.625" style="95" customWidth="1"/>
    <col min="2580" max="2580" width="9.625" style="95" customWidth="1"/>
    <col min="2581" max="2581" width="8.75" style="95" customWidth="1"/>
    <col min="2582" max="2582" width="11.5" style="95" customWidth="1"/>
    <col min="2583" max="2583" width="6.125" style="95" customWidth="1"/>
    <col min="2584" max="2584" width="4.625" style="95" customWidth="1"/>
    <col min="2585" max="2587" width="6.125" style="95" customWidth="1"/>
    <col min="2588" max="2588" width="9" style="95"/>
    <col min="2589" max="2589" width="9.125" style="95" customWidth="1"/>
    <col min="2590" max="2816" width="9" style="95"/>
    <col min="2817" max="2817" width="4.75" style="95" customWidth="1"/>
    <col min="2818" max="2818" width="6.875" style="95" customWidth="1"/>
    <col min="2819" max="2819" width="18.5" style="95" customWidth="1"/>
    <col min="2820" max="2820" width="10.875" style="95" customWidth="1"/>
    <col min="2821" max="2821" width="6.75" style="95" customWidth="1"/>
    <col min="2822" max="2822" width="9.375" style="95" customWidth="1"/>
    <col min="2823" max="2823" width="8.875" style="95" customWidth="1"/>
    <col min="2824" max="2824" width="14" style="95" customWidth="1"/>
    <col min="2825" max="2825" width="9.375" style="95" customWidth="1"/>
    <col min="2826" max="2826" width="8.625" style="95" customWidth="1"/>
    <col min="2827" max="2827" width="12.875" style="95" customWidth="1"/>
    <col min="2828" max="2828" width="13.375" style="95" customWidth="1"/>
    <col min="2829" max="2830" width="7.625" style="95" customWidth="1"/>
    <col min="2831" max="2831" width="4.625" style="95" customWidth="1"/>
    <col min="2832" max="2834" width="7.625" style="95" customWidth="1"/>
    <col min="2835" max="2835" width="4.625" style="95" customWidth="1"/>
    <col min="2836" max="2836" width="9.625" style="95" customWidth="1"/>
    <col min="2837" max="2837" width="8.75" style="95" customWidth="1"/>
    <col min="2838" max="2838" width="11.5" style="95" customWidth="1"/>
    <col min="2839" max="2839" width="6.125" style="95" customWidth="1"/>
    <col min="2840" max="2840" width="4.625" style="95" customWidth="1"/>
    <col min="2841" max="2843" width="6.125" style="95" customWidth="1"/>
    <col min="2844" max="2844" width="9" style="95"/>
    <col min="2845" max="2845" width="9.125" style="95" customWidth="1"/>
    <col min="2846" max="3072" width="9" style="95"/>
    <col min="3073" max="3073" width="4.75" style="95" customWidth="1"/>
    <col min="3074" max="3074" width="6.875" style="95" customWidth="1"/>
    <col min="3075" max="3075" width="18.5" style="95" customWidth="1"/>
    <col min="3076" max="3076" width="10.875" style="95" customWidth="1"/>
    <col min="3077" max="3077" width="6.75" style="95" customWidth="1"/>
    <col min="3078" max="3078" width="9.375" style="95" customWidth="1"/>
    <col min="3079" max="3079" width="8.875" style="95" customWidth="1"/>
    <col min="3080" max="3080" width="14" style="95" customWidth="1"/>
    <col min="3081" max="3081" width="9.375" style="95" customWidth="1"/>
    <col min="3082" max="3082" width="8.625" style="95" customWidth="1"/>
    <col min="3083" max="3083" width="12.875" style="95" customWidth="1"/>
    <col min="3084" max="3084" width="13.375" style="95" customWidth="1"/>
    <col min="3085" max="3086" width="7.625" style="95" customWidth="1"/>
    <col min="3087" max="3087" width="4.625" style="95" customWidth="1"/>
    <col min="3088" max="3090" width="7.625" style="95" customWidth="1"/>
    <col min="3091" max="3091" width="4.625" style="95" customWidth="1"/>
    <col min="3092" max="3092" width="9.625" style="95" customWidth="1"/>
    <col min="3093" max="3093" width="8.75" style="95" customWidth="1"/>
    <col min="3094" max="3094" width="11.5" style="95" customWidth="1"/>
    <col min="3095" max="3095" width="6.125" style="95" customWidth="1"/>
    <col min="3096" max="3096" width="4.625" style="95" customWidth="1"/>
    <col min="3097" max="3099" width="6.125" style="95" customWidth="1"/>
    <col min="3100" max="3100" width="9" style="95"/>
    <col min="3101" max="3101" width="9.125" style="95" customWidth="1"/>
    <col min="3102" max="3328" width="9" style="95"/>
    <col min="3329" max="3329" width="4.75" style="95" customWidth="1"/>
    <col min="3330" max="3330" width="6.875" style="95" customWidth="1"/>
    <col min="3331" max="3331" width="18.5" style="95" customWidth="1"/>
    <col min="3332" max="3332" width="10.875" style="95" customWidth="1"/>
    <col min="3333" max="3333" width="6.75" style="95" customWidth="1"/>
    <col min="3334" max="3334" width="9.375" style="95" customWidth="1"/>
    <col min="3335" max="3335" width="8.875" style="95" customWidth="1"/>
    <col min="3336" max="3336" width="14" style="95" customWidth="1"/>
    <col min="3337" max="3337" width="9.375" style="95" customWidth="1"/>
    <col min="3338" max="3338" width="8.625" style="95" customWidth="1"/>
    <col min="3339" max="3339" width="12.875" style="95" customWidth="1"/>
    <col min="3340" max="3340" width="13.375" style="95" customWidth="1"/>
    <col min="3341" max="3342" width="7.625" style="95" customWidth="1"/>
    <col min="3343" max="3343" width="4.625" style="95" customWidth="1"/>
    <col min="3344" max="3346" width="7.625" style="95" customWidth="1"/>
    <col min="3347" max="3347" width="4.625" style="95" customWidth="1"/>
    <col min="3348" max="3348" width="9.625" style="95" customWidth="1"/>
    <col min="3349" max="3349" width="8.75" style="95" customWidth="1"/>
    <col min="3350" max="3350" width="11.5" style="95" customWidth="1"/>
    <col min="3351" max="3351" width="6.125" style="95" customWidth="1"/>
    <col min="3352" max="3352" width="4.625" style="95" customWidth="1"/>
    <col min="3353" max="3355" width="6.125" style="95" customWidth="1"/>
    <col min="3356" max="3356" width="9" style="95"/>
    <col min="3357" max="3357" width="9.125" style="95" customWidth="1"/>
    <col min="3358" max="3584" width="9" style="95"/>
    <col min="3585" max="3585" width="4.75" style="95" customWidth="1"/>
    <col min="3586" max="3586" width="6.875" style="95" customWidth="1"/>
    <col min="3587" max="3587" width="18.5" style="95" customWidth="1"/>
    <col min="3588" max="3588" width="10.875" style="95" customWidth="1"/>
    <col min="3589" max="3589" width="6.75" style="95" customWidth="1"/>
    <col min="3590" max="3590" width="9.375" style="95" customWidth="1"/>
    <col min="3591" max="3591" width="8.875" style="95" customWidth="1"/>
    <col min="3592" max="3592" width="14" style="95" customWidth="1"/>
    <col min="3593" max="3593" width="9.375" style="95" customWidth="1"/>
    <col min="3594" max="3594" width="8.625" style="95" customWidth="1"/>
    <col min="3595" max="3595" width="12.875" style="95" customWidth="1"/>
    <col min="3596" max="3596" width="13.375" style="95" customWidth="1"/>
    <col min="3597" max="3598" width="7.625" style="95" customWidth="1"/>
    <col min="3599" max="3599" width="4.625" style="95" customWidth="1"/>
    <col min="3600" max="3602" width="7.625" style="95" customWidth="1"/>
    <col min="3603" max="3603" width="4.625" style="95" customWidth="1"/>
    <col min="3604" max="3604" width="9.625" style="95" customWidth="1"/>
    <col min="3605" max="3605" width="8.75" style="95" customWidth="1"/>
    <col min="3606" max="3606" width="11.5" style="95" customWidth="1"/>
    <col min="3607" max="3607" width="6.125" style="95" customWidth="1"/>
    <col min="3608" max="3608" width="4.625" style="95" customWidth="1"/>
    <col min="3609" max="3611" width="6.125" style="95" customWidth="1"/>
    <col min="3612" max="3612" width="9" style="95"/>
    <col min="3613" max="3613" width="9.125" style="95" customWidth="1"/>
    <col min="3614" max="3840" width="9" style="95"/>
    <col min="3841" max="3841" width="4.75" style="95" customWidth="1"/>
    <col min="3842" max="3842" width="6.875" style="95" customWidth="1"/>
    <col min="3843" max="3843" width="18.5" style="95" customWidth="1"/>
    <col min="3844" max="3844" width="10.875" style="95" customWidth="1"/>
    <col min="3845" max="3845" width="6.75" style="95" customWidth="1"/>
    <col min="3846" max="3846" width="9.375" style="95" customWidth="1"/>
    <col min="3847" max="3847" width="8.875" style="95" customWidth="1"/>
    <col min="3848" max="3848" width="14" style="95" customWidth="1"/>
    <col min="3849" max="3849" width="9.375" style="95" customWidth="1"/>
    <col min="3850" max="3850" width="8.625" style="95" customWidth="1"/>
    <col min="3851" max="3851" width="12.875" style="95" customWidth="1"/>
    <col min="3852" max="3852" width="13.375" style="95" customWidth="1"/>
    <col min="3853" max="3854" width="7.625" style="95" customWidth="1"/>
    <col min="3855" max="3855" width="4.625" style="95" customWidth="1"/>
    <col min="3856" max="3858" width="7.625" style="95" customWidth="1"/>
    <col min="3859" max="3859" width="4.625" style="95" customWidth="1"/>
    <col min="3860" max="3860" width="9.625" style="95" customWidth="1"/>
    <col min="3861" max="3861" width="8.75" style="95" customWidth="1"/>
    <col min="3862" max="3862" width="11.5" style="95" customWidth="1"/>
    <col min="3863" max="3863" width="6.125" style="95" customWidth="1"/>
    <col min="3864" max="3864" width="4.625" style="95" customWidth="1"/>
    <col min="3865" max="3867" width="6.125" style="95" customWidth="1"/>
    <col min="3868" max="3868" width="9" style="95"/>
    <col min="3869" max="3869" width="9.125" style="95" customWidth="1"/>
    <col min="3870" max="4096" width="9" style="95"/>
    <col min="4097" max="4097" width="4.75" style="95" customWidth="1"/>
    <col min="4098" max="4098" width="6.875" style="95" customWidth="1"/>
    <col min="4099" max="4099" width="18.5" style="95" customWidth="1"/>
    <col min="4100" max="4100" width="10.875" style="95" customWidth="1"/>
    <col min="4101" max="4101" width="6.75" style="95" customWidth="1"/>
    <col min="4102" max="4102" width="9.375" style="95" customWidth="1"/>
    <col min="4103" max="4103" width="8.875" style="95" customWidth="1"/>
    <col min="4104" max="4104" width="14" style="95" customWidth="1"/>
    <col min="4105" max="4105" width="9.375" style="95" customWidth="1"/>
    <col min="4106" max="4106" width="8.625" style="95" customWidth="1"/>
    <col min="4107" max="4107" width="12.875" style="95" customWidth="1"/>
    <col min="4108" max="4108" width="13.375" style="95" customWidth="1"/>
    <col min="4109" max="4110" width="7.625" style="95" customWidth="1"/>
    <col min="4111" max="4111" width="4.625" style="95" customWidth="1"/>
    <col min="4112" max="4114" width="7.625" style="95" customWidth="1"/>
    <col min="4115" max="4115" width="4.625" style="95" customWidth="1"/>
    <col min="4116" max="4116" width="9.625" style="95" customWidth="1"/>
    <col min="4117" max="4117" width="8.75" style="95" customWidth="1"/>
    <col min="4118" max="4118" width="11.5" style="95" customWidth="1"/>
    <col min="4119" max="4119" width="6.125" style="95" customWidth="1"/>
    <col min="4120" max="4120" width="4.625" style="95" customWidth="1"/>
    <col min="4121" max="4123" width="6.125" style="95" customWidth="1"/>
    <col min="4124" max="4124" width="9" style="95"/>
    <col min="4125" max="4125" width="9.125" style="95" customWidth="1"/>
    <col min="4126" max="4352" width="9" style="95"/>
    <col min="4353" max="4353" width="4.75" style="95" customWidth="1"/>
    <col min="4354" max="4354" width="6.875" style="95" customWidth="1"/>
    <col min="4355" max="4355" width="18.5" style="95" customWidth="1"/>
    <col min="4356" max="4356" width="10.875" style="95" customWidth="1"/>
    <col min="4357" max="4357" width="6.75" style="95" customWidth="1"/>
    <col min="4358" max="4358" width="9.375" style="95" customWidth="1"/>
    <col min="4359" max="4359" width="8.875" style="95" customWidth="1"/>
    <col min="4360" max="4360" width="14" style="95" customWidth="1"/>
    <col min="4361" max="4361" width="9.375" style="95" customWidth="1"/>
    <col min="4362" max="4362" width="8.625" style="95" customWidth="1"/>
    <col min="4363" max="4363" width="12.875" style="95" customWidth="1"/>
    <col min="4364" max="4364" width="13.375" style="95" customWidth="1"/>
    <col min="4365" max="4366" width="7.625" style="95" customWidth="1"/>
    <col min="4367" max="4367" width="4.625" style="95" customWidth="1"/>
    <col min="4368" max="4370" width="7.625" style="95" customWidth="1"/>
    <col min="4371" max="4371" width="4.625" style="95" customWidth="1"/>
    <col min="4372" max="4372" width="9.625" style="95" customWidth="1"/>
    <col min="4373" max="4373" width="8.75" style="95" customWidth="1"/>
    <col min="4374" max="4374" width="11.5" style="95" customWidth="1"/>
    <col min="4375" max="4375" width="6.125" style="95" customWidth="1"/>
    <col min="4376" max="4376" width="4.625" style="95" customWidth="1"/>
    <col min="4377" max="4379" width="6.125" style="95" customWidth="1"/>
    <col min="4380" max="4380" width="9" style="95"/>
    <col min="4381" max="4381" width="9.125" style="95" customWidth="1"/>
    <col min="4382" max="4608" width="9" style="95"/>
    <col min="4609" max="4609" width="4.75" style="95" customWidth="1"/>
    <col min="4610" max="4610" width="6.875" style="95" customWidth="1"/>
    <col min="4611" max="4611" width="18.5" style="95" customWidth="1"/>
    <col min="4612" max="4612" width="10.875" style="95" customWidth="1"/>
    <col min="4613" max="4613" width="6.75" style="95" customWidth="1"/>
    <col min="4614" max="4614" width="9.375" style="95" customWidth="1"/>
    <col min="4615" max="4615" width="8.875" style="95" customWidth="1"/>
    <col min="4616" max="4616" width="14" style="95" customWidth="1"/>
    <col min="4617" max="4617" width="9.375" style="95" customWidth="1"/>
    <col min="4618" max="4618" width="8.625" style="95" customWidth="1"/>
    <col min="4619" max="4619" width="12.875" style="95" customWidth="1"/>
    <col min="4620" max="4620" width="13.375" style="95" customWidth="1"/>
    <col min="4621" max="4622" width="7.625" style="95" customWidth="1"/>
    <col min="4623" max="4623" width="4.625" style="95" customWidth="1"/>
    <col min="4624" max="4626" width="7.625" style="95" customWidth="1"/>
    <col min="4627" max="4627" width="4.625" style="95" customWidth="1"/>
    <col min="4628" max="4628" width="9.625" style="95" customWidth="1"/>
    <col min="4629" max="4629" width="8.75" style="95" customWidth="1"/>
    <col min="4630" max="4630" width="11.5" style="95" customWidth="1"/>
    <col min="4631" max="4631" width="6.125" style="95" customWidth="1"/>
    <col min="4632" max="4632" width="4.625" style="95" customWidth="1"/>
    <col min="4633" max="4635" width="6.125" style="95" customWidth="1"/>
    <col min="4636" max="4636" width="9" style="95"/>
    <col min="4637" max="4637" width="9.125" style="95" customWidth="1"/>
    <col min="4638" max="4864" width="9" style="95"/>
    <col min="4865" max="4865" width="4.75" style="95" customWidth="1"/>
    <col min="4866" max="4866" width="6.875" style="95" customWidth="1"/>
    <col min="4867" max="4867" width="18.5" style="95" customWidth="1"/>
    <col min="4868" max="4868" width="10.875" style="95" customWidth="1"/>
    <col min="4869" max="4869" width="6.75" style="95" customWidth="1"/>
    <col min="4870" max="4870" width="9.375" style="95" customWidth="1"/>
    <col min="4871" max="4871" width="8.875" style="95" customWidth="1"/>
    <col min="4872" max="4872" width="14" style="95" customWidth="1"/>
    <col min="4873" max="4873" width="9.375" style="95" customWidth="1"/>
    <col min="4874" max="4874" width="8.625" style="95" customWidth="1"/>
    <col min="4875" max="4875" width="12.875" style="95" customWidth="1"/>
    <col min="4876" max="4876" width="13.375" style="95" customWidth="1"/>
    <col min="4877" max="4878" width="7.625" style="95" customWidth="1"/>
    <col min="4879" max="4879" width="4.625" style="95" customWidth="1"/>
    <col min="4880" max="4882" width="7.625" style="95" customWidth="1"/>
    <col min="4883" max="4883" width="4.625" style="95" customWidth="1"/>
    <col min="4884" max="4884" width="9.625" style="95" customWidth="1"/>
    <col min="4885" max="4885" width="8.75" style="95" customWidth="1"/>
    <col min="4886" max="4886" width="11.5" style="95" customWidth="1"/>
    <col min="4887" max="4887" width="6.125" style="95" customWidth="1"/>
    <col min="4888" max="4888" width="4.625" style="95" customWidth="1"/>
    <col min="4889" max="4891" width="6.125" style="95" customWidth="1"/>
    <col min="4892" max="4892" width="9" style="95"/>
    <col min="4893" max="4893" width="9.125" style="95" customWidth="1"/>
    <col min="4894" max="5120" width="9" style="95"/>
    <col min="5121" max="5121" width="4.75" style="95" customWidth="1"/>
    <col min="5122" max="5122" width="6.875" style="95" customWidth="1"/>
    <col min="5123" max="5123" width="18.5" style="95" customWidth="1"/>
    <col min="5124" max="5124" width="10.875" style="95" customWidth="1"/>
    <col min="5125" max="5125" width="6.75" style="95" customWidth="1"/>
    <col min="5126" max="5126" width="9.375" style="95" customWidth="1"/>
    <col min="5127" max="5127" width="8.875" style="95" customWidth="1"/>
    <col min="5128" max="5128" width="14" style="95" customWidth="1"/>
    <col min="5129" max="5129" width="9.375" style="95" customWidth="1"/>
    <col min="5130" max="5130" width="8.625" style="95" customWidth="1"/>
    <col min="5131" max="5131" width="12.875" style="95" customWidth="1"/>
    <col min="5132" max="5132" width="13.375" style="95" customWidth="1"/>
    <col min="5133" max="5134" width="7.625" style="95" customWidth="1"/>
    <col min="5135" max="5135" width="4.625" style="95" customWidth="1"/>
    <col min="5136" max="5138" width="7.625" style="95" customWidth="1"/>
    <col min="5139" max="5139" width="4.625" style="95" customWidth="1"/>
    <col min="5140" max="5140" width="9.625" style="95" customWidth="1"/>
    <col min="5141" max="5141" width="8.75" style="95" customWidth="1"/>
    <col min="5142" max="5142" width="11.5" style="95" customWidth="1"/>
    <col min="5143" max="5143" width="6.125" style="95" customWidth="1"/>
    <col min="5144" max="5144" width="4.625" style="95" customWidth="1"/>
    <col min="5145" max="5147" width="6.125" style="95" customWidth="1"/>
    <col min="5148" max="5148" width="9" style="95"/>
    <col min="5149" max="5149" width="9.125" style="95" customWidth="1"/>
    <col min="5150" max="5376" width="9" style="95"/>
    <col min="5377" max="5377" width="4.75" style="95" customWidth="1"/>
    <col min="5378" max="5378" width="6.875" style="95" customWidth="1"/>
    <col min="5379" max="5379" width="18.5" style="95" customWidth="1"/>
    <col min="5380" max="5380" width="10.875" style="95" customWidth="1"/>
    <col min="5381" max="5381" width="6.75" style="95" customWidth="1"/>
    <col min="5382" max="5382" width="9.375" style="95" customWidth="1"/>
    <col min="5383" max="5383" width="8.875" style="95" customWidth="1"/>
    <col min="5384" max="5384" width="14" style="95" customWidth="1"/>
    <col min="5385" max="5385" width="9.375" style="95" customWidth="1"/>
    <col min="5386" max="5386" width="8.625" style="95" customWidth="1"/>
    <col min="5387" max="5387" width="12.875" style="95" customWidth="1"/>
    <col min="5388" max="5388" width="13.375" style="95" customWidth="1"/>
    <col min="5389" max="5390" width="7.625" style="95" customWidth="1"/>
    <col min="5391" max="5391" width="4.625" style="95" customWidth="1"/>
    <col min="5392" max="5394" width="7.625" style="95" customWidth="1"/>
    <col min="5395" max="5395" width="4.625" style="95" customWidth="1"/>
    <col min="5396" max="5396" width="9.625" style="95" customWidth="1"/>
    <col min="5397" max="5397" width="8.75" style="95" customWidth="1"/>
    <col min="5398" max="5398" width="11.5" style="95" customWidth="1"/>
    <col min="5399" max="5399" width="6.125" style="95" customWidth="1"/>
    <col min="5400" max="5400" width="4.625" style="95" customWidth="1"/>
    <col min="5401" max="5403" width="6.125" style="95" customWidth="1"/>
    <col min="5404" max="5404" width="9" style="95"/>
    <col min="5405" max="5405" width="9.125" style="95" customWidth="1"/>
    <col min="5406" max="5632" width="9" style="95"/>
    <col min="5633" max="5633" width="4.75" style="95" customWidth="1"/>
    <col min="5634" max="5634" width="6.875" style="95" customWidth="1"/>
    <col min="5635" max="5635" width="18.5" style="95" customWidth="1"/>
    <col min="5636" max="5636" width="10.875" style="95" customWidth="1"/>
    <col min="5637" max="5637" width="6.75" style="95" customWidth="1"/>
    <col min="5638" max="5638" width="9.375" style="95" customWidth="1"/>
    <col min="5639" max="5639" width="8.875" style="95" customWidth="1"/>
    <col min="5640" max="5640" width="14" style="95" customWidth="1"/>
    <col min="5641" max="5641" width="9.375" style="95" customWidth="1"/>
    <col min="5642" max="5642" width="8.625" style="95" customWidth="1"/>
    <col min="5643" max="5643" width="12.875" style="95" customWidth="1"/>
    <col min="5644" max="5644" width="13.375" style="95" customWidth="1"/>
    <col min="5645" max="5646" width="7.625" style="95" customWidth="1"/>
    <col min="5647" max="5647" width="4.625" style="95" customWidth="1"/>
    <col min="5648" max="5650" width="7.625" style="95" customWidth="1"/>
    <col min="5651" max="5651" width="4.625" style="95" customWidth="1"/>
    <col min="5652" max="5652" width="9.625" style="95" customWidth="1"/>
    <col min="5653" max="5653" width="8.75" style="95" customWidth="1"/>
    <col min="5654" max="5654" width="11.5" style="95" customWidth="1"/>
    <col min="5655" max="5655" width="6.125" style="95" customWidth="1"/>
    <col min="5656" max="5656" width="4.625" style="95" customWidth="1"/>
    <col min="5657" max="5659" width="6.125" style="95" customWidth="1"/>
    <col min="5660" max="5660" width="9" style="95"/>
    <col min="5661" max="5661" width="9.125" style="95" customWidth="1"/>
    <col min="5662" max="5888" width="9" style="95"/>
    <col min="5889" max="5889" width="4.75" style="95" customWidth="1"/>
    <col min="5890" max="5890" width="6.875" style="95" customWidth="1"/>
    <col min="5891" max="5891" width="18.5" style="95" customWidth="1"/>
    <col min="5892" max="5892" width="10.875" style="95" customWidth="1"/>
    <col min="5893" max="5893" width="6.75" style="95" customWidth="1"/>
    <col min="5894" max="5894" width="9.375" style="95" customWidth="1"/>
    <col min="5895" max="5895" width="8.875" style="95" customWidth="1"/>
    <col min="5896" max="5896" width="14" style="95" customWidth="1"/>
    <col min="5897" max="5897" width="9.375" style="95" customWidth="1"/>
    <col min="5898" max="5898" width="8.625" style="95" customWidth="1"/>
    <col min="5899" max="5899" width="12.875" style="95" customWidth="1"/>
    <col min="5900" max="5900" width="13.375" style="95" customWidth="1"/>
    <col min="5901" max="5902" width="7.625" style="95" customWidth="1"/>
    <col min="5903" max="5903" width="4.625" style="95" customWidth="1"/>
    <col min="5904" max="5906" width="7.625" style="95" customWidth="1"/>
    <col min="5907" max="5907" width="4.625" style="95" customWidth="1"/>
    <col min="5908" max="5908" width="9.625" style="95" customWidth="1"/>
    <col min="5909" max="5909" width="8.75" style="95" customWidth="1"/>
    <col min="5910" max="5910" width="11.5" style="95" customWidth="1"/>
    <col min="5911" max="5911" width="6.125" style="95" customWidth="1"/>
    <col min="5912" max="5912" width="4.625" style="95" customWidth="1"/>
    <col min="5913" max="5915" width="6.125" style="95" customWidth="1"/>
    <col min="5916" max="5916" width="9" style="95"/>
    <col min="5917" max="5917" width="9.125" style="95" customWidth="1"/>
    <col min="5918" max="6144" width="9" style="95"/>
    <col min="6145" max="6145" width="4.75" style="95" customWidth="1"/>
    <col min="6146" max="6146" width="6.875" style="95" customWidth="1"/>
    <col min="6147" max="6147" width="18.5" style="95" customWidth="1"/>
    <col min="6148" max="6148" width="10.875" style="95" customWidth="1"/>
    <col min="6149" max="6149" width="6.75" style="95" customWidth="1"/>
    <col min="6150" max="6150" width="9.375" style="95" customWidth="1"/>
    <col min="6151" max="6151" width="8.875" style="95" customWidth="1"/>
    <col min="6152" max="6152" width="14" style="95" customWidth="1"/>
    <col min="6153" max="6153" width="9.375" style="95" customWidth="1"/>
    <col min="6154" max="6154" width="8.625" style="95" customWidth="1"/>
    <col min="6155" max="6155" width="12.875" style="95" customWidth="1"/>
    <col min="6156" max="6156" width="13.375" style="95" customWidth="1"/>
    <col min="6157" max="6158" width="7.625" style="95" customWidth="1"/>
    <col min="6159" max="6159" width="4.625" style="95" customWidth="1"/>
    <col min="6160" max="6162" width="7.625" style="95" customWidth="1"/>
    <col min="6163" max="6163" width="4.625" style="95" customWidth="1"/>
    <col min="6164" max="6164" width="9.625" style="95" customWidth="1"/>
    <col min="6165" max="6165" width="8.75" style="95" customWidth="1"/>
    <col min="6166" max="6166" width="11.5" style="95" customWidth="1"/>
    <col min="6167" max="6167" width="6.125" style="95" customWidth="1"/>
    <col min="6168" max="6168" width="4.625" style="95" customWidth="1"/>
    <col min="6169" max="6171" width="6.125" style="95" customWidth="1"/>
    <col min="6172" max="6172" width="9" style="95"/>
    <col min="6173" max="6173" width="9.125" style="95" customWidth="1"/>
    <col min="6174" max="6400" width="9" style="95"/>
    <col min="6401" max="6401" width="4.75" style="95" customWidth="1"/>
    <col min="6402" max="6402" width="6.875" style="95" customWidth="1"/>
    <col min="6403" max="6403" width="18.5" style="95" customWidth="1"/>
    <col min="6404" max="6404" width="10.875" style="95" customWidth="1"/>
    <col min="6405" max="6405" width="6.75" style="95" customWidth="1"/>
    <col min="6406" max="6406" width="9.375" style="95" customWidth="1"/>
    <col min="6407" max="6407" width="8.875" style="95" customWidth="1"/>
    <col min="6408" max="6408" width="14" style="95" customWidth="1"/>
    <col min="6409" max="6409" width="9.375" style="95" customWidth="1"/>
    <col min="6410" max="6410" width="8.625" style="95" customWidth="1"/>
    <col min="6411" max="6411" width="12.875" style="95" customWidth="1"/>
    <col min="6412" max="6412" width="13.375" style="95" customWidth="1"/>
    <col min="6413" max="6414" width="7.625" style="95" customWidth="1"/>
    <col min="6415" max="6415" width="4.625" style="95" customWidth="1"/>
    <col min="6416" max="6418" width="7.625" style="95" customWidth="1"/>
    <col min="6419" max="6419" width="4.625" style="95" customWidth="1"/>
    <col min="6420" max="6420" width="9.625" style="95" customWidth="1"/>
    <col min="6421" max="6421" width="8.75" style="95" customWidth="1"/>
    <col min="6422" max="6422" width="11.5" style="95" customWidth="1"/>
    <col min="6423" max="6423" width="6.125" style="95" customWidth="1"/>
    <col min="6424" max="6424" width="4.625" style="95" customWidth="1"/>
    <col min="6425" max="6427" width="6.125" style="95" customWidth="1"/>
    <col min="6428" max="6428" width="9" style="95"/>
    <col min="6429" max="6429" width="9.125" style="95" customWidth="1"/>
    <col min="6430" max="6656" width="9" style="95"/>
    <col min="6657" max="6657" width="4.75" style="95" customWidth="1"/>
    <col min="6658" max="6658" width="6.875" style="95" customWidth="1"/>
    <col min="6659" max="6659" width="18.5" style="95" customWidth="1"/>
    <col min="6660" max="6660" width="10.875" style="95" customWidth="1"/>
    <col min="6661" max="6661" width="6.75" style="95" customWidth="1"/>
    <col min="6662" max="6662" width="9.375" style="95" customWidth="1"/>
    <col min="6663" max="6663" width="8.875" style="95" customWidth="1"/>
    <col min="6664" max="6664" width="14" style="95" customWidth="1"/>
    <col min="6665" max="6665" width="9.375" style="95" customWidth="1"/>
    <col min="6666" max="6666" width="8.625" style="95" customWidth="1"/>
    <col min="6667" max="6667" width="12.875" style="95" customWidth="1"/>
    <col min="6668" max="6668" width="13.375" style="95" customWidth="1"/>
    <col min="6669" max="6670" width="7.625" style="95" customWidth="1"/>
    <col min="6671" max="6671" width="4.625" style="95" customWidth="1"/>
    <col min="6672" max="6674" width="7.625" style="95" customWidth="1"/>
    <col min="6675" max="6675" width="4.625" style="95" customWidth="1"/>
    <col min="6676" max="6676" width="9.625" style="95" customWidth="1"/>
    <col min="6677" max="6677" width="8.75" style="95" customWidth="1"/>
    <col min="6678" max="6678" width="11.5" style="95" customWidth="1"/>
    <col min="6679" max="6679" width="6.125" style="95" customWidth="1"/>
    <col min="6680" max="6680" width="4.625" style="95" customWidth="1"/>
    <col min="6681" max="6683" width="6.125" style="95" customWidth="1"/>
    <col min="6684" max="6684" width="9" style="95"/>
    <col min="6685" max="6685" width="9.125" style="95" customWidth="1"/>
    <col min="6686" max="6912" width="9" style="95"/>
    <col min="6913" max="6913" width="4.75" style="95" customWidth="1"/>
    <col min="6914" max="6914" width="6.875" style="95" customWidth="1"/>
    <col min="6915" max="6915" width="18.5" style="95" customWidth="1"/>
    <col min="6916" max="6916" width="10.875" style="95" customWidth="1"/>
    <col min="6917" max="6917" width="6.75" style="95" customWidth="1"/>
    <col min="6918" max="6918" width="9.375" style="95" customWidth="1"/>
    <col min="6919" max="6919" width="8.875" style="95" customWidth="1"/>
    <col min="6920" max="6920" width="14" style="95" customWidth="1"/>
    <col min="6921" max="6921" width="9.375" style="95" customWidth="1"/>
    <col min="6922" max="6922" width="8.625" style="95" customWidth="1"/>
    <col min="6923" max="6923" width="12.875" style="95" customWidth="1"/>
    <col min="6924" max="6924" width="13.375" style="95" customWidth="1"/>
    <col min="6925" max="6926" width="7.625" style="95" customWidth="1"/>
    <col min="6927" max="6927" width="4.625" style="95" customWidth="1"/>
    <col min="6928" max="6930" width="7.625" style="95" customWidth="1"/>
    <col min="6931" max="6931" width="4.625" style="95" customWidth="1"/>
    <col min="6932" max="6932" width="9.625" style="95" customWidth="1"/>
    <col min="6933" max="6933" width="8.75" style="95" customWidth="1"/>
    <col min="6934" max="6934" width="11.5" style="95" customWidth="1"/>
    <col min="6935" max="6935" width="6.125" style="95" customWidth="1"/>
    <col min="6936" max="6936" width="4.625" style="95" customWidth="1"/>
    <col min="6937" max="6939" width="6.125" style="95" customWidth="1"/>
    <col min="6940" max="6940" width="9" style="95"/>
    <col min="6941" max="6941" width="9.125" style="95" customWidth="1"/>
    <col min="6942" max="7168" width="9" style="95"/>
    <col min="7169" max="7169" width="4.75" style="95" customWidth="1"/>
    <col min="7170" max="7170" width="6.875" style="95" customWidth="1"/>
    <col min="7171" max="7171" width="18.5" style="95" customWidth="1"/>
    <col min="7172" max="7172" width="10.875" style="95" customWidth="1"/>
    <col min="7173" max="7173" width="6.75" style="95" customWidth="1"/>
    <col min="7174" max="7174" width="9.375" style="95" customWidth="1"/>
    <col min="7175" max="7175" width="8.875" style="95" customWidth="1"/>
    <col min="7176" max="7176" width="14" style="95" customWidth="1"/>
    <col min="7177" max="7177" width="9.375" style="95" customWidth="1"/>
    <col min="7178" max="7178" width="8.625" style="95" customWidth="1"/>
    <col min="7179" max="7179" width="12.875" style="95" customWidth="1"/>
    <col min="7180" max="7180" width="13.375" style="95" customWidth="1"/>
    <col min="7181" max="7182" width="7.625" style="95" customWidth="1"/>
    <col min="7183" max="7183" width="4.625" style="95" customWidth="1"/>
    <col min="7184" max="7186" width="7.625" style="95" customWidth="1"/>
    <col min="7187" max="7187" width="4.625" style="95" customWidth="1"/>
    <col min="7188" max="7188" width="9.625" style="95" customWidth="1"/>
    <col min="7189" max="7189" width="8.75" style="95" customWidth="1"/>
    <col min="7190" max="7190" width="11.5" style="95" customWidth="1"/>
    <col min="7191" max="7191" width="6.125" style="95" customWidth="1"/>
    <col min="7192" max="7192" width="4.625" style="95" customWidth="1"/>
    <col min="7193" max="7195" width="6.125" style="95" customWidth="1"/>
    <col min="7196" max="7196" width="9" style="95"/>
    <col min="7197" max="7197" width="9.125" style="95" customWidth="1"/>
    <col min="7198" max="7424" width="9" style="95"/>
    <col min="7425" max="7425" width="4.75" style="95" customWidth="1"/>
    <col min="7426" max="7426" width="6.875" style="95" customWidth="1"/>
    <col min="7427" max="7427" width="18.5" style="95" customWidth="1"/>
    <col min="7428" max="7428" width="10.875" style="95" customWidth="1"/>
    <col min="7429" max="7429" width="6.75" style="95" customWidth="1"/>
    <col min="7430" max="7430" width="9.375" style="95" customWidth="1"/>
    <col min="7431" max="7431" width="8.875" style="95" customWidth="1"/>
    <col min="7432" max="7432" width="14" style="95" customWidth="1"/>
    <col min="7433" max="7433" width="9.375" style="95" customWidth="1"/>
    <col min="7434" max="7434" width="8.625" style="95" customWidth="1"/>
    <col min="7435" max="7435" width="12.875" style="95" customWidth="1"/>
    <col min="7436" max="7436" width="13.375" style="95" customWidth="1"/>
    <col min="7437" max="7438" width="7.625" style="95" customWidth="1"/>
    <col min="7439" max="7439" width="4.625" style="95" customWidth="1"/>
    <col min="7440" max="7442" width="7.625" style="95" customWidth="1"/>
    <col min="7443" max="7443" width="4.625" style="95" customWidth="1"/>
    <col min="7444" max="7444" width="9.625" style="95" customWidth="1"/>
    <col min="7445" max="7445" width="8.75" style="95" customWidth="1"/>
    <col min="7446" max="7446" width="11.5" style="95" customWidth="1"/>
    <col min="7447" max="7447" width="6.125" style="95" customWidth="1"/>
    <col min="7448" max="7448" width="4.625" style="95" customWidth="1"/>
    <col min="7449" max="7451" width="6.125" style="95" customWidth="1"/>
    <col min="7452" max="7452" width="9" style="95"/>
    <col min="7453" max="7453" width="9.125" style="95" customWidth="1"/>
    <col min="7454" max="7680" width="9" style="95"/>
    <col min="7681" max="7681" width="4.75" style="95" customWidth="1"/>
    <col min="7682" max="7682" width="6.875" style="95" customWidth="1"/>
    <col min="7683" max="7683" width="18.5" style="95" customWidth="1"/>
    <col min="7684" max="7684" width="10.875" style="95" customWidth="1"/>
    <col min="7685" max="7685" width="6.75" style="95" customWidth="1"/>
    <col min="7686" max="7686" width="9.375" style="95" customWidth="1"/>
    <col min="7687" max="7687" width="8.875" style="95" customWidth="1"/>
    <col min="7688" max="7688" width="14" style="95" customWidth="1"/>
    <col min="7689" max="7689" width="9.375" style="95" customWidth="1"/>
    <col min="7690" max="7690" width="8.625" style="95" customWidth="1"/>
    <col min="7691" max="7691" width="12.875" style="95" customWidth="1"/>
    <col min="7692" max="7692" width="13.375" style="95" customWidth="1"/>
    <col min="7693" max="7694" width="7.625" style="95" customWidth="1"/>
    <col min="7695" max="7695" width="4.625" style="95" customWidth="1"/>
    <col min="7696" max="7698" width="7.625" style="95" customWidth="1"/>
    <col min="7699" max="7699" width="4.625" style="95" customWidth="1"/>
    <col min="7700" max="7700" width="9.625" style="95" customWidth="1"/>
    <col min="7701" max="7701" width="8.75" style="95" customWidth="1"/>
    <col min="7702" max="7702" width="11.5" style="95" customWidth="1"/>
    <col min="7703" max="7703" width="6.125" style="95" customWidth="1"/>
    <col min="7704" max="7704" width="4.625" style="95" customWidth="1"/>
    <col min="7705" max="7707" width="6.125" style="95" customWidth="1"/>
    <col min="7708" max="7708" width="9" style="95"/>
    <col min="7709" max="7709" width="9.125" style="95" customWidth="1"/>
    <col min="7710" max="7936" width="9" style="95"/>
    <col min="7937" max="7937" width="4.75" style="95" customWidth="1"/>
    <col min="7938" max="7938" width="6.875" style="95" customWidth="1"/>
    <col min="7939" max="7939" width="18.5" style="95" customWidth="1"/>
    <col min="7940" max="7940" width="10.875" style="95" customWidth="1"/>
    <col min="7941" max="7941" width="6.75" style="95" customWidth="1"/>
    <col min="7942" max="7942" width="9.375" style="95" customWidth="1"/>
    <col min="7943" max="7943" width="8.875" style="95" customWidth="1"/>
    <col min="7944" max="7944" width="14" style="95" customWidth="1"/>
    <col min="7945" max="7945" width="9.375" style="95" customWidth="1"/>
    <col min="7946" max="7946" width="8.625" style="95" customWidth="1"/>
    <col min="7947" max="7947" width="12.875" style="95" customWidth="1"/>
    <col min="7948" max="7948" width="13.375" style="95" customWidth="1"/>
    <col min="7949" max="7950" width="7.625" style="95" customWidth="1"/>
    <col min="7951" max="7951" width="4.625" style="95" customWidth="1"/>
    <col min="7952" max="7954" width="7.625" style="95" customWidth="1"/>
    <col min="7955" max="7955" width="4.625" style="95" customWidth="1"/>
    <col min="7956" max="7956" width="9.625" style="95" customWidth="1"/>
    <col min="7957" max="7957" width="8.75" style="95" customWidth="1"/>
    <col min="7958" max="7958" width="11.5" style="95" customWidth="1"/>
    <col min="7959" max="7959" width="6.125" style="95" customWidth="1"/>
    <col min="7960" max="7960" width="4.625" style="95" customWidth="1"/>
    <col min="7961" max="7963" width="6.125" style="95" customWidth="1"/>
    <col min="7964" max="7964" width="9" style="95"/>
    <col min="7965" max="7965" width="9.125" style="95" customWidth="1"/>
    <col min="7966" max="8192" width="9" style="95"/>
    <col min="8193" max="8193" width="4.75" style="95" customWidth="1"/>
    <col min="8194" max="8194" width="6.875" style="95" customWidth="1"/>
    <col min="8195" max="8195" width="18.5" style="95" customWidth="1"/>
    <col min="8196" max="8196" width="10.875" style="95" customWidth="1"/>
    <col min="8197" max="8197" width="6.75" style="95" customWidth="1"/>
    <col min="8198" max="8198" width="9.375" style="95" customWidth="1"/>
    <col min="8199" max="8199" width="8.875" style="95" customWidth="1"/>
    <col min="8200" max="8200" width="14" style="95" customWidth="1"/>
    <col min="8201" max="8201" width="9.375" style="95" customWidth="1"/>
    <col min="8202" max="8202" width="8.625" style="95" customWidth="1"/>
    <col min="8203" max="8203" width="12.875" style="95" customWidth="1"/>
    <col min="8204" max="8204" width="13.375" style="95" customWidth="1"/>
    <col min="8205" max="8206" width="7.625" style="95" customWidth="1"/>
    <col min="8207" max="8207" width="4.625" style="95" customWidth="1"/>
    <col min="8208" max="8210" width="7.625" style="95" customWidth="1"/>
    <col min="8211" max="8211" width="4.625" style="95" customWidth="1"/>
    <col min="8212" max="8212" width="9.625" style="95" customWidth="1"/>
    <col min="8213" max="8213" width="8.75" style="95" customWidth="1"/>
    <col min="8214" max="8214" width="11.5" style="95" customWidth="1"/>
    <col min="8215" max="8215" width="6.125" style="95" customWidth="1"/>
    <col min="8216" max="8216" width="4.625" style="95" customWidth="1"/>
    <col min="8217" max="8219" width="6.125" style="95" customWidth="1"/>
    <col min="8220" max="8220" width="9" style="95"/>
    <col min="8221" max="8221" width="9.125" style="95" customWidth="1"/>
    <col min="8222" max="8448" width="9" style="95"/>
    <col min="8449" max="8449" width="4.75" style="95" customWidth="1"/>
    <col min="8450" max="8450" width="6.875" style="95" customWidth="1"/>
    <col min="8451" max="8451" width="18.5" style="95" customWidth="1"/>
    <col min="8452" max="8452" width="10.875" style="95" customWidth="1"/>
    <col min="8453" max="8453" width="6.75" style="95" customWidth="1"/>
    <col min="8454" max="8454" width="9.375" style="95" customWidth="1"/>
    <col min="8455" max="8455" width="8.875" style="95" customWidth="1"/>
    <col min="8456" max="8456" width="14" style="95" customWidth="1"/>
    <col min="8457" max="8457" width="9.375" style="95" customWidth="1"/>
    <col min="8458" max="8458" width="8.625" style="95" customWidth="1"/>
    <col min="8459" max="8459" width="12.875" style="95" customWidth="1"/>
    <col min="8460" max="8460" width="13.375" style="95" customWidth="1"/>
    <col min="8461" max="8462" width="7.625" style="95" customWidth="1"/>
    <col min="8463" max="8463" width="4.625" style="95" customWidth="1"/>
    <col min="8464" max="8466" width="7.625" style="95" customWidth="1"/>
    <col min="8467" max="8467" width="4.625" style="95" customWidth="1"/>
    <col min="8468" max="8468" width="9.625" style="95" customWidth="1"/>
    <col min="8469" max="8469" width="8.75" style="95" customWidth="1"/>
    <col min="8470" max="8470" width="11.5" style="95" customWidth="1"/>
    <col min="8471" max="8471" width="6.125" style="95" customWidth="1"/>
    <col min="8472" max="8472" width="4.625" style="95" customWidth="1"/>
    <col min="8473" max="8475" width="6.125" style="95" customWidth="1"/>
    <col min="8476" max="8476" width="9" style="95"/>
    <col min="8477" max="8477" width="9.125" style="95" customWidth="1"/>
    <col min="8478" max="8704" width="9" style="95"/>
    <col min="8705" max="8705" width="4.75" style="95" customWidth="1"/>
    <col min="8706" max="8706" width="6.875" style="95" customWidth="1"/>
    <col min="8707" max="8707" width="18.5" style="95" customWidth="1"/>
    <col min="8708" max="8708" width="10.875" style="95" customWidth="1"/>
    <col min="8709" max="8709" width="6.75" style="95" customWidth="1"/>
    <col min="8710" max="8710" width="9.375" style="95" customWidth="1"/>
    <col min="8711" max="8711" width="8.875" style="95" customWidth="1"/>
    <col min="8712" max="8712" width="14" style="95" customWidth="1"/>
    <col min="8713" max="8713" width="9.375" style="95" customWidth="1"/>
    <col min="8714" max="8714" width="8.625" style="95" customWidth="1"/>
    <col min="8715" max="8715" width="12.875" style="95" customWidth="1"/>
    <col min="8716" max="8716" width="13.375" style="95" customWidth="1"/>
    <col min="8717" max="8718" width="7.625" style="95" customWidth="1"/>
    <col min="8719" max="8719" width="4.625" style="95" customWidth="1"/>
    <col min="8720" max="8722" width="7.625" style="95" customWidth="1"/>
    <col min="8723" max="8723" width="4.625" style="95" customWidth="1"/>
    <col min="8724" max="8724" width="9.625" style="95" customWidth="1"/>
    <col min="8725" max="8725" width="8.75" style="95" customWidth="1"/>
    <col min="8726" max="8726" width="11.5" style="95" customWidth="1"/>
    <col min="8727" max="8727" width="6.125" style="95" customWidth="1"/>
    <col min="8728" max="8728" width="4.625" style="95" customWidth="1"/>
    <col min="8729" max="8731" width="6.125" style="95" customWidth="1"/>
    <col min="8732" max="8732" width="9" style="95"/>
    <col min="8733" max="8733" width="9.125" style="95" customWidth="1"/>
    <col min="8734" max="8960" width="9" style="95"/>
    <col min="8961" max="8961" width="4.75" style="95" customWidth="1"/>
    <col min="8962" max="8962" width="6.875" style="95" customWidth="1"/>
    <col min="8963" max="8963" width="18.5" style="95" customWidth="1"/>
    <col min="8964" max="8964" width="10.875" style="95" customWidth="1"/>
    <col min="8965" max="8965" width="6.75" style="95" customWidth="1"/>
    <col min="8966" max="8966" width="9.375" style="95" customWidth="1"/>
    <col min="8967" max="8967" width="8.875" style="95" customWidth="1"/>
    <col min="8968" max="8968" width="14" style="95" customWidth="1"/>
    <col min="8969" max="8969" width="9.375" style="95" customWidth="1"/>
    <col min="8970" max="8970" width="8.625" style="95" customWidth="1"/>
    <col min="8971" max="8971" width="12.875" style="95" customWidth="1"/>
    <col min="8972" max="8972" width="13.375" style="95" customWidth="1"/>
    <col min="8973" max="8974" width="7.625" style="95" customWidth="1"/>
    <col min="8975" max="8975" width="4.625" style="95" customWidth="1"/>
    <col min="8976" max="8978" width="7.625" style="95" customWidth="1"/>
    <col min="8979" max="8979" width="4.625" style="95" customWidth="1"/>
    <col min="8980" max="8980" width="9.625" style="95" customWidth="1"/>
    <col min="8981" max="8981" width="8.75" style="95" customWidth="1"/>
    <col min="8982" max="8982" width="11.5" style="95" customWidth="1"/>
    <col min="8983" max="8983" width="6.125" style="95" customWidth="1"/>
    <col min="8984" max="8984" width="4.625" style="95" customWidth="1"/>
    <col min="8985" max="8987" width="6.125" style="95" customWidth="1"/>
    <col min="8988" max="8988" width="9" style="95"/>
    <col min="8989" max="8989" width="9.125" style="95" customWidth="1"/>
    <col min="8990" max="9216" width="9" style="95"/>
    <col min="9217" max="9217" width="4.75" style="95" customWidth="1"/>
    <col min="9218" max="9218" width="6.875" style="95" customWidth="1"/>
    <col min="9219" max="9219" width="18.5" style="95" customWidth="1"/>
    <col min="9220" max="9220" width="10.875" style="95" customWidth="1"/>
    <col min="9221" max="9221" width="6.75" style="95" customWidth="1"/>
    <col min="9222" max="9222" width="9.375" style="95" customWidth="1"/>
    <col min="9223" max="9223" width="8.875" style="95" customWidth="1"/>
    <col min="9224" max="9224" width="14" style="95" customWidth="1"/>
    <col min="9225" max="9225" width="9.375" style="95" customWidth="1"/>
    <col min="9226" max="9226" width="8.625" style="95" customWidth="1"/>
    <col min="9227" max="9227" width="12.875" style="95" customWidth="1"/>
    <col min="9228" max="9228" width="13.375" style="95" customWidth="1"/>
    <col min="9229" max="9230" width="7.625" style="95" customWidth="1"/>
    <col min="9231" max="9231" width="4.625" style="95" customWidth="1"/>
    <col min="9232" max="9234" width="7.625" style="95" customWidth="1"/>
    <col min="9235" max="9235" width="4.625" style="95" customWidth="1"/>
    <col min="9236" max="9236" width="9.625" style="95" customWidth="1"/>
    <col min="9237" max="9237" width="8.75" style="95" customWidth="1"/>
    <col min="9238" max="9238" width="11.5" style="95" customWidth="1"/>
    <col min="9239" max="9239" width="6.125" style="95" customWidth="1"/>
    <col min="9240" max="9240" width="4.625" style="95" customWidth="1"/>
    <col min="9241" max="9243" width="6.125" style="95" customWidth="1"/>
    <col min="9244" max="9244" width="9" style="95"/>
    <col min="9245" max="9245" width="9.125" style="95" customWidth="1"/>
    <col min="9246" max="9472" width="9" style="95"/>
    <col min="9473" max="9473" width="4.75" style="95" customWidth="1"/>
    <col min="9474" max="9474" width="6.875" style="95" customWidth="1"/>
    <col min="9475" max="9475" width="18.5" style="95" customWidth="1"/>
    <col min="9476" max="9476" width="10.875" style="95" customWidth="1"/>
    <col min="9477" max="9477" width="6.75" style="95" customWidth="1"/>
    <col min="9478" max="9478" width="9.375" style="95" customWidth="1"/>
    <col min="9479" max="9479" width="8.875" style="95" customWidth="1"/>
    <col min="9480" max="9480" width="14" style="95" customWidth="1"/>
    <col min="9481" max="9481" width="9.375" style="95" customWidth="1"/>
    <col min="9482" max="9482" width="8.625" style="95" customWidth="1"/>
    <col min="9483" max="9483" width="12.875" style="95" customWidth="1"/>
    <col min="9484" max="9484" width="13.375" style="95" customWidth="1"/>
    <col min="9485" max="9486" width="7.625" style="95" customWidth="1"/>
    <col min="9487" max="9487" width="4.625" style="95" customWidth="1"/>
    <col min="9488" max="9490" width="7.625" style="95" customWidth="1"/>
    <col min="9491" max="9491" width="4.625" style="95" customWidth="1"/>
    <col min="9492" max="9492" width="9.625" style="95" customWidth="1"/>
    <col min="9493" max="9493" width="8.75" style="95" customWidth="1"/>
    <col min="9494" max="9494" width="11.5" style="95" customWidth="1"/>
    <col min="9495" max="9495" width="6.125" style="95" customWidth="1"/>
    <col min="9496" max="9496" width="4.625" style="95" customWidth="1"/>
    <col min="9497" max="9499" width="6.125" style="95" customWidth="1"/>
    <col min="9500" max="9500" width="9" style="95"/>
    <col min="9501" max="9501" width="9.125" style="95" customWidth="1"/>
    <col min="9502" max="9728" width="9" style="95"/>
    <col min="9729" max="9729" width="4.75" style="95" customWidth="1"/>
    <col min="9730" max="9730" width="6.875" style="95" customWidth="1"/>
    <col min="9731" max="9731" width="18.5" style="95" customWidth="1"/>
    <col min="9732" max="9732" width="10.875" style="95" customWidth="1"/>
    <col min="9733" max="9733" width="6.75" style="95" customWidth="1"/>
    <col min="9734" max="9734" width="9.375" style="95" customWidth="1"/>
    <col min="9735" max="9735" width="8.875" style="95" customWidth="1"/>
    <col min="9736" max="9736" width="14" style="95" customWidth="1"/>
    <col min="9737" max="9737" width="9.375" style="95" customWidth="1"/>
    <col min="9738" max="9738" width="8.625" style="95" customWidth="1"/>
    <col min="9739" max="9739" width="12.875" style="95" customWidth="1"/>
    <col min="9740" max="9740" width="13.375" style="95" customWidth="1"/>
    <col min="9741" max="9742" width="7.625" style="95" customWidth="1"/>
    <col min="9743" max="9743" width="4.625" style="95" customWidth="1"/>
    <col min="9744" max="9746" width="7.625" style="95" customWidth="1"/>
    <col min="9747" max="9747" width="4.625" style="95" customWidth="1"/>
    <col min="9748" max="9748" width="9.625" style="95" customWidth="1"/>
    <col min="9749" max="9749" width="8.75" style="95" customWidth="1"/>
    <col min="9750" max="9750" width="11.5" style="95" customWidth="1"/>
    <col min="9751" max="9751" width="6.125" style="95" customWidth="1"/>
    <col min="9752" max="9752" width="4.625" style="95" customWidth="1"/>
    <col min="9753" max="9755" width="6.125" style="95" customWidth="1"/>
    <col min="9756" max="9756" width="9" style="95"/>
    <col min="9757" max="9757" width="9.125" style="95" customWidth="1"/>
    <col min="9758" max="9984" width="9" style="95"/>
    <col min="9985" max="9985" width="4.75" style="95" customWidth="1"/>
    <col min="9986" max="9986" width="6.875" style="95" customWidth="1"/>
    <col min="9987" max="9987" width="18.5" style="95" customWidth="1"/>
    <col min="9988" max="9988" width="10.875" style="95" customWidth="1"/>
    <col min="9989" max="9989" width="6.75" style="95" customWidth="1"/>
    <col min="9990" max="9990" width="9.375" style="95" customWidth="1"/>
    <col min="9991" max="9991" width="8.875" style="95" customWidth="1"/>
    <col min="9992" max="9992" width="14" style="95" customWidth="1"/>
    <col min="9993" max="9993" width="9.375" style="95" customWidth="1"/>
    <col min="9994" max="9994" width="8.625" style="95" customWidth="1"/>
    <col min="9995" max="9995" width="12.875" style="95" customWidth="1"/>
    <col min="9996" max="9996" width="13.375" style="95" customWidth="1"/>
    <col min="9997" max="9998" width="7.625" style="95" customWidth="1"/>
    <col min="9999" max="9999" width="4.625" style="95" customWidth="1"/>
    <col min="10000" max="10002" width="7.625" style="95" customWidth="1"/>
    <col min="10003" max="10003" width="4.625" style="95" customWidth="1"/>
    <col min="10004" max="10004" width="9.625" style="95" customWidth="1"/>
    <col min="10005" max="10005" width="8.75" style="95" customWidth="1"/>
    <col min="10006" max="10006" width="11.5" style="95" customWidth="1"/>
    <col min="10007" max="10007" width="6.125" style="95" customWidth="1"/>
    <col min="10008" max="10008" width="4.625" style="95" customWidth="1"/>
    <col min="10009" max="10011" width="6.125" style="95" customWidth="1"/>
    <col min="10012" max="10012" width="9" style="95"/>
    <col min="10013" max="10013" width="9.125" style="95" customWidth="1"/>
    <col min="10014" max="10240" width="9" style="95"/>
    <col min="10241" max="10241" width="4.75" style="95" customWidth="1"/>
    <col min="10242" max="10242" width="6.875" style="95" customWidth="1"/>
    <col min="10243" max="10243" width="18.5" style="95" customWidth="1"/>
    <col min="10244" max="10244" width="10.875" style="95" customWidth="1"/>
    <col min="10245" max="10245" width="6.75" style="95" customWidth="1"/>
    <col min="10246" max="10246" width="9.375" style="95" customWidth="1"/>
    <col min="10247" max="10247" width="8.875" style="95" customWidth="1"/>
    <col min="10248" max="10248" width="14" style="95" customWidth="1"/>
    <col min="10249" max="10249" width="9.375" style="95" customWidth="1"/>
    <col min="10250" max="10250" width="8.625" style="95" customWidth="1"/>
    <col min="10251" max="10251" width="12.875" style="95" customWidth="1"/>
    <col min="10252" max="10252" width="13.375" style="95" customWidth="1"/>
    <col min="10253" max="10254" width="7.625" style="95" customWidth="1"/>
    <col min="10255" max="10255" width="4.625" style="95" customWidth="1"/>
    <col min="10256" max="10258" width="7.625" style="95" customWidth="1"/>
    <col min="10259" max="10259" width="4.625" style="95" customWidth="1"/>
    <col min="10260" max="10260" width="9.625" style="95" customWidth="1"/>
    <col min="10261" max="10261" width="8.75" style="95" customWidth="1"/>
    <col min="10262" max="10262" width="11.5" style="95" customWidth="1"/>
    <col min="10263" max="10263" width="6.125" style="95" customWidth="1"/>
    <col min="10264" max="10264" width="4.625" style="95" customWidth="1"/>
    <col min="10265" max="10267" width="6.125" style="95" customWidth="1"/>
    <col min="10268" max="10268" width="9" style="95"/>
    <col min="10269" max="10269" width="9.125" style="95" customWidth="1"/>
    <col min="10270" max="10496" width="9" style="95"/>
    <col min="10497" max="10497" width="4.75" style="95" customWidth="1"/>
    <col min="10498" max="10498" width="6.875" style="95" customWidth="1"/>
    <col min="10499" max="10499" width="18.5" style="95" customWidth="1"/>
    <col min="10500" max="10500" width="10.875" style="95" customWidth="1"/>
    <col min="10501" max="10501" width="6.75" style="95" customWidth="1"/>
    <col min="10502" max="10502" width="9.375" style="95" customWidth="1"/>
    <col min="10503" max="10503" width="8.875" style="95" customWidth="1"/>
    <col min="10504" max="10504" width="14" style="95" customWidth="1"/>
    <col min="10505" max="10505" width="9.375" style="95" customWidth="1"/>
    <col min="10506" max="10506" width="8.625" style="95" customWidth="1"/>
    <col min="10507" max="10507" width="12.875" style="95" customWidth="1"/>
    <col min="10508" max="10508" width="13.375" style="95" customWidth="1"/>
    <col min="10509" max="10510" width="7.625" style="95" customWidth="1"/>
    <col min="10511" max="10511" width="4.625" style="95" customWidth="1"/>
    <col min="10512" max="10514" width="7.625" style="95" customWidth="1"/>
    <col min="10515" max="10515" width="4.625" style="95" customWidth="1"/>
    <col min="10516" max="10516" width="9.625" style="95" customWidth="1"/>
    <col min="10517" max="10517" width="8.75" style="95" customWidth="1"/>
    <col min="10518" max="10518" width="11.5" style="95" customWidth="1"/>
    <col min="10519" max="10519" width="6.125" style="95" customWidth="1"/>
    <col min="10520" max="10520" width="4.625" style="95" customWidth="1"/>
    <col min="10521" max="10523" width="6.125" style="95" customWidth="1"/>
    <col min="10524" max="10524" width="9" style="95"/>
    <col min="10525" max="10525" width="9.125" style="95" customWidth="1"/>
    <col min="10526" max="10752" width="9" style="95"/>
    <col min="10753" max="10753" width="4.75" style="95" customWidth="1"/>
    <col min="10754" max="10754" width="6.875" style="95" customWidth="1"/>
    <col min="10755" max="10755" width="18.5" style="95" customWidth="1"/>
    <col min="10756" max="10756" width="10.875" style="95" customWidth="1"/>
    <col min="10757" max="10757" width="6.75" style="95" customWidth="1"/>
    <col min="10758" max="10758" width="9.375" style="95" customWidth="1"/>
    <col min="10759" max="10759" width="8.875" style="95" customWidth="1"/>
    <col min="10760" max="10760" width="14" style="95" customWidth="1"/>
    <col min="10761" max="10761" width="9.375" style="95" customWidth="1"/>
    <col min="10762" max="10762" width="8.625" style="95" customWidth="1"/>
    <col min="10763" max="10763" width="12.875" style="95" customWidth="1"/>
    <col min="10764" max="10764" width="13.375" style="95" customWidth="1"/>
    <col min="10765" max="10766" width="7.625" style="95" customWidth="1"/>
    <col min="10767" max="10767" width="4.625" style="95" customWidth="1"/>
    <col min="10768" max="10770" width="7.625" style="95" customWidth="1"/>
    <col min="10771" max="10771" width="4.625" style="95" customWidth="1"/>
    <col min="10772" max="10772" width="9.625" style="95" customWidth="1"/>
    <col min="10773" max="10773" width="8.75" style="95" customWidth="1"/>
    <col min="10774" max="10774" width="11.5" style="95" customWidth="1"/>
    <col min="10775" max="10775" width="6.125" style="95" customWidth="1"/>
    <col min="10776" max="10776" width="4.625" style="95" customWidth="1"/>
    <col min="10777" max="10779" width="6.125" style="95" customWidth="1"/>
    <col min="10780" max="10780" width="9" style="95"/>
    <col min="10781" max="10781" width="9.125" style="95" customWidth="1"/>
    <col min="10782" max="11008" width="9" style="95"/>
    <col min="11009" max="11009" width="4.75" style="95" customWidth="1"/>
    <col min="11010" max="11010" width="6.875" style="95" customWidth="1"/>
    <col min="11011" max="11011" width="18.5" style="95" customWidth="1"/>
    <col min="11012" max="11012" width="10.875" style="95" customWidth="1"/>
    <col min="11013" max="11013" width="6.75" style="95" customWidth="1"/>
    <col min="11014" max="11014" width="9.375" style="95" customWidth="1"/>
    <col min="11015" max="11015" width="8.875" style="95" customWidth="1"/>
    <col min="11016" max="11016" width="14" style="95" customWidth="1"/>
    <col min="11017" max="11017" width="9.375" style="95" customWidth="1"/>
    <col min="11018" max="11018" width="8.625" style="95" customWidth="1"/>
    <col min="11019" max="11019" width="12.875" style="95" customWidth="1"/>
    <col min="11020" max="11020" width="13.375" style="95" customWidth="1"/>
    <col min="11021" max="11022" width="7.625" style="95" customWidth="1"/>
    <col min="11023" max="11023" width="4.625" style="95" customWidth="1"/>
    <col min="11024" max="11026" width="7.625" style="95" customWidth="1"/>
    <col min="11027" max="11027" width="4.625" style="95" customWidth="1"/>
    <col min="11028" max="11028" width="9.625" style="95" customWidth="1"/>
    <col min="11029" max="11029" width="8.75" style="95" customWidth="1"/>
    <col min="11030" max="11030" width="11.5" style="95" customWidth="1"/>
    <col min="11031" max="11031" width="6.125" style="95" customWidth="1"/>
    <col min="11032" max="11032" width="4.625" style="95" customWidth="1"/>
    <col min="11033" max="11035" width="6.125" style="95" customWidth="1"/>
    <col min="11036" max="11036" width="9" style="95"/>
    <col min="11037" max="11037" width="9.125" style="95" customWidth="1"/>
    <col min="11038" max="11264" width="9" style="95"/>
    <col min="11265" max="11265" width="4.75" style="95" customWidth="1"/>
    <col min="11266" max="11266" width="6.875" style="95" customWidth="1"/>
    <col min="11267" max="11267" width="18.5" style="95" customWidth="1"/>
    <col min="11268" max="11268" width="10.875" style="95" customWidth="1"/>
    <col min="11269" max="11269" width="6.75" style="95" customWidth="1"/>
    <col min="11270" max="11270" width="9.375" style="95" customWidth="1"/>
    <col min="11271" max="11271" width="8.875" style="95" customWidth="1"/>
    <col min="11272" max="11272" width="14" style="95" customWidth="1"/>
    <col min="11273" max="11273" width="9.375" style="95" customWidth="1"/>
    <col min="11274" max="11274" width="8.625" style="95" customWidth="1"/>
    <col min="11275" max="11275" width="12.875" style="95" customWidth="1"/>
    <col min="11276" max="11276" width="13.375" style="95" customWidth="1"/>
    <col min="11277" max="11278" width="7.625" style="95" customWidth="1"/>
    <col min="11279" max="11279" width="4.625" style="95" customWidth="1"/>
    <col min="11280" max="11282" width="7.625" style="95" customWidth="1"/>
    <col min="11283" max="11283" width="4.625" style="95" customWidth="1"/>
    <col min="11284" max="11284" width="9.625" style="95" customWidth="1"/>
    <col min="11285" max="11285" width="8.75" style="95" customWidth="1"/>
    <col min="11286" max="11286" width="11.5" style="95" customWidth="1"/>
    <col min="11287" max="11287" width="6.125" style="95" customWidth="1"/>
    <col min="11288" max="11288" width="4.625" style="95" customWidth="1"/>
    <col min="11289" max="11291" width="6.125" style="95" customWidth="1"/>
    <col min="11292" max="11292" width="9" style="95"/>
    <col min="11293" max="11293" width="9.125" style="95" customWidth="1"/>
    <col min="11294" max="11520" width="9" style="95"/>
    <col min="11521" max="11521" width="4.75" style="95" customWidth="1"/>
    <col min="11522" max="11522" width="6.875" style="95" customWidth="1"/>
    <col min="11523" max="11523" width="18.5" style="95" customWidth="1"/>
    <col min="11524" max="11524" width="10.875" style="95" customWidth="1"/>
    <col min="11525" max="11525" width="6.75" style="95" customWidth="1"/>
    <col min="11526" max="11526" width="9.375" style="95" customWidth="1"/>
    <col min="11527" max="11527" width="8.875" style="95" customWidth="1"/>
    <col min="11528" max="11528" width="14" style="95" customWidth="1"/>
    <col min="11529" max="11529" width="9.375" style="95" customWidth="1"/>
    <col min="11530" max="11530" width="8.625" style="95" customWidth="1"/>
    <col min="11531" max="11531" width="12.875" style="95" customWidth="1"/>
    <col min="11532" max="11532" width="13.375" style="95" customWidth="1"/>
    <col min="11533" max="11534" width="7.625" style="95" customWidth="1"/>
    <col min="11535" max="11535" width="4.625" style="95" customWidth="1"/>
    <col min="11536" max="11538" width="7.625" style="95" customWidth="1"/>
    <col min="11539" max="11539" width="4.625" style="95" customWidth="1"/>
    <col min="11540" max="11540" width="9.625" style="95" customWidth="1"/>
    <col min="11541" max="11541" width="8.75" style="95" customWidth="1"/>
    <col min="11542" max="11542" width="11.5" style="95" customWidth="1"/>
    <col min="11543" max="11543" width="6.125" style="95" customWidth="1"/>
    <col min="11544" max="11544" width="4.625" style="95" customWidth="1"/>
    <col min="11545" max="11547" width="6.125" style="95" customWidth="1"/>
    <col min="11548" max="11548" width="9" style="95"/>
    <col min="11549" max="11549" width="9.125" style="95" customWidth="1"/>
    <col min="11550" max="11776" width="9" style="95"/>
    <col min="11777" max="11777" width="4.75" style="95" customWidth="1"/>
    <col min="11778" max="11778" width="6.875" style="95" customWidth="1"/>
    <col min="11779" max="11779" width="18.5" style="95" customWidth="1"/>
    <col min="11780" max="11780" width="10.875" style="95" customWidth="1"/>
    <col min="11781" max="11781" width="6.75" style="95" customWidth="1"/>
    <col min="11782" max="11782" width="9.375" style="95" customWidth="1"/>
    <col min="11783" max="11783" width="8.875" style="95" customWidth="1"/>
    <col min="11784" max="11784" width="14" style="95" customWidth="1"/>
    <col min="11785" max="11785" width="9.375" style="95" customWidth="1"/>
    <col min="11786" max="11786" width="8.625" style="95" customWidth="1"/>
    <col min="11787" max="11787" width="12.875" style="95" customWidth="1"/>
    <col min="11788" max="11788" width="13.375" style="95" customWidth="1"/>
    <col min="11789" max="11790" width="7.625" style="95" customWidth="1"/>
    <col min="11791" max="11791" width="4.625" style="95" customWidth="1"/>
    <col min="11792" max="11794" width="7.625" style="95" customWidth="1"/>
    <col min="11795" max="11795" width="4.625" style="95" customWidth="1"/>
    <col min="11796" max="11796" width="9.625" style="95" customWidth="1"/>
    <col min="11797" max="11797" width="8.75" style="95" customWidth="1"/>
    <col min="11798" max="11798" width="11.5" style="95" customWidth="1"/>
    <col min="11799" max="11799" width="6.125" style="95" customWidth="1"/>
    <col min="11800" max="11800" width="4.625" style="95" customWidth="1"/>
    <col min="11801" max="11803" width="6.125" style="95" customWidth="1"/>
    <col min="11804" max="11804" width="9" style="95"/>
    <col min="11805" max="11805" width="9.125" style="95" customWidth="1"/>
    <col min="11806" max="12032" width="9" style="95"/>
    <col min="12033" max="12033" width="4.75" style="95" customWidth="1"/>
    <col min="12034" max="12034" width="6.875" style="95" customWidth="1"/>
    <col min="12035" max="12035" width="18.5" style="95" customWidth="1"/>
    <col min="12036" max="12036" width="10.875" style="95" customWidth="1"/>
    <col min="12037" max="12037" width="6.75" style="95" customWidth="1"/>
    <col min="12038" max="12038" width="9.375" style="95" customWidth="1"/>
    <col min="12039" max="12039" width="8.875" style="95" customWidth="1"/>
    <col min="12040" max="12040" width="14" style="95" customWidth="1"/>
    <col min="12041" max="12041" width="9.375" style="95" customWidth="1"/>
    <col min="12042" max="12042" width="8.625" style="95" customWidth="1"/>
    <col min="12043" max="12043" width="12.875" style="95" customWidth="1"/>
    <col min="12044" max="12044" width="13.375" style="95" customWidth="1"/>
    <col min="12045" max="12046" width="7.625" style="95" customWidth="1"/>
    <col min="12047" max="12047" width="4.625" style="95" customWidth="1"/>
    <col min="12048" max="12050" width="7.625" style="95" customWidth="1"/>
    <col min="12051" max="12051" width="4.625" style="95" customWidth="1"/>
    <col min="12052" max="12052" width="9.625" style="95" customWidth="1"/>
    <col min="12053" max="12053" width="8.75" style="95" customWidth="1"/>
    <col min="12054" max="12054" width="11.5" style="95" customWidth="1"/>
    <col min="12055" max="12055" width="6.125" style="95" customWidth="1"/>
    <col min="12056" max="12056" width="4.625" style="95" customWidth="1"/>
    <col min="12057" max="12059" width="6.125" style="95" customWidth="1"/>
    <col min="12060" max="12060" width="9" style="95"/>
    <col min="12061" max="12061" width="9.125" style="95" customWidth="1"/>
    <col min="12062" max="12288" width="9" style="95"/>
    <col min="12289" max="12289" width="4.75" style="95" customWidth="1"/>
    <col min="12290" max="12290" width="6.875" style="95" customWidth="1"/>
    <col min="12291" max="12291" width="18.5" style="95" customWidth="1"/>
    <col min="12292" max="12292" width="10.875" style="95" customWidth="1"/>
    <col min="12293" max="12293" width="6.75" style="95" customWidth="1"/>
    <col min="12294" max="12294" width="9.375" style="95" customWidth="1"/>
    <col min="12295" max="12295" width="8.875" style="95" customWidth="1"/>
    <col min="12296" max="12296" width="14" style="95" customWidth="1"/>
    <col min="12297" max="12297" width="9.375" style="95" customWidth="1"/>
    <col min="12298" max="12298" width="8.625" style="95" customWidth="1"/>
    <col min="12299" max="12299" width="12.875" style="95" customWidth="1"/>
    <col min="12300" max="12300" width="13.375" style="95" customWidth="1"/>
    <col min="12301" max="12302" width="7.625" style="95" customWidth="1"/>
    <col min="12303" max="12303" width="4.625" style="95" customWidth="1"/>
    <col min="12304" max="12306" width="7.625" style="95" customWidth="1"/>
    <col min="12307" max="12307" width="4.625" style="95" customWidth="1"/>
    <col min="12308" max="12308" width="9.625" style="95" customWidth="1"/>
    <col min="12309" max="12309" width="8.75" style="95" customWidth="1"/>
    <col min="12310" max="12310" width="11.5" style="95" customWidth="1"/>
    <col min="12311" max="12311" width="6.125" style="95" customWidth="1"/>
    <col min="12312" max="12312" width="4.625" style="95" customWidth="1"/>
    <col min="12313" max="12315" width="6.125" style="95" customWidth="1"/>
    <col min="12316" max="12316" width="9" style="95"/>
    <col min="12317" max="12317" width="9.125" style="95" customWidth="1"/>
    <col min="12318" max="12544" width="9" style="95"/>
    <col min="12545" max="12545" width="4.75" style="95" customWidth="1"/>
    <col min="12546" max="12546" width="6.875" style="95" customWidth="1"/>
    <col min="12547" max="12547" width="18.5" style="95" customWidth="1"/>
    <col min="12548" max="12548" width="10.875" style="95" customWidth="1"/>
    <col min="12549" max="12549" width="6.75" style="95" customWidth="1"/>
    <col min="12550" max="12550" width="9.375" style="95" customWidth="1"/>
    <col min="12551" max="12551" width="8.875" style="95" customWidth="1"/>
    <col min="12552" max="12552" width="14" style="95" customWidth="1"/>
    <col min="12553" max="12553" width="9.375" style="95" customWidth="1"/>
    <col min="12554" max="12554" width="8.625" style="95" customWidth="1"/>
    <col min="12555" max="12555" width="12.875" style="95" customWidth="1"/>
    <col min="12556" max="12556" width="13.375" style="95" customWidth="1"/>
    <col min="12557" max="12558" width="7.625" style="95" customWidth="1"/>
    <col min="12559" max="12559" width="4.625" style="95" customWidth="1"/>
    <col min="12560" max="12562" width="7.625" style="95" customWidth="1"/>
    <col min="12563" max="12563" width="4.625" style="95" customWidth="1"/>
    <col min="12564" max="12564" width="9.625" style="95" customWidth="1"/>
    <col min="12565" max="12565" width="8.75" style="95" customWidth="1"/>
    <col min="12566" max="12566" width="11.5" style="95" customWidth="1"/>
    <col min="12567" max="12567" width="6.125" style="95" customWidth="1"/>
    <col min="12568" max="12568" width="4.625" style="95" customWidth="1"/>
    <col min="12569" max="12571" width="6.125" style="95" customWidth="1"/>
    <col min="12572" max="12572" width="9" style="95"/>
    <col min="12573" max="12573" width="9.125" style="95" customWidth="1"/>
    <col min="12574" max="12800" width="9" style="95"/>
    <col min="12801" max="12801" width="4.75" style="95" customWidth="1"/>
    <col min="12802" max="12802" width="6.875" style="95" customWidth="1"/>
    <col min="12803" max="12803" width="18.5" style="95" customWidth="1"/>
    <col min="12804" max="12804" width="10.875" style="95" customWidth="1"/>
    <col min="12805" max="12805" width="6.75" style="95" customWidth="1"/>
    <col min="12806" max="12806" width="9.375" style="95" customWidth="1"/>
    <col min="12807" max="12807" width="8.875" style="95" customWidth="1"/>
    <col min="12808" max="12808" width="14" style="95" customWidth="1"/>
    <col min="12809" max="12809" width="9.375" style="95" customWidth="1"/>
    <col min="12810" max="12810" width="8.625" style="95" customWidth="1"/>
    <col min="12811" max="12811" width="12.875" style="95" customWidth="1"/>
    <col min="12812" max="12812" width="13.375" style="95" customWidth="1"/>
    <col min="12813" max="12814" width="7.625" style="95" customWidth="1"/>
    <col min="12815" max="12815" width="4.625" style="95" customWidth="1"/>
    <col min="12816" max="12818" width="7.625" style="95" customWidth="1"/>
    <col min="12819" max="12819" width="4.625" style="95" customWidth="1"/>
    <col min="12820" max="12820" width="9.625" style="95" customWidth="1"/>
    <col min="12821" max="12821" width="8.75" style="95" customWidth="1"/>
    <col min="12822" max="12822" width="11.5" style="95" customWidth="1"/>
    <col min="12823" max="12823" width="6.125" style="95" customWidth="1"/>
    <col min="12824" max="12824" width="4.625" style="95" customWidth="1"/>
    <col min="12825" max="12827" width="6.125" style="95" customWidth="1"/>
    <col min="12828" max="12828" width="9" style="95"/>
    <col min="12829" max="12829" width="9.125" style="95" customWidth="1"/>
    <col min="12830" max="13056" width="9" style="95"/>
    <col min="13057" max="13057" width="4.75" style="95" customWidth="1"/>
    <col min="13058" max="13058" width="6.875" style="95" customWidth="1"/>
    <col min="13059" max="13059" width="18.5" style="95" customWidth="1"/>
    <col min="13060" max="13060" width="10.875" style="95" customWidth="1"/>
    <col min="13061" max="13061" width="6.75" style="95" customWidth="1"/>
    <col min="13062" max="13062" width="9.375" style="95" customWidth="1"/>
    <col min="13063" max="13063" width="8.875" style="95" customWidth="1"/>
    <col min="13064" max="13064" width="14" style="95" customWidth="1"/>
    <col min="13065" max="13065" width="9.375" style="95" customWidth="1"/>
    <col min="13066" max="13066" width="8.625" style="95" customWidth="1"/>
    <col min="13067" max="13067" width="12.875" style="95" customWidth="1"/>
    <col min="13068" max="13068" width="13.375" style="95" customWidth="1"/>
    <col min="13069" max="13070" width="7.625" style="95" customWidth="1"/>
    <col min="13071" max="13071" width="4.625" style="95" customWidth="1"/>
    <col min="13072" max="13074" width="7.625" style="95" customWidth="1"/>
    <col min="13075" max="13075" width="4.625" style="95" customWidth="1"/>
    <col min="13076" max="13076" width="9.625" style="95" customWidth="1"/>
    <col min="13077" max="13077" width="8.75" style="95" customWidth="1"/>
    <col min="13078" max="13078" width="11.5" style="95" customWidth="1"/>
    <col min="13079" max="13079" width="6.125" style="95" customWidth="1"/>
    <col min="13080" max="13080" width="4.625" style="95" customWidth="1"/>
    <col min="13081" max="13083" width="6.125" style="95" customWidth="1"/>
    <col min="13084" max="13084" width="9" style="95"/>
    <col min="13085" max="13085" width="9.125" style="95" customWidth="1"/>
    <col min="13086" max="13312" width="9" style="95"/>
    <col min="13313" max="13313" width="4.75" style="95" customWidth="1"/>
    <col min="13314" max="13314" width="6.875" style="95" customWidth="1"/>
    <col min="13315" max="13315" width="18.5" style="95" customWidth="1"/>
    <col min="13316" max="13316" width="10.875" style="95" customWidth="1"/>
    <col min="13317" max="13317" width="6.75" style="95" customWidth="1"/>
    <col min="13318" max="13318" width="9.375" style="95" customWidth="1"/>
    <col min="13319" max="13319" width="8.875" style="95" customWidth="1"/>
    <col min="13320" max="13320" width="14" style="95" customWidth="1"/>
    <col min="13321" max="13321" width="9.375" style="95" customWidth="1"/>
    <col min="13322" max="13322" width="8.625" style="95" customWidth="1"/>
    <col min="13323" max="13323" width="12.875" style="95" customWidth="1"/>
    <col min="13324" max="13324" width="13.375" style="95" customWidth="1"/>
    <col min="13325" max="13326" width="7.625" style="95" customWidth="1"/>
    <col min="13327" max="13327" width="4.625" style="95" customWidth="1"/>
    <col min="13328" max="13330" width="7.625" style="95" customWidth="1"/>
    <col min="13331" max="13331" width="4.625" style="95" customWidth="1"/>
    <col min="13332" max="13332" width="9.625" style="95" customWidth="1"/>
    <col min="13333" max="13333" width="8.75" style="95" customWidth="1"/>
    <col min="13334" max="13334" width="11.5" style="95" customWidth="1"/>
    <col min="13335" max="13335" width="6.125" style="95" customWidth="1"/>
    <col min="13336" max="13336" width="4.625" style="95" customWidth="1"/>
    <col min="13337" max="13339" width="6.125" style="95" customWidth="1"/>
    <col min="13340" max="13340" width="9" style="95"/>
    <col min="13341" max="13341" width="9.125" style="95" customWidth="1"/>
    <col min="13342" max="13568" width="9" style="95"/>
    <col min="13569" max="13569" width="4.75" style="95" customWidth="1"/>
    <col min="13570" max="13570" width="6.875" style="95" customWidth="1"/>
    <col min="13571" max="13571" width="18.5" style="95" customWidth="1"/>
    <col min="13572" max="13572" width="10.875" style="95" customWidth="1"/>
    <col min="13573" max="13573" width="6.75" style="95" customWidth="1"/>
    <col min="13574" max="13574" width="9.375" style="95" customWidth="1"/>
    <col min="13575" max="13575" width="8.875" style="95" customWidth="1"/>
    <col min="13576" max="13576" width="14" style="95" customWidth="1"/>
    <col min="13577" max="13577" width="9.375" style="95" customWidth="1"/>
    <col min="13578" max="13578" width="8.625" style="95" customWidth="1"/>
    <col min="13579" max="13579" width="12.875" style="95" customWidth="1"/>
    <col min="13580" max="13580" width="13.375" style="95" customWidth="1"/>
    <col min="13581" max="13582" width="7.625" style="95" customWidth="1"/>
    <col min="13583" max="13583" width="4.625" style="95" customWidth="1"/>
    <col min="13584" max="13586" width="7.625" style="95" customWidth="1"/>
    <col min="13587" max="13587" width="4.625" style="95" customWidth="1"/>
    <col min="13588" max="13588" width="9.625" style="95" customWidth="1"/>
    <col min="13589" max="13589" width="8.75" style="95" customWidth="1"/>
    <col min="13590" max="13590" width="11.5" style="95" customWidth="1"/>
    <col min="13591" max="13591" width="6.125" style="95" customWidth="1"/>
    <col min="13592" max="13592" width="4.625" style="95" customWidth="1"/>
    <col min="13593" max="13595" width="6.125" style="95" customWidth="1"/>
    <col min="13596" max="13596" width="9" style="95"/>
    <col min="13597" max="13597" width="9.125" style="95" customWidth="1"/>
    <col min="13598" max="13824" width="9" style="95"/>
    <col min="13825" max="13825" width="4.75" style="95" customWidth="1"/>
    <col min="13826" max="13826" width="6.875" style="95" customWidth="1"/>
    <col min="13827" max="13827" width="18.5" style="95" customWidth="1"/>
    <col min="13828" max="13828" width="10.875" style="95" customWidth="1"/>
    <col min="13829" max="13829" width="6.75" style="95" customWidth="1"/>
    <col min="13830" max="13830" width="9.375" style="95" customWidth="1"/>
    <col min="13831" max="13831" width="8.875" style="95" customWidth="1"/>
    <col min="13832" max="13832" width="14" style="95" customWidth="1"/>
    <col min="13833" max="13833" width="9.375" style="95" customWidth="1"/>
    <col min="13834" max="13834" width="8.625" style="95" customWidth="1"/>
    <col min="13835" max="13835" width="12.875" style="95" customWidth="1"/>
    <col min="13836" max="13836" width="13.375" style="95" customWidth="1"/>
    <col min="13837" max="13838" width="7.625" style="95" customWidth="1"/>
    <col min="13839" max="13839" width="4.625" style="95" customWidth="1"/>
    <col min="13840" max="13842" width="7.625" style="95" customWidth="1"/>
    <col min="13843" max="13843" width="4.625" style="95" customWidth="1"/>
    <col min="13844" max="13844" width="9.625" style="95" customWidth="1"/>
    <col min="13845" max="13845" width="8.75" style="95" customWidth="1"/>
    <col min="13846" max="13846" width="11.5" style="95" customWidth="1"/>
    <col min="13847" max="13847" width="6.125" style="95" customWidth="1"/>
    <col min="13848" max="13848" width="4.625" style="95" customWidth="1"/>
    <col min="13849" max="13851" width="6.125" style="95" customWidth="1"/>
    <col min="13852" max="13852" width="9" style="95"/>
    <col min="13853" max="13853" width="9.125" style="95" customWidth="1"/>
    <col min="13854" max="14080" width="9" style="95"/>
    <col min="14081" max="14081" width="4.75" style="95" customWidth="1"/>
    <col min="14082" max="14082" width="6.875" style="95" customWidth="1"/>
    <col min="14083" max="14083" width="18.5" style="95" customWidth="1"/>
    <col min="14084" max="14084" width="10.875" style="95" customWidth="1"/>
    <col min="14085" max="14085" width="6.75" style="95" customWidth="1"/>
    <col min="14086" max="14086" width="9.375" style="95" customWidth="1"/>
    <col min="14087" max="14087" width="8.875" style="95" customWidth="1"/>
    <col min="14088" max="14088" width="14" style="95" customWidth="1"/>
    <col min="14089" max="14089" width="9.375" style="95" customWidth="1"/>
    <col min="14090" max="14090" width="8.625" style="95" customWidth="1"/>
    <col min="14091" max="14091" width="12.875" style="95" customWidth="1"/>
    <col min="14092" max="14092" width="13.375" style="95" customWidth="1"/>
    <col min="14093" max="14094" width="7.625" style="95" customWidth="1"/>
    <col min="14095" max="14095" width="4.625" style="95" customWidth="1"/>
    <col min="14096" max="14098" width="7.625" style="95" customWidth="1"/>
    <col min="14099" max="14099" width="4.625" style="95" customWidth="1"/>
    <col min="14100" max="14100" width="9.625" style="95" customWidth="1"/>
    <col min="14101" max="14101" width="8.75" style="95" customWidth="1"/>
    <col min="14102" max="14102" width="11.5" style="95" customWidth="1"/>
    <col min="14103" max="14103" width="6.125" style="95" customWidth="1"/>
    <col min="14104" max="14104" width="4.625" style="95" customWidth="1"/>
    <col min="14105" max="14107" width="6.125" style="95" customWidth="1"/>
    <col min="14108" max="14108" width="9" style="95"/>
    <col min="14109" max="14109" width="9.125" style="95" customWidth="1"/>
    <col min="14110" max="14336" width="9" style="95"/>
    <col min="14337" max="14337" width="4.75" style="95" customWidth="1"/>
    <col min="14338" max="14338" width="6.875" style="95" customWidth="1"/>
    <col min="14339" max="14339" width="18.5" style="95" customWidth="1"/>
    <col min="14340" max="14340" width="10.875" style="95" customWidth="1"/>
    <col min="14341" max="14341" width="6.75" style="95" customWidth="1"/>
    <col min="14342" max="14342" width="9.375" style="95" customWidth="1"/>
    <col min="14343" max="14343" width="8.875" style="95" customWidth="1"/>
    <col min="14344" max="14344" width="14" style="95" customWidth="1"/>
    <col min="14345" max="14345" width="9.375" style="95" customWidth="1"/>
    <col min="14346" max="14346" width="8.625" style="95" customWidth="1"/>
    <col min="14347" max="14347" width="12.875" style="95" customWidth="1"/>
    <col min="14348" max="14348" width="13.375" style="95" customWidth="1"/>
    <col min="14349" max="14350" width="7.625" style="95" customWidth="1"/>
    <col min="14351" max="14351" width="4.625" style="95" customWidth="1"/>
    <col min="14352" max="14354" width="7.625" style="95" customWidth="1"/>
    <col min="14355" max="14355" width="4.625" style="95" customWidth="1"/>
    <col min="14356" max="14356" width="9.625" style="95" customWidth="1"/>
    <col min="14357" max="14357" width="8.75" style="95" customWidth="1"/>
    <col min="14358" max="14358" width="11.5" style="95" customWidth="1"/>
    <col min="14359" max="14359" width="6.125" style="95" customWidth="1"/>
    <col min="14360" max="14360" width="4.625" style="95" customWidth="1"/>
    <col min="14361" max="14363" width="6.125" style="95" customWidth="1"/>
    <col min="14364" max="14364" width="9" style="95"/>
    <col min="14365" max="14365" width="9.125" style="95" customWidth="1"/>
    <col min="14366" max="14592" width="9" style="95"/>
    <col min="14593" max="14593" width="4.75" style="95" customWidth="1"/>
    <col min="14594" max="14594" width="6.875" style="95" customWidth="1"/>
    <col min="14595" max="14595" width="18.5" style="95" customWidth="1"/>
    <col min="14596" max="14596" width="10.875" style="95" customWidth="1"/>
    <col min="14597" max="14597" width="6.75" style="95" customWidth="1"/>
    <col min="14598" max="14598" width="9.375" style="95" customWidth="1"/>
    <col min="14599" max="14599" width="8.875" style="95" customWidth="1"/>
    <col min="14600" max="14600" width="14" style="95" customWidth="1"/>
    <col min="14601" max="14601" width="9.375" style="95" customWidth="1"/>
    <col min="14602" max="14602" width="8.625" style="95" customWidth="1"/>
    <col min="14603" max="14603" width="12.875" style="95" customWidth="1"/>
    <col min="14604" max="14604" width="13.375" style="95" customWidth="1"/>
    <col min="14605" max="14606" width="7.625" style="95" customWidth="1"/>
    <col min="14607" max="14607" width="4.625" style="95" customWidth="1"/>
    <col min="14608" max="14610" width="7.625" style="95" customWidth="1"/>
    <col min="14611" max="14611" width="4.625" style="95" customWidth="1"/>
    <col min="14612" max="14612" width="9.625" style="95" customWidth="1"/>
    <col min="14613" max="14613" width="8.75" style="95" customWidth="1"/>
    <col min="14614" max="14614" width="11.5" style="95" customWidth="1"/>
    <col min="14615" max="14615" width="6.125" style="95" customWidth="1"/>
    <col min="14616" max="14616" width="4.625" style="95" customWidth="1"/>
    <col min="14617" max="14619" width="6.125" style="95" customWidth="1"/>
    <col min="14620" max="14620" width="9" style="95"/>
    <col min="14621" max="14621" width="9.125" style="95" customWidth="1"/>
    <col min="14622" max="14848" width="9" style="95"/>
    <col min="14849" max="14849" width="4.75" style="95" customWidth="1"/>
    <col min="14850" max="14850" width="6.875" style="95" customWidth="1"/>
    <col min="14851" max="14851" width="18.5" style="95" customWidth="1"/>
    <col min="14852" max="14852" width="10.875" style="95" customWidth="1"/>
    <col min="14853" max="14853" width="6.75" style="95" customWidth="1"/>
    <col min="14854" max="14854" width="9.375" style="95" customWidth="1"/>
    <col min="14855" max="14855" width="8.875" style="95" customWidth="1"/>
    <col min="14856" max="14856" width="14" style="95" customWidth="1"/>
    <col min="14857" max="14857" width="9.375" style="95" customWidth="1"/>
    <col min="14858" max="14858" width="8.625" style="95" customWidth="1"/>
    <col min="14859" max="14859" width="12.875" style="95" customWidth="1"/>
    <col min="14860" max="14860" width="13.375" style="95" customWidth="1"/>
    <col min="14861" max="14862" width="7.625" style="95" customWidth="1"/>
    <col min="14863" max="14863" width="4.625" style="95" customWidth="1"/>
    <col min="14864" max="14866" width="7.625" style="95" customWidth="1"/>
    <col min="14867" max="14867" width="4.625" style="95" customWidth="1"/>
    <col min="14868" max="14868" width="9.625" style="95" customWidth="1"/>
    <col min="14869" max="14869" width="8.75" style="95" customWidth="1"/>
    <col min="14870" max="14870" width="11.5" style="95" customWidth="1"/>
    <col min="14871" max="14871" width="6.125" style="95" customWidth="1"/>
    <col min="14872" max="14872" width="4.625" style="95" customWidth="1"/>
    <col min="14873" max="14875" width="6.125" style="95" customWidth="1"/>
    <col min="14876" max="14876" width="9" style="95"/>
    <col min="14877" max="14877" width="9.125" style="95" customWidth="1"/>
    <col min="14878" max="15104" width="9" style="95"/>
    <col min="15105" max="15105" width="4.75" style="95" customWidth="1"/>
    <col min="15106" max="15106" width="6.875" style="95" customWidth="1"/>
    <col min="15107" max="15107" width="18.5" style="95" customWidth="1"/>
    <col min="15108" max="15108" width="10.875" style="95" customWidth="1"/>
    <col min="15109" max="15109" width="6.75" style="95" customWidth="1"/>
    <col min="15110" max="15110" width="9.375" style="95" customWidth="1"/>
    <col min="15111" max="15111" width="8.875" style="95" customWidth="1"/>
    <col min="15112" max="15112" width="14" style="95" customWidth="1"/>
    <col min="15113" max="15113" width="9.375" style="95" customWidth="1"/>
    <col min="15114" max="15114" width="8.625" style="95" customWidth="1"/>
    <col min="15115" max="15115" width="12.875" style="95" customWidth="1"/>
    <col min="15116" max="15116" width="13.375" style="95" customWidth="1"/>
    <col min="15117" max="15118" width="7.625" style="95" customWidth="1"/>
    <col min="15119" max="15119" width="4.625" style="95" customWidth="1"/>
    <col min="15120" max="15122" width="7.625" style="95" customWidth="1"/>
    <col min="15123" max="15123" width="4.625" style="95" customWidth="1"/>
    <col min="15124" max="15124" width="9.625" style="95" customWidth="1"/>
    <col min="15125" max="15125" width="8.75" style="95" customWidth="1"/>
    <col min="15126" max="15126" width="11.5" style="95" customWidth="1"/>
    <col min="15127" max="15127" width="6.125" style="95" customWidth="1"/>
    <col min="15128" max="15128" width="4.625" style="95" customWidth="1"/>
    <col min="15129" max="15131" width="6.125" style="95" customWidth="1"/>
    <col min="15132" max="15132" width="9" style="95"/>
    <col min="15133" max="15133" width="9.125" style="95" customWidth="1"/>
    <col min="15134" max="15360" width="9" style="95"/>
    <col min="15361" max="15361" width="4.75" style="95" customWidth="1"/>
    <col min="15362" max="15362" width="6.875" style="95" customWidth="1"/>
    <col min="15363" max="15363" width="18.5" style="95" customWidth="1"/>
    <col min="15364" max="15364" width="10.875" style="95" customWidth="1"/>
    <col min="15365" max="15365" width="6.75" style="95" customWidth="1"/>
    <col min="15366" max="15366" width="9.375" style="95" customWidth="1"/>
    <col min="15367" max="15367" width="8.875" style="95" customWidth="1"/>
    <col min="15368" max="15368" width="14" style="95" customWidth="1"/>
    <col min="15369" max="15369" width="9.375" style="95" customWidth="1"/>
    <col min="15370" max="15370" width="8.625" style="95" customWidth="1"/>
    <col min="15371" max="15371" width="12.875" style="95" customWidth="1"/>
    <col min="15372" max="15372" width="13.375" style="95" customWidth="1"/>
    <col min="15373" max="15374" width="7.625" style="95" customWidth="1"/>
    <col min="15375" max="15375" width="4.625" style="95" customWidth="1"/>
    <col min="15376" max="15378" width="7.625" style="95" customWidth="1"/>
    <col min="15379" max="15379" width="4.625" style="95" customWidth="1"/>
    <col min="15380" max="15380" width="9.625" style="95" customWidth="1"/>
    <col min="15381" max="15381" width="8.75" style="95" customWidth="1"/>
    <col min="15382" max="15382" width="11.5" style="95" customWidth="1"/>
    <col min="15383" max="15383" width="6.125" style="95" customWidth="1"/>
    <col min="15384" max="15384" width="4.625" style="95" customWidth="1"/>
    <col min="15385" max="15387" width="6.125" style="95" customWidth="1"/>
    <col min="15388" max="15388" width="9" style="95"/>
    <col min="15389" max="15389" width="9.125" style="95" customWidth="1"/>
    <col min="15390" max="15616" width="9" style="95"/>
    <col min="15617" max="15617" width="4.75" style="95" customWidth="1"/>
    <col min="15618" max="15618" width="6.875" style="95" customWidth="1"/>
    <col min="15619" max="15619" width="18.5" style="95" customWidth="1"/>
    <col min="15620" max="15620" width="10.875" style="95" customWidth="1"/>
    <col min="15621" max="15621" width="6.75" style="95" customWidth="1"/>
    <col min="15622" max="15622" width="9.375" style="95" customWidth="1"/>
    <col min="15623" max="15623" width="8.875" style="95" customWidth="1"/>
    <col min="15624" max="15624" width="14" style="95" customWidth="1"/>
    <col min="15625" max="15625" width="9.375" style="95" customWidth="1"/>
    <col min="15626" max="15626" width="8.625" style="95" customWidth="1"/>
    <col min="15627" max="15627" width="12.875" style="95" customWidth="1"/>
    <col min="15628" max="15628" width="13.375" style="95" customWidth="1"/>
    <col min="15629" max="15630" width="7.625" style="95" customWidth="1"/>
    <col min="15631" max="15631" width="4.625" style="95" customWidth="1"/>
    <col min="15632" max="15634" width="7.625" style="95" customWidth="1"/>
    <col min="15635" max="15635" width="4.625" style="95" customWidth="1"/>
    <col min="15636" max="15636" width="9.625" style="95" customWidth="1"/>
    <col min="15637" max="15637" width="8.75" style="95" customWidth="1"/>
    <col min="15638" max="15638" width="11.5" style="95" customWidth="1"/>
    <col min="15639" max="15639" width="6.125" style="95" customWidth="1"/>
    <col min="15640" max="15640" width="4.625" style="95" customWidth="1"/>
    <col min="15641" max="15643" width="6.125" style="95" customWidth="1"/>
    <col min="15644" max="15644" width="9" style="95"/>
    <col min="15645" max="15645" width="9.125" style="95" customWidth="1"/>
    <col min="15646" max="15872" width="9" style="95"/>
    <col min="15873" max="15873" width="4.75" style="95" customWidth="1"/>
    <col min="15874" max="15874" width="6.875" style="95" customWidth="1"/>
    <col min="15875" max="15875" width="18.5" style="95" customWidth="1"/>
    <col min="15876" max="15876" width="10.875" style="95" customWidth="1"/>
    <col min="15877" max="15877" width="6.75" style="95" customWidth="1"/>
    <col min="15878" max="15878" width="9.375" style="95" customWidth="1"/>
    <col min="15879" max="15879" width="8.875" style="95" customWidth="1"/>
    <col min="15880" max="15880" width="14" style="95" customWidth="1"/>
    <col min="15881" max="15881" width="9.375" style="95" customWidth="1"/>
    <col min="15882" max="15882" width="8.625" style="95" customWidth="1"/>
    <col min="15883" max="15883" width="12.875" style="95" customWidth="1"/>
    <col min="15884" max="15884" width="13.375" style="95" customWidth="1"/>
    <col min="15885" max="15886" width="7.625" style="95" customWidth="1"/>
    <col min="15887" max="15887" width="4.625" style="95" customWidth="1"/>
    <col min="15888" max="15890" width="7.625" style="95" customWidth="1"/>
    <col min="15891" max="15891" width="4.625" style="95" customWidth="1"/>
    <col min="15892" max="15892" width="9.625" style="95" customWidth="1"/>
    <col min="15893" max="15893" width="8.75" style="95" customWidth="1"/>
    <col min="15894" max="15894" width="11.5" style="95" customWidth="1"/>
    <col min="15895" max="15895" width="6.125" style="95" customWidth="1"/>
    <col min="15896" max="15896" width="4.625" style="95" customWidth="1"/>
    <col min="15897" max="15899" width="6.125" style="95" customWidth="1"/>
    <col min="15900" max="15900" width="9" style="95"/>
    <col min="15901" max="15901" width="9.125" style="95" customWidth="1"/>
    <col min="15902" max="16128" width="9" style="95"/>
    <col min="16129" max="16129" width="4.75" style="95" customWidth="1"/>
    <col min="16130" max="16130" width="6.875" style="95" customWidth="1"/>
    <col min="16131" max="16131" width="18.5" style="95" customWidth="1"/>
    <col min="16132" max="16132" width="10.875" style="95" customWidth="1"/>
    <col min="16133" max="16133" width="6.75" style="95" customWidth="1"/>
    <col min="16134" max="16134" width="9.375" style="95" customWidth="1"/>
    <col min="16135" max="16135" width="8.875" style="95" customWidth="1"/>
    <col min="16136" max="16136" width="14" style="95" customWidth="1"/>
    <col min="16137" max="16137" width="9.375" style="95" customWidth="1"/>
    <col min="16138" max="16138" width="8.625" style="95" customWidth="1"/>
    <col min="16139" max="16139" width="12.875" style="95" customWidth="1"/>
    <col min="16140" max="16140" width="13.375" style="95" customWidth="1"/>
    <col min="16141" max="16142" width="7.625" style="95" customWidth="1"/>
    <col min="16143" max="16143" width="4.625" style="95" customWidth="1"/>
    <col min="16144" max="16146" width="7.625" style="95" customWidth="1"/>
    <col min="16147" max="16147" width="4.625" style="95" customWidth="1"/>
    <col min="16148" max="16148" width="9.625" style="95" customWidth="1"/>
    <col min="16149" max="16149" width="8.75" style="95" customWidth="1"/>
    <col min="16150" max="16150" width="11.5" style="95" customWidth="1"/>
    <col min="16151" max="16151" width="6.125" style="95" customWidth="1"/>
    <col min="16152" max="16152" width="4.625" style="95" customWidth="1"/>
    <col min="16153" max="16155" width="6.125" style="95" customWidth="1"/>
    <col min="16156" max="16156" width="9" style="95"/>
    <col min="16157" max="16157" width="9.125" style="95" customWidth="1"/>
    <col min="16158" max="16384" width="9" style="95"/>
  </cols>
  <sheetData>
    <row r="1" ht="20.25" spans="1:11">
      <c r="A1" s="201" t="s">
        <v>1030</v>
      </c>
      <c r="B1" s="201"/>
      <c r="C1" s="201"/>
      <c r="D1" s="201"/>
      <c r="E1" s="201"/>
      <c r="F1" s="201"/>
      <c r="G1" s="201"/>
      <c r="H1" s="201"/>
      <c r="I1" s="201"/>
      <c r="J1" s="201"/>
      <c r="K1" s="392" t="s">
        <v>1061</v>
      </c>
    </row>
    <row r="2" ht="20.1" customHeight="1" spans="1:10">
      <c r="A2" s="202" t="str">
        <f>'作(4)'!F4</f>
        <v>版本型录号</v>
      </c>
      <c r="B2" s="202"/>
      <c r="C2" s="202">
        <f>'作(4)'!H4</f>
        <v>0</v>
      </c>
      <c r="D2" s="202"/>
      <c r="E2" s="202"/>
      <c r="F2" s="202"/>
      <c r="G2" s="202"/>
      <c r="H2" s="202" t="s">
        <v>1057</v>
      </c>
      <c r="I2" s="202"/>
      <c r="J2" s="202">
        <f>+'作(4)'!O38</f>
        <v>0</v>
      </c>
    </row>
    <row r="3" ht="23.25" customHeight="1" spans="1:31">
      <c r="A3" s="203" t="str">
        <f>'作(4)'!A4</f>
        <v>客户姓名：</v>
      </c>
      <c r="B3" s="204"/>
      <c r="C3" s="204">
        <f>'作(4)'!C4</f>
        <v>0</v>
      </c>
      <c r="D3" s="204"/>
      <c r="E3" s="204"/>
      <c r="F3" s="251"/>
      <c r="G3" s="204" t="str">
        <f>'作(4)'!F5</f>
        <v>下单日期：</v>
      </c>
      <c r="H3" s="395" t="str">
        <f>'作(4)'!H5</f>
        <v>  </v>
      </c>
      <c r="I3" s="204" t="s">
        <v>1049</v>
      </c>
      <c r="J3" s="275" t="s">
        <v>124</v>
      </c>
      <c r="K3" s="393"/>
      <c r="L3" s="414" t="s">
        <v>1062</v>
      </c>
      <c r="M3" s="415" t="s">
        <v>1063</v>
      </c>
      <c r="N3" s="415" t="s">
        <v>1064</v>
      </c>
      <c r="O3" s="415" t="s">
        <v>92</v>
      </c>
      <c r="P3" s="415" t="s">
        <v>1065</v>
      </c>
      <c r="Q3" s="415" t="s">
        <v>1066</v>
      </c>
      <c r="R3" s="437" t="s">
        <v>1067</v>
      </c>
      <c r="S3" s="437" t="s">
        <v>1068</v>
      </c>
      <c r="T3" s="415" t="s">
        <v>1069</v>
      </c>
      <c r="U3" s="415"/>
      <c r="V3" s="415"/>
      <c r="W3" s="415"/>
      <c r="X3" s="415" t="s">
        <v>1070</v>
      </c>
      <c r="Y3" s="415"/>
      <c r="Z3" s="415"/>
      <c r="AA3" s="415"/>
      <c r="AB3" s="443"/>
      <c r="AC3" s="444" t="s">
        <v>1071</v>
      </c>
      <c r="AD3" s="444"/>
      <c r="AE3" s="445"/>
    </row>
    <row r="4" ht="23.25" customHeight="1" spans="1:31">
      <c r="A4" s="396" t="str">
        <f>'作(4)'!A5</f>
        <v>图纸编号：</v>
      </c>
      <c r="B4" s="397"/>
      <c r="C4" s="397">
        <f>'作(4)'!C5</f>
        <v>0</v>
      </c>
      <c r="D4" s="397"/>
      <c r="E4" s="397"/>
      <c r="F4" s="398"/>
      <c r="G4" s="397" t="str">
        <f>'作(4)'!J5</f>
        <v>城市</v>
      </c>
      <c r="H4" s="399">
        <f>'作(4)'!K5</f>
        <v>0</v>
      </c>
      <c r="I4" s="397"/>
      <c r="J4" s="416"/>
      <c r="K4" s="393"/>
      <c r="L4" s="417"/>
      <c r="M4" s="418"/>
      <c r="N4" s="418"/>
      <c r="O4" s="418"/>
      <c r="P4" s="418"/>
      <c r="Q4" s="418"/>
      <c r="R4" s="438"/>
      <c r="S4" s="438"/>
      <c r="T4" s="439" t="s">
        <v>1072</v>
      </c>
      <c r="U4" s="439" t="s">
        <v>1073</v>
      </c>
      <c r="V4" s="439" t="s">
        <v>1074</v>
      </c>
      <c r="W4" s="439" t="s">
        <v>1075</v>
      </c>
      <c r="X4" s="439" t="s">
        <v>1072</v>
      </c>
      <c r="Y4" s="439" t="s">
        <v>1073</v>
      </c>
      <c r="Z4" s="439" t="s">
        <v>1076</v>
      </c>
      <c r="AA4" s="439" t="s">
        <v>1075</v>
      </c>
      <c r="AB4" s="118"/>
      <c r="AC4" s="439" t="s">
        <v>1072</v>
      </c>
      <c r="AD4" s="439" t="s">
        <v>1073</v>
      </c>
      <c r="AE4" s="446" t="s">
        <v>1076</v>
      </c>
    </row>
    <row r="5" ht="23.25" customHeight="1" spans="1:31">
      <c r="A5" s="396" t="s">
        <v>221</v>
      </c>
      <c r="B5" s="397" t="s">
        <v>22</v>
      </c>
      <c r="C5" s="400" t="s">
        <v>211</v>
      </c>
      <c r="D5" s="397" t="s">
        <v>177</v>
      </c>
      <c r="E5" s="397"/>
      <c r="F5" s="398" t="s">
        <v>90</v>
      </c>
      <c r="G5" s="397" t="s">
        <v>26</v>
      </c>
      <c r="H5" s="397" t="s">
        <v>1077</v>
      </c>
      <c r="I5" s="397"/>
      <c r="J5" s="416"/>
      <c r="K5" s="419" t="s">
        <v>1078</v>
      </c>
      <c r="L5" s="420" t="str">
        <f>O5&amp;N5</f>
        <v>L02象牙白</v>
      </c>
      <c r="M5" s="421" t="s">
        <v>1079</v>
      </c>
      <c r="N5" s="422" t="s">
        <v>1080</v>
      </c>
      <c r="O5" s="422" t="s">
        <v>1081</v>
      </c>
      <c r="P5" s="421" t="s">
        <v>1082</v>
      </c>
      <c r="Q5" s="422" t="s">
        <v>1083</v>
      </c>
      <c r="R5" s="422">
        <v>370</v>
      </c>
      <c r="S5" s="422">
        <v>1</v>
      </c>
      <c r="T5" s="422" t="s">
        <v>1084</v>
      </c>
      <c r="U5" s="422" t="s">
        <v>1085</v>
      </c>
      <c r="V5" s="422" t="s">
        <v>1086</v>
      </c>
      <c r="W5" s="421" t="s">
        <v>1087</v>
      </c>
      <c r="X5" s="422">
        <v>1</v>
      </c>
      <c r="Y5" s="422">
        <v>0.5</v>
      </c>
      <c r="Z5" s="447">
        <v>0.6</v>
      </c>
      <c r="AA5" s="421" t="s">
        <v>1087</v>
      </c>
      <c r="AB5" s="118"/>
      <c r="AC5" s="448">
        <f t="shared" ref="AC5:AC17" si="0">+X5/(X5+Y5+Z5)*R5*S5/1000*$J$2</f>
        <v>0</v>
      </c>
      <c r="AD5" s="448">
        <f t="shared" ref="AD5:AD17" si="1">+Y5/(X5+Y5+Z5)*R5*S5/1000*$J$2</f>
        <v>0</v>
      </c>
      <c r="AE5" s="449">
        <f t="shared" ref="AE5:AE17" si="2">+Z5/(X5+Y5+Z5)*R5*S5/1000*$J$2</f>
        <v>0</v>
      </c>
    </row>
    <row r="6" ht="23.25" customHeight="1" spans="1:31">
      <c r="A6" s="401" t="s">
        <v>1088</v>
      </c>
      <c r="B6" s="216">
        <v>1</v>
      </c>
      <c r="C6" s="402" t="str">
        <f>'作(4)'!I8</f>
        <v>18A暖白双贴三聚氰胺刨花板</v>
      </c>
      <c r="D6" s="216" t="s">
        <v>1089</v>
      </c>
      <c r="E6" s="216"/>
      <c r="F6" s="403">
        <f>+ROUNDUP('作(4)'!N38,1)</f>
        <v>0</v>
      </c>
      <c r="G6" s="216" t="s">
        <v>231</v>
      </c>
      <c r="H6" s="404">
        <f>'作(4)'!$F$6</f>
        <v>0</v>
      </c>
      <c r="I6" s="404"/>
      <c r="J6" s="423"/>
      <c r="K6" s="393" t="s">
        <v>1090</v>
      </c>
      <c r="L6" s="420" t="str">
        <f t="shared" ref="L6:L23" si="3">O6&amp;N6</f>
        <v>L12纯白</v>
      </c>
      <c r="M6" s="421"/>
      <c r="N6" s="422" t="s">
        <v>1091</v>
      </c>
      <c r="O6" s="422" t="s">
        <v>1092</v>
      </c>
      <c r="P6" s="421" t="s">
        <v>1082</v>
      </c>
      <c r="Q6" s="422" t="s">
        <v>1083</v>
      </c>
      <c r="R6" s="422">
        <v>370</v>
      </c>
      <c r="S6" s="422">
        <v>1</v>
      </c>
      <c r="T6" s="422" t="s">
        <v>1093</v>
      </c>
      <c r="U6" s="422" t="s">
        <v>1094</v>
      </c>
      <c r="V6" s="422" t="s">
        <v>1095</v>
      </c>
      <c r="W6" s="421"/>
      <c r="X6" s="422">
        <v>1</v>
      </c>
      <c r="Y6" s="422">
        <v>0.5</v>
      </c>
      <c r="Z6" s="447">
        <v>0.5</v>
      </c>
      <c r="AA6" s="421"/>
      <c r="AB6" s="118"/>
      <c r="AC6" s="448">
        <f t="shared" si="0"/>
        <v>0</v>
      </c>
      <c r="AD6" s="448">
        <f t="shared" si="1"/>
        <v>0</v>
      </c>
      <c r="AE6" s="449">
        <f t="shared" si="2"/>
        <v>0</v>
      </c>
    </row>
    <row r="7" ht="23.25" customHeight="1" spans="1:31">
      <c r="A7" s="401"/>
      <c r="B7" s="216">
        <v>2</v>
      </c>
      <c r="C7" s="216" t="s">
        <v>960</v>
      </c>
      <c r="D7" s="402" t="s">
        <v>1096</v>
      </c>
      <c r="E7" s="402"/>
      <c r="F7" s="405">
        <f>+'作(4)'!M38</f>
        <v>0</v>
      </c>
      <c r="G7" s="216" t="s">
        <v>261</v>
      </c>
      <c r="H7" s="404"/>
      <c r="I7" s="404"/>
      <c r="J7" s="423"/>
      <c r="K7" s="393" t="s">
        <v>1078</v>
      </c>
      <c r="L7" s="420" t="str">
        <f t="shared" si="3"/>
        <v>L01珍珠白</v>
      </c>
      <c r="M7" s="421"/>
      <c r="N7" s="422" t="s">
        <v>1097</v>
      </c>
      <c r="O7" s="422" t="s">
        <v>1098</v>
      </c>
      <c r="P7" s="421" t="s">
        <v>1082</v>
      </c>
      <c r="Q7" s="422" t="s">
        <v>1083</v>
      </c>
      <c r="R7" s="422">
        <v>310</v>
      </c>
      <c r="S7" s="422">
        <v>1</v>
      </c>
      <c r="T7" s="422" t="s">
        <v>1099</v>
      </c>
      <c r="U7" s="422" t="s">
        <v>1085</v>
      </c>
      <c r="V7" s="422" t="s">
        <v>1086</v>
      </c>
      <c r="W7" s="421" t="s">
        <v>1087</v>
      </c>
      <c r="X7" s="422">
        <v>1</v>
      </c>
      <c r="Y7" s="422">
        <v>0.5</v>
      </c>
      <c r="Z7" s="447">
        <v>0.6</v>
      </c>
      <c r="AA7" s="421" t="s">
        <v>1087</v>
      </c>
      <c r="AB7" s="118"/>
      <c r="AC7" s="448">
        <f t="shared" si="0"/>
        <v>0</v>
      </c>
      <c r="AD7" s="448">
        <f t="shared" si="1"/>
        <v>0</v>
      </c>
      <c r="AE7" s="449">
        <f t="shared" si="2"/>
        <v>0</v>
      </c>
    </row>
    <row r="8" ht="23.25" customHeight="1" spans="1:31">
      <c r="A8" s="401"/>
      <c r="B8" s="216">
        <v>3</v>
      </c>
      <c r="C8" s="216" t="s">
        <v>1100</v>
      </c>
      <c r="D8" s="216" t="s">
        <v>1101</v>
      </c>
      <c r="E8" s="216"/>
      <c r="F8" s="405">
        <f>F7*4.1</f>
        <v>0</v>
      </c>
      <c r="G8" s="216" t="s">
        <v>279</v>
      </c>
      <c r="H8" s="404"/>
      <c r="I8" s="404"/>
      <c r="J8" s="423"/>
      <c r="K8" s="393"/>
      <c r="L8" s="420" t="str">
        <f t="shared" si="3"/>
        <v>L02象牙白</v>
      </c>
      <c r="M8" s="421"/>
      <c r="N8" s="422" t="s">
        <v>1080</v>
      </c>
      <c r="O8" s="422" t="s">
        <v>1081</v>
      </c>
      <c r="P8" s="421" t="s">
        <v>1082</v>
      </c>
      <c r="Q8" s="422" t="s">
        <v>1083</v>
      </c>
      <c r="R8" s="422">
        <v>310</v>
      </c>
      <c r="S8" s="422">
        <v>1</v>
      </c>
      <c r="T8" s="422" t="s">
        <v>1084</v>
      </c>
      <c r="U8" s="422" t="s">
        <v>1085</v>
      </c>
      <c r="V8" s="422" t="s">
        <v>1086</v>
      </c>
      <c r="W8" s="421"/>
      <c r="X8" s="422">
        <v>1</v>
      </c>
      <c r="Y8" s="422">
        <v>0.5</v>
      </c>
      <c r="Z8" s="447">
        <v>0.6</v>
      </c>
      <c r="AA8" s="421"/>
      <c r="AB8" s="118"/>
      <c r="AC8" s="448">
        <f t="shared" si="0"/>
        <v>0</v>
      </c>
      <c r="AD8" s="448">
        <f t="shared" si="1"/>
        <v>0</v>
      </c>
      <c r="AE8" s="449">
        <f t="shared" si="2"/>
        <v>0</v>
      </c>
    </row>
    <row r="9" ht="23.25" customHeight="1" spans="1:31">
      <c r="A9" s="401" t="s">
        <v>1102</v>
      </c>
      <c r="B9" s="216">
        <v>1</v>
      </c>
      <c r="C9" s="406" t="s">
        <v>1103</v>
      </c>
      <c r="D9" s="406" t="s">
        <v>1104</v>
      </c>
      <c r="E9" s="406"/>
      <c r="F9" s="405">
        <f>+AC28</f>
        <v>0</v>
      </c>
      <c r="G9" s="216" t="s">
        <v>1105</v>
      </c>
      <c r="H9" s="216"/>
      <c r="I9" s="216"/>
      <c r="J9" s="424"/>
      <c r="K9" s="393"/>
      <c r="L9" s="420" t="str">
        <f t="shared" si="3"/>
        <v>L05浅灰</v>
      </c>
      <c r="M9" s="421"/>
      <c r="N9" s="422" t="s">
        <v>1106</v>
      </c>
      <c r="O9" s="422" t="s">
        <v>1107</v>
      </c>
      <c r="P9" s="421" t="s">
        <v>1082</v>
      </c>
      <c r="Q9" s="422" t="s">
        <v>1083</v>
      </c>
      <c r="R9" s="422">
        <v>310</v>
      </c>
      <c r="S9" s="422">
        <v>1</v>
      </c>
      <c r="T9" s="422" t="s">
        <v>1108</v>
      </c>
      <c r="U9" s="422" t="s">
        <v>1109</v>
      </c>
      <c r="V9" s="422" t="s">
        <v>1086</v>
      </c>
      <c r="W9" s="421"/>
      <c r="X9" s="422">
        <v>1</v>
      </c>
      <c r="Y9" s="422">
        <v>0.5</v>
      </c>
      <c r="Z9" s="447">
        <v>0.6</v>
      </c>
      <c r="AA9" s="421"/>
      <c r="AB9" s="118"/>
      <c r="AC9" s="448">
        <f t="shared" si="0"/>
        <v>0</v>
      </c>
      <c r="AD9" s="448">
        <f t="shared" si="1"/>
        <v>0</v>
      </c>
      <c r="AE9" s="449">
        <f t="shared" si="2"/>
        <v>0</v>
      </c>
    </row>
    <row r="10" ht="23.25" customHeight="1" spans="1:31">
      <c r="A10" s="401"/>
      <c r="B10" s="216">
        <v>2</v>
      </c>
      <c r="C10" s="406" t="s">
        <v>1103</v>
      </c>
      <c r="D10" s="406" t="s">
        <v>1110</v>
      </c>
      <c r="E10" s="406"/>
      <c r="F10" s="405">
        <f>+AC29</f>
        <v>0</v>
      </c>
      <c r="G10" s="216" t="s">
        <v>1105</v>
      </c>
      <c r="H10" s="216"/>
      <c r="I10" s="216"/>
      <c r="J10" s="424"/>
      <c r="K10" s="393"/>
      <c r="L10" s="420" t="str">
        <f t="shared" si="3"/>
        <v>L06卡布奇诺</v>
      </c>
      <c r="M10" s="421" t="s">
        <v>1111</v>
      </c>
      <c r="N10" s="422" t="s">
        <v>1112</v>
      </c>
      <c r="O10" s="422" t="s">
        <v>1113</v>
      </c>
      <c r="P10" s="421" t="s">
        <v>1082</v>
      </c>
      <c r="Q10" s="422" t="s">
        <v>1083</v>
      </c>
      <c r="R10" s="422">
        <v>310</v>
      </c>
      <c r="S10" s="422">
        <v>1</v>
      </c>
      <c r="T10" s="422" t="s">
        <v>1114</v>
      </c>
      <c r="U10" s="422" t="s">
        <v>1109</v>
      </c>
      <c r="V10" s="422" t="s">
        <v>1086</v>
      </c>
      <c r="W10" s="421"/>
      <c r="X10" s="422">
        <v>1</v>
      </c>
      <c r="Y10" s="422">
        <v>0.5</v>
      </c>
      <c r="Z10" s="447">
        <v>0.6</v>
      </c>
      <c r="AA10" s="421"/>
      <c r="AB10" s="118"/>
      <c r="AC10" s="448">
        <f t="shared" si="0"/>
        <v>0</v>
      </c>
      <c r="AD10" s="448">
        <f t="shared" si="1"/>
        <v>0</v>
      </c>
      <c r="AE10" s="449">
        <f t="shared" si="2"/>
        <v>0</v>
      </c>
    </row>
    <row r="11" ht="23.25" customHeight="1" spans="1:31">
      <c r="A11" s="401"/>
      <c r="B11" s="216">
        <v>6</v>
      </c>
      <c r="C11" s="402" t="s">
        <v>1115</v>
      </c>
      <c r="D11" s="216" t="str">
        <f>T30</f>
        <v>T20975</v>
      </c>
      <c r="E11" s="216"/>
      <c r="F11" s="405">
        <f>AC30</f>
        <v>0</v>
      </c>
      <c r="G11" s="216" t="s">
        <v>1105</v>
      </c>
      <c r="H11" s="216"/>
      <c r="I11" s="216"/>
      <c r="J11" s="424"/>
      <c r="K11" s="393"/>
      <c r="L11" s="420" t="str">
        <f t="shared" si="3"/>
        <v>L11纯黑</v>
      </c>
      <c r="M11" s="421"/>
      <c r="N11" s="422" t="s">
        <v>1116</v>
      </c>
      <c r="O11" s="422" t="s">
        <v>1117</v>
      </c>
      <c r="P11" s="421" t="s">
        <v>1082</v>
      </c>
      <c r="Q11" s="422" t="s">
        <v>1083</v>
      </c>
      <c r="R11" s="422">
        <v>310</v>
      </c>
      <c r="S11" s="422">
        <v>1</v>
      </c>
      <c r="T11" s="422" t="s">
        <v>1118</v>
      </c>
      <c r="U11" s="422" t="s">
        <v>1109</v>
      </c>
      <c r="V11" s="422" t="s">
        <v>1086</v>
      </c>
      <c r="W11" s="421"/>
      <c r="X11" s="422">
        <v>1</v>
      </c>
      <c r="Y11" s="422">
        <v>0.5</v>
      </c>
      <c r="Z11" s="447">
        <v>0.6</v>
      </c>
      <c r="AA11" s="421"/>
      <c r="AB11" s="118"/>
      <c r="AC11" s="448">
        <f t="shared" si="0"/>
        <v>0</v>
      </c>
      <c r="AD11" s="448">
        <f t="shared" si="1"/>
        <v>0</v>
      </c>
      <c r="AE11" s="449">
        <f t="shared" si="2"/>
        <v>0</v>
      </c>
    </row>
    <row r="12" ht="23.25" customHeight="1" spans="1:31">
      <c r="A12" s="401"/>
      <c r="B12" s="216">
        <v>7</v>
      </c>
      <c r="C12" s="402"/>
      <c r="D12" s="216" t="str">
        <f>U30</f>
        <v>PR66</v>
      </c>
      <c r="E12" s="216"/>
      <c r="F12" s="405">
        <f>AD30</f>
        <v>0</v>
      </c>
      <c r="G12" s="216" t="s">
        <v>1105</v>
      </c>
      <c r="H12" s="216"/>
      <c r="I12" s="216"/>
      <c r="J12" s="424"/>
      <c r="K12" s="393"/>
      <c r="L12" s="420" t="str">
        <f t="shared" si="3"/>
        <v>L12纯白</v>
      </c>
      <c r="M12" s="421"/>
      <c r="N12" s="422" t="s">
        <v>1091</v>
      </c>
      <c r="O12" s="422" t="s">
        <v>1092</v>
      </c>
      <c r="P12" s="421" t="s">
        <v>1082</v>
      </c>
      <c r="Q12" s="422" t="s">
        <v>1083</v>
      </c>
      <c r="R12" s="422">
        <v>310</v>
      </c>
      <c r="S12" s="422">
        <v>1</v>
      </c>
      <c r="T12" s="422" t="s">
        <v>1093</v>
      </c>
      <c r="U12" s="422" t="s">
        <v>1094</v>
      </c>
      <c r="V12" s="422" t="s">
        <v>1095</v>
      </c>
      <c r="W12" s="421"/>
      <c r="X12" s="422">
        <v>1</v>
      </c>
      <c r="Y12" s="422">
        <v>0.5</v>
      </c>
      <c r="Z12" s="447">
        <v>0.5</v>
      </c>
      <c r="AA12" s="421"/>
      <c r="AB12" s="118"/>
      <c r="AC12" s="448">
        <f t="shared" si="0"/>
        <v>0</v>
      </c>
      <c r="AD12" s="448">
        <f t="shared" si="1"/>
        <v>0</v>
      </c>
      <c r="AE12" s="449">
        <f t="shared" si="2"/>
        <v>0</v>
      </c>
    </row>
    <row r="13" ht="23.25" customHeight="1" spans="1:31">
      <c r="A13" s="401"/>
      <c r="B13" s="216">
        <v>8</v>
      </c>
      <c r="C13" s="402"/>
      <c r="D13" s="216" t="str">
        <f>V30</f>
        <v>PX705/PX707</v>
      </c>
      <c r="E13" s="216"/>
      <c r="F13" s="405">
        <f>AE30</f>
        <v>0</v>
      </c>
      <c r="G13" s="216" t="s">
        <v>1105</v>
      </c>
      <c r="H13" s="216"/>
      <c r="I13" s="216"/>
      <c r="J13" s="424"/>
      <c r="K13" s="393"/>
      <c r="L13" s="420" t="str">
        <f t="shared" si="3"/>
        <v>G01珍珠白</v>
      </c>
      <c r="M13" s="421"/>
      <c r="N13" s="422" t="s">
        <v>1097</v>
      </c>
      <c r="O13" s="422" t="s">
        <v>1119</v>
      </c>
      <c r="P13" s="421" t="s">
        <v>1082</v>
      </c>
      <c r="Q13" s="422" t="s">
        <v>1083</v>
      </c>
      <c r="R13" s="422">
        <v>325</v>
      </c>
      <c r="S13" s="422">
        <v>2</v>
      </c>
      <c r="T13" s="422" t="s">
        <v>1099</v>
      </c>
      <c r="U13" s="422" t="s">
        <v>1085</v>
      </c>
      <c r="V13" s="422" t="s">
        <v>1086</v>
      </c>
      <c r="W13" s="421" t="s">
        <v>1087</v>
      </c>
      <c r="X13" s="422">
        <v>1</v>
      </c>
      <c r="Y13" s="422">
        <v>0.5</v>
      </c>
      <c r="Z13" s="447">
        <v>0.6</v>
      </c>
      <c r="AA13" s="421" t="s">
        <v>1087</v>
      </c>
      <c r="AB13" s="118"/>
      <c r="AC13" s="448">
        <f t="shared" si="0"/>
        <v>0</v>
      </c>
      <c r="AD13" s="448">
        <f t="shared" si="1"/>
        <v>0</v>
      </c>
      <c r="AE13" s="449">
        <f t="shared" si="2"/>
        <v>0</v>
      </c>
    </row>
    <row r="14" ht="23.25" customHeight="1" spans="1:31">
      <c r="A14" s="401"/>
      <c r="B14" s="216"/>
      <c r="C14" s="402"/>
      <c r="D14" s="216" t="str">
        <f>+IF($K$5=$K$6,"","慢干水")</f>
        <v>慢干水</v>
      </c>
      <c r="E14" s="216"/>
      <c r="F14" s="405">
        <f>IF(D14="","",F13*0.34)</f>
        <v>0</v>
      </c>
      <c r="G14" s="216" t="s">
        <v>1105</v>
      </c>
      <c r="H14" s="216"/>
      <c r="I14" s="216"/>
      <c r="J14" s="424"/>
      <c r="K14" s="393"/>
      <c r="L14" s="420" t="str">
        <f t="shared" si="3"/>
        <v>G02象牙白</v>
      </c>
      <c r="M14" s="421"/>
      <c r="N14" s="422" t="s">
        <v>1080</v>
      </c>
      <c r="O14" s="422" t="s">
        <v>1120</v>
      </c>
      <c r="P14" s="421"/>
      <c r="Q14" s="422" t="s">
        <v>1083</v>
      </c>
      <c r="R14" s="422">
        <v>325</v>
      </c>
      <c r="S14" s="422">
        <v>2</v>
      </c>
      <c r="T14" s="422" t="s">
        <v>1084</v>
      </c>
      <c r="U14" s="422" t="s">
        <v>1085</v>
      </c>
      <c r="V14" s="422" t="s">
        <v>1086</v>
      </c>
      <c r="W14" s="421"/>
      <c r="X14" s="422">
        <v>1</v>
      </c>
      <c r="Y14" s="422">
        <v>0.5</v>
      </c>
      <c r="Z14" s="447">
        <v>0.6</v>
      </c>
      <c r="AA14" s="421"/>
      <c r="AB14" s="118"/>
      <c r="AC14" s="448">
        <f t="shared" si="0"/>
        <v>0</v>
      </c>
      <c r="AD14" s="448">
        <f t="shared" si="1"/>
        <v>0</v>
      </c>
      <c r="AE14" s="449">
        <f t="shared" si="2"/>
        <v>0</v>
      </c>
    </row>
    <row r="15" ht="23.25" customHeight="1" spans="1:31">
      <c r="A15" s="401"/>
      <c r="B15" s="216">
        <v>9</v>
      </c>
      <c r="C15" s="402" t="s">
        <v>1121</v>
      </c>
      <c r="D15" s="216" t="e">
        <f>VLOOKUP($H$6,$L$1:$AE$26,9,0)</f>
        <v>#N/A</v>
      </c>
      <c r="E15" s="216"/>
      <c r="F15" s="405" t="e">
        <f>VLOOKUP($H$6,$L$1:$AE$26,18,0)</f>
        <v>#N/A</v>
      </c>
      <c r="G15" s="216" t="s">
        <v>1105</v>
      </c>
      <c r="H15" s="216"/>
      <c r="I15" s="216"/>
      <c r="J15" s="424"/>
      <c r="K15" s="393"/>
      <c r="L15" s="420" t="str">
        <f t="shared" si="3"/>
        <v>G06卡布奇诺</v>
      </c>
      <c r="M15" s="421"/>
      <c r="N15" s="422" t="s">
        <v>1112</v>
      </c>
      <c r="O15" s="422" t="s">
        <v>1122</v>
      </c>
      <c r="P15" s="421"/>
      <c r="Q15" s="422" t="s">
        <v>1083</v>
      </c>
      <c r="R15" s="422">
        <v>325</v>
      </c>
      <c r="S15" s="422">
        <v>2</v>
      </c>
      <c r="T15" s="422" t="s">
        <v>1114</v>
      </c>
      <c r="U15" s="422" t="s">
        <v>1109</v>
      </c>
      <c r="V15" s="422" t="s">
        <v>1086</v>
      </c>
      <c r="W15" s="421"/>
      <c r="X15" s="422">
        <v>1</v>
      </c>
      <c r="Y15" s="422">
        <v>0.5</v>
      </c>
      <c r="Z15" s="447">
        <v>0.8</v>
      </c>
      <c r="AA15" s="421"/>
      <c r="AB15" s="118"/>
      <c r="AC15" s="448">
        <f t="shared" si="0"/>
        <v>0</v>
      </c>
      <c r="AD15" s="448">
        <f t="shared" si="1"/>
        <v>0</v>
      </c>
      <c r="AE15" s="449">
        <f t="shared" si="2"/>
        <v>0</v>
      </c>
    </row>
    <row r="16" ht="23.25" customHeight="1" spans="1:31">
      <c r="A16" s="401"/>
      <c r="B16" s="216">
        <v>10</v>
      </c>
      <c r="C16" s="402"/>
      <c r="D16" s="216" t="e">
        <f>VLOOKUP($H$6,$L$1:$AE$26,10,0)</f>
        <v>#N/A</v>
      </c>
      <c r="E16" s="216"/>
      <c r="F16" s="405" t="e">
        <f>VLOOKUP($H$6,$L$1:$AE$25,19,0)</f>
        <v>#N/A</v>
      </c>
      <c r="G16" s="216" t="s">
        <v>1105</v>
      </c>
      <c r="H16" s="216"/>
      <c r="I16" s="216"/>
      <c r="J16" s="424"/>
      <c r="K16" s="393"/>
      <c r="L16" s="420" t="str">
        <f t="shared" si="3"/>
        <v>G07深灰</v>
      </c>
      <c r="M16" s="421"/>
      <c r="N16" s="422" t="s">
        <v>1123</v>
      </c>
      <c r="O16" s="422" t="s">
        <v>1124</v>
      </c>
      <c r="P16" s="421"/>
      <c r="Q16" s="422" t="s">
        <v>1083</v>
      </c>
      <c r="R16" s="422">
        <v>325</v>
      </c>
      <c r="S16" s="422">
        <v>2</v>
      </c>
      <c r="T16" s="422" t="s">
        <v>1125</v>
      </c>
      <c r="U16" s="422" t="s">
        <v>1109</v>
      </c>
      <c r="V16" s="422" t="s">
        <v>1086</v>
      </c>
      <c r="W16" s="421"/>
      <c r="X16" s="422">
        <v>1</v>
      </c>
      <c r="Y16" s="422">
        <v>0.5</v>
      </c>
      <c r="Z16" s="447">
        <v>0.8</v>
      </c>
      <c r="AA16" s="421"/>
      <c r="AB16" s="118"/>
      <c r="AC16" s="448">
        <f t="shared" si="0"/>
        <v>0</v>
      </c>
      <c r="AD16" s="448">
        <f t="shared" si="1"/>
        <v>0</v>
      </c>
      <c r="AE16" s="449">
        <f t="shared" si="2"/>
        <v>0</v>
      </c>
    </row>
    <row r="17" ht="23.25" customHeight="1" spans="1:31">
      <c r="A17" s="401"/>
      <c r="B17" s="216">
        <v>11</v>
      </c>
      <c r="C17" s="402"/>
      <c r="D17" s="216" t="e">
        <f>VLOOKUP($H$6,$L$1:$AE$26,11,0)</f>
        <v>#N/A</v>
      </c>
      <c r="E17" s="216"/>
      <c r="F17" s="405" t="e">
        <f>VLOOKUP($H$6,$L$1:$AE$26,20,0)</f>
        <v>#N/A</v>
      </c>
      <c r="G17" s="216" t="s">
        <v>1105</v>
      </c>
      <c r="H17" s="216"/>
      <c r="I17" s="216"/>
      <c r="J17" s="424"/>
      <c r="K17" s="393"/>
      <c r="L17" s="420" t="str">
        <f t="shared" si="3"/>
        <v>G08柠檬绿</v>
      </c>
      <c r="M17" s="421"/>
      <c r="N17" s="422" t="s">
        <v>1126</v>
      </c>
      <c r="O17" s="422" t="s">
        <v>1127</v>
      </c>
      <c r="P17" s="421"/>
      <c r="Q17" s="422" t="s">
        <v>1083</v>
      </c>
      <c r="R17" s="422">
        <v>325</v>
      </c>
      <c r="S17" s="422">
        <v>2</v>
      </c>
      <c r="T17" s="422" t="s">
        <v>1128</v>
      </c>
      <c r="U17" s="422" t="s">
        <v>1109</v>
      </c>
      <c r="V17" s="422" t="s">
        <v>1086</v>
      </c>
      <c r="W17" s="421"/>
      <c r="X17" s="422">
        <v>1</v>
      </c>
      <c r="Y17" s="422">
        <v>0.5</v>
      </c>
      <c r="Z17" s="447">
        <v>0.7</v>
      </c>
      <c r="AA17" s="421"/>
      <c r="AB17" s="118"/>
      <c r="AC17" s="448">
        <f t="shared" si="0"/>
        <v>0</v>
      </c>
      <c r="AD17" s="448">
        <f t="shared" si="1"/>
        <v>0</v>
      </c>
      <c r="AE17" s="449">
        <f t="shared" si="2"/>
        <v>0</v>
      </c>
    </row>
    <row r="18" ht="23.25" customHeight="1" spans="1:31">
      <c r="A18" s="401"/>
      <c r="B18" s="216">
        <v>11</v>
      </c>
      <c r="C18" s="402"/>
      <c r="D18" s="216" t="e">
        <f>+IF(D17="RTS-10SL","",IF($K$5=$K$6,"","慢干水"))</f>
        <v>#N/A</v>
      </c>
      <c r="E18" s="216"/>
      <c r="F18" s="405" t="e">
        <f>IF(D18="","",F17*0.34)</f>
        <v>#N/A</v>
      </c>
      <c r="G18" s="216" t="e">
        <f>IF(D18="","","千克")</f>
        <v>#N/A</v>
      </c>
      <c r="H18" s="216"/>
      <c r="I18" s="216"/>
      <c r="J18" s="424"/>
      <c r="K18" s="393"/>
      <c r="L18" s="420" t="str">
        <f t="shared" si="3"/>
        <v>G09法拉利红</v>
      </c>
      <c r="M18" s="421"/>
      <c r="N18" s="422" t="s">
        <v>1129</v>
      </c>
      <c r="O18" s="422" t="s">
        <v>1130</v>
      </c>
      <c r="P18" s="421"/>
      <c r="Q18" s="422" t="s">
        <v>1083</v>
      </c>
      <c r="R18" s="422">
        <v>325</v>
      </c>
      <c r="S18" s="422">
        <v>2</v>
      </c>
      <c r="T18" s="422" t="s">
        <v>1131</v>
      </c>
      <c r="U18" s="422" t="s">
        <v>1109</v>
      </c>
      <c r="V18" s="422" t="s">
        <v>1086</v>
      </c>
      <c r="W18" s="421"/>
      <c r="X18" s="422">
        <v>1</v>
      </c>
      <c r="Y18" s="422">
        <v>0.5</v>
      </c>
      <c r="Z18" s="447">
        <v>0.8</v>
      </c>
      <c r="AA18" s="421"/>
      <c r="AB18" s="118"/>
      <c r="AC18" s="448">
        <f t="shared" ref="AC18:AC23" si="4">+X18/(X18+Y18+Z18)*R18*S18/1000*$J$2</f>
        <v>0</v>
      </c>
      <c r="AD18" s="448">
        <f t="shared" ref="AD18:AD23" si="5">+Y18/(X18+Y18+Z18)*R18*S18/1000*$J$2</f>
        <v>0</v>
      </c>
      <c r="AE18" s="449">
        <f t="shared" ref="AE18:AE23" si="6">+Z18/(X18+Y18+Z18)*R18*S18/1000*$J$2</f>
        <v>0</v>
      </c>
    </row>
    <row r="19" ht="23.25" customHeight="1" spans="1:31">
      <c r="A19" s="401"/>
      <c r="B19" s="407"/>
      <c r="C19" s="402" t="str">
        <f>+IF(MIDB(H6,1,1)="G","抛光液","")</f>
        <v/>
      </c>
      <c r="D19" s="216"/>
      <c r="E19" s="216"/>
      <c r="F19" s="408" t="str">
        <f>+IF(MIDB(H6,1,1)="G",J2*0.05,"")</f>
        <v/>
      </c>
      <c r="G19" s="216" t="str">
        <f>+IF(MIDB(H6,1,1)="G","千克","")</f>
        <v/>
      </c>
      <c r="H19" s="407"/>
      <c r="I19" s="407"/>
      <c r="J19" s="425"/>
      <c r="K19" s="393"/>
      <c r="L19" s="420" t="str">
        <f t="shared" si="3"/>
        <v>G10酒红</v>
      </c>
      <c r="M19" s="421"/>
      <c r="N19" s="422" t="s">
        <v>1132</v>
      </c>
      <c r="O19" s="422" t="s">
        <v>1133</v>
      </c>
      <c r="P19" s="421"/>
      <c r="Q19" s="422" t="s">
        <v>1083</v>
      </c>
      <c r="R19" s="422">
        <v>325</v>
      </c>
      <c r="S19" s="422">
        <v>2</v>
      </c>
      <c r="T19" s="422" t="s">
        <v>1134</v>
      </c>
      <c r="U19" s="422" t="s">
        <v>1109</v>
      </c>
      <c r="V19" s="422" t="s">
        <v>1086</v>
      </c>
      <c r="W19" s="421"/>
      <c r="X19" s="422">
        <v>1</v>
      </c>
      <c r="Y19" s="422">
        <v>0.5</v>
      </c>
      <c r="Z19" s="447">
        <v>0.8</v>
      </c>
      <c r="AA19" s="421"/>
      <c r="AB19" s="118"/>
      <c r="AC19" s="448">
        <f t="shared" si="4"/>
        <v>0</v>
      </c>
      <c r="AD19" s="448">
        <f t="shared" si="5"/>
        <v>0</v>
      </c>
      <c r="AE19" s="449">
        <f t="shared" si="6"/>
        <v>0</v>
      </c>
    </row>
    <row r="20" ht="23.25" customHeight="1" spans="1:31">
      <c r="A20" s="401"/>
      <c r="B20" s="407"/>
      <c r="C20" s="402" t="str">
        <f>+IF(MIDB(H6,1,1)="G","白细腊","")</f>
        <v/>
      </c>
      <c r="D20" s="216"/>
      <c r="E20" s="216"/>
      <c r="F20" s="408" t="str">
        <f>+IF(MIDB(H6,1,1)="G",J2*0.07,"")</f>
        <v/>
      </c>
      <c r="G20" s="216" t="str">
        <f>+IF(MIDB(H6,1,1)="G","千克","")</f>
        <v/>
      </c>
      <c r="H20" s="407"/>
      <c r="I20" s="407"/>
      <c r="J20" s="425"/>
      <c r="K20" s="393"/>
      <c r="L20" s="420" t="str">
        <f t="shared" si="3"/>
        <v>G11纯黑</v>
      </c>
      <c r="M20" s="421"/>
      <c r="N20" s="422" t="s">
        <v>1116</v>
      </c>
      <c r="O20" s="422" t="s">
        <v>1135</v>
      </c>
      <c r="P20" s="421"/>
      <c r="Q20" s="422" t="s">
        <v>1083</v>
      </c>
      <c r="R20" s="422">
        <v>325</v>
      </c>
      <c r="S20" s="422">
        <v>2</v>
      </c>
      <c r="T20" s="422" t="s">
        <v>1136</v>
      </c>
      <c r="U20" s="422" t="s">
        <v>1109</v>
      </c>
      <c r="V20" s="422" t="s">
        <v>1086</v>
      </c>
      <c r="W20" s="421"/>
      <c r="X20" s="422">
        <v>1</v>
      </c>
      <c r="Y20" s="422">
        <v>1</v>
      </c>
      <c r="Z20" s="447">
        <v>0.8</v>
      </c>
      <c r="AA20" s="421"/>
      <c r="AB20" s="118"/>
      <c r="AC20" s="448">
        <f t="shared" si="4"/>
        <v>0</v>
      </c>
      <c r="AD20" s="448">
        <f t="shared" si="5"/>
        <v>0</v>
      </c>
      <c r="AE20" s="449">
        <f t="shared" si="6"/>
        <v>0</v>
      </c>
    </row>
    <row r="21" ht="23.25" customHeight="1" spans="1:31">
      <c r="A21" s="409" t="s">
        <v>209</v>
      </c>
      <c r="B21" s="407"/>
      <c r="C21" s="407" t="str">
        <f>+IF('作(4)'!Q38&gt;0,"拉手","")</f>
        <v/>
      </c>
      <c r="D21" s="407" t="str">
        <f>+IF('作(4)'!Q38&gt;0,"LC-003","")</f>
        <v/>
      </c>
      <c r="E21" s="407"/>
      <c r="F21" s="403" t="str">
        <f>+IF('作(4)'!Q38&gt;0,'作(4)'!Q38,"")</f>
        <v/>
      </c>
      <c r="G21" s="407" t="str">
        <f>+IF('作(4)'!Q38&gt;0,"米","")</f>
        <v/>
      </c>
      <c r="H21" s="407"/>
      <c r="I21" s="407"/>
      <c r="J21" s="425"/>
      <c r="K21" s="393"/>
      <c r="L21" s="420" t="str">
        <f t="shared" si="3"/>
        <v>G10酒红</v>
      </c>
      <c r="M21" s="421"/>
      <c r="N21" s="422" t="s">
        <v>1132</v>
      </c>
      <c r="O21" s="422" t="s">
        <v>1133</v>
      </c>
      <c r="P21" s="421"/>
      <c r="Q21" s="422" t="s">
        <v>1083</v>
      </c>
      <c r="R21" s="422">
        <v>325</v>
      </c>
      <c r="S21" s="422">
        <v>2</v>
      </c>
      <c r="T21" s="422" t="s">
        <v>1134</v>
      </c>
      <c r="U21" s="422" t="s">
        <v>1109</v>
      </c>
      <c r="V21" s="422" t="s">
        <v>1086</v>
      </c>
      <c r="W21" s="421"/>
      <c r="X21" s="422">
        <v>1</v>
      </c>
      <c r="Y21" s="422">
        <v>0.5</v>
      </c>
      <c r="Z21" s="447">
        <v>0.8</v>
      </c>
      <c r="AA21" s="421"/>
      <c r="AB21" s="118"/>
      <c r="AC21" s="448">
        <f t="shared" si="4"/>
        <v>0</v>
      </c>
      <c r="AD21" s="448">
        <f t="shared" si="5"/>
        <v>0</v>
      </c>
      <c r="AE21" s="449">
        <f t="shared" si="6"/>
        <v>0</v>
      </c>
    </row>
    <row r="22" ht="23.25" customHeight="1" spans="1:31">
      <c r="A22" s="410"/>
      <c r="B22" s="411"/>
      <c r="C22" s="411"/>
      <c r="D22" s="411" t="str">
        <f>+IF('作(4)'!Q38&gt;0,"普施宝免钉胶","")</f>
        <v/>
      </c>
      <c r="E22" s="411"/>
      <c r="F22" s="412"/>
      <c r="G22" s="411" t="str">
        <f>+IF('作(4)'!Q38&gt;0,"支","")</f>
        <v/>
      </c>
      <c r="H22" s="411"/>
      <c r="I22" s="411"/>
      <c r="J22" s="426"/>
      <c r="K22" s="393"/>
      <c r="L22" s="420" t="str">
        <f t="shared" si="3"/>
        <v>G11纯黑</v>
      </c>
      <c r="M22" s="421"/>
      <c r="N22" s="422" t="s">
        <v>1116</v>
      </c>
      <c r="O22" s="422" t="s">
        <v>1135</v>
      </c>
      <c r="P22" s="421"/>
      <c r="Q22" s="422" t="s">
        <v>1083</v>
      </c>
      <c r="R22" s="422">
        <v>325</v>
      </c>
      <c r="S22" s="422">
        <v>2</v>
      </c>
      <c r="T22" s="422" t="s">
        <v>1136</v>
      </c>
      <c r="U22" s="422" t="s">
        <v>1109</v>
      </c>
      <c r="V22" s="422" t="s">
        <v>1086</v>
      </c>
      <c r="W22" s="421"/>
      <c r="X22" s="422">
        <v>1</v>
      </c>
      <c r="Y22" s="422">
        <v>1</v>
      </c>
      <c r="Z22" s="447">
        <v>0.8</v>
      </c>
      <c r="AA22" s="421"/>
      <c r="AB22" s="118"/>
      <c r="AC22" s="448">
        <f t="shared" si="4"/>
        <v>0</v>
      </c>
      <c r="AD22" s="448">
        <f t="shared" si="5"/>
        <v>0</v>
      </c>
      <c r="AE22" s="449">
        <f t="shared" si="6"/>
        <v>0</v>
      </c>
    </row>
    <row r="23" ht="24" customHeight="1" spans="1:31">
      <c r="A23" s="239"/>
      <c r="B23" s="239"/>
      <c r="C23" s="240" t="s">
        <v>1040</v>
      </c>
      <c r="D23" s="241" t="s">
        <v>1045</v>
      </c>
      <c r="E23" s="241"/>
      <c r="F23" s="413"/>
      <c r="G23" s="240"/>
      <c r="H23" s="241"/>
      <c r="I23" s="241"/>
      <c r="J23" s="267"/>
      <c r="K23" s="393"/>
      <c r="L23" s="420" t="str">
        <f t="shared" si="3"/>
        <v>G12纯白</v>
      </c>
      <c r="M23" s="421"/>
      <c r="N23" s="422" t="s">
        <v>1091</v>
      </c>
      <c r="O23" s="422" t="s">
        <v>1137</v>
      </c>
      <c r="P23" s="421"/>
      <c r="Q23" s="422" t="s">
        <v>1083</v>
      </c>
      <c r="R23" s="422">
        <v>325</v>
      </c>
      <c r="S23" s="422">
        <v>2</v>
      </c>
      <c r="T23" s="422" t="s">
        <v>1138</v>
      </c>
      <c r="U23" s="422" t="s">
        <v>1139</v>
      </c>
      <c r="V23" s="422" t="s">
        <v>1140</v>
      </c>
      <c r="W23" s="421"/>
      <c r="X23" s="422">
        <v>1</v>
      </c>
      <c r="Y23" s="422">
        <v>0.5</v>
      </c>
      <c r="Z23" s="447">
        <v>0.6</v>
      </c>
      <c r="AA23" s="421"/>
      <c r="AB23" s="118"/>
      <c r="AC23" s="448">
        <f t="shared" si="4"/>
        <v>0</v>
      </c>
      <c r="AD23" s="448">
        <f t="shared" si="5"/>
        <v>0</v>
      </c>
      <c r="AE23" s="449">
        <f t="shared" si="6"/>
        <v>0</v>
      </c>
    </row>
    <row r="24" ht="15" customHeight="1" spans="1:31">
      <c r="A24" s="239"/>
      <c r="B24" s="239"/>
      <c r="C24" s="240"/>
      <c r="D24" s="240"/>
      <c r="E24" s="243"/>
      <c r="F24" s="413"/>
      <c r="G24" s="240"/>
      <c r="H24" s="202"/>
      <c r="I24" s="202"/>
      <c r="J24" s="267"/>
      <c r="K24" s="393"/>
      <c r="L24" s="420"/>
      <c r="M24" s="421"/>
      <c r="N24" s="422"/>
      <c r="O24" s="422"/>
      <c r="P24" s="421"/>
      <c r="Q24" s="422"/>
      <c r="R24" s="422"/>
      <c r="S24" s="422"/>
      <c r="T24" s="422"/>
      <c r="U24" s="422"/>
      <c r="V24" s="422"/>
      <c r="W24" s="421"/>
      <c r="X24" s="422"/>
      <c r="Y24" s="422"/>
      <c r="Z24" s="447"/>
      <c r="AA24" s="421"/>
      <c r="AB24" s="118"/>
      <c r="AC24" s="448"/>
      <c r="AD24" s="448"/>
      <c r="AE24" s="449"/>
    </row>
    <row r="25" ht="15" customHeight="1" spans="1:31">
      <c r="A25" s="239"/>
      <c r="B25" s="239"/>
      <c r="C25" s="240" t="s">
        <v>1041</v>
      </c>
      <c r="D25" s="244"/>
      <c r="E25" s="244"/>
      <c r="F25" s="413"/>
      <c r="G25" s="270"/>
      <c r="H25" s="241"/>
      <c r="I25" s="241"/>
      <c r="J25" s="267"/>
      <c r="K25" s="393"/>
      <c r="L25" s="420"/>
      <c r="M25" s="421"/>
      <c r="N25" s="422"/>
      <c r="O25" s="422"/>
      <c r="P25" s="421"/>
      <c r="Q25" s="422"/>
      <c r="R25" s="422"/>
      <c r="S25" s="422"/>
      <c r="T25" s="422"/>
      <c r="U25" s="422"/>
      <c r="V25" s="422"/>
      <c r="W25" s="421"/>
      <c r="X25" s="422"/>
      <c r="Y25" s="422"/>
      <c r="Z25" s="447"/>
      <c r="AA25" s="421"/>
      <c r="AB25" s="118"/>
      <c r="AC25" s="448"/>
      <c r="AD25" s="448"/>
      <c r="AE25" s="449"/>
    </row>
    <row r="26" ht="15" spans="1:31">
      <c r="A26" s="245"/>
      <c r="B26" s="245"/>
      <c r="C26" s="245"/>
      <c r="D26" s="245"/>
      <c r="E26" s="245"/>
      <c r="F26" s="246"/>
      <c r="G26" s="245"/>
      <c r="H26" s="245"/>
      <c r="I26" s="245"/>
      <c r="J26" s="245"/>
      <c r="L26" s="427"/>
      <c r="M26" s="428"/>
      <c r="N26" s="429"/>
      <c r="O26" s="429"/>
      <c r="P26" s="428"/>
      <c r="Q26" s="429"/>
      <c r="R26" s="429"/>
      <c r="S26" s="429"/>
      <c r="T26" s="429"/>
      <c r="U26" s="429"/>
      <c r="V26" s="429"/>
      <c r="W26" s="428"/>
      <c r="X26" s="429"/>
      <c r="Y26" s="429"/>
      <c r="Z26" s="450"/>
      <c r="AA26" s="428"/>
      <c r="AB26" s="451"/>
      <c r="AC26" s="452"/>
      <c r="AD26" s="452"/>
      <c r="AE26" s="453"/>
    </row>
    <row r="27" ht="15"/>
    <row r="28" ht="54" spans="12:31">
      <c r="L28" s="430"/>
      <c r="M28" s="431" t="s">
        <v>1141</v>
      </c>
      <c r="N28" s="431" t="s">
        <v>1142</v>
      </c>
      <c r="O28" s="432" t="s">
        <v>1143</v>
      </c>
      <c r="P28" s="432" t="s">
        <v>1144</v>
      </c>
      <c r="Q28" s="432" t="s">
        <v>1145</v>
      </c>
      <c r="R28" s="432">
        <v>35</v>
      </c>
      <c r="S28" s="432">
        <v>1</v>
      </c>
      <c r="T28" s="432" t="s">
        <v>1146</v>
      </c>
      <c r="U28" s="432"/>
      <c r="V28" s="440"/>
      <c r="W28" s="432"/>
      <c r="X28" s="432"/>
      <c r="Y28" s="432"/>
      <c r="Z28" s="432"/>
      <c r="AA28" s="432"/>
      <c r="AB28" s="443"/>
      <c r="AC28" s="454">
        <f>+R28*S28/1000*$J$2</f>
        <v>0</v>
      </c>
      <c r="AD28" s="454"/>
      <c r="AE28" s="455"/>
    </row>
    <row r="29" ht="27" spans="12:31">
      <c r="L29" s="420"/>
      <c r="M29" s="433"/>
      <c r="N29" s="433"/>
      <c r="O29" s="434" t="s">
        <v>1103</v>
      </c>
      <c r="P29" s="434" t="s">
        <v>1144</v>
      </c>
      <c r="Q29" s="434" t="s">
        <v>1145</v>
      </c>
      <c r="R29" s="434">
        <v>35</v>
      </c>
      <c r="S29" s="434">
        <v>1</v>
      </c>
      <c r="T29" s="434" t="s">
        <v>1147</v>
      </c>
      <c r="U29" s="434"/>
      <c r="V29" s="441"/>
      <c r="W29" s="434"/>
      <c r="X29" s="434"/>
      <c r="Y29" s="434"/>
      <c r="Z29" s="434"/>
      <c r="AA29" s="434"/>
      <c r="AB29" s="118"/>
      <c r="AC29" s="448">
        <f>+R29*S29/1000*$J$2</f>
        <v>0</v>
      </c>
      <c r="AD29" s="448"/>
      <c r="AE29" s="449"/>
    </row>
    <row r="30" ht="27" spans="12:31">
      <c r="L30" s="420"/>
      <c r="M30" s="433"/>
      <c r="N30" s="433"/>
      <c r="O30" s="434" t="s">
        <v>1148</v>
      </c>
      <c r="P30" s="434" t="s">
        <v>1083</v>
      </c>
      <c r="Q30" s="434" t="s">
        <v>1149</v>
      </c>
      <c r="R30" s="434">
        <v>323</v>
      </c>
      <c r="S30" s="434">
        <v>1</v>
      </c>
      <c r="T30" s="434" t="s">
        <v>1150</v>
      </c>
      <c r="U30" s="434" t="s">
        <v>1151</v>
      </c>
      <c r="V30" s="441" t="s">
        <v>1152</v>
      </c>
      <c r="W30" s="434"/>
      <c r="X30" s="434">
        <v>1</v>
      </c>
      <c r="Y30" s="434">
        <v>0.4</v>
      </c>
      <c r="Z30" s="434">
        <v>0.35</v>
      </c>
      <c r="AA30" s="434"/>
      <c r="AB30" s="118"/>
      <c r="AC30" s="448">
        <f>+X30/(X30+Y30+Z30)*R30*S30/1000*$J$2</f>
        <v>0</v>
      </c>
      <c r="AD30" s="448">
        <f>+Y30/(X30+Y30+Z30)*R30*S30/1000*$J$2</f>
        <v>0</v>
      </c>
      <c r="AE30" s="449">
        <f>+Z30/(X30+Y30+Z30)*R30*S30/1000*$J$2</f>
        <v>0</v>
      </c>
    </row>
    <row r="31" ht="40.5" spans="12:31">
      <c r="L31" s="420"/>
      <c r="M31" s="433" t="s">
        <v>1141</v>
      </c>
      <c r="N31" s="433" t="s">
        <v>1153</v>
      </c>
      <c r="O31" s="434" t="s">
        <v>1143</v>
      </c>
      <c r="P31" s="434" t="s">
        <v>1144</v>
      </c>
      <c r="Q31" s="434" t="s">
        <v>1145</v>
      </c>
      <c r="R31" s="434">
        <v>35</v>
      </c>
      <c r="S31" s="434">
        <v>1</v>
      </c>
      <c r="T31" s="434" t="s">
        <v>1146</v>
      </c>
      <c r="U31" s="434"/>
      <c r="V31" s="441"/>
      <c r="W31" s="434"/>
      <c r="X31" s="434"/>
      <c r="Y31" s="434"/>
      <c r="Z31" s="434"/>
      <c r="AA31" s="434"/>
      <c r="AB31" s="118"/>
      <c r="AC31" s="448">
        <f>+R31*S31/1000*$J$2</f>
        <v>0</v>
      </c>
      <c r="AD31" s="448"/>
      <c r="AE31" s="449"/>
    </row>
    <row r="32" ht="27" spans="12:31">
      <c r="L32" s="420"/>
      <c r="M32" s="433"/>
      <c r="N32" s="433"/>
      <c r="O32" s="434" t="s">
        <v>1103</v>
      </c>
      <c r="P32" s="434" t="s">
        <v>1144</v>
      </c>
      <c r="Q32" s="434" t="s">
        <v>1145</v>
      </c>
      <c r="R32" s="434">
        <v>35</v>
      </c>
      <c r="S32" s="434">
        <v>1</v>
      </c>
      <c r="T32" s="434" t="s">
        <v>1147</v>
      </c>
      <c r="U32" s="434"/>
      <c r="V32" s="441"/>
      <c r="W32" s="434"/>
      <c r="X32" s="434"/>
      <c r="Y32" s="434"/>
      <c r="Z32" s="434"/>
      <c r="AA32" s="434"/>
      <c r="AB32" s="118"/>
      <c r="AC32" s="448">
        <f>+R32*S32/1000*$J$2</f>
        <v>0</v>
      </c>
      <c r="AD32" s="448"/>
      <c r="AE32" s="449"/>
    </row>
    <row r="33" ht="27.75" spans="12:31">
      <c r="L33" s="427"/>
      <c r="M33" s="435"/>
      <c r="N33" s="435"/>
      <c r="O33" s="436" t="s">
        <v>1148</v>
      </c>
      <c r="P33" s="436" t="s">
        <v>1083</v>
      </c>
      <c r="Q33" s="436" t="s">
        <v>1149</v>
      </c>
      <c r="R33" s="436">
        <v>323</v>
      </c>
      <c r="S33" s="436">
        <v>1</v>
      </c>
      <c r="T33" s="436" t="s">
        <v>1150</v>
      </c>
      <c r="U33" s="436" t="s">
        <v>1151</v>
      </c>
      <c r="V33" s="442" t="s">
        <v>1152</v>
      </c>
      <c r="W33" s="436"/>
      <c r="X33" s="436">
        <v>1</v>
      </c>
      <c r="Y33" s="436">
        <v>0.4</v>
      </c>
      <c r="Z33" s="436">
        <v>0.35</v>
      </c>
      <c r="AA33" s="436"/>
      <c r="AB33" s="451"/>
      <c r="AC33" s="452">
        <f>+X33/(X33+Y33+Z33)*R33*S33/1000*$J$2</f>
        <v>0</v>
      </c>
      <c r="AD33" s="452">
        <f>+Y33/(X33+Y33+Z33)*R33*S33/1000*$J$2</f>
        <v>0</v>
      </c>
      <c r="AE33" s="453">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381" t="s">
        <v>1154</v>
      </c>
      <c r="B1" s="381"/>
      <c r="C1" s="381"/>
      <c r="D1" s="381"/>
      <c r="E1" s="381"/>
      <c r="F1" s="381"/>
      <c r="G1" s="381"/>
      <c r="H1" s="381"/>
      <c r="I1" s="381"/>
    </row>
    <row r="2" customHeight="1" spans="7:9">
      <c r="G2" s="382" t="s">
        <v>1044</v>
      </c>
      <c r="H2" s="383">
        <v>1</v>
      </c>
      <c r="I2" s="380" t="s">
        <v>379</v>
      </c>
    </row>
    <row r="3" customHeight="1" spans="1:9">
      <c r="A3" s="384" t="s">
        <v>1</v>
      </c>
      <c r="B3" s="384">
        <f>'作(5)'!C4</f>
        <v>0</v>
      </c>
      <c r="C3" s="384"/>
      <c r="D3" s="384" t="s">
        <v>2</v>
      </c>
      <c r="E3" s="384">
        <f>'作(5)'!C5</f>
        <v>0</v>
      </c>
      <c r="F3" s="384"/>
      <c r="G3" s="384" t="s">
        <v>3</v>
      </c>
      <c r="H3" s="384"/>
      <c r="I3" s="384"/>
    </row>
    <row r="4" customHeight="1" spans="1:9">
      <c r="A4" s="384" t="s">
        <v>4</v>
      </c>
      <c r="B4" s="384" t="str">
        <f>'作(5)'!K6</f>
        <v>左岸都市I</v>
      </c>
      <c r="C4" s="384"/>
      <c r="D4" s="384" t="s">
        <v>5</v>
      </c>
      <c r="E4" s="384" t="str">
        <f>'作(5)'!F6</f>
        <v>樱桃山纹N03-V</v>
      </c>
      <c r="F4" s="384"/>
      <c r="G4" s="384" t="s">
        <v>6</v>
      </c>
      <c r="H4" s="385">
        <f>'作(5)'!H5</f>
        <v>0</v>
      </c>
      <c r="I4" s="384"/>
    </row>
    <row r="5" customHeight="1" spans="1:9">
      <c r="A5" s="384" t="s">
        <v>7</v>
      </c>
      <c r="B5" s="384">
        <f>下料单!AC2</f>
        <v>0</v>
      </c>
      <c r="C5" s="384"/>
      <c r="D5" s="384" t="s">
        <v>483</v>
      </c>
      <c r="E5" s="384">
        <f>'料单 (5)'!D4</f>
        <v>0</v>
      </c>
      <c r="F5" s="384"/>
      <c r="G5" s="384" t="s">
        <v>9</v>
      </c>
      <c r="H5" s="384">
        <f>'料单 (5)'!L4</f>
        <v>0</v>
      </c>
      <c r="I5" s="384"/>
    </row>
    <row r="6" customHeight="1" spans="1:9">
      <c r="A6" s="386" t="s">
        <v>10</v>
      </c>
      <c r="B6" s="384" t="s">
        <v>11</v>
      </c>
      <c r="C6" s="384" t="s">
        <v>12</v>
      </c>
      <c r="D6" s="384" t="s">
        <v>13</v>
      </c>
      <c r="E6" s="384" t="s">
        <v>14</v>
      </c>
      <c r="F6" s="384" t="s">
        <v>15</v>
      </c>
      <c r="G6" s="384" t="s">
        <v>16</v>
      </c>
      <c r="H6" s="384"/>
      <c r="I6" s="384"/>
    </row>
    <row r="7" customHeight="1" spans="1:9">
      <c r="A7" s="386" t="s">
        <v>22</v>
      </c>
      <c r="B7" s="386" t="s">
        <v>24</v>
      </c>
      <c r="C7" s="386" t="s">
        <v>25</v>
      </c>
      <c r="D7" s="384" t="s">
        <v>3</v>
      </c>
      <c r="E7" s="384" t="s">
        <v>27</v>
      </c>
      <c r="F7" s="386" t="s">
        <v>28</v>
      </c>
      <c r="G7" s="386" t="s">
        <v>29</v>
      </c>
      <c r="H7" s="386" t="s">
        <v>30</v>
      </c>
      <c r="I7" s="386"/>
    </row>
    <row r="8" customHeight="1" spans="1:9">
      <c r="A8" s="386">
        <v>1</v>
      </c>
      <c r="B8" s="386" t="s">
        <v>169</v>
      </c>
      <c r="C8" s="387" t="str">
        <f>'作(5)'!K4</f>
        <v>0块</v>
      </c>
      <c r="D8" s="386"/>
      <c r="E8" s="386"/>
      <c r="F8" s="386"/>
      <c r="G8" s="386"/>
      <c r="H8" s="384"/>
      <c r="I8" s="384"/>
    </row>
    <row r="9" customHeight="1" spans="1:9">
      <c r="A9" s="386">
        <v>2</v>
      </c>
      <c r="B9" s="386" t="s">
        <v>914</v>
      </c>
      <c r="C9" s="387"/>
      <c r="D9" s="386"/>
      <c r="E9" s="386"/>
      <c r="F9" s="386"/>
      <c r="G9" s="386"/>
      <c r="H9" s="384"/>
      <c r="I9" s="384"/>
    </row>
    <row r="10" customHeight="1" spans="1:9">
      <c r="A10" s="386">
        <v>3</v>
      </c>
      <c r="B10" s="386" t="s">
        <v>915</v>
      </c>
      <c r="C10" s="387"/>
      <c r="D10" s="386"/>
      <c r="E10" s="386"/>
      <c r="F10" s="386"/>
      <c r="G10" s="386"/>
      <c r="H10" s="384"/>
      <c r="I10" s="384"/>
    </row>
    <row r="11" customHeight="1" spans="1:9">
      <c r="A11" s="386">
        <v>4</v>
      </c>
      <c r="B11" s="386" t="s">
        <v>916</v>
      </c>
      <c r="C11" s="387"/>
      <c r="D11" s="386"/>
      <c r="E11" s="386"/>
      <c r="F11" s="386"/>
      <c r="G11" s="386"/>
      <c r="H11" s="384"/>
      <c r="I11" s="384"/>
    </row>
    <row r="12" customHeight="1" spans="1:9">
      <c r="A12" s="386">
        <v>5</v>
      </c>
      <c r="B12" s="386" t="s">
        <v>917</v>
      </c>
      <c r="C12" s="387"/>
      <c r="D12" s="386"/>
      <c r="E12" s="386"/>
      <c r="F12" s="386"/>
      <c r="G12" s="386"/>
      <c r="H12" s="384"/>
      <c r="I12" s="384"/>
    </row>
    <row r="13" customHeight="1" spans="1:9">
      <c r="A13" s="386">
        <v>6</v>
      </c>
      <c r="B13" s="386" t="s">
        <v>918</v>
      </c>
      <c r="C13" s="387" t="str">
        <f>C8</f>
        <v>0块</v>
      </c>
      <c r="D13" s="386"/>
      <c r="E13" s="386"/>
      <c r="F13" s="386"/>
      <c r="G13" s="386"/>
      <c r="H13" s="384"/>
      <c r="I13" s="384"/>
    </row>
    <row r="14" customHeight="1" spans="1:9">
      <c r="A14" s="386">
        <v>7</v>
      </c>
      <c r="B14" s="386" t="s">
        <v>919</v>
      </c>
      <c r="C14" s="387" t="str">
        <f>C13</f>
        <v>0块</v>
      </c>
      <c r="D14" s="386"/>
      <c r="E14" s="386"/>
      <c r="F14" s="386"/>
      <c r="G14" s="386"/>
      <c r="H14" s="384"/>
      <c r="I14" s="384"/>
    </row>
    <row r="15" customHeight="1" spans="1:9">
      <c r="A15" s="386">
        <v>8</v>
      </c>
      <c r="B15" s="386" t="s">
        <v>920</v>
      </c>
      <c r="C15" s="387" t="str">
        <f>C14</f>
        <v>0块</v>
      </c>
      <c r="D15" s="386"/>
      <c r="E15" s="386"/>
      <c r="F15" s="386"/>
      <c r="G15" s="386"/>
      <c r="H15" s="384"/>
      <c r="I15" s="384"/>
    </row>
    <row r="16" customHeight="1" spans="1:9">
      <c r="A16" s="386">
        <v>9</v>
      </c>
      <c r="B16" s="386" t="s">
        <v>921</v>
      </c>
      <c r="C16" s="387" t="str">
        <f>C15</f>
        <v>0块</v>
      </c>
      <c r="D16" s="386"/>
      <c r="E16" s="387"/>
      <c r="F16" s="386"/>
      <c r="G16" s="386"/>
      <c r="H16" s="384"/>
      <c r="I16" s="384"/>
    </row>
    <row r="17" customHeight="1" spans="1:9">
      <c r="A17" s="386">
        <v>10</v>
      </c>
      <c r="B17" s="386" t="s">
        <v>922</v>
      </c>
      <c r="C17" s="387" t="str">
        <f>C16</f>
        <v>0块</v>
      </c>
      <c r="D17" s="386"/>
      <c r="E17" s="386"/>
      <c r="F17" s="386"/>
      <c r="G17" s="386"/>
      <c r="H17" s="384"/>
      <c r="I17" s="384"/>
    </row>
    <row r="18" customHeight="1" spans="1:9">
      <c r="A18" s="386">
        <v>11</v>
      </c>
      <c r="B18" s="386" t="s">
        <v>498</v>
      </c>
      <c r="C18" s="387"/>
      <c r="D18" s="386"/>
      <c r="E18" s="386"/>
      <c r="F18" s="386"/>
      <c r="G18" s="386"/>
      <c r="H18" s="384"/>
      <c r="I18" s="384"/>
    </row>
    <row r="19" customHeight="1" spans="1:9">
      <c r="A19" s="386">
        <v>12</v>
      </c>
      <c r="B19" s="386" t="s">
        <v>180</v>
      </c>
      <c r="C19" s="387"/>
      <c r="D19" s="386"/>
      <c r="E19" s="386"/>
      <c r="F19" s="386"/>
      <c r="G19" s="386"/>
      <c r="H19" s="384"/>
      <c r="I19" s="384"/>
    </row>
    <row r="20" customHeight="1" spans="1:9">
      <c r="A20" s="386">
        <v>13</v>
      </c>
      <c r="B20" s="386" t="s">
        <v>170</v>
      </c>
      <c r="C20" s="387"/>
      <c r="D20" s="386"/>
      <c r="E20" s="386"/>
      <c r="F20" s="386"/>
      <c r="G20" s="386"/>
      <c r="H20" s="384"/>
      <c r="I20" s="384"/>
    </row>
    <row r="21" customHeight="1" spans="1:9">
      <c r="A21" s="386">
        <v>14</v>
      </c>
      <c r="B21" s="386" t="s">
        <v>497</v>
      </c>
      <c r="C21" s="387"/>
      <c r="D21" s="386"/>
      <c r="E21" s="386"/>
      <c r="F21" s="386"/>
      <c r="G21" s="386"/>
      <c r="H21" s="384"/>
      <c r="I21" s="384"/>
    </row>
    <row r="22" customHeight="1" spans="1:9">
      <c r="A22" s="386">
        <v>15</v>
      </c>
      <c r="B22" s="386" t="s">
        <v>923</v>
      </c>
      <c r="C22" s="387"/>
      <c r="D22" s="386"/>
      <c r="E22" s="386"/>
      <c r="F22" s="386"/>
      <c r="G22" s="386"/>
      <c r="H22" s="384"/>
      <c r="I22" s="384"/>
    </row>
    <row r="23" customHeight="1" spans="1:9">
      <c r="A23" s="386">
        <v>16</v>
      </c>
      <c r="B23" s="386" t="s">
        <v>924</v>
      </c>
      <c r="C23" s="387"/>
      <c r="D23" s="386"/>
      <c r="E23" s="386"/>
      <c r="F23" s="386"/>
      <c r="G23" s="386"/>
      <c r="H23" s="384"/>
      <c r="I23" s="384"/>
    </row>
    <row r="24" customHeight="1" spans="1:9">
      <c r="A24" s="386">
        <v>17</v>
      </c>
      <c r="B24" s="386" t="s">
        <v>925</v>
      </c>
      <c r="C24" s="387"/>
      <c r="D24" s="386"/>
      <c r="E24" s="386"/>
      <c r="F24" s="386"/>
      <c r="G24" s="386"/>
      <c r="H24" s="384"/>
      <c r="I24" s="384"/>
    </row>
    <row r="25" customHeight="1" spans="1:9">
      <c r="A25" s="386">
        <v>18</v>
      </c>
      <c r="B25" s="386" t="s">
        <v>926</v>
      </c>
      <c r="C25" s="387" t="str">
        <f>C17</f>
        <v>0块</v>
      </c>
      <c r="D25" s="386"/>
      <c r="E25" s="386"/>
      <c r="F25" s="386"/>
      <c r="G25" s="386"/>
      <c r="H25" s="384"/>
      <c r="I25" s="384"/>
    </row>
    <row r="26" customHeight="1" spans="1:9">
      <c r="A26" s="386">
        <v>19</v>
      </c>
      <c r="B26" s="386" t="s">
        <v>927</v>
      </c>
      <c r="C26" s="387" t="str">
        <f t="shared" ref="C26:C35" si="0">C25</f>
        <v>0块</v>
      </c>
      <c r="D26" s="386"/>
      <c r="E26" s="386"/>
      <c r="F26" s="386"/>
      <c r="G26" s="386"/>
      <c r="H26" s="384"/>
      <c r="I26" s="384"/>
    </row>
    <row r="27" customHeight="1" spans="1:9">
      <c r="A27" s="386">
        <v>20</v>
      </c>
      <c r="B27" s="386" t="s">
        <v>928</v>
      </c>
      <c r="C27" s="387" t="str">
        <f t="shared" si="0"/>
        <v>0块</v>
      </c>
      <c r="D27" s="386"/>
      <c r="E27" s="386"/>
      <c r="F27" s="386"/>
      <c r="G27" s="386"/>
      <c r="H27" s="384"/>
      <c r="I27" s="384"/>
    </row>
    <row r="28" customHeight="1" spans="1:9">
      <c r="A28" s="386">
        <v>21</v>
      </c>
      <c r="B28" s="386" t="s">
        <v>929</v>
      </c>
      <c r="C28" s="387" t="str">
        <f t="shared" si="0"/>
        <v>0块</v>
      </c>
      <c r="D28" s="386"/>
      <c r="E28" s="386"/>
      <c r="F28" s="386"/>
      <c r="G28" s="386"/>
      <c r="H28" s="384"/>
      <c r="I28" s="384"/>
    </row>
    <row r="29" customHeight="1" spans="1:9">
      <c r="A29" s="386">
        <v>22</v>
      </c>
      <c r="B29" s="386" t="s">
        <v>930</v>
      </c>
      <c r="C29" s="387" t="str">
        <f t="shared" si="0"/>
        <v>0块</v>
      </c>
      <c r="D29" s="386"/>
      <c r="E29" s="386"/>
      <c r="F29" s="386"/>
      <c r="G29" s="386"/>
      <c r="H29" s="384"/>
      <c r="I29" s="384"/>
    </row>
    <row r="30" customHeight="1" spans="1:9">
      <c r="A30" s="386">
        <v>23</v>
      </c>
      <c r="B30" s="386" t="s">
        <v>931</v>
      </c>
      <c r="C30" s="387" t="str">
        <f t="shared" si="0"/>
        <v>0块</v>
      </c>
      <c r="D30" s="386"/>
      <c r="E30" s="386"/>
      <c r="F30" s="386"/>
      <c r="G30" s="386"/>
      <c r="H30" s="384"/>
      <c r="I30" s="384"/>
    </row>
    <row r="31" customHeight="1" spans="1:9">
      <c r="A31" s="386">
        <v>24</v>
      </c>
      <c r="B31" s="386" t="s">
        <v>932</v>
      </c>
      <c r="C31" s="387" t="str">
        <f t="shared" si="0"/>
        <v>0块</v>
      </c>
      <c r="D31" s="386"/>
      <c r="E31" s="386"/>
      <c r="F31" s="386"/>
      <c r="G31" s="386"/>
      <c r="H31" s="384"/>
      <c r="I31" s="384"/>
    </row>
    <row r="32" customHeight="1" spans="1:9">
      <c r="A32" s="386">
        <v>25</v>
      </c>
      <c r="B32" s="386" t="s">
        <v>933</v>
      </c>
      <c r="C32" s="387" t="str">
        <f t="shared" si="0"/>
        <v>0块</v>
      </c>
      <c r="D32" s="386"/>
      <c r="E32" s="386"/>
      <c r="F32" s="386"/>
      <c r="G32" s="386"/>
      <c r="H32" s="384"/>
      <c r="I32" s="384"/>
    </row>
    <row r="33" customHeight="1" spans="1:9">
      <c r="A33" s="386">
        <v>26</v>
      </c>
      <c r="B33" s="386" t="s">
        <v>934</v>
      </c>
      <c r="C33" s="386" t="str">
        <f t="shared" si="0"/>
        <v>0块</v>
      </c>
      <c r="D33" s="386"/>
      <c r="E33" s="386"/>
      <c r="F33" s="386"/>
      <c r="G33" s="386"/>
      <c r="H33" s="384"/>
      <c r="I33" s="384"/>
    </row>
    <row r="34" customHeight="1" spans="1:9">
      <c r="A34" s="386">
        <v>27</v>
      </c>
      <c r="B34" s="386" t="s">
        <v>935</v>
      </c>
      <c r="C34" s="386" t="str">
        <f t="shared" si="0"/>
        <v>0块</v>
      </c>
      <c r="D34" s="386"/>
      <c r="E34" s="386"/>
      <c r="F34" s="386"/>
      <c r="G34" s="386"/>
      <c r="H34" s="384"/>
      <c r="I34" s="384"/>
    </row>
    <row r="35" customHeight="1" spans="1:9">
      <c r="A35" s="386">
        <v>28</v>
      </c>
      <c r="B35" s="386" t="s">
        <v>936</v>
      </c>
      <c r="C35" s="386" t="str">
        <f t="shared" si="0"/>
        <v>0块</v>
      </c>
      <c r="D35" s="386"/>
      <c r="E35" s="386"/>
      <c r="F35" s="386"/>
      <c r="G35" s="386"/>
      <c r="H35" s="384"/>
      <c r="I35" s="384"/>
    </row>
    <row r="36" customHeight="1" spans="1:9">
      <c r="A36" s="386">
        <v>29</v>
      </c>
      <c r="B36" s="386" t="s">
        <v>937</v>
      </c>
      <c r="C36" s="386"/>
      <c r="D36" s="386"/>
      <c r="E36" s="386"/>
      <c r="F36" s="386"/>
      <c r="G36" s="386"/>
      <c r="H36" s="384"/>
      <c r="I36" s="384"/>
    </row>
    <row r="37" customHeight="1" spans="1:9">
      <c r="A37" s="386">
        <v>30</v>
      </c>
      <c r="B37" s="386" t="s">
        <v>504</v>
      </c>
      <c r="C37" s="386"/>
      <c r="D37" s="386"/>
      <c r="E37" s="386"/>
      <c r="F37" s="386"/>
      <c r="G37" s="386"/>
      <c r="H37" s="384"/>
      <c r="I37" s="384"/>
    </row>
    <row r="38" customHeight="1" spans="1:9">
      <c r="A38" s="386">
        <v>31</v>
      </c>
      <c r="B38" s="386" t="s">
        <v>210</v>
      </c>
      <c r="C38" s="386"/>
      <c r="D38" s="386"/>
      <c r="E38" s="386"/>
      <c r="F38" s="386"/>
      <c r="G38" s="386"/>
      <c r="H38" s="384"/>
      <c r="I38" s="384"/>
    </row>
    <row r="39" customHeight="1" spans="1:9">
      <c r="A39" s="386">
        <v>32</v>
      </c>
      <c r="B39" s="386" t="s">
        <v>506</v>
      </c>
      <c r="C39" s="386"/>
      <c r="D39" s="386"/>
      <c r="E39" s="386"/>
      <c r="F39" s="386"/>
      <c r="G39" s="386"/>
      <c r="H39" s="384"/>
      <c r="I39" s="384"/>
    </row>
    <row r="40" customHeight="1" spans="1:9">
      <c r="A40" s="386">
        <v>33</v>
      </c>
      <c r="B40" s="386" t="s">
        <v>507</v>
      </c>
      <c r="C40" s="386"/>
      <c r="D40" s="386"/>
      <c r="E40" s="386"/>
      <c r="F40" s="386"/>
      <c r="G40" s="386"/>
      <c r="H40" s="384"/>
      <c r="I40" s="384"/>
    </row>
    <row r="41" customHeight="1" spans="1:9">
      <c r="A41" s="386">
        <v>34</v>
      </c>
      <c r="B41" s="386" t="s">
        <v>509</v>
      </c>
      <c r="C41" s="386"/>
      <c r="D41" s="386"/>
      <c r="E41" s="386"/>
      <c r="F41" s="386"/>
      <c r="G41" s="386"/>
      <c r="H41" s="384"/>
      <c r="I41" s="384"/>
    </row>
    <row r="42" customHeight="1" spans="1:9">
      <c r="A42" s="386">
        <v>35</v>
      </c>
      <c r="B42" s="386" t="s">
        <v>511</v>
      </c>
      <c r="C42" s="386"/>
      <c r="D42" s="386"/>
      <c r="E42" s="386"/>
      <c r="F42" s="386"/>
      <c r="G42" s="386"/>
      <c r="H42" s="384"/>
      <c r="I42" s="384"/>
    </row>
    <row r="43" customHeight="1" spans="1:9">
      <c r="A43" s="386">
        <v>36</v>
      </c>
      <c r="B43" s="386" t="s">
        <v>938</v>
      </c>
      <c r="C43" s="386"/>
      <c r="D43" s="386"/>
      <c r="E43" s="386"/>
      <c r="F43" s="386"/>
      <c r="G43" s="386"/>
      <c r="H43" s="384"/>
      <c r="I43" s="384"/>
    </row>
    <row r="44" customHeight="1" spans="1:9">
      <c r="A44" s="386">
        <v>37</v>
      </c>
      <c r="B44" s="386" t="s">
        <v>515</v>
      </c>
      <c r="C44" s="386"/>
      <c r="D44" s="386"/>
      <c r="E44" s="386"/>
      <c r="F44" s="386"/>
      <c r="G44" s="386"/>
      <c r="H44" s="384"/>
      <c r="I44" s="384"/>
    </row>
    <row r="45" customHeight="1" spans="1:9">
      <c r="A45" s="386">
        <v>38</v>
      </c>
      <c r="B45" s="386" t="s">
        <v>939</v>
      </c>
      <c r="C45" s="386"/>
      <c r="D45" s="386"/>
      <c r="E45" s="386"/>
      <c r="F45" s="386"/>
      <c r="G45" s="386"/>
      <c r="H45" s="384"/>
      <c r="I45" s="384"/>
    </row>
    <row r="46" customHeight="1" spans="1:9">
      <c r="A46" s="386">
        <v>39</v>
      </c>
      <c r="B46" s="386" t="s">
        <v>516</v>
      </c>
      <c r="C46" s="386"/>
      <c r="D46" s="386"/>
      <c r="E46" s="386"/>
      <c r="F46" s="386"/>
      <c r="G46" s="386"/>
      <c r="H46" s="384"/>
      <c r="I46" s="384"/>
    </row>
    <row r="47" customHeight="1" spans="1:8">
      <c r="A47" s="388"/>
      <c r="B47" s="382" t="s">
        <v>518</v>
      </c>
      <c r="C47" s="389" t="s">
        <v>1045</v>
      </c>
      <c r="D47" s="390"/>
      <c r="E47" s="391" t="s">
        <v>940</v>
      </c>
      <c r="F47" s="388"/>
      <c r="G47" s="388"/>
      <c r="H47" s="388"/>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16" customWidth="1"/>
    <col min="2" max="2" width="6.25" style="316" customWidth="1"/>
    <col min="3" max="3" width="6.375" style="316" customWidth="1"/>
    <col min="4" max="4" width="5.375" style="316" customWidth="1"/>
    <col min="5" max="5" width="5.875" style="316" customWidth="1"/>
    <col min="6" max="6" width="5.75" style="316" customWidth="1"/>
    <col min="7" max="7" width="5.25" style="316" customWidth="1"/>
    <col min="8" max="9" width="7.125" style="316" customWidth="1"/>
    <col min="10" max="10" width="9" style="316"/>
    <col min="11" max="11" width="12.25" style="316" customWidth="1"/>
    <col min="12" max="17" width="9" style="316"/>
    <col min="18" max="18" width="19" style="316" customWidth="1"/>
    <col min="19" max="16384" width="9" style="316"/>
  </cols>
  <sheetData>
    <row r="1" ht="12.95" customHeight="1" spans="1:5">
      <c r="A1" s="317"/>
      <c r="B1" s="317"/>
      <c r="C1" s="317"/>
      <c r="D1" s="317"/>
      <c r="E1" s="317"/>
    </row>
    <row r="2" ht="12.95" customHeight="1" spans="1:11">
      <c r="A2" s="318"/>
      <c r="B2" s="318"/>
      <c r="C2" s="318"/>
      <c r="D2" s="318"/>
      <c r="E2" s="317"/>
      <c r="F2" s="319" t="s">
        <v>1046</v>
      </c>
      <c r="G2" s="319"/>
      <c r="H2" s="319"/>
      <c r="I2" s="319"/>
      <c r="J2" s="319"/>
      <c r="K2" s="319"/>
    </row>
    <row r="3" ht="20.25" spans="1:18">
      <c r="A3" s="320" t="s">
        <v>1155</v>
      </c>
      <c r="B3" s="320"/>
      <c r="C3" s="320"/>
      <c r="D3" s="320"/>
      <c r="E3" s="320"/>
      <c r="F3" s="320"/>
      <c r="G3" s="320"/>
      <c r="H3" s="320"/>
      <c r="I3" s="320"/>
      <c r="J3" s="320"/>
      <c r="K3" s="320"/>
      <c r="R3" s="316" t="s">
        <v>1156</v>
      </c>
    </row>
    <row r="4" ht="18" customHeight="1" spans="1:18">
      <c r="A4" s="321" t="s">
        <v>943</v>
      </c>
      <c r="B4" s="321"/>
      <c r="C4" s="322">
        <f>下料单!C2</f>
        <v>0</v>
      </c>
      <c r="D4" s="322"/>
      <c r="E4" s="322"/>
      <c r="F4" s="323" t="s">
        <v>1157</v>
      </c>
      <c r="G4" s="323"/>
      <c r="H4" s="322"/>
      <c r="I4" s="322"/>
      <c r="J4" s="321" t="s">
        <v>944</v>
      </c>
      <c r="K4" s="360" t="str">
        <f>SUM(G10:G37)&amp;"块"</f>
        <v>0块</v>
      </c>
      <c r="R4" s="316" t="s">
        <v>1158</v>
      </c>
    </row>
    <row r="5" ht="19.5" customHeight="1" spans="1:18">
      <c r="A5" s="323" t="s">
        <v>411</v>
      </c>
      <c r="B5" s="323"/>
      <c r="C5" s="324">
        <f>下料单!J2</f>
        <v>0</v>
      </c>
      <c r="D5" s="324"/>
      <c r="E5" s="324"/>
      <c r="F5" s="323" t="s">
        <v>520</v>
      </c>
      <c r="G5" s="323"/>
      <c r="H5" s="325"/>
      <c r="I5" s="326"/>
      <c r="J5" s="321" t="s">
        <v>1159</v>
      </c>
      <c r="K5" s="361">
        <f>下料单!AL2</f>
        <v>0</v>
      </c>
      <c r="L5" s="316" t="s">
        <v>1160</v>
      </c>
      <c r="R5" s="316" t="s">
        <v>1161</v>
      </c>
    </row>
    <row r="6" ht="19.5" customHeight="1" spans="1:18">
      <c r="A6" s="323" t="s">
        <v>948</v>
      </c>
      <c r="B6" s="323"/>
      <c r="C6" s="326" t="s">
        <v>1162</v>
      </c>
      <c r="D6" s="326"/>
      <c r="E6" s="326"/>
      <c r="F6" s="327" t="s">
        <v>1158</v>
      </c>
      <c r="G6" s="327"/>
      <c r="H6" s="327"/>
      <c r="I6" s="322" t="s">
        <v>1028</v>
      </c>
      <c r="J6" s="362" t="s">
        <v>1163</v>
      </c>
      <c r="K6" s="363" t="s">
        <v>118</v>
      </c>
      <c r="M6" s="316" t="s">
        <v>1164</v>
      </c>
      <c r="R6" s="316" t="s">
        <v>1165</v>
      </c>
    </row>
    <row r="7" ht="24.75" customHeight="1" spans="1:18">
      <c r="A7" s="328" t="s">
        <v>956</v>
      </c>
      <c r="B7" s="328"/>
      <c r="C7" s="328"/>
      <c r="D7" s="328"/>
      <c r="E7" s="328"/>
      <c r="F7" s="328"/>
      <c r="G7" s="328"/>
      <c r="H7" s="328"/>
      <c r="I7" s="328"/>
      <c r="J7" s="328"/>
      <c r="K7" s="328"/>
      <c r="R7" s="316" t="s">
        <v>1166</v>
      </c>
    </row>
    <row r="8" ht="18" customHeight="1" spans="1:18">
      <c r="A8" s="329" t="s">
        <v>953</v>
      </c>
      <c r="B8" s="330" t="s">
        <v>954</v>
      </c>
      <c r="C8" s="330"/>
      <c r="D8" s="330"/>
      <c r="E8" s="330" t="s">
        <v>955</v>
      </c>
      <c r="F8" s="330"/>
      <c r="G8" s="330"/>
      <c r="H8" s="331" t="s">
        <v>1167</v>
      </c>
      <c r="I8" s="364"/>
      <c r="J8" s="364" t="s">
        <v>1168</v>
      </c>
      <c r="K8" s="365"/>
      <c r="R8" s="316" t="s">
        <v>1169</v>
      </c>
    </row>
    <row r="9" ht="22.5" customHeight="1" spans="1:16">
      <c r="A9" s="332" t="s">
        <v>958</v>
      </c>
      <c r="B9" s="333" t="s">
        <v>764</v>
      </c>
      <c r="C9" s="333" t="s">
        <v>765</v>
      </c>
      <c r="D9" s="333" t="s">
        <v>90</v>
      </c>
      <c r="E9" s="333" t="s">
        <v>764</v>
      </c>
      <c r="F9" s="334" t="s">
        <v>765</v>
      </c>
      <c r="G9" s="333" t="s">
        <v>90</v>
      </c>
      <c r="H9" s="335" t="s">
        <v>1170</v>
      </c>
      <c r="I9" s="366"/>
      <c r="J9" s="335" t="s">
        <v>30</v>
      </c>
      <c r="K9" s="367"/>
      <c r="L9" s="368" t="s">
        <v>960</v>
      </c>
      <c r="M9" s="368" t="s">
        <v>962</v>
      </c>
      <c r="N9" s="369" t="s">
        <v>963</v>
      </c>
      <c r="O9" s="316" t="s">
        <v>1171</v>
      </c>
      <c r="P9" s="316" t="s">
        <v>1172</v>
      </c>
    </row>
    <row r="10" ht="17.1" customHeight="1" spans="1:16">
      <c r="A10" s="336"/>
      <c r="B10" s="337"/>
      <c r="C10" s="337"/>
      <c r="D10" s="337"/>
      <c r="E10" s="337">
        <f>C10+10</f>
        <v>10</v>
      </c>
      <c r="F10" s="338">
        <f>B10+10</f>
        <v>10</v>
      </c>
      <c r="G10" s="337">
        <f>D10</f>
        <v>0</v>
      </c>
      <c r="H10" s="339"/>
      <c r="I10" s="370"/>
      <c r="J10" s="371"/>
      <c r="K10" s="372"/>
      <c r="L10" s="316">
        <f>((B10+C10)*2+240)*G10/1000</f>
        <v>0</v>
      </c>
      <c r="M10" s="316">
        <f>B10*C10*D10/1000000</f>
        <v>0</v>
      </c>
      <c r="N10" s="316">
        <f>E10*F10*G10/1000000/2.88/0.85</f>
        <v>0</v>
      </c>
      <c r="O10" s="316">
        <f>(B10*C10*D10/1000000)*2</f>
        <v>0</v>
      </c>
      <c r="P10" s="316">
        <f>O10/0.6</f>
        <v>0</v>
      </c>
    </row>
    <row r="11" ht="17.1" customHeight="1" spans="1:16">
      <c r="A11" s="336"/>
      <c r="B11" s="337"/>
      <c r="C11" s="337"/>
      <c r="D11" s="337"/>
      <c r="E11" s="337">
        <f t="shared" ref="E11:E33" si="0">C11+10</f>
        <v>10</v>
      </c>
      <c r="F11" s="338">
        <f t="shared" ref="F11:F33" si="1">B11+10</f>
        <v>10</v>
      </c>
      <c r="G11" s="337">
        <f t="shared" ref="G11:G33" si="2">D11</f>
        <v>0</v>
      </c>
      <c r="H11" s="339"/>
      <c r="I11" s="370"/>
      <c r="J11" s="371"/>
      <c r="K11" s="372"/>
      <c r="L11" s="316">
        <f t="shared" ref="L11:L37" si="3">((B11+C11)*2+240)*G11/1000</f>
        <v>0</v>
      </c>
      <c r="M11" s="316">
        <f t="shared" ref="M11:M37" si="4">B11*C11*D11/1000000</f>
        <v>0</v>
      </c>
      <c r="N11" s="316">
        <f t="shared" ref="N11:N37" si="5">E11*F11*G11/1000000/2.88/0.85</f>
        <v>0</v>
      </c>
      <c r="O11" s="316">
        <f t="shared" ref="O11:O37" si="6">(B11*C11*D11/1000000)*2</f>
        <v>0</v>
      </c>
      <c r="P11" s="316">
        <f t="shared" ref="P11:P37" si="7">O11/0.6</f>
        <v>0</v>
      </c>
    </row>
    <row r="12" ht="17.1" customHeight="1" spans="1:16">
      <c r="A12" s="336"/>
      <c r="B12" s="337"/>
      <c r="C12" s="337"/>
      <c r="D12" s="337"/>
      <c r="E12" s="337">
        <f t="shared" si="0"/>
        <v>10</v>
      </c>
      <c r="F12" s="338">
        <f t="shared" si="1"/>
        <v>10</v>
      </c>
      <c r="G12" s="337">
        <f t="shared" si="2"/>
        <v>0</v>
      </c>
      <c r="H12" s="339"/>
      <c r="I12" s="370"/>
      <c r="J12" s="371"/>
      <c r="K12" s="372"/>
      <c r="L12" s="316">
        <f t="shared" si="3"/>
        <v>0</v>
      </c>
      <c r="M12" s="316">
        <f t="shared" si="4"/>
        <v>0</v>
      </c>
      <c r="N12" s="316">
        <f t="shared" si="5"/>
        <v>0</v>
      </c>
      <c r="O12" s="316">
        <f t="shared" si="6"/>
        <v>0</v>
      </c>
      <c r="P12" s="316">
        <f t="shared" si="7"/>
        <v>0</v>
      </c>
    </row>
    <row r="13" ht="17.1" customHeight="1" spans="1:16">
      <c r="A13" s="336"/>
      <c r="B13" s="337"/>
      <c r="C13" s="337"/>
      <c r="D13" s="337"/>
      <c r="E13" s="337">
        <f t="shared" si="0"/>
        <v>10</v>
      </c>
      <c r="F13" s="338">
        <f t="shared" si="1"/>
        <v>10</v>
      </c>
      <c r="G13" s="337">
        <f t="shared" si="2"/>
        <v>0</v>
      </c>
      <c r="H13" s="339"/>
      <c r="I13" s="370"/>
      <c r="J13" s="371"/>
      <c r="K13" s="372"/>
      <c r="L13" s="316">
        <f t="shared" si="3"/>
        <v>0</v>
      </c>
      <c r="M13" s="316">
        <f t="shared" si="4"/>
        <v>0</v>
      </c>
      <c r="N13" s="316">
        <f t="shared" si="5"/>
        <v>0</v>
      </c>
      <c r="O13" s="316">
        <f t="shared" si="6"/>
        <v>0</v>
      </c>
      <c r="P13" s="316">
        <f t="shared" si="7"/>
        <v>0</v>
      </c>
    </row>
    <row r="14" ht="17.1" customHeight="1" spans="1:16">
      <c r="A14" s="336"/>
      <c r="B14" s="337"/>
      <c r="C14" s="337"/>
      <c r="D14" s="337"/>
      <c r="E14" s="337">
        <f t="shared" si="0"/>
        <v>10</v>
      </c>
      <c r="F14" s="338">
        <f t="shared" si="1"/>
        <v>10</v>
      </c>
      <c r="G14" s="337">
        <f t="shared" si="2"/>
        <v>0</v>
      </c>
      <c r="H14" s="339"/>
      <c r="I14" s="370"/>
      <c r="J14" s="371"/>
      <c r="K14" s="372"/>
      <c r="L14" s="316">
        <f t="shared" si="3"/>
        <v>0</v>
      </c>
      <c r="M14" s="316">
        <f t="shared" si="4"/>
        <v>0</v>
      </c>
      <c r="N14" s="316">
        <f t="shared" si="5"/>
        <v>0</v>
      </c>
      <c r="O14" s="316">
        <f t="shared" si="6"/>
        <v>0</v>
      </c>
      <c r="P14" s="316">
        <f t="shared" si="7"/>
        <v>0</v>
      </c>
    </row>
    <row r="15" ht="17.1" customHeight="1" spans="1:16">
      <c r="A15" s="336"/>
      <c r="B15" s="337"/>
      <c r="C15" s="337"/>
      <c r="D15" s="337"/>
      <c r="E15" s="337">
        <f t="shared" si="0"/>
        <v>10</v>
      </c>
      <c r="F15" s="338">
        <f t="shared" si="1"/>
        <v>10</v>
      </c>
      <c r="G15" s="337">
        <f t="shared" si="2"/>
        <v>0</v>
      </c>
      <c r="H15" s="339"/>
      <c r="I15" s="370"/>
      <c r="J15" s="371"/>
      <c r="K15" s="372"/>
      <c r="L15" s="316">
        <f t="shared" si="3"/>
        <v>0</v>
      </c>
      <c r="M15" s="316">
        <f t="shared" si="4"/>
        <v>0</v>
      </c>
      <c r="N15" s="316">
        <f t="shared" si="5"/>
        <v>0</v>
      </c>
      <c r="O15" s="316">
        <f t="shared" si="6"/>
        <v>0</v>
      </c>
      <c r="P15" s="316">
        <f t="shared" si="7"/>
        <v>0</v>
      </c>
    </row>
    <row r="16" ht="17.1" customHeight="1" spans="1:16">
      <c r="A16" s="336"/>
      <c r="B16" s="337"/>
      <c r="C16" s="337"/>
      <c r="D16" s="337"/>
      <c r="E16" s="337">
        <f t="shared" si="0"/>
        <v>10</v>
      </c>
      <c r="F16" s="338">
        <f t="shared" si="1"/>
        <v>10</v>
      </c>
      <c r="G16" s="337">
        <f t="shared" si="2"/>
        <v>0</v>
      </c>
      <c r="H16" s="339"/>
      <c r="I16" s="370"/>
      <c r="J16" s="371"/>
      <c r="K16" s="372"/>
      <c r="L16" s="316">
        <f t="shared" si="3"/>
        <v>0</v>
      </c>
      <c r="M16" s="316">
        <f t="shared" si="4"/>
        <v>0</v>
      </c>
      <c r="N16" s="316">
        <f t="shared" si="5"/>
        <v>0</v>
      </c>
      <c r="O16" s="316">
        <f t="shared" si="6"/>
        <v>0</v>
      </c>
      <c r="P16" s="316">
        <f t="shared" si="7"/>
        <v>0</v>
      </c>
    </row>
    <row r="17" ht="17.1" customHeight="1" spans="1:16">
      <c r="A17" s="336"/>
      <c r="B17" s="337"/>
      <c r="C17" s="337"/>
      <c r="D17" s="337"/>
      <c r="E17" s="337">
        <f t="shared" si="0"/>
        <v>10</v>
      </c>
      <c r="F17" s="338">
        <f t="shared" si="1"/>
        <v>10</v>
      </c>
      <c r="G17" s="337">
        <f t="shared" si="2"/>
        <v>0</v>
      </c>
      <c r="H17" s="339"/>
      <c r="I17" s="370"/>
      <c r="J17" s="371"/>
      <c r="K17" s="372"/>
      <c r="L17" s="316">
        <f t="shared" si="3"/>
        <v>0</v>
      </c>
      <c r="M17" s="316">
        <f t="shared" si="4"/>
        <v>0</v>
      </c>
      <c r="N17" s="316">
        <f t="shared" si="5"/>
        <v>0</v>
      </c>
      <c r="O17" s="316">
        <f t="shared" si="6"/>
        <v>0</v>
      </c>
      <c r="P17" s="316">
        <f t="shared" si="7"/>
        <v>0</v>
      </c>
    </row>
    <row r="18" ht="17.1" customHeight="1" spans="1:16">
      <c r="A18" s="336"/>
      <c r="B18" s="337"/>
      <c r="C18" s="337"/>
      <c r="D18" s="337"/>
      <c r="E18" s="337">
        <f t="shared" si="0"/>
        <v>10</v>
      </c>
      <c r="F18" s="338">
        <f t="shared" si="1"/>
        <v>10</v>
      </c>
      <c r="G18" s="337">
        <f t="shared" si="2"/>
        <v>0</v>
      </c>
      <c r="H18" s="339"/>
      <c r="I18" s="370"/>
      <c r="J18" s="371"/>
      <c r="K18" s="372"/>
      <c r="L18" s="316">
        <f t="shared" si="3"/>
        <v>0</v>
      </c>
      <c r="M18" s="316">
        <f t="shared" si="4"/>
        <v>0</v>
      </c>
      <c r="N18" s="316">
        <f t="shared" si="5"/>
        <v>0</v>
      </c>
      <c r="O18" s="316">
        <f t="shared" si="6"/>
        <v>0</v>
      </c>
      <c r="P18" s="316">
        <f t="shared" si="7"/>
        <v>0</v>
      </c>
    </row>
    <row r="19" ht="17.1" customHeight="1" spans="1:16">
      <c r="A19" s="336"/>
      <c r="B19" s="337"/>
      <c r="C19" s="337"/>
      <c r="D19" s="337"/>
      <c r="E19" s="337">
        <f t="shared" si="0"/>
        <v>10</v>
      </c>
      <c r="F19" s="338">
        <f t="shared" si="1"/>
        <v>10</v>
      </c>
      <c r="G19" s="337">
        <f t="shared" si="2"/>
        <v>0</v>
      </c>
      <c r="H19" s="339"/>
      <c r="I19" s="370"/>
      <c r="J19" s="371"/>
      <c r="K19" s="372"/>
      <c r="L19" s="316">
        <f t="shared" si="3"/>
        <v>0</v>
      </c>
      <c r="M19" s="316">
        <f t="shared" si="4"/>
        <v>0</v>
      </c>
      <c r="N19" s="316">
        <f t="shared" si="5"/>
        <v>0</v>
      </c>
      <c r="O19" s="316">
        <f t="shared" si="6"/>
        <v>0</v>
      </c>
      <c r="P19" s="316">
        <f t="shared" si="7"/>
        <v>0</v>
      </c>
    </row>
    <row r="20" ht="17.1" customHeight="1" spans="1:16">
      <c r="A20" s="336"/>
      <c r="B20" s="337"/>
      <c r="C20" s="337"/>
      <c r="D20" s="337"/>
      <c r="E20" s="337">
        <f t="shared" si="0"/>
        <v>10</v>
      </c>
      <c r="F20" s="338">
        <f t="shared" si="1"/>
        <v>10</v>
      </c>
      <c r="G20" s="337">
        <f t="shared" si="2"/>
        <v>0</v>
      </c>
      <c r="H20" s="339"/>
      <c r="I20" s="370"/>
      <c r="J20" s="371"/>
      <c r="K20" s="372"/>
      <c r="L20" s="316">
        <f t="shared" si="3"/>
        <v>0</v>
      </c>
      <c r="M20" s="316">
        <f t="shared" si="4"/>
        <v>0</v>
      </c>
      <c r="N20" s="316">
        <f t="shared" si="5"/>
        <v>0</v>
      </c>
      <c r="O20" s="316">
        <f t="shared" si="6"/>
        <v>0</v>
      </c>
      <c r="P20" s="316">
        <f t="shared" si="7"/>
        <v>0</v>
      </c>
    </row>
    <row r="21" ht="17.1" customHeight="1" spans="1:16">
      <c r="A21" s="336"/>
      <c r="B21" s="337"/>
      <c r="C21" s="337"/>
      <c r="D21" s="337"/>
      <c r="E21" s="337">
        <f t="shared" si="0"/>
        <v>10</v>
      </c>
      <c r="F21" s="338">
        <f t="shared" si="1"/>
        <v>10</v>
      </c>
      <c r="G21" s="337">
        <f t="shared" si="2"/>
        <v>0</v>
      </c>
      <c r="H21" s="339"/>
      <c r="I21" s="370"/>
      <c r="J21" s="371"/>
      <c r="K21" s="372"/>
      <c r="L21" s="316">
        <f t="shared" si="3"/>
        <v>0</v>
      </c>
      <c r="M21" s="316">
        <f t="shared" si="4"/>
        <v>0</v>
      </c>
      <c r="N21" s="316">
        <f t="shared" si="5"/>
        <v>0</v>
      </c>
      <c r="O21" s="316">
        <f t="shared" si="6"/>
        <v>0</v>
      </c>
      <c r="P21" s="316">
        <f t="shared" si="7"/>
        <v>0</v>
      </c>
    </row>
    <row r="22" ht="17.1" customHeight="1" spans="1:16">
      <c r="A22" s="336"/>
      <c r="B22" s="337"/>
      <c r="C22" s="337"/>
      <c r="D22" s="337"/>
      <c r="E22" s="337">
        <f t="shared" si="0"/>
        <v>10</v>
      </c>
      <c r="F22" s="338">
        <f t="shared" si="1"/>
        <v>10</v>
      </c>
      <c r="G22" s="337">
        <f t="shared" si="2"/>
        <v>0</v>
      </c>
      <c r="H22" s="339"/>
      <c r="I22" s="370"/>
      <c r="J22" s="371"/>
      <c r="K22" s="372"/>
      <c r="L22" s="316">
        <f t="shared" si="3"/>
        <v>0</v>
      </c>
      <c r="M22" s="316">
        <f t="shared" si="4"/>
        <v>0</v>
      </c>
      <c r="N22" s="316">
        <f t="shared" si="5"/>
        <v>0</v>
      </c>
      <c r="O22" s="316">
        <f t="shared" si="6"/>
        <v>0</v>
      </c>
      <c r="P22" s="316">
        <f t="shared" si="7"/>
        <v>0</v>
      </c>
    </row>
    <row r="23" ht="17.1" customHeight="1" spans="1:16">
      <c r="A23" s="336"/>
      <c r="B23" s="337"/>
      <c r="C23" s="337"/>
      <c r="D23" s="337"/>
      <c r="E23" s="337">
        <f t="shared" si="0"/>
        <v>10</v>
      </c>
      <c r="F23" s="338">
        <f t="shared" si="1"/>
        <v>10</v>
      </c>
      <c r="G23" s="337">
        <f t="shared" si="2"/>
        <v>0</v>
      </c>
      <c r="H23" s="339"/>
      <c r="I23" s="370"/>
      <c r="J23" s="371"/>
      <c r="K23" s="372"/>
      <c r="L23" s="316">
        <f t="shared" si="3"/>
        <v>0</v>
      </c>
      <c r="M23" s="316">
        <f t="shared" si="4"/>
        <v>0</v>
      </c>
      <c r="N23" s="316">
        <f t="shared" si="5"/>
        <v>0</v>
      </c>
      <c r="O23" s="316">
        <f t="shared" si="6"/>
        <v>0</v>
      </c>
      <c r="P23" s="316">
        <f t="shared" si="7"/>
        <v>0</v>
      </c>
    </row>
    <row r="24" ht="17.1" customHeight="1" spans="1:16">
      <c r="A24" s="336"/>
      <c r="B24" s="337"/>
      <c r="C24" s="337"/>
      <c r="D24" s="337"/>
      <c r="E24" s="337">
        <f t="shared" si="0"/>
        <v>10</v>
      </c>
      <c r="F24" s="338">
        <f t="shared" si="1"/>
        <v>10</v>
      </c>
      <c r="G24" s="337">
        <f t="shared" si="2"/>
        <v>0</v>
      </c>
      <c r="H24" s="339"/>
      <c r="I24" s="370"/>
      <c r="J24" s="371"/>
      <c r="K24" s="372"/>
      <c r="L24" s="316">
        <f t="shared" si="3"/>
        <v>0</v>
      </c>
      <c r="M24" s="316">
        <f t="shared" si="4"/>
        <v>0</v>
      </c>
      <c r="N24" s="316">
        <f t="shared" si="5"/>
        <v>0</v>
      </c>
      <c r="O24" s="316">
        <f t="shared" si="6"/>
        <v>0</v>
      </c>
      <c r="P24" s="316">
        <f t="shared" si="7"/>
        <v>0</v>
      </c>
    </row>
    <row r="25" ht="17.1" customHeight="1" spans="1:16">
      <c r="A25" s="336"/>
      <c r="B25" s="337"/>
      <c r="C25" s="337"/>
      <c r="D25" s="337"/>
      <c r="E25" s="337">
        <f t="shared" si="0"/>
        <v>10</v>
      </c>
      <c r="F25" s="338">
        <f t="shared" si="1"/>
        <v>10</v>
      </c>
      <c r="G25" s="337">
        <f t="shared" si="2"/>
        <v>0</v>
      </c>
      <c r="H25" s="339"/>
      <c r="I25" s="370"/>
      <c r="J25" s="371"/>
      <c r="K25" s="372"/>
      <c r="L25" s="316">
        <f t="shared" si="3"/>
        <v>0</v>
      </c>
      <c r="M25" s="316">
        <f t="shared" si="4"/>
        <v>0</v>
      </c>
      <c r="N25" s="316">
        <f t="shared" si="5"/>
        <v>0</v>
      </c>
      <c r="O25" s="316">
        <f t="shared" si="6"/>
        <v>0</v>
      </c>
      <c r="P25" s="316">
        <f t="shared" si="7"/>
        <v>0</v>
      </c>
    </row>
    <row r="26" ht="17.1" customHeight="1" spans="1:16">
      <c r="A26" s="336"/>
      <c r="B26" s="337"/>
      <c r="C26" s="337"/>
      <c r="D26" s="337"/>
      <c r="E26" s="337">
        <f t="shared" si="0"/>
        <v>10</v>
      </c>
      <c r="F26" s="338">
        <f t="shared" si="1"/>
        <v>10</v>
      </c>
      <c r="G26" s="337">
        <f t="shared" si="2"/>
        <v>0</v>
      </c>
      <c r="H26" s="339"/>
      <c r="I26" s="370"/>
      <c r="J26" s="371"/>
      <c r="K26" s="372"/>
      <c r="L26" s="316">
        <f t="shared" si="3"/>
        <v>0</v>
      </c>
      <c r="M26" s="316">
        <f t="shared" si="4"/>
        <v>0</v>
      </c>
      <c r="N26" s="316">
        <f t="shared" si="5"/>
        <v>0</v>
      </c>
      <c r="O26" s="316">
        <f t="shared" si="6"/>
        <v>0</v>
      </c>
      <c r="P26" s="316">
        <f t="shared" si="7"/>
        <v>0</v>
      </c>
    </row>
    <row r="27" ht="17.1" customHeight="1" spans="1:16">
      <c r="A27" s="336"/>
      <c r="B27" s="337"/>
      <c r="C27" s="337"/>
      <c r="D27" s="337"/>
      <c r="E27" s="337">
        <f t="shared" si="0"/>
        <v>10</v>
      </c>
      <c r="F27" s="338">
        <f t="shared" si="1"/>
        <v>10</v>
      </c>
      <c r="G27" s="337">
        <f t="shared" si="2"/>
        <v>0</v>
      </c>
      <c r="H27" s="339"/>
      <c r="I27" s="370"/>
      <c r="J27" s="371"/>
      <c r="K27" s="372"/>
      <c r="L27" s="316">
        <f t="shared" si="3"/>
        <v>0</v>
      </c>
      <c r="M27" s="316">
        <f t="shared" si="4"/>
        <v>0</v>
      </c>
      <c r="N27" s="316">
        <f t="shared" si="5"/>
        <v>0</v>
      </c>
      <c r="O27" s="316">
        <f t="shared" si="6"/>
        <v>0</v>
      </c>
      <c r="P27" s="316">
        <f t="shared" si="7"/>
        <v>0</v>
      </c>
    </row>
    <row r="28" ht="17.1" customHeight="1" spans="1:16">
      <c r="A28" s="336"/>
      <c r="B28" s="337"/>
      <c r="C28" s="337"/>
      <c r="D28" s="337"/>
      <c r="E28" s="337">
        <f t="shared" si="0"/>
        <v>10</v>
      </c>
      <c r="F28" s="338">
        <f t="shared" si="1"/>
        <v>10</v>
      </c>
      <c r="G28" s="337">
        <f t="shared" si="2"/>
        <v>0</v>
      </c>
      <c r="H28" s="339"/>
      <c r="I28" s="370"/>
      <c r="J28" s="371"/>
      <c r="K28" s="372"/>
      <c r="L28" s="316">
        <f t="shared" si="3"/>
        <v>0</v>
      </c>
      <c r="M28" s="316">
        <f t="shared" si="4"/>
        <v>0</v>
      </c>
      <c r="N28" s="316">
        <f t="shared" si="5"/>
        <v>0</v>
      </c>
      <c r="O28" s="316">
        <f t="shared" si="6"/>
        <v>0</v>
      </c>
      <c r="P28" s="316">
        <f t="shared" si="7"/>
        <v>0</v>
      </c>
    </row>
    <row r="29" ht="17.1" customHeight="1" spans="1:16">
      <c r="A29" s="336"/>
      <c r="B29" s="337"/>
      <c r="C29" s="337"/>
      <c r="D29" s="337"/>
      <c r="E29" s="337">
        <f t="shared" si="0"/>
        <v>10</v>
      </c>
      <c r="F29" s="338">
        <f t="shared" si="1"/>
        <v>10</v>
      </c>
      <c r="G29" s="337">
        <f t="shared" si="2"/>
        <v>0</v>
      </c>
      <c r="H29" s="339"/>
      <c r="I29" s="370"/>
      <c r="J29" s="371"/>
      <c r="K29" s="372"/>
      <c r="L29" s="316">
        <f t="shared" si="3"/>
        <v>0</v>
      </c>
      <c r="M29" s="316">
        <f t="shared" si="4"/>
        <v>0</v>
      </c>
      <c r="N29" s="316">
        <f t="shared" si="5"/>
        <v>0</v>
      </c>
      <c r="O29" s="316">
        <f t="shared" si="6"/>
        <v>0</v>
      </c>
      <c r="P29" s="316">
        <f t="shared" si="7"/>
        <v>0</v>
      </c>
    </row>
    <row r="30" ht="17.1" customHeight="1" spans="1:16">
      <c r="A30" s="336"/>
      <c r="B30" s="337"/>
      <c r="C30" s="337"/>
      <c r="D30" s="337"/>
      <c r="E30" s="337">
        <f t="shared" si="0"/>
        <v>10</v>
      </c>
      <c r="F30" s="338">
        <f t="shared" si="1"/>
        <v>10</v>
      </c>
      <c r="G30" s="337">
        <f t="shared" si="2"/>
        <v>0</v>
      </c>
      <c r="H30" s="339"/>
      <c r="I30" s="370"/>
      <c r="J30" s="371"/>
      <c r="K30" s="372"/>
      <c r="L30" s="316">
        <f t="shared" si="3"/>
        <v>0</v>
      </c>
      <c r="M30" s="316">
        <f t="shared" si="4"/>
        <v>0</v>
      </c>
      <c r="N30" s="316">
        <f t="shared" si="5"/>
        <v>0</v>
      </c>
      <c r="O30" s="316">
        <f t="shared" si="6"/>
        <v>0</v>
      </c>
      <c r="P30" s="316">
        <f t="shared" si="7"/>
        <v>0</v>
      </c>
    </row>
    <row r="31" ht="17.1" customHeight="1" spans="1:16">
      <c r="A31" s="336"/>
      <c r="B31" s="337"/>
      <c r="C31" s="337"/>
      <c r="D31" s="337"/>
      <c r="E31" s="337">
        <f t="shared" si="0"/>
        <v>10</v>
      </c>
      <c r="F31" s="338">
        <f t="shared" si="1"/>
        <v>10</v>
      </c>
      <c r="G31" s="337">
        <f t="shared" si="2"/>
        <v>0</v>
      </c>
      <c r="H31" s="339"/>
      <c r="I31" s="370"/>
      <c r="J31" s="371"/>
      <c r="K31" s="372"/>
      <c r="L31" s="316">
        <f t="shared" si="3"/>
        <v>0</v>
      </c>
      <c r="M31" s="316">
        <f t="shared" si="4"/>
        <v>0</v>
      </c>
      <c r="N31" s="316">
        <f t="shared" si="5"/>
        <v>0</v>
      </c>
      <c r="O31" s="316">
        <f t="shared" si="6"/>
        <v>0</v>
      </c>
      <c r="P31" s="316">
        <f t="shared" si="7"/>
        <v>0</v>
      </c>
    </row>
    <row r="32" ht="17.1" customHeight="1" spans="1:16">
      <c r="A32" s="336"/>
      <c r="B32" s="337"/>
      <c r="C32" s="337"/>
      <c r="D32" s="337"/>
      <c r="E32" s="337">
        <f t="shared" si="0"/>
        <v>10</v>
      </c>
      <c r="F32" s="338">
        <f t="shared" si="1"/>
        <v>10</v>
      </c>
      <c r="G32" s="337">
        <f t="shared" si="2"/>
        <v>0</v>
      </c>
      <c r="H32" s="339"/>
      <c r="I32" s="370"/>
      <c r="J32" s="371"/>
      <c r="K32" s="372"/>
      <c r="L32" s="316">
        <f t="shared" si="3"/>
        <v>0</v>
      </c>
      <c r="M32" s="316">
        <f t="shared" si="4"/>
        <v>0</v>
      </c>
      <c r="N32" s="316">
        <f t="shared" si="5"/>
        <v>0</v>
      </c>
      <c r="O32" s="316">
        <f t="shared" si="6"/>
        <v>0</v>
      </c>
      <c r="P32" s="316">
        <f t="shared" si="7"/>
        <v>0</v>
      </c>
    </row>
    <row r="33" ht="17.1" customHeight="1" spans="1:16">
      <c r="A33" s="340" t="s">
        <v>1173</v>
      </c>
      <c r="B33" s="337">
        <v>2400</v>
      </c>
      <c r="C33" s="337"/>
      <c r="D33" s="337"/>
      <c r="E33" s="337">
        <f t="shared" si="0"/>
        <v>10</v>
      </c>
      <c r="F33" s="338">
        <f t="shared" si="1"/>
        <v>2410</v>
      </c>
      <c r="G33" s="337">
        <f t="shared" si="2"/>
        <v>0</v>
      </c>
      <c r="H33" s="339"/>
      <c r="I33" s="370"/>
      <c r="J33" s="371"/>
      <c r="K33" s="372"/>
      <c r="L33" s="316">
        <f t="shared" si="3"/>
        <v>0</v>
      </c>
      <c r="M33" s="316">
        <f t="shared" si="4"/>
        <v>0</v>
      </c>
      <c r="N33" s="316">
        <f t="shared" si="5"/>
        <v>0</v>
      </c>
      <c r="O33" s="316">
        <f t="shared" si="6"/>
        <v>0</v>
      </c>
      <c r="P33" s="316">
        <f t="shared" si="7"/>
        <v>0</v>
      </c>
    </row>
    <row r="34" ht="17.1" customHeight="1" spans="1:16">
      <c r="A34" s="340"/>
      <c r="B34" s="337"/>
      <c r="C34" s="337"/>
      <c r="D34" s="337"/>
      <c r="E34" s="337"/>
      <c r="F34" s="338"/>
      <c r="G34" s="337"/>
      <c r="H34" s="335"/>
      <c r="I34" s="366"/>
      <c r="J34" s="335"/>
      <c r="K34" s="367"/>
      <c r="L34" s="316">
        <f t="shared" si="3"/>
        <v>0</v>
      </c>
      <c r="M34" s="316">
        <f t="shared" si="4"/>
        <v>0</v>
      </c>
      <c r="N34" s="316">
        <f t="shared" si="5"/>
        <v>0</v>
      </c>
      <c r="O34" s="316">
        <f t="shared" si="6"/>
        <v>0</v>
      </c>
      <c r="P34" s="316">
        <f t="shared" si="7"/>
        <v>0</v>
      </c>
    </row>
    <row r="35" ht="17.1" customHeight="1" spans="1:16">
      <c r="A35" s="340"/>
      <c r="B35" s="337"/>
      <c r="C35" s="337"/>
      <c r="D35" s="337"/>
      <c r="E35" s="337"/>
      <c r="F35" s="338"/>
      <c r="G35" s="337"/>
      <c r="H35" s="335"/>
      <c r="I35" s="366"/>
      <c r="J35" s="335"/>
      <c r="K35" s="367"/>
      <c r="L35" s="316">
        <f t="shared" si="3"/>
        <v>0</v>
      </c>
      <c r="M35" s="316">
        <f t="shared" si="4"/>
        <v>0</v>
      </c>
      <c r="N35" s="316">
        <f t="shared" si="5"/>
        <v>0</v>
      </c>
      <c r="O35" s="316">
        <f t="shared" si="6"/>
        <v>0</v>
      </c>
      <c r="P35" s="316">
        <f t="shared" si="7"/>
        <v>0</v>
      </c>
    </row>
    <row r="36" ht="17.1" customHeight="1" spans="1:16">
      <c r="A36" s="341"/>
      <c r="B36" s="342"/>
      <c r="C36" s="342"/>
      <c r="D36" s="343"/>
      <c r="E36" s="337"/>
      <c r="F36" s="338"/>
      <c r="G36" s="337"/>
      <c r="H36" s="335"/>
      <c r="I36" s="366"/>
      <c r="J36" s="335"/>
      <c r="K36" s="367"/>
      <c r="L36" s="316">
        <f t="shared" si="3"/>
        <v>0</v>
      </c>
      <c r="M36" s="316">
        <f t="shared" si="4"/>
        <v>0</v>
      </c>
      <c r="N36" s="316">
        <f t="shared" si="5"/>
        <v>0</v>
      </c>
      <c r="O36" s="316">
        <f t="shared" si="6"/>
        <v>0</v>
      </c>
      <c r="P36" s="316">
        <f t="shared" si="7"/>
        <v>0</v>
      </c>
    </row>
    <row r="37" ht="17.1" customHeight="1" spans="1:16">
      <c r="A37" s="344"/>
      <c r="B37" s="345"/>
      <c r="C37" s="345"/>
      <c r="D37" s="346"/>
      <c r="E37" s="345"/>
      <c r="F37" s="347"/>
      <c r="G37" s="345"/>
      <c r="H37" s="348"/>
      <c r="I37" s="373"/>
      <c r="J37" s="348"/>
      <c r="K37" s="374"/>
      <c r="L37" s="316">
        <f t="shared" si="3"/>
        <v>0</v>
      </c>
      <c r="M37" s="316">
        <f t="shared" si="4"/>
        <v>0</v>
      </c>
      <c r="N37" s="316">
        <f t="shared" si="5"/>
        <v>0</v>
      </c>
      <c r="O37" s="316">
        <f t="shared" si="6"/>
        <v>0</v>
      </c>
      <c r="P37" s="316">
        <f t="shared" si="7"/>
        <v>0</v>
      </c>
    </row>
    <row r="38" s="314" customFormat="1" ht="20.1" customHeight="1" spans="1:17">
      <c r="A38" s="349"/>
      <c r="B38" s="349"/>
      <c r="C38" s="349"/>
      <c r="D38" s="349"/>
      <c r="E38" s="349"/>
      <c r="F38" s="349"/>
      <c r="G38" s="349"/>
      <c r="H38" s="349"/>
      <c r="I38" s="349"/>
      <c r="J38" s="349"/>
      <c r="K38" s="349"/>
      <c r="L38" s="375">
        <f>SUM(L10:L37)</f>
        <v>0</v>
      </c>
      <c r="M38" s="375">
        <f>SUM(M10:M37)</f>
        <v>0</v>
      </c>
      <c r="N38" s="375">
        <f>SUM(N10:N37)</f>
        <v>0</v>
      </c>
      <c r="O38" s="375">
        <f>SUM(O10:O37)</f>
        <v>0</v>
      </c>
      <c r="P38" s="375">
        <f>SUM(P10:P37)</f>
        <v>0</v>
      </c>
      <c r="Q38" s="314" t="s">
        <v>1174</v>
      </c>
    </row>
    <row r="39" s="315" customFormat="1" ht="20.1" customHeight="1" spans="1:16">
      <c r="A39" s="350"/>
      <c r="B39" s="351" t="s">
        <v>1058</v>
      </c>
      <c r="C39" s="351"/>
      <c r="D39" s="351"/>
      <c r="E39" s="351"/>
      <c r="F39" s="351"/>
      <c r="G39" s="351"/>
      <c r="H39" s="351"/>
      <c r="I39" s="351"/>
      <c r="J39" s="376" t="s">
        <v>1175</v>
      </c>
      <c r="K39" s="377">
        <f>O38+L39</f>
        <v>0</v>
      </c>
      <c r="L39" s="378">
        <f>L38*0.018</f>
        <v>0</v>
      </c>
      <c r="M39" s="378"/>
      <c r="N39" s="378"/>
      <c r="O39" s="378"/>
      <c r="P39" s="378"/>
    </row>
    <row r="40" ht="21" customHeight="1" spans="1:12">
      <c r="A40" s="352" t="s">
        <v>1176</v>
      </c>
      <c r="B40" s="352"/>
      <c r="C40" s="352"/>
      <c r="D40" s="352"/>
      <c r="E40" s="352"/>
      <c r="F40" s="352"/>
      <c r="G40" s="352"/>
      <c r="H40" s="352"/>
      <c r="I40" s="352"/>
      <c r="J40" s="352"/>
      <c r="K40" s="352"/>
      <c r="L40" s="316" t="s">
        <v>1060</v>
      </c>
    </row>
    <row r="41" ht="13.5" customHeight="1" spans="1:11">
      <c r="A41" s="353"/>
      <c r="B41" s="354"/>
      <c r="C41" s="355"/>
      <c r="D41" s="355"/>
      <c r="E41" s="355"/>
      <c r="F41" s="356"/>
      <c r="G41" s="357"/>
      <c r="H41" s="356"/>
      <c r="I41" s="379"/>
      <c r="J41" s="379"/>
      <c r="K41" s="359"/>
    </row>
    <row r="42" ht="18" customHeight="1" spans="1:10">
      <c r="A42" s="358" t="s">
        <v>204</v>
      </c>
      <c r="B42" s="356" t="s">
        <v>1045</v>
      </c>
      <c r="C42" s="356"/>
      <c r="D42" s="321"/>
      <c r="E42" s="317"/>
      <c r="F42" s="321"/>
      <c r="G42" s="321"/>
      <c r="H42" s="321"/>
      <c r="I42" s="379"/>
      <c r="J42" s="379"/>
    </row>
    <row r="43" ht="20.25" spans="1:11">
      <c r="A43" s="359"/>
      <c r="B43" s="359"/>
      <c r="C43" s="359"/>
      <c r="D43" s="359"/>
      <c r="E43" s="359"/>
      <c r="F43" s="359"/>
      <c r="G43" s="359"/>
      <c r="H43" s="359"/>
      <c r="I43" s="359"/>
      <c r="J43" s="359"/>
      <c r="K43" s="359"/>
    </row>
    <row r="44" ht="20.25" spans="1:11">
      <c r="A44" s="359"/>
      <c r="B44" s="359"/>
      <c r="C44" s="359"/>
      <c r="D44" s="359"/>
      <c r="E44" s="359"/>
      <c r="F44" s="359"/>
      <c r="G44" s="359"/>
      <c r="H44" s="359"/>
      <c r="I44" s="359"/>
      <c r="J44" s="359"/>
      <c r="K44" s="359"/>
    </row>
    <row r="45" ht="20.25" spans="1:11">
      <c r="A45" s="359"/>
      <c r="B45" s="359"/>
      <c r="C45" s="359"/>
      <c r="D45" s="359"/>
      <c r="E45" s="359"/>
      <c r="F45" s="359"/>
      <c r="G45" s="359"/>
      <c r="H45" s="359"/>
      <c r="I45" s="359"/>
      <c r="J45" s="359"/>
      <c r="K45" s="359"/>
    </row>
    <row r="46" ht="20.25" spans="1:11">
      <c r="A46" s="359"/>
      <c r="B46" s="359"/>
      <c r="C46" s="359"/>
      <c r="D46" s="359"/>
      <c r="E46" s="359"/>
      <c r="F46" s="359"/>
      <c r="G46" s="359"/>
      <c r="H46" s="359"/>
      <c r="I46" s="359"/>
      <c r="J46" s="359"/>
      <c r="K46" s="359"/>
    </row>
    <row r="47" ht="20.25" spans="1:11">
      <c r="A47" s="359"/>
      <c r="B47" s="359"/>
      <c r="C47" s="359"/>
      <c r="D47" s="359"/>
      <c r="E47" s="359"/>
      <c r="F47" s="359"/>
      <c r="G47" s="359"/>
      <c r="H47" s="359"/>
      <c r="I47" s="359"/>
      <c r="J47" s="359"/>
      <c r="K47" s="359"/>
    </row>
    <row r="48" ht="20.25" spans="1:11">
      <c r="A48" s="359"/>
      <c r="B48" s="359"/>
      <c r="C48" s="359"/>
      <c r="D48" s="359"/>
      <c r="E48" s="359"/>
      <c r="F48" s="359"/>
      <c r="G48" s="359"/>
      <c r="H48" s="359"/>
      <c r="I48" s="359"/>
      <c r="J48" s="359"/>
      <c r="K48" s="359"/>
    </row>
    <row r="49" ht="20.25" spans="1:11">
      <c r="A49" s="359"/>
      <c r="B49" s="359"/>
      <c r="C49" s="359"/>
      <c r="D49" s="359"/>
      <c r="E49" s="359"/>
      <c r="F49" s="359"/>
      <c r="G49" s="359"/>
      <c r="H49" s="359"/>
      <c r="I49" s="359"/>
      <c r="J49" s="359"/>
      <c r="K49" s="359"/>
    </row>
    <row r="50" ht="20.25" spans="1:11">
      <c r="A50" s="359"/>
      <c r="B50" s="359"/>
      <c r="C50" s="359"/>
      <c r="D50" s="359"/>
      <c r="E50" s="359"/>
      <c r="F50" s="359"/>
      <c r="G50" s="359"/>
      <c r="H50" s="359"/>
      <c r="I50" s="359"/>
      <c r="J50" s="359"/>
      <c r="K50" s="359"/>
    </row>
    <row r="51" ht="20.25" spans="1:11">
      <c r="A51" s="359"/>
      <c r="B51" s="359"/>
      <c r="C51" s="359"/>
      <c r="D51" s="359"/>
      <c r="E51" s="359"/>
      <c r="F51" s="359"/>
      <c r="G51" s="359"/>
      <c r="H51" s="359"/>
      <c r="I51" s="359"/>
      <c r="J51" s="359"/>
      <c r="K51" s="359"/>
    </row>
    <row r="52" ht="20.25" spans="1:11">
      <c r="A52" s="359"/>
      <c r="B52" s="359"/>
      <c r="C52" s="359"/>
      <c r="D52" s="359"/>
      <c r="E52" s="359"/>
      <c r="F52" s="359"/>
      <c r="G52" s="359"/>
      <c r="H52" s="359"/>
      <c r="I52" s="359"/>
      <c r="J52" s="359"/>
      <c r="K52" s="359"/>
    </row>
    <row r="53" ht="20.25" spans="1:11">
      <c r="A53" s="359"/>
      <c r="B53" s="359"/>
      <c r="C53" s="359"/>
      <c r="D53" s="359"/>
      <c r="E53" s="359"/>
      <c r="F53" s="359"/>
      <c r="G53" s="359"/>
      <c r="H53" s="359"/>
      <c r="I53" s="359"/>
      <c r="J53" s="359"/>
      <c r="K53" s="359"/>
    </row>
    <row r="54" ht="20.25" spans="1:11">
      <c r="A54" s="359"/>
      <c r="B54" s="359"/>
      <c r="C54" s="359"/>
      <c r="D54" s="359"/>
      <c r="E54" s="359"/>
      <c r="F54" s="359"/>
      <c r="G54" s="359"/>
      <c r="H54" s="359"/>
      <c r="I54" s="359"/>
      <c r="J54" s="359"/>
      <c r="K54" s="359"/>
    </row>
    <row r="55" ht="20.25" spans="1:11">
      <c r="A55" s="359"/>
      <c r="B55" s="359"/>
      <c r="C55" s="359"/>
      <c r="D55" s="359"/>
      <c r="E55" s="359"/>
      <c r="F55" s="359"/>
      <c r="G55" s="359"/>
      <c r="H55" s="359"/>
      <c r="I55" s="359"/>
      <c r="J55" s="359"/>
      <c r="K55" s="359"/>
    </row>
    <row r="56" ht="20.25" spans="1:11">
      <c r="A56" s="359"/>
      <c r="B56" s="359"/>
      <c r="C56" s="359"/>
      <c r="D56" s="359"/>
      <c r="E56" s="359"/>
      <c r="F56" s="359"/>
      <c r="G56" s="359"/>
      <c r="H56" s="359"/>
      <c r="I56" s="359"/>
      <c r="J56" s="359"/>
      <c r="K56" s="359"/>
    </row>
    <row r="57" ht="20.25" spans="1:11">
      <c r="A57" s="359"/>
      <c r="B57" s="359"/>
      <c r="C57" s="359"/>
      <c r="D57" s="359"/>
      <c r="E57" s="359"/>
      <c r="F57" s="359"/>
      <c r="G57" s="359"/>
      <c r="H57" s="359"/>
      <c r="I57" s="359"/>
      <c r="J57" s="359"/>
      <c r="K57" s="359"/>
    </row>
    <row r="58" ht="20.25" spans="1:11">
      <c r="A58" s="359"/>
      <c r="B58" s="359"/>
      <c r="C58" s="359"/>
      <c r="D58" s="359"/>
      <c r="E58" s="359"/>
      <c r="F58" s="359"/>
      <c r="G58" s="359"/>
      <c r="H58" s="359"/>
      <c r="I58" s="359"/>
      <c r="J58" s="359"/>
      <c r="K58" s="359"/>
    </row>
    <row r="59" ht="20.25" spans="1:11">
      <c r="A59" s="359"/>
      <c r="B59" s="359"/>
      <c r="C59" s="359"/>
      <c r="D59" s="359"/>
      <c r="E59" s="359"/>
      <c r="F59" s="359"/>
      <c r="G59" s="359"/>
      <c r="H59" s="359"/>
      <c r="I59" s="359"/>
      <c r="J59" s="359"/>
      <c r="K59" s="359"/>
    </row>
    <row r="60" ht="20.25" spans="1:11">
      <c r="A60" s="359"/>
      <c r="B60" s="359"/>
      <c r="C60" s="359"/>
      <c r="D60" s="359"/>
      <c r="E60" s="359"/>
      <c r="F60" s="359"/>
      <c r="G60" s="359"/>
      <c r="H60" s="359"/>
      <c r="I60" s="359"/>
      <c r="J60" s="359"/>
      <c r="K60" s="359"/>
    </row>
    <row r="61" ht="20.25" spans="1:11">
      <c r="A61" s="359"/>
      <c r="B61" s="359"/>
      <c r="C61" s="359"/>
      <c r="D61" s="359"/>
      <c r="E61" s="359"/>
      <c r="F61" s="359"/>
      <c r="G61" s="359"/>
      <c r="H61" s="359"/>
      <c r="I61" s="359"/>
      <c r="J61" s="359"/>
      <c r="K61" s="359"/>
    </row>
    <row r="62" ht="20.25" spans="1:11">
      <c r="A62" s="359"/>
      <c r="B62" s="359"/>
      <c r="C62" s="359"/>
      <c r="D62" s="359"/>
      <c r="E62" s="359"/>
      <c r="F62" s="359"/>
      <c r="G62" s="359"/>
      <c r="H62" s="359"/>
      <c r="I62" s="359"/>
      <c r="J62" s="359"/>
      <c r="K62" s="359"/>
    </row>
    <row r="63" ht="20.25" spans="1:11">
      <c r="A63" s="359"/>
      <c r="B63" s="359"/>
      <c r="C63" s="359"/>
      <c r="D63" s="359"/>
      <c r="E63" s="359"/>
      <c r="F63" s="359"/>
      <c r="G63" s="359"/>
      <c r="H63" s="359"/>
      <c r="I63" s="359"/>
      <c r="J63" s="359"/>
      <c r="K63" s="359"/>
    </row>
    <row r="64" ht="20.25" spans="1:11">
      <c r="A64" s="359"/>
      <c r="B64" s="359"/>
      <c r="C64" s="359"/>
      <c r="D64" s="359"/>
      <c r="E64" s="359"/>
      <c r="F64" s="359"/>
      <c r="G64" s="359"/>
      <c r="H64" s="359"/>
      <c r="I64" s="359"/>
      <c r="J64" s="359"/>
      <c r="K64" s="359"/>
    </row>
    <row r="65" ht="20.25" spans="1:11">
      <c r="A65" s="359"/>
      <c r="B65" s="359"/>
      <c r="C65" s="359"/>
      <c r="D65" s="359"/>
      <c r="E65" s="359"/>
      <c r="F65" s="359"/>
      <c r="G65" s="359"/>
      <c r="H65" s="359"/>
      <c r="I65" s="359"/>
      <c r="J65" s="359"/>
      <c r="K65" s="359"/>
    </row>
    <row r="66" ht="20.25" spans="1:11">
      <c r="A66" s="359"/>
      <c r="B66" s="359"/>
      <c r="C66" s="359"/>
      <c r="D66" s="359"/>
      <c r="E66" s="359"/>
      <c r="F66" s="359"/>
      <c r="G66" s="359"/>
      <c r="H66" s="359"/>
      <c r="I66" s="359"/>
      <c r="J66" s="359"/>
      <c r="K66" s="359"/>
    </row>
    <row r="67" ht="20.25" spans="1:11">
      <c r="A67" s="359"/>
      <c r="B67" s="359"/>
      <c r="C67" s="359"/>
      <c r="D67" s="359"/>
      <c r="E67" s="359"/>
      <c r="F67" s="359"/>
      <c r="G67" s="359"/>
      <c r="H67" s="359"/>
      <c r="I67" s="359"/>
      <c r="J67" s="359"/>
      <c r="K67" s="359"/>
    </row>
    <row r="68" ht="20.25" spans="1:11">
      <c r="A68" s="359"/>
      <c r="B68" s="359"/>
      <c r="C68" s="359"/>
      <c r="D68" s="359"/>
      <c r="E68" s="359"/>
      <c r="F68" s="359"/>
      <c r="G68" s="359"/>
      <c r="H68" s="359"/>
      <c r="I68" s="359"/>
      <c r="J68" s="359"/>
      <c r="K68" s="359"/>
    </row>
    <row r="69" ht="20.25" spans="1:11">
      <c r="A69" s="359"/>
      <c r="B69" s="359"/>
      <c r="C69" s="359"/>
      <c r="D69" s="359"/>
      <c r="E69" s="359"/>
      <c r="F69" s="359"/>
      <c r="G69" s="359"/>
      <c r="H69" s="359"/>
      <c r="I69" s="359"/>
      <c r="J69" s="359"/>
      <c r="K69" s="359"/>
    </row>
    <row r="70" ht="20.25" spans="1:11">
      <c r="A70" s="359"/>
      <c r="B70" s="359"/>
      <c r="C70" s="359"/>
      <c r="D70" s="359"/>
      <c r="E70" s="359"/>
      <c r="F70" s="359"/>
      <c r="G70" s="359"/>
      <c r="H70" s="359"/>
      <c r="I70" s="359"/>
      <c r="J70" s="359"/>
      <c r="K70" s="359"/>
    </row>
    <row r="71" ht="20.25" spans="1:11">
      <c r="A71" s="359"/>
      <c r="B71" s="359"/>
      <c r="C71" s="359"/>
      <c r="D71" s="359"/>
      <c r="E71" s="359"/>
      <c r="F71" s="359"/>
      <c r="G71" s="359"/>
      <c r="H71" s="359"/>
      <c r="I71" s="359"/>
      <c r="J71" s="359"/>
      <c r="K71" s="359"/>
    </row>
    <row r="72" ht="20.25" spans="1:11">
      <c r="A72" s="359"/>
      <c r="B72" s="359"/>
      <c r="C72" s="359"/>
      <c r="D72" s="359"/>
      <c r="E72" s="359"/>
      <c r="F72" s="359"/>
      <c r="G72" s="359"/>
      <c r="H72" s="359"/>
      <c r="I72" s="359"/>
      <c r="J72" s="359"/>
      <c r="K72" s="359"/>
    </row>
    <row r="73" ht="20.25" spans="1:11">
      <c r="A73" s="359"/>
      <c r="B73" s="359"/>
      <c r="C73" s="359"/>
      <c r="D73" s="359"/>
      <c r="E73" s="359"/>
      <c r="F73" s="359"/>
      <c r="G73" s="359"/>
      <c r="H73" s="359"/>
      <c r="I73" s="359"/>
      <c r="J73" s="359"/>
      <c r="K73" s="359"/>
    </row>
    <row r="74" ht="20.25" spans="1:11">
      <c r="A74" s="359"/>
      <c r="B74" s="359"/>
      <c r="C74" s="359"/>
      <c r="D74" s="359"/>
      <c r="E74" s="359"/>
      <c r="F74" s="359"/>
      <c r="G74" s="359"/>
      <c r="H74" s="359"/>
      <c r="I74" s="359"/>
      <c r="J74" s="359"/>
      <c r="K74" s="359"/>
    </row>
    <row r="75" ht="20.25" spans="1:11">
      <c r="A75" s="359"/>
      <c r="B75" s="359"/>
      <c r="C75" s="359"/>
      <c r="D75" s="359"/>
      <c r="E75" s="359"/>
      <c r="F75" s="359"/>
      <c r="G75" s="359"/>
      <c r="H75" s="359"/>
      <c r="I75" s="359"/>
      <c r="J75" s="359"/>
      <c r="K75" s="359"/>
    </row>
    <row r="76" ht="20.25" spans="1:11">
      <c r="A76" s="359"/>
      <c r="B76" s="359"/>
      <c r="C76" s="359"/>
      <c r="D76" s="359"/>
      <c r="E76" s="359"/>
      <c r="F76" s="359"/>
      <c r="G76" s="359"/>
      <c r="H76" s="359"/>
      <c r="I76" s="359"/>
      <c r="J76" s="359"/>
      <c r="K76" s="359"/>
    </row>
    <row r="77" ht="20.25" spans="1:11">
      <c r="A77" s="359"/>
      <c r="B77" s="359"/>
      <c r="C77" s="359"/>
      <c r="D77" s="359"/>
      <c r="E77" s="359"/>
      <c r="F77" s="359"/>
      <c r="G77" s="359"/>
      <c r="H77" s="359"/>
      <c r="I77" s="359"/>
      <c r="J77" s="359"/>
      <c r="K77" s="359"/>
    </row>
    <row r="78" ht="20.25" spans="1:11">
      <c r="A78" s="359"/>
      <c r="B78" s="359"/>
      <c r="C78" s="359"/>
      <c r="D78" s="359"/>
      <c r="E78" s="359"/>
      <c r="F78" s="359"/>
      <c r="G78" s="359"/>
      <c r="H78" s="359"/>
      <c r="I78" s="359"/>
      <c r="J78" s="359"/>
      <c r="K78" s="359"/>
    </row>
    <row r="79" ht="20.25" spans="1:11">
      <c r="A79" s="359"/>
      <c r="B79" s="359"/>
      <c r="C79" s="359"/>
      <c r="D79" s="359"/>
      <c r="E79" s="359"/>
      <c r="F79" s="359"/>
      <c r="G79" s="359"/>
      <c r="H79" s="359"/>
      <c r="I79" s="359"/>
      <c r="J79" s="359"/>
      <c r="K79" s="359"/>
    </row>
    <row r="80" ht="20.25" spans="1:11">
      <c r="A80" s="359"/>
      <c r="B80" s="359"/>
      <c r="C80" s="359"/>
      <c r="D80" s="359"/>
      <c r="E80" s="359"/>
      <c r="F80" s="359"/>
      <c r="G80" s="359"/>
      <c r="H80" s="359"/>
      <c r="I80" s="359"/>
      <c r="J80" s="359"/>
      <c r="K80" s="359"/>
    </row>
    <row r="81" ht="20.25" spans="1:11">
      <c r="A81" s="359"/>
      <c r="B81" s="359"/>
      <c r="C81" s="359"/>
      <c r="D81" s="359"/>
      <c r="E81" s="359"/>
      <c r="F81" s="359"/>
      <c r="G81" s="359"/>
      <c r="H81" s="359"/>
      <c r="I81" s="359"/>
      <c r="J81" s="359"/>
      <c r="K81" s="359"/>
    </row>
    <row r="82" ht="20.25" spans="1:11">
      <c r="A82" s="359"/>
      <c r="B82" s="359"/>
      <c r="C82" s="359"/>
      <c r="D82" s="359"/>
      <c r="E82" s="359"/>
      <c r="F82" s="359"/>
      <c r="G82" s="359"/>
      <c r="H82" s="359"/>
      <c r="I82" s="359"/>
      <c r="J82" s="359"/>
      <c r="K82" s="359"/>
    </row>
    <row r="83" ht="20.25" spans="1:11">
      <c r="A83" s="359"/>
      <c r="B83" s="359"/>
      <c r="C83" s="359"/>
      <c r="D83" s="359"/>
      <c r="E83" s="359"/>
      <c r="F83" s="359"/>
      <c r="G83" s="359"/>
      <c r="H83" s="359"/>
      <c r="I83" s="359"/>
      <c r="J83" s="359"/>
      <c r="K83" s="359"/>
    </row>
    <row r="84" ht="20.25" spans="1:11">
      <c r="A84" s="359"/>
      <c r="B84" s="359"/>
      <c r="C84" s="359"/>
      <c r="D84" s="359"/>
      <c r="E84" s="359"/>
      <c r="F84" s="359"/>
      <c r="G84" s="359"/>
      <c r="H84" s="359"/>
      <c r="I84" s="359"/>
      <c r="J84" s="359"/>
      <c r="K84" s="359"/>
    </row>
    <row r="85" ht="20.25" spans="1:11">
      <c r="A85" s="359"/>
      <c r="B85" s="359"/>
      <c r="C85" s="359"/>
      <c r="D85" s="359"/>
      <c r="E85" s="359"/>
      <c r="F85" s="359"/>
      <c r="G85" s="359"/>
      <c r="H85" s="359"/>
      <c r="I85" s="359"/>
      <c r="J85" s="359"/>
      <c r="K85" s="359"/>
    </row>
    <row r="86" ht="20.25" spans="1:11">
      <c r="A86" s="359"/>
      <c r="B86" s="359"/>
      <c r="C86" s="359"/>
      <c r="D86" s="359"/>
      <c r="E86" s="359"/>
      <c r="F86" s="359"/>
      <c r="G86" s="359"/>
      <c r="H86" s="359"/>
      <c r="I86" s="359"/>
      <c r="J86" s="359"/>
      <c r="K86" s="359"/>
    </row>
    <row r="87" ht="20.25" spans="1:11">
      <c r="A87" s="359"/>
      <c r="B87" s="359"/>
      <c r="C87" s="359"/>
      <c r="D87" s="359"/>
      <c r="E87" s="359"/>
      <c r="F87" s="359"/>
      <c r="G87" s="359"/>
      <c r="H87" s="359"/>
      <c r="I87" s="359"/>
      <c r="J87" s="359"/>
      <c r="K87" s="359"/>
    </row>
    <row r="88" ht="20.25" spans="1:11">
      <c r="A88" s="359"/>
      <c r="B88" s="359"/>
      <c r="C88" s="359"/>
      <c r="D88" s="359"/>
      <c r="E88" s="359"/>
      <c r="F88" s="359"/>
      <c r="G88" s="359"/>
      <c r="H88" s="359"/>
      <c r="I88" s="359"/>
      <c r="J88" s="359"/>
      <c r="K88" s="359"/>
    </row>
    <row r="89" ht="20.25" spans="1:11">
      <c r="A89" s="359"/>
      <c r="B89" s="359"/>
      <c r="C89" s="359"/>
      <c r="D89" s="359"/>
      <c r="E89" s="359"/>
      <c r="F89" s="359"/>
      <c r="G89" s="359"/>
      <c r="H89" s="359"/>
      <c r="I89" s="359"/>
      <c r="J89" s="359"/>
      <c r="K89" s="359"/>
    </row>
    <row r="90" ht="20.25" spans="1:11">
      <c r="A90" s="359"/>
      <c r="B90" s="359"/>
      <c r="C90" s="359"/>
      <c r="D90" s="359"/>
      <c r="E90" s="359"/>
      <c r="F90" s="359"/>
      <c r="G90" s="359"/>
      <c r="H90" s="359"/>
      <c r="I90" s="359"/>
      <c r="J90" s="359"/>
      <c r="K90" s="359"/>
    </row>
    <row r="91" ht="20.25" spans="1:11">
      <c r="A91" s="359"/>
      <c r="B91" s="359"/>
      <c r="C91" s="359"/>
      <c r="D91" s="359"/>
      <c r="E91" s="359"/>
      <c r="F91" s="359"/>
      <c r="G91" s="359"/>
      <c r="H91" s="359"/>
      <c r="I91" s="359"/>
      <c r="J91" s="359"/>
      <c r="K91" s="359"/>
    </row>
    <row r="92" ht="20.25" spans="1:11">
      <c r="A92" s="359"/>
      <c r="B92" s="359"/>
      <c r="C92" s="359"/>
      <c r="D92" s="359"/>
      <c r="E92" s="359"/>
      <c r="F92" s="359"/>
      <c r="G92" s="359"/>
      <c r="H92" s="359"/>
      <c r="I92" s="359"/>
      <c r="J92" s="359"/>
      <c r="K92" s="359"/>
    </row>
    <row r="93" ht="20.25" spans="1:11">
      <c r="A93" s="359"/>
      <c r="B93" s="359"/>
      <c r="C93" s="359"/>
      <c r="D93" s="359"/>
      <c r="E93" s="359"/>
      <c r="F93" s="359"/>
      <c r="G93" s="359"/>
      <c r="H93" s="359"/>
      <c r="I93" s="359"/>
      <c r="J93" s="359"/>
      <c r="K93" s="359"/>
    </row>
    <row r="94" ht="20.25" spans="1:11">
      <c r="A94" s="359"/>
      <c r="B94" s="359"/>
      <c r="C94" s="359"/>
      <c r="D94" s="359"/>
      <c r="E94" s="359"/>
      <c r="F94" s="359"/>
      <c r="G94" s="359"/>
      <c r="H94" s="359"/>
      <c r="I94" s="359"/>
      <c r="J94" s="359"/>
      <c r="K94" s="359"/>
    </row>
    <row r="95" ht="20.25" spans="1:11">
      <c r="A95" s="359"/>
      <c r="B95" s="359"/>
      <c r="C95" s="359"/>
      <c r="D95" s="359"/>
      <c r="E95" s="359"/>
      <c r="F95" s="359"/>
      <c r="G95" s="359"/>
      <c r="H95" s="359"/>
      <c r="I95" s="359"/>
      <c r="J95" s="359"/>
      <c r="K95" s="359"/>
    </row>
    <row r="96" ht="20.25" spans="1:11">
      <c r="A96" s="359"/>
      <c r="B96" s="359"/>
      <c r="C96" s="359"/>
      <c r="D96" s="359"/>
      <c r="E96" s="359"/>
      <c r="F96" s="359"/>
      <c r="G96" s="359"/>
      <c r="H96" s="359"/>
      <c r="I96" s="359"/>
      <c r="J96" s="359"/>
      <c r="K96" s="359"/>
    </row>
    <row r="97" ht="20.25" spans="1:11">
      <c r="A97" s="359"/>
      <c r="B97" s="359"/>
      <c r="C97" s="359"/>
      <c r="D97" s="359"/>
      <c r="E97" s="359"/>
      <c r="F97" s="359"/>
      <c r="G97" s="359"/>
      <c r="H97" s="359"/>
      <c r="I97" s="359"/>
      <c r="J97" s="359"/>
      <c r="K97" s="359"/>
    </row>
    <row r="98" ht="20.25" spans="1:11">
      <c r="A98" s="359"/>
      <c r="B98" s="359"/>
      <c r="C98" s="359"/>
      <c r="D98" s="359"/>
      <c r="E98" s="359"/>
      <c r="F98" s="359"/>
      <c r="G98" s="359"/>
      <c r="H98" s="359"/>
      <c r="I98" s="359"/>
      <c r="J98" s="359"/>
      <c r="K98" s="359"/>
    </row>
    <row r="99" ht="20.25" spans="1:11">
      <c r="A99" s="359"/>
      <c r="B99" s="359"/>
      <c r="C99" s="359"/>
      <c r="D99" s="359"/>
      <c r="E99" s="359"/>
      <c r="F99" s="359"/>
      <c r="G99" s="359"/>
      <c r="H99" s="359"/>
      <c r="I99" s="359"/>
      <c r="J99" s="359"/>
      <c r="K99" s="359"/>
    </row>
    <row r="100" ht="20.25" spans="1:11">
      <c r="A100" s="359"/>
      <c r="B100" s="359"/>
      <c r="C100" s="359"/>
      <c r="D100" s="359"/>
      <c r="E100" s="359"/>
      <c r="F100" s="359"/>
      <c r="G100" s="359"/>
      <c r="H100" s="359"/>
      <c r="I100" s="359"/>
      <c r="J100" s="359"/>
      <c r="K100" s="359"/>
    </row>
    <row r="101" ht="20.25" spans="1:11">
      <c r="A101" s="359"/>
      <c r="B101" s="359"/>
      <c r="C101" s="359"/>
      <c r="D101" s="359"/>
      <c r="E101" s="359"/>
      <c r="F101" s="359"/>
      <c r="G101" s="359"/>
      <c r="H101" s="359"/>
      <c r="I101" s="359"/>
      <c r="J101" s="359"/>
      <c r="K101" s="359"/>
    </row>
    <row r="102" ht="20.25" spans="1:11">
      <c r="A102" s="359"/>
      <c r="B102" s="359"/>
      <c r="C102" s="359"/>
      <c r="D102" s="359"/>
      <c r="E102" s="359"/>
      <c r="F102" s="359"/>
      <c r="G102" s="359"/>
      <c r="H102" s="359"/>
      <c r="I102" s="359"/>
      <c r="J102" s="359"/>
      <c r="K102" s="359"/>
    </row>
    <row r="103" ht="20.25" spans="1:11">
      <c r="A103" s="359"/>
      <c r="B103" s="359"/>
      <c r="C103" s="359"/>
      <c r="D103" s="359"/>
      <c r="E103" s="359"/>
      <c r="F103" s="359"/>
      <c r="G103" s="359"/>
      <c r="H103" s="359"/>
      <c r="I103" s="359"/>
      <c r="J103" s="359"/>
      <c r="K103" s="359"/>
    </row>
    <row r="104" ht="20.25" spans="1:11">
      <c r="A104" s="359"/>
      <c r="B104" s="359"/>
      <c r="C104" s="359"/>
      <c r="D104" s="359"/>
      <c r="E104" s="359"/>
      <c r="F104" s="359"/>
      <c r="G104" s="359"/>
      <c r="H104" s="359"/>
      <c r="I104" s="359"/>
      <c r="J104" s="359"/>
      <c r="K104" s="359"/>
    </row>
    <row r="105" ht="20.25" spans="1:11">
      <c r="A105" s="359"/>
      <c r="B105" s="359"/>
      <c r="C105" s="359"/>
      <c r="D105" s="359"/>
      <c r="E105" s="359"/>
      <c r="F105" s="359"/>
      <c r="G105" s="359"/>
      <c r="H105" s="359"/>
      <c r="I105" s="359"/>
      <c r="J105" s="359"/>
      <c r="K105" s="359"/>
    </row>
    <row r="106" ht="20.25" spans="1:11">
      <c r="A106" s="359"/>
      <c r="B106" s="359"/>
      <c r="C106" s="359"/>
      <c r="D106" s="359"/>
      <c r="E106" s="359"/>
      <c r="F106" s="359"/>
      <c r="G106" s="359"/>
      <c r="H106" s="359"/>
      <c r="I106" s="359"/>
      <c r="J106" s="359"/>
      <c r="K106" s="359"/>
    </row>
    <row r="107" ht="20.25" spans="1:11">
      <c r="A107" s="359"/>
      <c r="B107" s="359"/>
      <c r="C107" s="359"/>
      <c r="D107" s="359"/>
      <c r="E107" s="359"/>
      <c r="F107" s="359"/>
      <c r="G107" s="359"/>
      <c r="H107" s="359"/>
      <c r="I107" s="359"/>
      <c r="J107" s="359"/>
      <c r="K107" s="359"/>
    </row>
    <row r="108" ht="20.25" spans="1:11">
      <c r="A108" s="359"/>
      <c r="B108" s="359"/>
      <c r="C108" s="359"/>
      <c r="D108" s="359"/>
      <c r="E108" s="359"/>
      <c r="F108" s="359"/>
      <c r="G108" s="359"/>
      <c r="H108" s="359"/>
      <c r="I108" s="359"/>
      <c r="J108" s="359"/>
      <c r="K108" s="359"/>
    </row>
    <row r="109" ht="20.25" spans="1:11">
      <c r="A109" s="359"/>
      <c r="B109" s="359"/>
      <c r="C109" s="359"/>
      <c r="D109" s="359"/>
      <c r="E109" s="359"/>
      <c r="F109" s="359"/>
      <c r="G109" s="359"/>
      <c r="H109" s="359"/>
      <c r="I109" s="359"/>
      <c r="J109" s="359"/>
      <c r="K109" s="359"/>
    </row>
    <row r="110" ht="20.25" spans="1:11">
      <c r="A110" s="359"/>
      <c r="B110" s="359"/>
      <c r="C110" s="359"/>
      <c r="D110" s="359"/>
      <c r="E110" s="359"/>
      <c r="F110" s="359"/>
      <c r="G110" s="359"/>
      <c r="H110" s="359"/>
      <c r="I110" s="359"/>
      <c r="J110" s="359"/>
      <c r="K110" s="359"/>
    </row>
    <row r="111" ht="20.25" spans="1:11">
      <c r="A111" s="359"/>
      <c r="B111" s="359"/>
      <c r="C111" s="359"/>
      <c r="D111" s="359"/>
      <c r="E111" s="359"/>
      <c r="F111" s="359"/>
      <c r="G111" s="359"/>
      <c r="H111" s="359"/>
      <c r="I111" s="359"/>
      <c r="J111" s="359"/>
      <c r="K111" s="359"/>
    </row>
    <row r="112" ht="20.25" spans="1:11">
      <c r="A112" s="359"/>
      <c r="B112" s="359"/>
      <c r="C112" s="359"/>
      <c r="D112" s="359"/>
      <c r="E112" s="359"/>
      <c r="F112" s="359"/>
      <c r="G112" s="359"/>
      <c r="H112" s="359"/>
      <c r="I112" s="359"/>
      <c r="J112" s="359"/>
      <c r="K112" s="359"/>
    </row>
    <row r="113" ht="20.25" spans="1:11">
      <c r="A113" s="359"/>
      <c r="B113" s="359"/>
      <c r="C113" s="359"/>
      <c r="D113" s="359"/>
      <c r="E113" s="359"/>
      <c r="F113" s="359"/>
      <c r="G113" s="359"/>
      <c r="H113" s="359"/>
      <c r="I113" s="359"/>
      <c r="J113" s="359"/>
      <c r="K113" s="359"/>
    </row>
    <row r="114" ht="20.25" spans="1:11">
      <c r="A114" s="359"/>
      <c r="B114" s="359"/>
      <c r="C114" s="359"/>
      <c r="D114" s="359"/>
      <c r="E114" s="359"/>
      <c r="F114" s="359"/>
      <c r="G114" s="359"/>
      <c r="H114" s="359"/>
      <c r="I114" s="359"/>
      <c r="J114" s="359"/>
      <c r="K114" s="359"/>
    </row>
    <row r="115" ht="20.25" spans="1:11">
      <c r="A115" s="359"/>
      <c r="B115" s="359"/>
      <c r="C115" s="359"/>
      <c r="D115" s="359"/>
      <c r="E115" s="359"/>
      <c r="F115" s="359"/>
      <c r="G115" s="359"/>
      <c r="H115" s="359"/>
      <c r="I115" s="359"/>
      <c r="J115" s="359"/>
      <c r="K115" s="359"/>
    </row>
    <row r="116" ht="20.25" spans="1:11">
      <c r="A116" s="359"/>
      <c r="B116" s="359"/>
      <c r="C116" s="359"/>
      <c r="D116" s="359"/>
      <c r="E116" s="359"/>
      <c r="F116" s="359"/>
      <c r="G116" s="359"/>
      <c r="H116" s="359"/>
      <c r="I116" s="359"/>
      <c r="J116" s="359"/>
      <c r="K116" s="359"/>
    </row>
    <row r="117" ht="20.25" spans="1:11">
      <c r="A117" s="359"/>
      <c r="B117" s="359"/>
      <c r="C117" s="359"/>
      <c r="D117" s="359"/>
      <c r="E117" s="359"/>
      <c r="F117" s="359"/>
      <c r="G117" s="359"/>
      <c r="H117" s="359"/>
      <c r="I117" s="359"/>
      <c r="J117" s="359"/>
      <c r="K117" s="359"/>
    </row>
    <row r="118" ht="20.25" spans="1:11">
      <c r="A118" s="359"/>
      <c r="B118" s="359"/>
      <c r="C118" s="359"/>
      <c r="D118" s="359"/>
      <c r="E118" s="359"/>
      <c r="F118" s="359"/>
      <c r="G118" s="359"/>
      <c r="H118" s="359"/>
      <c r="I118" s="359"/>
      <c r="J118" s="359"/>
      <c r="K118" s="359"/>
    </row>
    <row r="119" ht="20.25" spans="1:11">
      <c r="A119" s="359"/>
      <c r="B119" s="359"/>
      <c r="C119" s="359"/>
      <c r="D119" s="359"/>
      <c r="E119" s="359"/>
      <c r="F119" s="359"/>
      <c r="G119" s="359"/>
      <c r="H119" s="359"/>
      <c r="I119" s="359"/>
      <c r="J119" s="359"/>
      <c r="K119" s="359"/>
    </row>
    <row r="120" ht="20.25" spans="1:11">
      <c r="A120" s="359"/>
      <c r="B120" s="359"/>
      <c r="C120" s="359"/>
      <c r="D120" s="359"/>
      <c r="E120" s="359"/>
      <c r="F120" s="359"/>
      <c r="G120" s="359"/>
      <c r="H120" s="359"/>
      <c r="I120" s="359"/>
      <c r="J120" s="359"/>
      <c r="K120" s="359"/>
    </row>
    <row r="121" ht="20.25" spans="1:11">
      <c r="A121" s="359"/>
      <c r="B121" s="359"/>
      <c r="C121" s="359"/>
      <c r="D121" s="359"/>
      <c r="E121" s="359"/>
      <c r="F121" s="359"/>
      <c r="G121" s="359"/>
      <c r="H121" s="359"/>
      <c r="I121" s="359"/>
      <c r="J121" s="359"/>
      <c r="K121" s="359"/>
    </row>
    <row r="122" ht="20.25" spans="1:11">
      <c r="A122" s="359"/>
      <c r="B122" s="359"/>
      <c r="C122" s="359"/>
      <c r="D122" s="359"/>
      <c r="E122" s="359"/>
      <c r="F122" s="359"/>
      <c r="G122" s="359"/>
      <c r="H122" s="359"/>
      <c r="I122" s="359"/>
      <c r="J122" s="359"/>
      <c r="K122" s="359"/>
    </row>
    <row r="123" ht="20.25" spans="1:11">
      <c r="A123" s="359"/>
      <c r="B123" s="359"/>
      <c r="C123" s="359"/>
      <c r="D123" s="359"/>
      <c r="E123" s="359"/>
      <c r="F123" s="359"/>
      <c r="G123" s="359"/>
      <c r="H123" s="359"/>
      <c r="I123" s="359"/>
      <c r="J123" s="359"/>
      <c r="K123" s="359"/>
    </row>
    <row r="124" ht="20.25" spans="1:11">
      <c r="A124" s="359"/>
      <c r="B124" s="359"/>
      <c r="C124" s="359"/>
      <c r="D124" s="359"/>
      <c r="E124" s="359"/>
      <c r="F124" s="359"/>
      <c r="G124" s="359"/>
      <c r="H124" s="359"/>
      <c r="I124" s="359"/>
      <c r="J124" s="359"/>
      <c r="K124" s="359"/>
    </row>
    <row r="125" ht="20.25" spans="1:11">
      <c r="A125" s="359"/>
      <c r="B125" s="359"/>
      <c r="C125" s="359"/>
      <c r="D125" s="359"/>
      <c r="E125" s="359"/>
      <c r="F125" s="359"/>
      <c r="G125" s="359"/>
      <c r="H125" s="359"/>
      <c r="I125" s="359"/>
      <c r="J125" s="359"/>
      <c r="K125" s="359"/>
    </row>
    <row r="126" ht="20.25" spans="1:11">
      <c r="A126" s="359"/>
      <c r="B126" s="359"/>
      <c r="C126" s="359"/>
      <c r="D126" s="359"/>
      <c r="E126" s="359"/>
      <c r="F126" s="359"/>
      <c r="G126" s="359"/>
      <c r="H126" s="359"/>
      <c r="I126" s="359"/>
      <c r="J126" s="359"/>
      <c r="K126" s="359"/>
    </row>
    <row r="127" ht="20.25" spans="1:11">
      <c r="A127" s="359"/>
      <c r="B127" s="359"/>
      <c r="C127" s="359"/>
      <c r="D127" s="359"/>
      <c r="E127" s="359"/>
      <c r="F127" s="359"/>
      <c r="G127" s="359"/>
      <c r="H127" s="359"/>
      <c r="I127" s="359"/>
      <c r="J127" s="359"/>
      <c r="K127" s="359"/>
    </row>
    <row r="128" ht="20.25" spans="1:11">
      <c r="A128" s="359"/>
      <c r="B128" s="359"/>
      <c r="C128" s="359"/>
      <c r="D128" s="359"/>
      <c r="E128" s="359"/>
      <c r="F128" s="359"/>
      <c r="G128" s="359"/>
      <c r="H128" s="359"/>
      <c r="I128" s="359"/>
      <c r="J128" s="359"/>
      <c r="K128" s="359"/>
    </row>
    <row r="129" ht="20.25" spans="1:11">
      <c r="A129" s="359"/>
      <c r="B129" s="359"/>
      <c r="C129" s="359"/>
      <c r="D129" s="359"/>
      <c r="E129" s="359"/>
      <c r="F129" s="359"/>
      <c r="G129" s="359"/>
      <c r="H129" s="359"/>
      <c r="I129" s="359"/>
      <c r="J129" s="359"/>
      <c r="K129" s="359"/>
    </row>
    <row r="130" ht="20.25" spans="1:11">
      <c r="A130" s="359"/>
      <c r="B130" s="359"/>
      <c r="C130" s="359"/>
      <c r="D130" s="359"/>
      <c r="E130" s="359"/>
      <c r="F130" s="359"/>
      <c r="G130" s="359"/>
      <c r="H130" s="359"/>
      <c r="I130" s="359"/>
      <c r="J130" s="359"/>
      <c r="K130" s="359"/>
    </row>
    <row r="131" ht="20.25" spans="1:11">
      <c r="A131" s="359"/>
      <c r="B131" s="359"/>
      <c r="C131" s="359"/>
      <c r="D131" s="359"/>
      <c r="E131" s="359"/>
      <c r="F131" s="359"/>
      <c r="G131" s="359"/>
      <c r="H131" s="359"/>
      <c r="I131" s="359"/>
      <c r="J131" s="359"/>
      <c r="K131" s="359"/>
    </row>
    <row r="132" ht="20.25" spans="1:11">
      <c r="A132" s="359"/>
      <c r="B132" s="359"/>
      <c r="C132" s="359"/>
      <c r="D132" s="359"/>
      <c r="E132" s="359"/>
      <c r="F132" s="359"/>
      <c r="G132" s="359"/>
      <c r="H132" s="359"/>
      <c r="I132" s="359"/>
      <c r="J132" s="359"/>
      <c r="K132" s="359"/>
    </row>
    <row r="133" ht="20.25" spans="1:11">
      <c r="A133" s="359"/>
      <c r="B133" s="359"/>
      <c r="C133" s="359"/>
      <c r="D133" s="359"/>
      <c r="E133" s="359"/>
      <c r="F133" s="359"/>
      <c r="G133" s="359"/>
      <c r="H133" s="359"/>
      <c r="I133" s="359"/>
      <c r="J133" s="359"/>
      <c r="K133" s="359"/>
    </row>
    <row r="134" ht="20.25" spans="1:11">
      <c r="A134" s="359"/>
      <c r="B134" s="359"/>
      <c r="C134" s="359"/>
      <c r="D134" s="359"/>
      <c r="E134" s="359"/>
      <c r="F134" s="359"/>
      <c r="G134" s="359"/>
      <c r="H134" s="359"/>
      <c r="I134" s="359"/>
      <c r="J134" s="359"/>
      <c r="K134" s="359"/>
    </row>
    <row r="135" ht="20.25" spans="1:11">
      <c r="A135" s="359"/>
      <c r="B135" s="359"/>
      <c r="C135" s="359"/>
      <c r="D135" s="359"/>
      <c r="E135" s="359"/>
      <c r="F135" s="359"/>
      <c r="G135" s="359"/>
      <c r="H135" s="359"/>
      <c r="I135" s="359"/>
      <c r="J135" s="359"/>
      <c r="K135" s="359"/>
    </row>
    <row r="136" ht="20.25" spans="1:11">
      <c r="A136" s="359"/>
      <c r="B136" s="359"/>
      <c r="C136" s="359"/>
      <c r="D136" s="359"/>
      <c r="E136" s="359"/>
      <c r="F136" s="359"/>
      <c r="G136" s="359"/>
      <c r="H136" s="359"/>
      <c r="I136" s="359"/>
      <c r="J136" s="359"/>
      <c r="K136" s="359"/>
    </row>
    <row r="137" ht="20.25" spans="1:11">
      <c r="A137" s="359"/>
      <c r="B137" s="359"/>
      <c r="C137" s="359"/>
      <c r="D137" s="359"/>
      <c r="E137" s="359"/>
      <c r="F137" s="359"/>
      <c r="G137" s="359"/>
      <c r="H137" s="359"/>
      <c r="I137" s="359"/>
      <c r="J137" s="359"/>
      <c r="K137" s="359"/>
    </row>
    <row r="138" ht="20.25" spans="1:11">
      <c r="A138" s="359"/>
      <c r="B138" s="359"/>
      <c r="C138" s="359"/>
      <c r="D138" s="359"/>
      <c r="E138" s="359"/>
      <c r="F138" s="359"/>
      <c r="G138" s="359"/>
      <c r="H138" s="359"/>
      <c r="I138" s="359"/>
      <c r="J138" s="359"/>
      <c r="K138" s="359"/>
    </row>
    <row r="139" ht="20.25" spans="1:11">
      <c r="A139" s="359"/>
      <c r="B139" s="359"/>
      <c r="C139" s="359"/>
      <c r="D139" s="359"/>
      <c r="E139" s="359"/>
      <c r="F139" s="359"/>
      <c r="G139" s="359"/>
      <c r="H139" s="359"/>
      <c r="I139" s="359"/>
      <c r="J139" s="359"/>
      <c r="K139" s="359"/>
    </row>
    <row r="140" ht="20.25" spans="1:11">
      <c r="A140" s="359"/>
      <c r="B140" s="359"/>
      <c r="C140" s="359"/>
      <c r="D140" s="359"/>
      <c r="E140" s="359"/>
      <c r="F140" s="359"/>
      <c r="G140" s="359"/>
      <c r="H140" s="359"/>
      <c r="I140" s="359"/>
      <c r="J140" s="359"/>
      <c r="K140" s="359"/>
    </row>
    <row r="141" ht="20.25" spans="1:11">
      <c r="A141" s="359"/>
      <c r="B141" s="359"/>
      <c r="C141" s="359"/>
      <c r="D141" s="359"/>
      <c r="E141" s="359"/>
      <c r="F141" s="359"/>
      <c r="G141" s="359"/>
      <c r="H141" s="359"/>
      <c r="I141" s="359"/>
      <c r="J141" s="359"/>
      <c r="K141" s="359"/>
    </row>
    <row r="142" ht="20.25" spans="1:11">
      <c r="A142" s="359"/>
      <c r="B142" s="359"/>
      <c r="C142" s="359"/>
      <c r="D142" s="359"/>
      <c r="E142" s="359"/>
      <c r="F142" s="359"/>
      <c r="G142" s="359"/>
      <c r="H142" s="359"/>
      <c r="I142" s="359"/>
      <c r="J142" s="359"/>
      <c r="K142" s="359"/>
    </row>
    <row r="143" ht="20.25" spans="1:11">
      <c r="A143" s="359"/>
      <c r="B143" s="359"/>
      <c r="C143" s="359"/>
      <c r="D143" s="359"/>
      <c r="E143" s="359"/>
      <c r="F143" s="359"/>
      <c r="G143" s="359"/>
      <c r="H143" s="359"/>
      <c r="I143" s="359"/>
      <c r="J143" s="359"/>
      <c r="K143" s="359"/>
    </row>
    <row r="144" ht="20.25" spans="1:11">
      <c r="A144" s="359"/>
      <c r="B144" s="359"/>
      <c r="C144" s="359"/>
      <c r="D144" s="359"/>
      <c r="E144" s="359"/>
      <c r="F144" s="359"/>
      <c r="G144" s="359"/>
      <c r="H144" s="359"/>
      <c r="I144" s="359"/>
      <c r="J144" s="359"/>
      <c r="K144" s="359"/>
    </row>
    <row r="145" ht="20.25" spans="1:11">
      <c r="A145" s="359"/>
      <c r="B145" s="359"/>
      <c r="C145" s="359"/>
      <c r="D145" s="359"/>
      <c r="E145" s="359"/>
      <c r="F145" s="359"/>
      <c r="G145" s="359"/>
      <c r="H145" s="359"/>
      <c r="I145" s="359"/>
      <c r="J145" s="359"/>
      <c r="K145" s="359"/>
    </row>
    <row r="146" ht="20.25" spans="1:11">
      <c r="A146" s="359"/>
      <c r="B146" s="359"/>
      <c r="C146" s="359"/>
      <c r="D146" s="359"/>
      <c r="E146" s="359"/>
      <c r="F146" s="359"/>
      <c r="G146" s="359"/>
      <c r="H146" s="359"/>
      <c r="I146" s="359"/>
      <c r="J146" s="359"/>
      <c r="K146" s="359"/>
    </row>
    <row r="147" ht="20.25" spans="1:11">
      <c r="A147" s="359"/>
      <c r="B147" s="359"/>
      <c r="C147" s="359"/>
      <c r="D147" s="359"/>
      <c r="E147" s="359"/>
      <c r="F147" s="359"/>
      <c r="G147" s="359"/>
      <c r="H147" s="359"/>
      <c r="I147" s="359"/>
      <c r="J147" s="359"/>
      <c r="K147" s="359"/>
    </row>
    <row r="148" ht="20.25" spans="1:11">
      <c r="A148" s="359"/>
      <c r="B148" s="359"/>
      <c r="C148" s="359"/>
      <c r="D148" s="359"/>
      <c r="E148" s="359"/>
      <c r="F148" s="359"/>
      <c r="G148" s="359"/>
      <c r="H148" s="359"/>
      <c r="I148" s="359"/>
      <c r="J148" s="359"/>
      <c r="K148" s="359"/>
    </row>
    <row r="149" ht="20.25" spans="1:11">
      <c r="A149" s="359"/>
      <c r="B149" s="359"/>
      <c r="C149" s="359"/>
      <c r="D149" s="359"/>
      <c r="E149" s="359"/>
      <c r="F149" s="359"/>
      <c r="G149" s="359"/>
      <c r="H149" s="359"/>
      <c r="I149" s="359"/>
      <c r="J149" s="359"/>
      <c r="K149" s="359"/>
    </row>
    <row r="150" ht="20.25" spans="1:11">
      <c r="A150" s="359"/>
      <c r="B150" s="359"/>
      <c r="C150" s="359"/>
      <c r="D150" s="359"/>
      <c r="E150" s="359"/>
      <c r="F150" s="359"/>
      <c r="G150" s="359"/>
      <c r="H150" s="359"/>
      <c r="I150" s="359"/>
      <c r="J150" s="359"/>
      <c r="K150" s="359"/>
    </row>
    <row r="151" ht="20.25" spans="1:11">
      <c r="A151" s="359"/>
      <c r="B151" s="359"/>
      <c r="C151" s="359"/>
      <c r="D151" s="359"/>
      <c r="E151" s="359"/>
      <c r="F151" s="359"/>
      <c r="G151" s="359"/>
      <c r="H151" s="359"/>
      <c r="I151" s="359"/>
      <c r="J151" s="359"/>
      <c r="K151" s="359"/>
    </row>
    <row r="152" ht="20.25" spans="1:11">
      <c r="A152" s="359"/>
      <c r="B152" s="359"/>
      <c r="C152" s="359"/>
      <c r="D152" s="359"/>
      <c r="E152" s="359"/>
      <c r="F152" s="359"/>
      <c r="G152" s="359"/>
      <c r="H152" s="359"/>
      <c r="I152" s="359"/>
      <c r="J152" s="359"/>
      <c r="K152" s="359"/>
    </row>
    <row r="153" ht="20.25" spans="1:11">
      <c r="A153" s="359"/>
      <c r="B153" s="359"/>
      <c r="C153" s="359"/>
      <c r="D153" s="359"/>
      <c r="E153" s="359"/>
      <c r="F153" s="359"/>
      <c r="G153" s="359"/>
      <c r="H153" s="359"/>
      <c r="I153" s="359"/>
      <c r="J153" s="359"/>
      <c r="K153" s="359"/>
    </row>
    <row r="154" ht="20.25" spans="1:11">
      <c r="A154" s="359"/>
      <c r="B154" s="359"/>
      <c r="C154" s="359"/>
      <c r="D154" s="359"/>
      <c r="E154" s="359"/>
      <c r="F154" s="359"/>
      <c r="G154" s="359"/>
      <c r="H154" s="359"/>
      <c r="I154" s="359"/>
      <c r="J154" s="359"/>
      <c r="K154" s="359"/>
    </row>
    <row r="155" ht="20.25" spans="1:11">
      <c r="A155" s="359"/>
      <c r="B155" s="359"/>
      <c r="C155" s="359"/>
      <c r="D155" s="359"/>
      <c r="E155" s="359"/>
      <c r="F155" s="359"/>
      <c r="G155" s="359"/>
      <c r="H155" s="359"/>
      <c r="I155" s="359"/>
      <c r="J155" s="359"/>
      <c r="K155" s="359"/>
    </row>
    <row r="156" ht="20.25" spans="1:11">
      <c r="A156" s="359"/>
      <c r="B156" s="359"/>
      <c r="C156" s="359"/>
      <c r="D156" s="359"/>
      <c r="E156" s="359"/>
      <c r="F156" s="359"/>
      <c r="G156" s="359"/>
      <c r="H156" s="359"/>
      <c r="I156" s="359"/>
      <c r="J156" s="359"/>
      <c r="K156" s="359"/>
    </row>
    <row r="157" ht="20.25" spans="1:11">
      <c r="A157" s="359"/>
      <c r="B157" s="359"/>
      <c r="C157" s="359"/>
      <c r="D157" s="359"/>
      <c r="E157" s="359"/>
      <c r="F157" s="359"/>
      <c r="G157" s="359"/>
      <c r="H157" s="359"/>
      <c r="I157" s="359"/>
      <c r="J157" s="359"/>
      <c r="K157" s="359"/>
    </row>
    <row r="158" ht="20.25" spans="1:11">
      <c r="A158" s="359"/>
      <c r="B158" s="359"/>
      <c r="C158" s="359"/>
      <c r="D158" s="359"/>
      <c r="E158" s="359"/>
      <c r="F158" s="359"/>
      <c r="G158" s="359"/>
      <c r="H158" s="359"/>
      <c r="I158" s="359"/>
      <c r="J158" s="359"/>
      <c r="K158" s="359"/>
    </row>
    <row r="159" ht="20.25" spans="1:11">
      <c r="A159" s="359"/>
      <c r="B159" s="359"/>
      <c r="C159" s="359"/>
      <c r="D159" s="359"/>
      <c r="E159" s="359"/>
      <c r="F159" s="359"/>
      <c r="G159" s="359"/>
      <c r="H159" s="359"/>
      <c r="I159" s="359"/>
      <c r="J159" s="359"/>
      <c r="K159" s="359"/>
    </row>
    <row r="160" ht="20.25" spans="1:11">
      <c r="A160" s="359"/>
      <c r="B160" s="359"/>
      <c r="C160" s="359"/>
      <c r="D160" s="359"/>
      <c r="E160" s="359"/>
      <c r="F160" s="359"/>
      <c r="G160" s="359"/>
      <c r="H160" s="359"/>
      <c r="I160" s="359"/>
      <c r="J160" s="359"/>
      <c r="K160" s="359"/>
    </row>
    <row r="161" ht="20.25" spans="1:11">
      <c r="A161" s="359"/>
      <c r="B161" s="359"/>
      <c r="C161" s="359"/>
      <c r="D161" s="359"/>
      <c r="E161" s="359"/>
      <c r="F161" s="359"/>
      <c r="G161" s="359"/>
      <c r="H161" s="359"/>
      <c r="I161" s="359"/>
      <c r="J161" s="359"/>
      <c r="K161" s="359"/>
    </row>
    <row r="162" ht="20.25" spans="1:11">
      <c r="A162" s="359"/>
      <c r="B162" s="359"/>
      <c r="C162" s="359"/>
      <c r="D162" s="359"/>
      <c r="E162" s="359"/>
      <c r="F162" s="359"/>
      <c r="G162" s="359"/>
      <c r="H162" s="359"/>
      <c r="I162" s="359"/>
      <c r="J162" s="359"/>
      <c r="K162" s="359"/>
    </row>
    <row r="163" ht="20.25" spans="1:11">
      <c r="A163" s="359"/>
      <c r="B163" s="359"/>
      <c r="C163" s="359"/>
      <c r="D163" s="359"/>
      <c r="E163" s="359"/>
      <c r="F163" s="359"/>
      <c r="G163" s="359"/>
      <c r="H163" s="359"/>
      <c r="I163" s="359"/>
      <c r="J163" s="359"/>
      <c r="K163" s="359"/>
    </row>
    <row r="164" ht="20.25" spans="1:11">
      <c r="A164" s="359"/>
      <c r="B164" s="359"/>
      <c r="C164" s="359"/>
      <c r="D164" s="359"/>
      <c r="E164" s="359"/>
      <c r="F164" s="359"/>
      <c r="G164" s="359"/>
      <c r="H164" s="359"/>
      <c r="I164" s="359"/>
      <c r="J164" s="359"/>
      <c r="K164" s="359"/>
    </row>
    <row r="165" ht="20.25" spans="1:11">
      <c r="A165" s="359"/>
      <c r="B165" s="359"/>
      <c r="C165" s="359"/>
      <c r="D165" s="359"/>
      <c r="E165" s="359"/>
      <c r="F165" s="359"/>
      <c r="G165" s="359"/>
      <c r="H165" s="359"/>
      <c r="I165" s="359"/>
      <c r="J165" s="359"/>
      <c r="K165" s="359"/>
    </row>
    <row r="166" ht="20.25" spans="1:11">
      <c r="A166" s="359"/>
      <c r="B166" s="359"/>
      <c r="C166" s="359"/>
      <c r="D166" s="359"/>
      <c r="E166" s="359"/>
      <c r="F166" s="359"/>
      <c r="G166" s="359"/>
      <c r="H166" s="359"/>
      <c r="I166" s="359"/>
      <c r="J166" s="359"/>
      <c r="K166" s="359"/>
    </row>
    <row r="167" ht="20.25" spans="1:11">
      <c r="A167" s="359"/>
      <c r="B167" s="359"/>
      <c r="C167" s="359"/>
      <c r="D167" s="359"/>
      <c r="E167" s="359"/>
      <c r="F167" s="359"/>
      <c r="G167" s="359"/>
      <c r="H167" s="359"/>
      <c r="I167" s="359"/>
      <c r="J167" s="359"/>
      <c r="K167" s="359"/>
    </row>
    <row r="168" ht="20.25" spans="1:11">
      <c r="A168" s="359"/>
      <c r="B168" s="359"/>
      <c r="C168" s="359"/>
      <c r="D168" s="359"/>
      <c r="E168" s="359"/>
      <c r="F168" s="359"/>
      <c r="G168" s="359"/>
      <c r="H168" s="359"/>
      <c r="I168" s="359"/>
      <c r="J168" s="359"/>
      <c r="K168" s="359"/>
    </row>
    <row r="169" ht="20.25" spans="1:11">
      <c r="A169" s="359"/>
      <c r="B169" s="359"/>
      <c r="C169" s="359"/>
      <c r="D169" s="359"/>
      <c r="E169" s="359"/>
      <c r="F169" s="359"/>
      <c r="G169" s="359"/>
      <c r="H169" s="359"/>
      <c r="I169" s="359"/>
      <c r="J169" s="359"/>
      <c r="K169" s="359"/>
    </row>
    <row r="170" ht="20.25" spans="1:11">
      <c r="A170" s="359"/>
      <c r="B170" s="359"/>
      <c r="C170" s="359"/>
      <c r="D170" s="359"/>
      <c r="E170" s="359"/>
      <c r="F170" s="359"/>
      <c r="G170" s="359"/>
      <c r="H170" s="359"/>
      <c r="I170" s="359"/>
      <c r="J170" s="359"/>
      <c r="K170" s="359"/>
    </row>
    <row r="171" ht="20.25" spans="1:11">
      <c r="A171" s="359"/>
      <c r="B171" s="359"/>
      <c r="C171" s="359"/>
      <c r="D171" s="359"/>
      <c r="E171" s="359"/>
      <c r="F171" s="359"/>
      <c r="G171" s="359"/>
      <c r="H171" s="359"/>
      <c r="I171" s="359"/>
      <c r="J171" s="359"/>
      <c r="K171" s="359"/>
    </row>
    <row r="172" ht="20.25" spans="1:11">
      <c r="A172" s="359"/>
      <c r="B172" s="359"/>
      <c r="C172" s="359"/>
      <c r="D172" s="359"/>
      <c r="E172" s="359"/>
      <c r="F172" s="359"/>
      <c r="G172" s="359"/>
      <c r="H172" s="359"/>
      <c r="I172" s="359"/>
      <c r="J172" s="359"/>
      <c r="K172" s="359"/>
    </row>
    <row r="173" ht="20.25" spans="1:11">
      <c r="A173" s="359"/>
      <c r="B173" s="359"/>
      <c r="C173" s="359"/>
      <c r="D173" s="359"/>
      <c r="E173" s="359"/>
      <c r="F173" s="359"/>
      <c r="G173" s="359"/>
      <c r="H173" s="359"/>
      <c r="I173" s="359"/>
      <c r="J173" s="359"/>
      <c r="K173" s="359"/>
    </row>
    <row r="174" ht="20.25" spans="1:11">
      <c r="A174" s="359"/>
      <c r="B174" s="359"/>
      <c r="C174" s="359"/>
      <c r="D174" s="359"/>
      <c r="E174" s="359"/>
      <c r="F174" s="359"/>
      <c r="G174" s="359"/>
      <c r="H174" s="359"/>
      <c r="I174" s="359"/>
      <c r="J174" s="359"/>
      <c r="K174" s="359"/>
    </row>
    <row r="175" ht="20.25" spans="1:11">
      <c r="A175" s="359"/>
      <c r="B175" s="359"/>
      <c r="C175" s="359"/>
      <c r="D175" s="359"/>
      <c r="E175" s="359"/>
      <c r="F175" s="359"/>
      <c r="G175" s="359"/>
      <c r="H175" s="359"/>
      <c r="I175" s="359"/>
      <c r="J175" s="359"/>
      <c r="K175" s="359"/>
    </row>
    <row r="176" ht="20.25" spans="1:11">
      <c r="A176" s="359"/>
      <c r="B176" s="359"/>
      <c r="C176" s="359"/>
      <c r="D176" s="359"/>
      <c r="E176" s="359"/>
      <c r="F176" s="359"/>
      <c r="G176" s="359"/>
      <c r="H176" s="359"/>
      <c r="I176" s="359"/>
      <c r="J176" s="359"/>
      <c r="K176" s="359"/>
    </row>
    <row r="177" ht="20.25" spans="1:11">
      <c r="A177" s="359"/>
      <c r="B177" s="359"/>
      <c r="C177" s="359"/>
      <c r="D177" s="359"/>
      <c r="E177" s="359"/>
      <c r="F177" s="359"/>
      <c r="G177" s="359"/>
      <c r="H177" s="359"/>
      <c r="I177" s="359"/>
      <c r="J177" s="359"/>
      <c r="K177" s="359"/>
    </row>
    <row r="178" ht="20.25" spans="1:11">
      <c r="A178" s="359"/>
      <c r="B178" s="359"/>
      <c r="C178" s="359"/>
      <c r="D178" s="359"/>
      <c r="E178" s="359"/>
      <c r="F178" s="359"/>
      <c r="G178" s="359"/>
      <c r="H178" s="359"/>
      <c r="I178" s="359"/>
      <c r="J178" s="359"/>
      <c r="K178" s="359"/>
    </row>
    <row r="179" ht="20.25" spans="1:11">
      <c r="A179" s="359"/>
      <c r="B179" s="359"/>
      <c r="C179" s="359"/>
      <c r="D179" s="359"/>
      <c r="E179" s="359"/>
      <c r="F179" s="359"/>
      <c r="G179" s="359"/>
      <c r="H179" s="359"/>
      <c r="I179" s="359"/>
      <c r="J179" s="359"/>
      <c r="K179" s="359"/>
    </row>
    <row r="180" ht="20.25" spans="1:11">
      <c r="A180" s="359"/>
      <c r="B180" s="359"/>
      <c r="C180" s="359"/>
      <c r="D180" s="359"/>
      <c r="E180" s="359"/>
      <c r="F180" s="359"/>
      <c r="G180" s="359"/>
      <c r="H180" s="359"/>
      <c r="I180" s="359"/>
      <c r="J180" s="359"/>
      <c r="K180" s="359"/>
    </row>
    <row r="181" ht="20.25" spans="1:11">
      <c r="A181" s="359"/>
      <c r="B181" s="359"/>
      <c r="C181" s="359"/>
      <c r="D181" s="359"/>
      <c r="E181" s="359"/>
      <c r="F181" s="359"/>
      <c r="G181" s="359"/>
      <c r="H181" s="359"/>
      <c r="I181" s="359"/>
      <c r="J181" s="359"/>
      <c r="K181" s="359"/>
    </row>
    <row r="182" ht="20.25" spans="1:11">
      <c r="A182" s="359"/>
      <c r="B182" s="359"/>
      <c r="C182" s="359"/>
      <c r="D182" s="359"/>
      <c r="E182" s="359"/>
      <c r="F182" s="359"/>
      <c r="G182" s="359"/>
      <c r="H182" s="359"/>
      <c r="I182" s="359"/>
      <c r="J182" s="359"/>
      <c r="K182" s="359"/>
    </row>
    <row r="183" ht="20.25" spans="1:11">
      <c r="A183" s="359"/>
      <c r="B183" s="359"/>
      <c r="C183" s="359"/>
      <c r="D183" s="359"/>
      <c r="E183" s="359"/>
      <c r="F183" s="359"/>
      <c r="G183" s="359"/>
      <c r="H183" s="359"/>
      <c r="I183" s="359"/>
      <c r="J183" s="359"/>
      <c r="K183" s="359"/>
    </row>
    <row r="184" ht="20.25" spans="1:11">
      <c r="A184" s="359"/>
      <c r="B184" s="359"/>
      <c r="C184" s="359"/>
      <c r="D184" s="359"/>
      <c r="E184" s="359"/>
      <c r="F184" s="359"/>
      <c r="G184" s="359"/>
      <c r="H184" s="359"/>
      <c r="I184" s="359"/>
      <c r="J184" s="359"/>
      <c r="K184" s="359"/>
    </row>
    <row r="185" ht="20.25" spans="1:11">
      <c r="A185" s="359"/>
      <c r="B185" s="359"/>
      <c r="C185" s="359"/>
      <c r="D185" s="359"/>
      <c r="E185" s="359"/>
      <c r="F185" s="359"/>
      <c r="G185" s="359"/>
      <c r="H185" s="359"/>
      <c r="I185" s="359"/>
      <c r="J185" s="359"/>
      <c r="K185" s="359"/>
    </row>
    <row r="186" ht="20.25" spans="1:11">
      <c r="A186" s="359"/>
      <c r="B186" s="359"/>
      <c r="C186" s="359"/>
      <c r="D186" s="359"/>
      <c r="E186" s="359"/>
      <c r="F186" s="359"/>
      <c r="G186" s="359"/>
      <c r="H186" s="359"/>
      <c r="I186" s="359"/>
      <c r="J186" s="359"/>
      <c r="K186" s="359"/>
    </row>
    <row r="187" ht="20.25" spans="1:11">
      <c r="A187" s="359"/>
      <c r="B187" s="359"/>
      <c r="C187" s="359"/>
      <c r="D187" s="359"/>
      <c r="E187" s="359"/>
      <c r="F187" s="359"/>
      <c r="G187" s="359"/>
      <c r="H187" s="359"/>
      <c r="I187" s="359"/>
      <c r="J187" s="359"/>
      <c r="K187" s="359"/>
    </row>
    <row r="188" ht="20.25" spans="1:11">
      <c r="A188" s="359"/>
      <c r="B188" s="359"/>
      <c r="C188" s="359"/>
      <c r="D188" s="359"/>
      <c r="E188" s="359"/>
      <c r="F188" s="359"/>
      <c r="G188" s="359"/>
      <c r="H188" s="359"/>
      <c r="I188" s="359"/>
      <c r="J188" s="359"/>
      <c r="K188" s="359"/>
    </row>
    <row r="189" ht="20.25" spans="1:11">
      <c r="A189" s="359"/>
      <c r="B189" s="359"/>
      <c r="C189" s="359"/>
      <c r="D189" s="359"/>
      <c r="E189" s="359"/>
      <c r="F189" s="359"/>
      <c r="G189" s="359"/>
      <c r="H189" s="359"/>
      <c r="I189" s="359"/>
      <c r="J189" s="359"/>
      <c r="K189" s="359"/>
    </row>
    <row r="190" ht="20.25" spans="1:11">
      <c r="A190" s="359"/>
      <c r="B190" s="359"/>
      <c r="C190" s="359"/>
      <c r="D190" s="359"/>
      <c r="E190" s="359"/>
      <c r="F190" s="359"/>
      <c r="G190" s="359"/>
      <c r="H190" s="359"/>
      <c r="I190" s="359"/>
      <c r="J190" s="359"/>
      <c r="K190" s="359"/>
    </row>
    <row r="191" ht="20.25" spans="1:11">
      <c r="A191" s="359"/>
      <c r="B191" s="359"/>
      <c r="C191" s="359"/>
      <c r="D191" s="359"/>
      <c r="E191" s="359"/>
      <c r="F191" s="359"/>
      <c r="G191" s="359"/>
      <c r="H191" s="359"/>
      <c r="I191" s="359"/>
      <c r="J191" s="359"/>
      <c r="K191" s="359"/>
    </row>
    <row r="192" ht="20.25" spans="1:11">
      <c r="A192" s="359"/>
      <c r="B192" s="359"/>
      <c r="C192" s="359"/>
      <c r="D192" s="359"/>
      <c r="E192" s="359"/>
      <c r="F192" s="359"/>
      <c r="G192" s="359"/>
      <c r="H192" s="359"/>
      <c r="I192" s="359"/>
      <c r="J192" s="359"/>
      <c r="K192" s="359"/>
    </row>
    <row r="193" ht="20.25" spans="1:11">
      <c r="A193" s="359"/>
      <c r="B193" s="359"/>
      <c r="C193" s="359"/>
      <c r="D193" s="359"/>
      <c r="E193" s="359"/>
      <c r="F193" s="359"/>
      <c r="G193" s="359"/>
      <c r="H193" s="359"/>
      <c r="I193" s="359"/>
      <c r="J193" s="359"/>
      <c r="K193" s="359"/>
    </row>
    <row r="194" ht="20.25" spans="1:11">
      <c r="A194" s="359"/>
      <c r="B194" s="359"/>
      <c r="C194" s="359"/>
      <c r="D194" s="359"/>
      <c r="E194" s="359"/>
      <c r="F194" s="359"/>
      <c r="G194" s="359"/>
      <c r="H194" s="359"/>
      <c r="I194" s="359"/>
      <c r="J194" s="359"/>
      <c r="K194" s="359"/>
    </row>
    <row r="195" ht="20.25" spans="1:11">
      <c r="A195" s="359"/>
      <c r="B195" s="359"/>
      <c r="C195" s="359"/>
      <c r="D195" s="359"/>
      <c r="E195" s="359"/>
      <c r="F195" s="359"/>
      <c r="G195" s="359"/>
      <c r="H195" s="359"/>
      <c r="I195" s="359"/>
      <c r="J195" s="359"/>
      <c r="K195" s="359"/>
    </row>
    <row r="196" ht="20.25" spans="1:11">
      <c r="A196" s="359"/>
      <c r="B196" s="359"/>
      <c r="C196" s="359"/>
      <c r="D196" s="359"/>
      <c r="E196" s="359"/>
      <c r="F196" s="359"/>
      <c r="G196" s="359"/>
      <c r="H196" s="359"/>
      <c r="I196" s="359"/>
      <c r="J196" s="359"/>
      <c r="K196" s="359"/>
    </row>
    <row r="197" ht="20.25" spans="1:11">
      <c r="A197" s="359"/>
      <c r="B197" s="359"/>
      <c r="C197" s="359"/>
      <c r="D197" s="359"/>
      <c r="E197" s="359"/>
      <c r="F197" s="359"/>
      <c r="G197" s="359"/>
      <c r="H197" s="359"/>
      <c r="I197" s="359"/>
      <c r="J197" s="359"/>
      <c r="K197" s="359"/>
    </row>
    <row r="198" ht="20.25" spans="1:11">
      <c r="A198" s="359"/>
      <c r="B198" s="359"/>
      <c r="C198" s="359"/>
      <c r="D198" s="359"/>
      <c r="E198" s="359"/>
      <c r="F198" s="359"/>
      <c r="G198" s="359"/>
      <c r="H198" s="359"/>
      <c r="I198" s="359"/>
      <c r="J198" s="359"/>
      <c r="K198" s="359"/>
    </row>
    <row r="199" ht="20.25" spans="1:11">
      <c r="A199" s="359"/>
      <c r="B199" s="359"/>
      <c r="C199" s="359"/>
      <c r="D199" s="359"/>
      <c r="E199" s="359"/>
      <c r="F199" s="359"/>
      <c r="G199" s="359"/>
      <c r="H199" s="359"/>
      <c r="I199" s="359"/>
      <c r="J199" s="359"/>
      <c r="K199" s="359"/>
    </row>
    <row r="200" ht="20.25" spans="1:11">
      <c r="A200" s="359"/>
      <c r="B200" s="359"/>
      <c r="C200" s="359"/>
      <c r="D200" s="359"/>
      <c r="E200" s="359"/>
      <c r="F200" s="359"/>
      <c r="G200" s="359"/>
      <c r="H200" s="359"/>
      <c r="I200" s="359"/>
      <c r="J200" s="359"/>
      <c r="K200" s="359"/>
    </row>
    <row r="201" ht="20.25" spans="1:11">
      <c r="A201" s="359"/>
      <c r="B201" s="359"/>
      <c r="C201" s="359"/>
      <c r="D201" s="359"/>
      <c r="E201" s="359"/>
      <c r="F201" s="359"/>
      <c r="G201" s="359"/>
      <c r="H201" s="359"/>
      <c r="I201" s="359"/>
      <c r="J201" s="359"/>
      <c r="K201" s="359"/>
    </row>
    <row r="202" ht="20.25" spans="1:11">
      <c r="A202" s="359"/>
      <c r="B202" s="359"/>
      <c r="C202" s="359"/>
      <c r="D202" s="359"/>
      <c r="E202" s="359"/>
      <c r="F202" s="359"/>
      <c r="G202" s="359"/>
      <c r="H202" s="359"/>
      <c r="I202" s="359"/>
      <c r="J202" s="359"/>
      <c r="K202" s="359"/>
    </row>
    <row r="203" ht="20.25" spans="1:11">
      <c r="A203" s="359"/>
      <c r="B203" s="359"/>
      <c r="C203" s="359"/>
      <c r="D203" s="359"/>
      <c r="E203" s="359"/>
      <c r="F203" s="359"/>
      <c r="G203" s="359"/>
      <c r="H203" s="359"/>
      <c r="I203" s="359"/>
      <c r="J203" s="359"/>
      <c r="K203" s="359"/>
    </row>
    <row r="204" ht="20.25" spans="1:11">
      <c r="A204" s="359"/>
      <c r="B204" s="359"/>
      <c r="C204" s="359"/>
      <c r="D204" s="359"/>
      <c r="E204" s="359"/>
      <c r="F204" s="359"/>
      <c r="G204" s="359"/>
      <c r="H204" s="359"/>
      <c r="I204" s="359"/>
      <c r="J204" s="359"/>
      <c r="K204" s="359"/>
    </row>
    <row r="205" ht="20.25" spans="1:11">
      <c r="A205" s="359"/>
      <c r="B205" s="359"/>
      <c r="C205" s="359"/>
      <c r="D205" s="359"/>
      <c r="E205" s="359"/>
      <c r="F205" s="359"/>
      <c r="G205" s="359"/>
      <c r="H205" s="359"/>
      <c r="I205" s="359"/>
      <c r="J205" s="359"/>
      <c r="K205" s="359"/>
    </row>
    <row r="206" ht="20.25" spans="1:11">
      <c r="A206" s="359"/>
      <c r="B206" s="359"/>
      <c r="C206" s="359"/>
      <c r="D206" s="359"/>
      <c r="E206" s="359"/>
      <c r="F206" s="359"/>
      <c r="G206" s="359"/>
      <c r="H206" s="359"/>
      <c r="I206" s="359"/>
      <c r="J206" s="359"/>
      <c r="K206" s="359"/>
    </row>
    <row r="207" ht="20.25" spans="1:11">
      <c r="A207" s="359"/>
      <c r="B207" s="359"/>
      <c r="C207" s="359"/>
      <c r="D207" s="359"/>
      <c r="E207" s="359"/>
      <c r="F207" s="359"/>
      <c r="G207" s="359"/>
      <c r="H207" s="359"/>
      <c r="I207" s="359"/>
      <c r="J207" s="359"/>
      <c r="K207" s="359"/>
    </row>
    <row r="208" ht="20.25" spans="1:11">
      <c r="A208" s="359"/>
      <c r="B208" s="359"/>
      <c r="C208" s="359"/>
      <c r="D208" s="359"/>
      <c r="E208" s="359"/>
      <c r="F208" s="359"/>
      <c r="G208" s="359"/>
      <c r="H208" s="359"/>
      <c r="I208" s="359"/>
      <c r="J208" s="359"/>
      <c r="K208" s="359"/>
    </row>
    <row r="209" ht="20.25" spans="1:11">
      <c r="A209" s="359"/>
      <c r="B209" s="359"/>
      <c r="C209" s="359"/>
      <c r="D209" s="359"/>
      <c r="E209" s="359"/>
      <c r="F209" s="359"/>
      <c r="G209" s="359"/>
      <c r="H209" s="359"/>
      <c r="I209" s="359"/>
      <c r="J209" s="359"/>
      <c r="K209" s="359"/>
    </row>
    <row r="210" ht="20.25" spans="1:11">
      <c r="A210" s="359"/>
      <c r="B210" s="359"/>
      <c r="C210" s="359"/>
      <c r="D210" s="359"/>
      <c r="E210" s="359"/>
      <c r="F210" s="359"/>
      <c r="G210" s="359"/>
      <c r="H210" s="359"/>
      <c r="I210" s="359"/>
      <c r="J210" s="359"/>
      <c r="K210" s="359"/>
    </row>
    <row r="211" ht="20.25" spans="1:11">
      <c r="A211" s="359"/>
      <c r="B211" s="359"/>
      <c r="C211" s="359"/>
      <c r="D211" s="359"/>
      <c r="E211" s="359"/>
      <c r="F211" s="359"/>
      <c r="G211" s="359"/>
      <c r="H211" s="359"/>
      <c r="I211" s="359"/>
      <c r="J211" s="359"/>
      <c r="K211" s="359"/>
    </row>
    <row r="212" ht="20.25" spans="1:11">
      <c r="A212" s="359"/>
      <c r="B212" s="359"/>
      <c r="C212" s="359"/>
      <c r="D212" s="359"/>
      <c r="E212" s="359"/>
      <c r="F212" s="359"/>
      <c r="G212" s="359"/>
      <c r="H212" s="359"/>
      <c r="I212" s="359"/>
      <c r="J212" s="359"/>
      <c r="K212" s="359"/>
    </row>
    <row r="213" ht="20.25" spans="1:11">
      <c r="A213" s="359"/>
      <c r="B213" s="359"/>
      <c r="C213" s="359"/>
      <c r="D213" s="359"/>
      <c r="E213" s="359"/>
      <c r="F213" s="359"/>
      <c r="G213" s="359"/>
      <c r="H213" s="359"/>
      <c r="I213" s="359"/>
      <c r="J213" s="359"/>
      <c r="K213" s="359"/>
    </row>
    <row r="214" ht="20.25" spans="1:11">
      <c r="A214" s="359"/>
      <c r="B214" s="359"/>
      <c r="C214" s="359"/>
      <c r="D214" s="359"/>
      <c r="E214" s="359"/>
      <c r="F214" s="359"/>
      <c r="G214" s="359"/>
      <c r="H214" s="359"/>
      <c r="I214" s="359"/>
      <c r="J214" s="359"/>
      <c r="K214" s="359"/>
    </row>
    <row r="215" ht="20.25" spans="1:11">
      <c r="A215" s="359"/>
      <c r="B215" s="359"/>
      <c r="C215" s="359"/>
      <c r="D215" s="359"/>
      <c r="E215" s="359"/>
      <c r="F215" s="359"/>
      <c r="G215" s="359"/>
      <c r="H215" s="359"/>
      <c r="I215" s="359"/>
      <c r="J215" s="359"/>
      <c r="K215" s="359"/>
    </row>
    <row r="216" ht="20.25" spans="1:11">
      <c r="A216" s="359"/>
      <c r="B216" s="359"/>
      <c r="C216" s="359"/>
      <c r="D216" s="359"/>
      <c r="E216" s="359"/>
      <c r="F216" s="359"/>
      <c r="G216" s="359"/>
      <c r="H216" s="359"/>
      <c r="I216" s="359"/>
      <c r="J216" s="359"/>
      <c r="K216" s="359"/>
    </row>
    <row r="217" ht="20.25" spans="1:11">
      <c r="A217" s="359"/>
      <c r="B217" s="359"/>
      <c r="C217" s="359"/>
      <c r="D217" s="359"/>
      <c r="E217" s="359"/>
      <c r="F217" s="359"/>
      <c r="G217" s="359"/>
      <c r="H217" s="359"/>
      <c r="I217" s="359"/>
      <c r="J217" s="359"/>
      <c r="K217" s="359"/>
    </row>
    <row r="218" ht="20.25" spans="1:11">
      <c r="A218" s="359"/>
      <c r="B218" s="359"/>
      <c r="C218" s="359"/>
      <c r="D218" s="359"/>
      <c r="E218" s="359"/>
      <c r="F218" s="359"/>
      <c r="G218" s="359"/>
      <c r="H218" s="359"/>
      <c r="I218" s="359"/>
      <c r="J218" s="359"/>
      <c r="K218" s="359"/>
    </row>
    <row r="219" ht="20.25" spans="1:11">
      <c r="A219" s="359"/>
      <c r="B219" s="359"/>
      <c r="C219" s="359"/>
      <c r="D219" s="359"/>
      <c r="E219" s="359"/>
      <c r="F219" s="359"/>
      <c r="G219" s="359"/>
      <c r="H219" s="359"/>
      <c r="I219" s="359"/>
      <c r="J219" s="359"/>
      <c r="K219" s="359"/>
    </row>
    <row r="220" ht="20.25" spans="1:11">
      <c r="A220" s="359"/>
      <c r="B220" s="359"/>
      <c r="C220" s="359"/>
      <c r="D220" s="359"/>
      <c r="E220" s="359"/>
      <c r="F220" s="359"/>
      <c r="G220" s="359"/>
      <c r="H220" s="359"/>
      <c r="I220" s="359"/>
      <c r="J220" s="359"/>
      <c r="K220" s="359"/>
    </row>
    <row r="221" ht="20.25" spans="1:11">
      <c r="A221" s="359"/>
      <c r="B221" s="359"/>
      <c r="C221" s="359"/>
      <c r="D221" s="359"/>
      <c r="E221" s="359"/>
      <c r="F221" s="359"/>
      <c r="G221" s="359"/>
      <c r="H221" s="359"/>
      <c r="I221" s="359"/>
      <c r="J221" s="359"/>
      <c r="K221" s="359"/>
    </row>
    <row r="222" ht="20.25" spans="1:11">
      <c r="A222" s="359"/>
      <c r="B222" s="359"/>
      <c r="C222" s="359"/>
      <c r="D222" s="359"/>
      <c r="E222" s="359"/>
      <c r="F222" s="359"/>
      <c r="G222" s="359"/>
      <c r="H222" s="359"/>
      <c r="I222" s="359"/>
      <c r="J222" s="359"/>
      <c r="K222" s="359"/>
    </row>
    <row r="223" ht="20.25" spans="1:11">
      <c r="A223" s="359"/>
      <c r="B223" s="359"/>
      <c r="C223" s="359"/>
      <c r="D223" s="359"/>
      <c r="E223" s="359"/>
      <c r="F223" s="359"/>
      <c r="G223" s="359"/>
      <c r="H223" s="359"/>
      <c r="I223" s="359"/>
      <c r="J223" s="359"/>
      <c r="K223" s="359"/>
    </row>
    <row r="224" ht="20.25" spans="1:11">
      <c r="A224" s="359"/>
      <c r="B224" s="359"/>
      <c r="C224" s="359"/>
      <c r="D224" s="359"/>
      <c r="E224" s="359"/>
      <c r="F224" s="359"/>
      <c r="G224" s="359"/>
      <c r="H224" s="359"/>
      <c r="I224" s="359"/>
      <c r="J224" s="359"/>
      <c r="K224" s="359"/>
    </row>
    <row r="225" ht="20.25" spans="1:11">
      <c r="A225" s="359"/>
      <c r="B225" s="359"/>
      <c r="C225" s="359"/>
      <c r="D225" s="359"/>
      <c r="E225" s="359"/>
      <c r="F225" s="359"/>
      <c r="G225" s="359"/>
      <c r="H225" s="359"/>
      <c r="I225" s="359"/>
      <c r="J225" s="359"/>
      <c r="K225" s="359"/>
    </row>
    <row r="226" ht="20.25" spans="1:11">
      <c r="A226" s="359"/>
      <c r="B226" s="359"/>
      <c r="C226" s="359"/>
      <c r="D226" s="359"/>
      <c r="E226" s="359"/>
      <c r="F226" s="359"/>
      <c r="G226" s="359"/>
      <c r="H226" s="359"/>
      <c r="I226" s="359"/>
      <c r="J226" s="359"/>
      <c r="K226" s="359"/>
    </row>
    <row r="227" ht="20.25" spans="1:11">
      <c r="A227" s="359"/>
      <c r="B227" s="359"/>
      <c r="C227" s="359"/>
      <c r="D227" s="359"/>
      <c r="E227" s="359"/>
      <c r="F227" s="359"/>
      <c r="G227" s="359"/>
      <c r="H227" s="359"/>
      <c r="I227" s="359"/>
      <c r="J227" s="359"/>
      <c r="K227" s="359"/>
    </row>
    <row r="228" ht="20.25" spans="1:11">
      <c r="A228" s="359"/>
      <c r="B228" s="359"/>
      <c r="C228" s="359"/>
      <c r="D228" s="359"/>
      <c r="E228" s="359"/>
      <c r="F228" s="359"/>
      <c r="G228" s="359"/>
      <c r="H228" s="359"/>
      <c r="I228" s="359"/>
      <c r="J228" s="359"/>
      <c r="K228" s="359"/>
    </row>
    <row r="229" ht="20.25" spans="1:11">
      <c r="A229" s="359"/>
      <c r="B229" s="359"/>
      <c r="C229" s="359"/>
      <c r="D229" s="359"/>
      <c r="E229" s="359"/>
      <c r="F229" s="359"/>
      <c r="G229" s="359"/>
      <c r="H229" s="359"/>
      <c r="I229" s="359"/>
      <c r="J229" s="359"/>
      <c r="K229" s="359"/>
    </row>
    <row r="230" ht="20.25" spans="1:11">
      <c r="A230" s="359"/>
      <c r="B230" s="359"/>
      <c r="C230" s="359"/>
      <c r="D230" s="359"/>
      <c r="E230" s="359"/>
      <c r="F230" s="359"/>
      <c r="G230" s="359"/>
      <c r="H230" s="359"/>
      <c r="I230" s="359"/>
      <c r="J230" s="359"/>
      <c r="K230" s="359"/>
    </row>
    <row r="231" ht="20.25" spans="1:11">
      <c r="A231" s="359"/>
      <c r="B231" s="359"/>
      <c r="C231" s="359"/>
      <c r="D231" s="359"/>
      <c r="E231" s="359"/>
      <c r="F231" s="359"/>
      <c r="G231" s="359"/>
      <c r="H231" s="359"/>
      <c r="I231" s="359"/>
      <c r="J231" s="359"/>
      <c r="K231" s="359"/>
    </row>
    <row r="232" ht="20.25" spans="1:11">
      <c r="A232" s="359"/>
      <c r="B232" s="359"/>
      <c r="C232" s="359"/>
      <c r="D232" s="359"/>
      <c r="E232" s="359"/>
      <c r="F232" s="359"/>
      <c r="G232" s="359"/>
      <c r="H232" s="359"/>
      <c r="I232" s="359"/>
      <c r="J232" s="359"/>
      <c r="K232" s="359"/>
    </row>
    <row r="233" ht="20.25" spans="1:11">
      <c r="A233" s="359"/>
      <c r="B233" s="359"/>
      <c r="C233" s="359"/>
      <c r="D233" s="359"/>
      <c r="E233" s="359"/>
      <c r="F233" s="359"/>
      <c r="G233" s="359"/>
      <c r="H233" s="359"/>
      <c r="I233" s="359"/>
      <c r="J233" s="359"/>
      <c r="K233" s="359"/>
    </row>
    <row r="234" ht="20.25" spans="1:11">
      <c r="A234" s="359"/>
      <c r="B234" s="359"/>
      <c r="C234" s="359"/>
      <c r="D234" s="359"/>
      <c r="E234" s="359"/>
      <c r="F234" s="359"/>
      <c r="G234" s="359"/>
      <c r="H234" s="359"/>
      <c r="I234" s="359"/>
      <c r="J234" s="359"/>
      <c r="K234" s="359"/>
    </row>
    <row r="235" ht="20.25" spans="1:11">
      <c r="A235" s="359"/>
      <c r="B235" s="359"/>
      <c r="C235" s="359"/>
      <c r="D235" s="359"/>
      <c r="E235" s="359"/>
      <c r="F235" s="359"/>
      <c r="G235" s="359"/>
      <c r="H235" s="359"/>
      <c r="I235" s="359"/>
      <c r="J235" s="359"/>
      <c r="K235" s="359"/>
    </row>
    <row r="236" ht="20.25" spans="1:11">
      <c r="A236" s="359"/>
      <c r="B236" s="359"/>
      <c r="C236" s="359"/>
      <c r="D236" s="359"/>
      <c r="E236" s="359"/>
      <c r="F236" s="359"/>
      <c r="G236" s="359"/>
      <c r="H236" s="359"/>
      <c r="I236" s="359"/>
      <c r="J236" s="359"/>
      <c r="K236" s="359"/>
    </row>
    <row r="237" ht="20.25" spans="1:11">
      <c r="A237" s="359"/>
      <c r="B237" s="359"/>
      <c r="C237" s="359"/>
      <c r="D237" s="359"/>
      <c r="E237" s="359"/>
      <c r="F237" s="359"/>
      <c r="G237" s="359"/>
      <c r="H237" s="359"/>
      <c r="I237" s="359"/>
      <c r="J237" s="359"/>
      <c r="K237" s="359"/>
    </row>
    <row r="238" ht="20.25" spans="1:11">
      <c r="A238" s="359"/>
      <c r="B238" s="359"/>
      <c r="C238" s="359"/>
      <c r="D238" s="359"/>
      <c r="E238" s="359"/>
      <c r="F238" s="359"/>
      <c r="G238" s="359"/>
      <c r="H238" s="359"/>
      <c r="I238" s="359"/>
      <c r="J238" s="359"/>
      <c r="K238" s="359"/>
    </row>
    <row r="239" ht="20.25" spans="1:11">
      <c r="A239" s="359"/>
      <c r="B239" s="359"/>
      <c r="C239" s="359"/>
      <c r="D239" s="359"/>
      <c r="E239" s="359"/>
      <c r="F239" s="359"/>
      <c r="G239" s="359"/>
      <c r="H239" s="359"/>
      <c r="I239" s="359"/>
      <c r="J239" s="359"/>
      <c r="K239" s="359"/>
    </row>
    <row r="240" ht="20.25" spans="1:11">
      <c r="A240" s="359"/>
      <c r="B240" s="359"/>
      <c r="C240" s="359"/>
      <c r="D240" s="359"/>
      <c r="E240" s="359"/>
      <c r="F240" s="359"/>
      <c r="G240" s="359"/>
      <c r="H240" s="359"/>
      <c r="I240" s="359"/>
      <c r="J240" s="359"/>
      <c r="K240" s="359"/>
    </row>
    <row r="241" ht="20.25" spans="1:11">
      <c r="A241" s="359"/>
      <c r="B241" s="359"/>
      <c r="C241" s="359"/>
      <c r="D241" s="359"/>
      <c r="E241" s="359"/>
      <c r="F241" s="359"/>
      <c r="G241" s="359"/>
      <c r="H241" s="359"/>
      <c r="I241" s="359"/>
      <c r="J241" s="359"/>
      <c r="K241" s="359"/>
    </row>
    <row r="242" ht="20.25" spans="1:11">
      <c r="A242" s="359"/>
      <c r="B242" s="359"/>
      <c r="C242" s="359"/>
      <c r="D242" s="359"/>
      <c r="E242" s="359"/>
      <c r="F242" s="359"/>
      <c r="G242" s="359"/>
      <c r="H242" s="359"/>
      <c r="I242" s="359"/>
      <c r="J242" s="359"/>
      <c r="K242" s="359"/>
    </row>
    <row r="243" ht="20.25" spans="1:11">
      <c r="A243" s="359"/>
      <c r="B243" s="359"/>
      <c r="C243" s="359"/>
      <c r="D243" s="359"/>
      <c r="E243" s="359"/>
      <c r="F243" s="359"/>
      <c r="G243" s="359"/>
      <c r="H243" s="359"/>
      <c r="I243" s="359"/>
      <c r="J243" s="359"/>
      <c r="K243" s="359"/>
    </row>
    <row r="244" ht="20.25" spans="1:11">
      <c r="A244" s="359"/>
      <c r="B244" s="359"/>
      <c r="C244" s="359"/>
      <c r="D244" s="359"/>
      <c r="E244" s="359"/>
      <c r="F244" s="359"/>
      <c r="G244" s="359"/>
      <c r="H244" s="359"/>
      <c r="I244" s="359"/>
      <c r="J244" s="359"/>
      <c r="K244" s="359"/>
    </row>
    <row r="245" ht="20.25" spans="1:11">
      <c r="A245" s="359"/>
      <c r="B245" s="359"/>
      <c r="C245" s="359"/>
      <c r="D245" s="359"/>
      <c r="E245" s="359"/>
      <c r="F245" s="359"/>
      <c r="G245" s="359"/>
      <c r="H245" s="359"/>
      <c r="I245" s="359"/>
      <c r="J245" s="359"/>
      <c r="K245" s="359"/>
    </row>
    <row r="246" ht="20.25" spans="1:11">
      <c r="A246" s="359"/>
      <c r="B246" s="359"/>
      <c r="C246" s="359"/>
      <c r="D246" s="359"/>
      <c r="E246" s="359"/>
      <c r="F246" s="359"/>
      <c r="G246" s="359"/>
      <c r="H246" s="359"/>
      <c r="I246" s="359"/>
      <c r="J246" s="359"/>
      <c r="K246" s="359"/>
    </row>
    <row r="247" ht="20.25" spans="1:11">
      <c r="A247" s="359"/>
      <c r="B247" s="359"/>
      <c r="C247" s="359"/>
      <c r="D247" s="359"/>
      <c r="E247" s="359"/>
      <c r="F247" s="359"/>
      <c r="G247" s="359"/>
      <c r="H247" s="359"/>
      <c r="I247" s="359"/>
      <c r="J247" s="359"/>
      <c r="K247" s="359"/>
    </row>
    <row r="248" ht="20.25" spans="1:11">
      <c r="A248" s="359"/>
      <c r="B248" s="359"/>
      <c r="C248" s="359"/>
      <c r="D248" s="359"/>
      <c r="E248" s="359"/>
      <c r="F248" s="359"/>
      <c r="G248" s="359"/>
      <c r="H248" s="359"/>
      <c r="I248" s="359"/>
      <c r="J248" s="359"/>
      <c r="K248" s="359"/>
    </row>
    <row r="249" ht="20.25" spans="1:11">
      <c r="A249" s="359"/>
      <c r="B249" s="359"/>
      <c r="C249" s="359"/>
      <c r="D249" s="359"/>
      <c r="E249" s="359"/>
      <c r="F249" s="359"/>
      <c r="G249" s="359"/>
      <c r="H249" s="359"/>
      <c r="I249" s="359"/>
      <c r="J249" s="359"/>
      <c r="K249" s="359"/>
    </row>
    <row r="250" ht="20.25" spans="1:11">
      <c r="A250" s="359"/>
      <c r="B250" s="359"/>
      <c r="C250" s="359"/>
      <c r="D250" s="359"/>
      <c r="E250" s="359"/>
      <c r="F250" s="359"/>
      <c r="G250" s="359"/>
      <c r="H250" s="359"/>
      <c r="I250" s="359"/>
      <c r="J250" s="359"/>
      <c r="K250" s="359"/>
    </row>
    <row r="251" ht="20.25" spans="1:11">
      <c r="A251" s="359"/>
      <c r="B251" s="359"/>
      <c r="C251" s="359"/>
      <c r="D251" s="359"/>
      <c r="E251" s="359"/>
      <c r="F251" s="359"/>
      <c r="G251" s="359"/>
      <c r="H251" s="359"/>
      <c r="I251" s="359"/>
      <c r="J251" s="359"/>
      <c r="K251" s="359"/>
    </row>
    <row r="252" ht="20.25" spans="1:11">
      <c r="A252" s="359"/>
      <c r="B252" s="359"/>
      <c r="C252" s="359"/>
      <c r="D252" s="359"/>
      <c r="E252" s="359"/>
      <c r="F252" s="359"/>
      <c r="G252" s="359"/>
      <c r="H252" s="359"/>
      <c r="I252" s="359"/>
      <c r="J252" s="359"/>
      <c r="K252" s="359"/>
    </row>
    <row r="253" ht="20.25" spans="1:11">
      <c r="A253" s="359"/>
      <c r="B253" s="359"/>
      <c r="C253" s="359"/>
      <c r="D253" s="359"/>
      <c r="E253" s="359"/>
      <c r="F253" s="359"/>
      <c r="G253" s="359"/>
      <c r="H253" s="359"/>
      <c r="I253" s="359"/>
      <c r="J253" s="359"/>
      <c r="K253" s="359"/>
    </row>
    <row r="254" ht="20.25" spans="1:11">
      <c r="A254" s="359"/>
      <c r="B254" s="359"/>
      <c r="C254" s="359"/>
      <c r="D254" s="359"/>
      <c r="E254" s="359"/>
      <c r="F254" s="359"/>
      <c r="G254" s="359"/>
      <c r="H254" s="359"/>
      <c r="I254" s="359"/>
      <c r="J254" s="359"/>
      <c r="K254" s="359"/>
    </row>
    <row r="255" ht="20.25" spans="1:11">
      <c r="A255" s="359"/>
      <c r="B255" s="359"/>
      <c r="C255" s="359"/>
      <c r="D255" s="359"/>
      <c r="E255" s="359"/>
      <c r="F255" s="359"/>
      <c r="G255" s="359"/>
      <c r="H255" s="359"/>
      <c r="I255" s="359"/>
      <c r="J255" s="359"/>
      <c r="K255" s="359"/>
    </row>
    <row r="256" ht="20.25" spans="1:11">
      <c r="A256" s="359"/>
      <c r="B256" s="359"/>
      <c r="C256" s="359"/>
      <c r="D256" s="359"/>
      <c r="E256" s="359"/>
      <c r="F256" s="359"/>
      <c r="G256" s="359"/>
      <c r="H256" s="359"/>
      <c r="I256" s="359"/>
      <c r="J256" s="359"/>
      <c r="K256" s="359"/>
    </row>
    <row r="257" ht="20.25" spans="1:11">
      <c r="A257" s="359"/>
      <c r="B257" s="359"/>
      <c r="C257" s="359"/>
      <c r="D257" s="359"/>
      <c r="E257" s="359"/>
      <c r="F257" s="359"/>
      <c r="G257" s="359"/>
      <c r="H257" s="359"/>
      <c r="I257" s="359"/>
      <c r="J257" s="359"/>
      <c r="K257" s="359"/>
    </row>
    <row r="258" ht="20.25" spans="1:11">
      <c r="A258" s="359"/>
      <c r="B258" s="359"/>
      <c r="C258" s="359"/>
      <c r="D258" s="359"/>
      <c r="E258" s="359"/>
      <c r="F258" s="359"/>
      <c r="G258" s="359"/>
      <c r="H258" s="359"/>
      <c r="I258" s="359"/>
      <c r="J258" s="359"/>
      <c r="K258" s="359"/>
    </row>
    <row r="259" ht="20.25" spans="1:11">
      <c r="A259" s="359"/>
      <c r="B259" s="359"/>
      <c r="C259" s="359"/>
      <c r="D259" s="359"/>
      <c r="E259" s="359"/>
      <c r="F259" s="359"/>
      <c r="G259" s="359"/>
      <c r="H259" s="359"/>
      <c r="I259" s="359"/>
      <c r="J259" s="359"/>
      <c r="K259" s="359"/>
    </row>
    <row r="260" ht="20.25" spans="1:11">
      <c r="A260" s="359"/>
      <c r="B260" s="359"/>
      <c r="C260" s="359"/>
      <c r="D260" s="359"/>
      <c r="E260" s="359"/>
      <c r="F260" s="359"/>
      <c r="G260" s="359"/>
      <c r="H260" s="359"/>
      <c r="I260" s="359"/>
      <c r="J260" s="359"/>
      <c r="K260" s="359"/>
    </row>
    <row r="261" ht="20.25" spans="1:11">
      <c r="A261" s="359"/>
      <c r="B261" s="359"/>
      <c r="C261" s="359"/>
      <c r="D261" s="359"/>
      <c r="E261" s="359"/>
      <c r="F261" s="359"/>
      <c r="G261" s="359"/>
      <c r="H261" s="359"/>
      <c r="I261" s="359"/>
      <c r="J261" s="359"/>
      <c r="K261" s="359"/>
    </row>
    <row r="262" ht="20.25" spans="1:11">
      <c r="A262" s="359"/>
      <c r="B262" s="359"/>
      <c r="C262" s="359"/>
      <c r="D262" s="359"/>
      <c r="E262" s="359"/>
      <c r="F262" s="359"/>
      <c r="G262" s="359"/>
      <c r="H262" s="359"/>
      <c r="I262" s="359"/>
      <c r="J262" s="359"/>
      <c r="K262" s="359"/>
    </row>
    <row r="263" ht="20.25" spans="1:11">
      <c r="A263" s="359"/>
      <c r="B263" s="359"/>
      <c r="C263" s="359"/>
      <c r="D263" s="359"/>
      <c r="E263" s="359"/>
      <c r="F263" s="359"/>
      <c r="G263" s="359"/>
      <c r="H263" s="359"/>
      <c r="I263" s="359"/>
      <c r="J263" s="359"/>
      <c r="K263" s="359"/>
    </row>
    <row r="264" ht="20.25" spans="1:11">
      <c r="A264" s="359"/>
      <c r="B264" s="359"/>
      <c r="C264" s="359"/>
      <c r="D264" s="359"/>
      <c r="E264" s="359"/>
      <c r="F264" s="359"/>
      <c r="G264" s="359"/>
      <c r="H264" s="359"/>
      <c r="I264" s="359"/>
      <c r="J264" s="359"/>
      <c r="K264" s="359"/>
    </row>
    <row r="265" ht="20.25" spans="1:11">
      <c r="A265" s="359"/>
      <c r="B265" s="359"/>
      <c r="C265" s="359"/>
      <c r="D265" s="359"/>
      <c r="E265" s="359"/>
      <c r="F265" s="359"/>
      <c r="G265" s="359"/>
      <c r="H265" s="359"/>
      <c r="I265" s="359"/>
      <c r="J265" s="359"/>
      <c r="K265" s="359"/>
    </row>
    <row r="266" ht="20.25" spans="1:11">
      <c r="A266" s="359"/>
      <c r="B266" s="359"/>
      <c r="C266" s="359"/>
      <c r="D266" s="359"/>
      <c r="E266" s="359"/>
      <c r="F266" s="359"/>
      <c r="G266" s="359"/>
      <c r="H266" s="359"/>
      <c r="I266" s="359"/>
      <c r="J266" s="359"/>
      <c r="K266" s="359"/>
    </row>
    <row r="267" ht="20.25" spans="1:11">
      <c r="A267" s="359"/>
      <c r="B267" s="359"/>
      <c r="C267" s="359"/>
      <c r="D267" s="359"/>
      <c r="E267" s="359"/>
      <c r="F267" s="359"/>
      <c r="G267" s="359"/>
      <c r="H267" s="359"/>
      <c r="I267" s="359"/>
      <c r="J267" s="359"/>
      <c r="K267" s="359"/>
    </row>
    <row r="268" ht="20.25" spans="1:11">
      <c r="A268" s="359"/>
      <c r="B268" s="359"/>
      <c r="C268" s="359"/>
      <c r="D268" s="359"/>
      <c r="E268" s="359"/>
      <c r="F268" s="359"/>
      <c r="G268" s="359"/>
      <c r="H268" s="359"/>
      <c r="I268" s="359"/>
      <c r="J268" s="359"/>
      <c r="K268" s="359"/>
    </row>
    <row r="269" ht="20.25" spans="1:11">
      <c r="A269" s="359"/>
      <c r="B269" s="359"/>
      <c r="C269" s="359"/>
      <c r="D269" s="359"/>
      <c r="E269" s="359"/>
      <c r="F269" s="359"/>
      <c r="G269" s="359"/>
      <c r="H269" s="359"/>
      <c r="I269" s="359"/>
      <c r="J269" s="359"/>
      <c r="K269" s="359"/>
    </row>
    <row r="270" ht="20.25" spans="1:11">
      <c r="A270" s="359"/>
      <c r="B270" s="359"/>
      <c r="C270" s="359"/>
      <c r="D270" s="359"/>
      <c r="E270" s="359"/>
      <c r="F270" s="359"/>
      <c r="G270" s="359"/>
      <c r="H270" s="359"/>
      <c r="I270" s="359"/>
      <c r="J270" s="359"/>
      <c r="K270" s="359"/>
    </row>
    <row r="271" ht="20.25" spans="1:11">
      <c r="A271" s="359"/>
      <c r="B271" s="359"/>
      <c r="C271" s="359"/>
      <c r="D271" s="359"/>
      <c r="E271" s="359"/>
      <c r="F271" s="359"/>
      <c r="G271" s="359"/>
      <c r="H271" s="359"/>
      <c r="I271" s="359"/>
      <c r="J271" s="359"/>
      <c r="K271" s="359"/>
    </row>
    <row r="272" ht="20.25" spans="1:11">
      <c r="A272" s="359"/>
      <c r="B272" s="359"/>
      <c r="C272" s="359"/>
      <c r="D272" s="359"/>
      <c r="E272" s="359"/>
      <c r="F272" s="359"/>
      <c r="G272" s="359"/>
      <c r="H272" s="359"/>
      <c r="I272" s="359"/>
      <c r="J272" s="359"/>
      <c r="K272" s="359"/>
    </row>
    <row r="273" ht="20.25" spans="1:11">
      <c r="A273" s="359"/>
      <c r="B273" s="359"/>
      <c r="C273" s="359"/>
      <c r="D273" s="359"/>
      <c r="E273" s="359"/>
      <c r="F273" s="359"/>
      <c r="G273" s="359"/>
      <c r="H273" s="359"/>
      <c r="I273" s="359"/>
      <c r="J273" s="359"/>
      <c r="K273" s="359"/>
    </row>
    <row r="274" ht="20.25" spans="1:11">
      <c r="A274" s="359"/>
      <c r="B274" s="359"/>
      <c r="C274" s="359"/>
      <c r="D274" s="359"/>
      <c r="E274" s="359"/>
      <c r="F274" s="359"/>
      <c r="G274" s="359"/>
      <c r="H274" s="359"/>
      <c r="I274" s="359"/>
      <c r="J274" s="359"/>
      <c r="K274" s="359"/>
    </row>
    <row r="275" ht="20.25" spans="1:11">
      <c r="A275" s="359"/>
      <c r="B275" s="359"/>
      <c r="C275" s="359"/>
      <c r="D275" s="359"/>
      <c r="E275" s="359"/>
      <c r="F275" s="359"/>
      <c r="G275" s="359"/>
      <c r="H275" s="359"/>
      <c r="I275" s="359"/>
      <c r="J275" s="359"/>
      <c r="K275" s="359"/>
    </row>
    <row r="276" ht="20.25" spans="1:11">
      <c r="A276" s="359"/>
      <c r="B276" s="359"/>
      <c r="C276" s="359"/>
      <c r="D276" s="359"/>
      <c r="E276" s="359"/>
      <c r="F276" s="359"/>
      <c r="G276" s="359"/>
      <c r="H276" s="359"/>
      <c r="I276" s="359"/>
      <c r="J276" s="359"/>
      <c r="K276" s="359"/>
    </row>
    <row r="277" ht="20.25" spans="1:11">
      <c r="A277" s="359"/>
      <c r="B277" s="359"/>
      <c r="C277" s="359"/>
      <c r="D277" s="359"/>
      <c r="E277" s="359"/>
      <c r="F277" s="359"/>
      <c r="G277" s="359"/>
      <c r="H277" s="359"/>
      <c r="I277" s="359"/>
      <c r="J277" s="359"/>
      <c r="K277" s="359"/>
    </row>
    <row r="278" ht="20.25" spans="1:11">
      <c r="A278" s="359"/>
      <c r="B278" s="359"/>
      <c r="C278" s="359"/>
      <c r="D278" s="359"/>
      <c r="E278" s="359"/>
      <c r="F278" s="359"/>
      <c r="G278" s="359"/>
      <c r="H278" s="359"/>
      <c r="I278" s="359"/>
      <c r="J278" s="359"/>
      <c r="K278" s="359"/>
    </row>
    <row r="279" ht="20.25" spans="1:11">
      <c r="A279" s="359"/>
      <c r="B279" s="359"/>
      <c r="C279" s="359"/>
      <c r="D279" s="359"/>
      <c r="E279" s="359"/>
      <c r="F279" s="359"/>
      <c r="G279" s="359"/>
      <c r="H279" s="359"/>
      <c r="I279" s="359"/>
      <c r="J279" s="359"/>
      <c r="K279" s="359"/>
    </row>
    <row r="280" ht="20.25" spans="1:11">
      <c r="A280" s="359"/>
      <c r="B280" s="359"/>
      <c r="C280" s="359"/>
      <c r="D280" s="359"/>
      <c r="E280" s="359"/>
      <c r="F280" s="359"/>
      <c r="G280" s="359"/>
      <c r="H280" s="359"/>
      <c r="I280" s="359"/>
      <c r="J280" s="359"/>
      <c r="K280" s="359"/>
    </row>
    <row r="281" ht="20.25" spans="1:11">
      <c r="A281" s="359"/>
      <c r="B281" s="359"/>
      <c r="C281" s="359"/>
      <c r="D281" s="359"/>
      <c r="E281" s="359"/>
      <c r="F281" s="359"/>
      <c r="G281" s="359"/>
      <c r="H281" s="359"/>
      <c r="I281" s="359"/>
      <c r="J281" s="359"/>
      <c r="K281" s="359"/>
    </row>
    <row r="282" ht="20.25" spans="1:11">
      <c r="A282" s="359"/>
      <c r="B282" s="359"/>
      <c r="C282" s="359"/>
      <c r="D282" s="359"/>
      <c r="E282" s="359"/>
      <c r="F282" s="359"/>
      <c r="G282" s="359"/>
      <c r="H282" s="359"/>
      <c r="I282" s="359"/>
      <c r="J282" s="359"/>
      <c r="K282" s="359"/>
    </row>
    <row r="283" ht="20.25" spans="1:11">
      <c r="A283" s="359"/>
      <c r="B283" s="359"/>
      <c r="C283" s="359"/>
      <c r="D283" s="359"/>
      <c r="E283" s="359"/>
      <c r="F283" s="359"/>
      <c r="G283" s="359"/>
      <c r="H283" s="359"/>
      <c r="I283" s="359"/>
      <c r="J283" s="359"/>
      <c r="K283" s="359"/>
    </row>
    <row r="284" ht="20.25" spans="1:11">
      <c r="A284" s="359"/>
      <c r="B284" s="359"/>
      <c r="C284" s="359"/>
      <c r="D284" s="359"/>
      <c r="E284" s="359"/>
      <c r="F284" s="359"/>
      <c r="G284" s="359"/>
      <c r="H284" s="359"/>
      <c r="I284" s="359"/>
      <c r="J284" s="359"/>
      <c r="K284" s="359"/>
    </row>
    <row r="285" ht="20.25" spans="1:11">
      <c r="A285" s="359"/>
      <c r="B285" s="359"/>
      <c r="C285" s="359"/>
      <c r="D285" s="359"/>
      <c r="E285" s="359"/>
      <c r="F285" s="359"/>
      <c r="G285" s="359"/>
      <c r="H285" s="359"/>
      <c r="I285" s="359"/>
      <c r="J285" s="359"/>
      <c r="K285" s="359"/>
    </row>
    <row r="286" ht="20.25" spans="1:11">
      <c r="A286" s="359"/>
      <c r="B286" s="359"/>
      <c r="C286" s="359"/>
      <c r="D286" s="359"/>
      <c r="E286" s="359"/>
      <c r="F286" s="359"/>
      <c r="G286" s="359"/>
      <c r="H286" s="359"/>
      <c r="I286" s="359"/>
      <c r="J286" s="359"/>
      <c r="K286" s="359"/>
    </row>
    <row r="287" ht="20.25" spans="1:11">
      <c r="A287" s="359"/>
      <c r="B287" s="359"/>
      <c r="C287" s="359"/>
      <c r="D287" s="359"/>
      <c r="E287" s="359"/>
      <c r="F287" s="359"/>
      <c r="G287" s="359"/>
      <c r="H287" s="359"/>
      <c r="I287" s="359"/>
      <c r="J287" s="359"/>
      <c r="K287" s="359"/>
    </row>
    <row r="288" ht="20.25" spans="1:11">
      <c r="A288" s="359"/>
      <c r="B288" s="359"/>
      <c r="C288" s="359"/>
      <c r="D288" s="359"/>
      <c r="E288" s="359"/>
      <c r="F288" s="359"/>
      <c r="G288" s="359"/>
      <c r="H288" s="359"/>
      <c r="I288" s="359"/>
      <c r="J288" s="359"/>
      <c r="K288" s="359"/>
    </row>
    <row r="289" ht="20.25" spans="1:11">
      <c r="A289" s="359"/>
      <c r="B289" s="359"/>
      <c r="C289" s="359"/>
      <c r="D289" s="359"/>
      <c r="E289" s="359"/>
      <c r="F289" s="359"/>
      <c r="G289" s="359"/>
      <c r="H289" s="359"/>
      <c r="I289" s="359"/>
      <c r="J289" s="359"/>
      <c r="K289" s="359"/>
    </row>
    <row r="290" ht="20.25" spans="1:11">
      <c r="A290" s="359"/>
      <c r="B290" s="359"/>
      <c r="C290" s="359"/>
      <c r="D290" s="359"/>
      <c r="E290" s="359"/>
      <c r="F290" s="359"/>
      <c r="G290" s="359"/>
      <c r="H290" s="359"/>
      <c r="I290" s="359"/>
      <c r="J290" s="359"/>
      <c r="K290" s="359"/>
    </row>
    <row r="291" ht="20.25" spans="1:11">
      <c r="A291" s="359"/>
      <c r="B291" s="359"/>
      <c r="C291" s="359"/>
      <c r="D291" s="359"/>
      <c r="E291" s="359"/>
      <c r="F291" s="359"/>
      <c r="G291" s="359"/>
      <c r="H291" s="359"/>
      <c r="I291" s="359"/>
      <c r="J291" s="359"/>
      <c r="K291" s="359"/>
    </row>
    <row r="292" ht="20.25" spans="1:11">
      <c r="A292" s="359"/>
      <c r="B292" s="359"/>
      <c r="C292" s="359"/>
      <c r="D292" s="359"/>
      <c r="E292" s="359"/>
      <c r="F292" s="359"/>
      <c r="G292" s="359"/>
      <c r="H292" s="359"/>
      <c r="I292" s="359"/>
      <c r="J292" s="359"/>
      <c r="K292" s="359"/>
    </row>
    <row r="293" ht="20.25" spans="1:11">
      <c r="A293" s="359"/>
      <c r="B293" s="359"/>
      <c r="C293" s="359"/>
      <c r="D293" s="359"/>
      <c r="E293" s="359"/>
      <c r="F293" s="359"/>
      <c r="G293" s="359"/>
      <c r="H293" s="359"/>
      <c r="I293" s="359"/>
      <c r="J293" s="359"/>
      <c r="K293" s="359"/>
    </row>
    <row r="294" ht="20.25" spans="1:11">
      <c r="A294" s="359"/>
      <c r="B294" s="359"/>
      <c r="C294" s="359"/>
      <c r="D294" s="359"/>
      <c r="E294" s="359"/>
      <c r="F294" s="359"/>
      <c r="G294" s="359"/>
      <c r="H294" s="359"/>
      <c r="I294" s="359"/>
      <c r="J294" s="359"/>
      <c r="K294" s="359"/>
    </row>
    <row r="295" ht="20.25" spans="1:11">
      <c r="A295" s="359"/>
      <c r="B295" s="359"/>
      <c r="C295" s="359"/>
      <c r="D295" s="359"/>
      <c r="E295" s="359"/>
      <c r="F295" s="359"/>
      <c r="G295" s="359"/>
      <c r="H295" s="359"/>
      <c r="I295" s="359"/>
      <c r="J295" s="359"/>
      <c r="K295" s="359"/>
    </row>
    <row r="296" ht="20.25" spans="1:11">
      <c r="A296" s="359"/>
      <c r="B296" s="359"/>
      <c r="C296" s="359"/>
      <c r="D296" s="359"/>
      <c r="E296" s="359"/>
      <c r="F296" s="359"/>
      <c r="G296" s="359"/>
      <c r="H296" s="359"/>
      <c r="I296" s="359"/>
      <c r="J296" s="359"/>
      <c r="K296" s="359"/>
    </row>
    <row r="297" ht="20.25" spans="1:11">
      <c r="A297" s="359"/>
      <c r="B297" s="359"/>
      <c r="C297" s="359"/>
      <c r="D297" s="359"/>
      <c r="E297" s="359"/>
      <c r="F297" s="359"/>
      <c r="G297" s="359"/>
      <c r="H297" s="359"/>
      <c r="I297" s="359"/>
      <c r="J297" s="359"/>
      <c r="K297" s="359"/>
    </row>
    <row r="298" ht="20.25" spans="1:11">
      <c r="A298" s="359"/>
      <c r="B298" s="359"/>
      <c r="C298" s="359"/>
      <c r="D298" s="359"/>
      <c r="E298" s="359"/>
      <c r="F298" s="359"/>
      <c r="G298" s="359"/>
      <c r="H298" s="359"/>
      <c r="I298" s="359"/>
      <c r="J298" s="359"/>
      <c r="K298" s="359"/>
    </row>
    <row r="299" ht="20.25" spans="1:11">
      <c r="A299" s="359"/>
      <c r="B299" s="359"/>
      <c r="C299" s="359"/>
      <c r="D299" s="359"/>
      <c r="E299" s="359"/>
      <c r="F299" s="359"/>
      <c r="G299" s="359"/>
      <c r="H299" s="359"/>
      <c r="I299" s="359"/>
      <c r="J299" s="359"/>
      <c r="K299" s="359"/>
    </row>
    <row r="300" ht="20.25" spans="1:11">
      <c r="A300" s="359"/>
      <c r="B300" s="359"/>
      <c r="C300" s="359"/>
      <c r="D300" s="359"/>
      <c r="E300" s="359"/>
      <c r="F300" s="359"/>
      <c r="G300" s="359"/>
      <c r="H300" s="359"/>
      <c r="I300" s="359"/>
      <c r="J300" s="359"/>
      <c r="K300" s="359"/>
    </row>
    <row r="301" ht="20.25" spans="1:11">
      <c r="A301" s="359"/>
      <c r="B301" s="359"/>
      <c r="C301" s="359"/>
      <c r="D301" s="359"/>
      <c r="E301" s="359"/>
      <c r="F301" s="359"/>
      <c r="G301" s="359"/>
      <c r="H301" s="359"/>
      <c r="I301" s="359"/>
      <c r="J301" s="359"/>
      <c r="K301" s="359"/>
    </row>
    <row r="302" ht="20.25" spans="1:11">
      <c r="A302" s="359"/>
      <c r="B302" s="359"/>
      <c r="C302" s="359"/>
      <c r="D302" s="359"/>
      <c r="E302" s="359"/>
      <c r="F302" s="359"/>
      <c r="G302" s="359"/>
      <c r="H302" s="359"/>
      <c r="I302" s="359"/>
      <c r="J302" s="359"/>
      <c r="K302" s="359"/>
    </row>
    <row r="303" ht="20.25" spans="1:11">
      <c r="A303" s="359"/>
      <c r="B303" s="359"/>
      <c r="C303" s="359"/>
      <c r="D303" s="359"/>
      <c r="E303" s="359"/>
      <c r="F303" s="359"/>
      <c r="G303" s="359"/>
      <c r="H303" s="359"/>
      <c r="I303" s="359"/>
      <c r="J303" s="359"/>
      <c r="K303" s="359"/>
    </row>
    <row r="304" ht="20.25" spans="1:11">
      <c r="A304" s="359"/>
      <c r="B304" s="359"/>
      <c r="C304" s="359"/>
      <c r="D304" s="359"/>
      <c r="E304" s="359"/>
      <c r="F304" s="359"/>
      <c r="G304" s="359"/>
      <c r="H304" s="359"/>
      <c r="I304" s="359"/>
      <c r="J304" s="359"/>
      <c r="K304" s="359"/>
    </row>
    <row r="305" ht="20.25" spans="1:11">
      <c r="A305" s="359"/>
      <c r="B305" s="359"/>
      <c r="C305" s="359"/>
      <c r="D305" s="359"/>
      <c r="E305" s="359"/>
      <c r="F305" s="359"/>
      <c r="G305" s="359"/>
      <c r="H305" s="359"/>
      <c r="I305" s="359"/>
      <c r="J305" s="359"/>
      <c r="K305" s="359"/>
    </row>
    <row r="306" ht="20.25" spans="1:11">
      <c r="A306" s="359"/>
      <c r="B306" s="359"/>
      <c r="C306" s="359"/>
      <c r="D306" s="359"/>
      <c r="E306" s="359"/>
      <c r="F306" s="359"/>
      <c r="G306" s="359"/>
      <c r="H306" s="359"/>
      <c r="I306" s="359"/>
      <c r="J306" s="359"/>
      <c r="K306" s="359"/>
    </row>
    <row r="307" ht="20.25" spans="1:11">
      <c r="A307" s="359"/>
      <c r="B307" s="359"/>
      <c r="C307" s="359"/>
      <c r="D307" s="359"/>
      <c r="E307" s="359"/>
      <c r="F307" s="359"/>
      <c r="G307" s="359"/>
      <c r="H307" s="359"/>
      <c r="I307" s="359"/>
      <c r="J307" s="359"/>
      <c r="K307" s="359"/>
    </row>
    <row r="308" ht="20.25" spans="1:11">
      <c r="A308" s="359"/>
      <c r="B308" s="359"/>
      <c r="C308" s="359"/>
      <c r="D308" s="359"/>
      <c r="E308" s="359"/>
      <c r="F308" s="359"/>
      <c r="G308" s="359"/>
      <c r="H308" s="359"/>
      <c r="I308" s="359"/>
      <c r="J308" s="359"/>
      <c r="K308" s="359"/>
    </row>
    <row r="309" ht="20.25" spans="1:11">
      <c r="A309" s="359"/>
      <c r="B309" s="359"/>
      <c r="C309" s="359"/>
      <c r="D309" s="359"/>
      <c r="E309" s="359"/>
      <c r="F309" s="359"/>
      <c r="G309" s="359"/>
      <c r="H309" s="359"/>
      <c r="I309" s="359"/>
      <c r="J309" s="359"/>
      <c r="K309" s="359"/>
    </row>
    <row r="310" ht="20.25" spans="1:11">
      <c r="A310" s="359"/>
      <c r="B310" s="359"/>
      <c r="C310" s="359"/>
      <c r="D310" s="359"/>
      <c r="E310" s="359"/>
      <c r="F310" s="359"/>
      <c r="G310" s="359"/>
      <c r="H310" s="359"/>
      <c r="I310" s="359"/>
      <c r="J310" s="359"/>
      <c r="K310" s="359"/>
    </row>
    <row r="311" ht="20.25" spans="1:11">
      <c r="A311" s="359"/>
      <c r="B311" s="359"/>
      <c r="C311" s="359"/>
      <c r="D311" s="359"/>
      <c r="E311" s="359"/>
      <c r="F311" s="359"/>
      <c r="G311" s="359"/>
      <c r="H311" s="359"/>
      <c r="I311" s="359"/>
      <c r="J311" s="359"/>
      <c r="K311" s="359"/>
    </row>
    <row r="312" ht="20.25" spans="1:11">
      <c r="A312" s="359"/>
      <c r="B312" s="359"/>
      <c r="C312" s="359"/>
      <c r="D312" s="359"/>
      <c r="E312" s="359"/>
      <c r="F312" s="359"/>
      <c r="G312" s="359"/>
      <c r="H312" s="359"/>
      <c r="I312" s="359"/>
      <c r="J312" s="359"/>
      <c r="K312" s="359"/>
    </row>
    <row r="313" ht="20.25" spans="1:11">
      <c r="A313" s="359"/>
      <c r="B313" s="359"/>
      <c r="C313" s="359"/>
      <c r="D313" s="359"/>
      <c r="E313" s="359"/>
      <c r="F313" s="359"/>
      <c r="G313" s="359"/>
      <c r="H313" s="359"/>
      <c r="I313" s="359"/>
      <c r="J313" s="359"/>
      <c r="K313" s="359"/>
    </row>
    <row r="314" ht="20.25" spans="1:11">
      <c r="A314" s="359"/>
      <c r="B314" s="359"/>
      <c r="C314" s="359"/>
      <c r="D314" s="359"/>
      <c r="E314" s="359"/>
      <c r="F314" s="359"/>
      <c r="G314" s="359"/>
      <c r="H314" s="359"/>
      <c r="I314" s="359"/>
      <c r="J314" s="359"/>
      <c r="K314" s="359"/>
    </row>
    <row r="315" ht="20.25" spans="1:11">
      <c r="A315" s="359"/>
      <c r="B315" s="359"/>
      <c r="C315" s="359"/>
      <c r="D315" s="359"/>
      <c r="E315" s="359"/>
      <c r="F315" s="359"/>
      <c r="G315" s="359"/>
      <c r="H315" s="359"/>
      <c r="I315" s="359"/>
      <c r="J315" s="359"/>
      <c r="K315" s="359"/>
    </row>
    <row r="316" ht="20.25" spans="1:11">
      <c r="A316" s="359"/>
      <c r="B316" s="359"/>
      <c r="C316" s="359"/>
      <c r="D316" s="359"/>
      <c r="E316" s="359"/>
      <c r="F316" s="359"/>
      <c r="G316" s="359"/>
      <c r="H316" s="359"/>
      <c r="I316" s="359"/>
      <c r="J316" s="359"/>
      <c r="K316" s="359"/>
    </row>
    <row r="317" ht="20.25" spans="1:11">
      <c r="A317" s="359"/>
      <c r="B317" s="359"/>
      <c r="C317" s="359"/>
      <c r="D317" s="359"/>
      <c r="E317" s="359"/>
      <c r="F317" s="359"/>
      <c r="G317" s="359"/>
      <c r="H317" s="359"/>
      <c r="I317" s="359"/>
      <c r="J317" s="359"/>
      <c r="K317" s="359"/>
    </row>
    <row r="318" ht="20.25" spans="1:11">
      <c r="A318" s="359"/>
      <c r="B318" s="359"/>
      <c r="C318" s="359"/>
      <c r="D318" s="359"/>
      <c r="E318" s="359"/>
      <c r="F318" s="359"/>
      <c r="G318" s="359"/>
      <c r="H318" s="359"/>
      <c r="I318" s="359"/>
      <c r="J318" s="359"/>
      <c r="K318" s="359"/>
    </row>
    <row r="319" ht="20.25" spans="1:11">
      <c r="A319" s="359"/>
      <c r="B319" s="359"/>
      <c r="C319" s="359"/>
      <c r="D319" s="359"/>
      <c r="E319" s="359"/>
      <c r="F319" s="359"/>
      <c r="G319" s="359"/>
      <c r="H319" s="359"/>
      <c r="I319" s="359"/>
      <c r="J319" s="359"/>
      <c r="K319" s="359"/>
    </row>
    <row r="320" ht="20.25" spans="1:11">
      <c r="A320" s="359"/>
      <c r="B320" s="359"/>
      <c r="C320" s="359"/>
      <c r="D320" s="359"/>
      <c r="E320" s="359"/>
      <c r="F320" s="359"/>
      <c r="G320" s="359"/>
      <c r="H320" s="359"/>
      <c r="I320" s="359"/>
      <c r="J320" s="359"/>
      <c r="K320" s="359"/>
    </row>
    <row r="321" ht="20.25" spans="1:11">
      <c r="A321" s="359"/>
      <c r="B321" s="359"/>
      <c r="C321" s="359"/>
      <c r="D321" s="359"/>
      <c r="E321" s="359"/>
      <c r="F321" s="359"/>
      <c r="G321" s="359"/>
      <c r="H321" s="359"/>
      <c r="I321" s="359"/>
      <c r="J321" s="359"/>
      <c r="K321" s="359"/>
    </row>
    <row r="322" ht="20.25" spans="1:11">
      <c r="A322" s="359"/>
      <c r="B322" s="359"/>
      <c r="C322" s="359"/>
      <c r="D322" s="359"/>
      <c r="E322" s="359"/>
      <c r="F322" s="359"/>
      <c r="G322" s="359"/>
      <c r="H322" s="359"/>
      <c r="I322" s="359"/>
      <c r="J322" s="359"/>
      <c r="K322" s="359"/>
    </row>
    <row r="323" ht="20.25" spans="1:11">
      <c r="A323" s="359"/>
      <c r="B323" s="359"/>
      <c r="C323" s="359"/>
      <c r="D323" s="359"/>
      <c r="E323" s="359"/>
      <c r="F323" s="359"/>
      <c r="G323" s="359"/>
      <c r="H323" s="359"/>
      <c r="I323" s="359"/>
      <c r="J323" s="359"/>
      <c r="K323" s="359"/>
    </row>
    <row r="324" ht="20.25" spans="1:11">
      <c r="A324" s="359"/>
      <c r="B324" s="359"/>
      <c r="C324" s="359"/>
      <c r="D324" s="359"/>
      <c r="E324" s="359"/>
      <c r="F324" s="359"/>
      <c r="G324" s="359"/>
      <c r="H324" s="359"/>
      <c r="I324" s="359"/>
      <c r="J324" s="359"/>
      <c r="K324" s="359"/>
    </row>
    <row r="325" ht="20.25" spans="1:11">
      <c r="A325" s="359"/>
      <c r="B325" s="359"/>
      <c r="C325" s="359"/>
      <c r="D325" s="359"/>
      <c r="E325" s="359"/>
      <c r="F325" s="359"/>
      <c r="G325" s="359"/>
      <c r="H325" s="359"/>
      <c r="I325" s="359"/>
      <c r="J325" s="359"/>
      <c r="K325" s="359"/>
    </row>
    <row r="326" ht="20.25" spans="1:11">
      <c r="A326" s="359"/>
      <c r="B326" s="359"/>
      <c r="C326" s="359"/>
      <c r="D326" s="359"/>
      <c r="E326" s="359"/>
      <c r="F326" s="359"/>
      <c r="G326" s="359"/>
      <c r="H326" s="359"/>
      <c r="I326" s="359"/>
      <c r="J326" s="359"/>
      <c r="K326" s="359"/>
    </row>
    <row r="327" ht="20.25" spans="1:11">
      <c r="A327" s="359"/>
      <c r="B327" s="359"/>
      <c r="C327" s="359"/>
      <c r="D327" s="359"/>
      <c r="E327" s="359"/>
      <c r="F327" s="359"/>
      <c r="G327" s="359"/>
      <c r="H327" s="359"/>
      <c r="I327" s="359"/>
      <c r="J327" s="359"/>
      <c r="K327" s="359"/>
    </row>
    <row r="328" ht="20.25" spans="1:11">
      <c r="A328" s="359"/>
      <c r="B328" s="359"/>
      <c r="C328" s="359"/>
      <c r="D328" s="359"/>
      <c r="E328" s="359"/>
      <c r="F328" s="359"/>
      <c r="G328" s="359"/>
      <c r="H328" s="359"/>
      <c r="I328" s="359"/>
      <c r="J328" s="359"/>
      <c r="K328" s="359"/>
    </row>
    <row r="329" ht="20.25" spans="1:11">
      <c r="A329" s="359"/>
      <c r="B329" s="359"/>
      <c r="C329" s="359"/>
      <c r="D329" s="359"/>
      <c r="E329" s="359"/>
      <c r="F329" s="359"/>
      <c r="G329" s="359"/>
      <c r="H329" s="359"/>
      <c r="I329" s="359"/>
      <c r="J329" s="359"/>
      <c r="K329" s="359"/>
    </row>
    <row r="330" ht="20.25" spans="1:11">
      <c r="A330" s="359"/>
      <c r="B330" s="359"/>
      <c r="C330" s="359"/>
      <c r="D330" s="359"/>
      <c r="E330" s="359"/>
      <c r="F330" s="359"/>
      <c r="G330" s="359"/>
      <c r="H330" s="359"/>
      <c r="I330" s="359"/>
      <c r="J330" s="359"/>
      <c r="K330" s="359"/>
    </row>
    <row r="331" ht="20.25" spans="1:11">
      <c r="A331" s="359"/>
      <c r="B331" s="359"/>
      <c r="C331" s="359"/>
      <c r="D331" s="359"/>
      <c r="E331" s="359"/>
      <c r="F331" s="359"/>
      <c r="G331" s="359"/>
      <c r="H331" s="359"/>
      <c r="I331" s="359"/>
      <c r="J331" s="359"/>
      <c r="K331" s="359"/>
    </row>
    <row r="332" ht="20.25" spans="1:11">
      <c r="A332" s="359"/>
      <c r="B332" s="359"/>
      <c r="C332" s="359"/>
      <c r="D332" s="359"/>
      <c r="E332" s="359"/>
      <c r="F332" s="359"/>
      <c r="G332" s="359"/>
      <c r="H332" s="359"/>
      <c r="I332" s="359"/>
      <c r="J332" s="359"/>
      <c r="K332" s="359"/>
    </row>
    <row r="333" ht="20.25" spans="1:11">
      <c r="A333" s="359"/>
      <c r="B333" s="359"/>
      <c r="C333" s="359"/>
      <c r="D333" s="359"/>
      <c r="E333" s="359"/>
      <c r="F333" s="359"/>
      <c r="G333" s="359"/>
      <c r="H333" s="359"/>
      <c r="I333" s="359"/>
      <c r="J333" s="359"/>
      <c r="K333" s="359"/>
    </row>
    <row r="334" ht="20.25" spans="1:11">
      <c r="A334" s="359"/>
      <c r="B334" s="359"/>
      <c r="C334" s="359"/>
      <c r="D334" s="359"/>
      <c r="E334" s="359"/>
      <c r="F334" s="359"/>
      <c r="G334" s="359"/>
      <c r="H334" s="359"/>
      <c r="I334" s="359"/>
      <c r="J334" s="359"/>
      <c r="K334" s="359"/>
    </row>
    <row r="335" ht="20.25" spans="1:11">
      <c r="A335" s="359"/>
      <c r="B335" s="359"/>
      <c r="C335" s="359"/>
      <c r="D335" s="359"/>
      <c r="E335" s="359"/>
      <c r="F335" s="359"/>
      <c r="G335" s="359"/>
      <c r="H335" s="359"/>
      <c r="I335" s="359"/>
      <c r="J335" s="359"/>
      <c r="K335" s="359"/>
    </row>
    <row r="336" ht="20.25" spans="1:11">
      <c r="A336" s="359"/>
      <c r="B336" s="359"/>
      <c r="C336" s="359"/>
      <c r="D336" s="359"/>
      <c r="E336" s="359"/>
      <c r="F336" s="359"/>
      <c r="G336" s="359"/>
      <c r="H336" s="359"/>
      <c r="I336" s="359"/>
      <c r="J336" s="359"/>
      <c r="K336" s="359"/>
    </row>
    <row r="337" ht="20.25" spans="1:11">
      <c r="A337" s="359"/>
      <c r="B337" s="359"/>
      <c r="C337" s="359"/>
      <c r="D337" s="359"/>
      <c r="E337" s="359"/>
      <c r="F337" s="359"/>
      <c r="G337" s="359"/>
      <c r="H337" s="359"/>
      <c r="I337" s="359"/>
      <c r="J337" s="359"/>
      <c r="K337" s="359"/>
    </row>
    <row r="338" ht="20.25" spans="1:11">
      <c r="A338" s="359"/>
      <c r="B338" s="359"/>
      <c r="C338" s="359"/>
      <c r="D338" s="359"/>
      <c r="E338" s="359"/>
      <c r="F338" s="359"/>
      <c r="G338" s="359"/>
      <c r="H338" s="359"/>
      <c r="I338" s="359"/>
      <c r="J338" s="359"/>
      <c r="K338" s="359"/>
    </row>
    <row r="339" ht="20.25" spans="1:11">
      <c r="A339" s="359"/>
      <c r="B339" s="359"/>
      <c r="C339" s="359"/>
      <c r="D339" s="359"/>
      <c r="E339" s="359"/>
      <c r="F339" s="359"/>
      <c r="G339" s="359"/>
      <c r="H339" s="359"/>
      <c r="I339" s="359"/>
      <c r="J339" s="359"/>
      <c r="K339" s="359"/>
    </row>
    <row r="340" ht="20.25" spans="1:11">
      <c r="A340" s="359"/>
      <c r="B340" s="359"/>
      <c r="C340" s="359"/>
      <c r="D340" s="359"/>
      <c r="E340" s="359"/>
      <c r="F340" s="359"/>
      <c r="G340" s="359"/>
      <c r="H340" s="359"/>
      <c r="I340" s="359"/>
      <c r="J340" s="359"/>
      <c r="K340" s="359"/>
    </row>
    <row r="341" ht="20.25" spans="1:11">
      <c r="A341" s="359"/>
      <c r="B341" s="359"/>
      <c r="C341" s="359"/>
      <c r="D341" s="359"/>
      <c r="E341" s="359"/>
      <c r="F341" s="359"/>
      <c r="G341" s="359"/>
      <c r="H341" s="359"/>
      <c r="I341" s="359"/>
      <c r="J341" s="359"/>
      <c r="K341" s="359"/>
    </row>
    <row r="342" ht="20.25" spans="1:11">
      <c r="A342" s="359"/>
      <c r="B342" s="359"/>
      <c r="C342" s="359"/>
      <c r="D342" s="359"/>
      <c r="E342" s="359"/>
      <c r="F342" s="359"/>
      <c r="G342" s="359"/>
      <c r="H342" s="359"/>
      <c r="I342" s="359"/>
      <c r="J342" s="359"/>
      <c r="K342" s="359"/>
    </row>
    <row r="343" ht="20.25" spans="1:11">
      <c r="A343" s="359"/>
      <c r="B343" s="359"/>
      <c r="C343" s="359"/>
      <c r="D343" s="359"/>
      <c r="E343" s="359"/>
      <c r="F343" s="359"/>
      <c r="G343" s="359"/>
      <c r="H343" s="359"/>
      <c r="I343" s="359"/>
      <c r="J343" s="359"/>
      <c r="K343" s="359"/>
    </row>
    <row r="344" ht="20.25" spans="1:11">
      <c r="A344" s="359"/>
      <c r="B344" s="359"/>
      <c r="C344" s="359"/>
      <c r="D344" s="359"/>
      <c r="E344" s="359"/>
      <c r="F344" s="359"/>
      <c r="G344" s="359"/>
      <c r="H344" s="359"/>
      <c r="I344" s="359"/>
      <c r="J344" s="359"/>
      <c r="K344" s="359"/>
    </row>
    <row r="345" ht="20.25" spans="1:11">
      <c r="A345" s="359"/>
      <c r="B345" s="359"/>
      <c r="C345" s="359"/>
      <c r="D345" s="359"/>
      <c r="E345" s="359"/>
      <c r="F345" s="359"/>
      <c r="G345" s="359"/>
      <c r="H345" s="359"/>
      <c r="I345" s="359"/>
      <c r="J345" s="359"/>
      <c r="K345" s="359"/>
    </row>
    <row r="346" ht="20.25" spans="1:11">
      <c r="A346" s="359"/>
      <c r="B346" s="359"/>
      <c r="C346" s="359"/>
      <c r="D346" s="359"/>
      <c r="E346" s="359"/>
      <c r="F346" s="359"/>
      <c r="G346" s="359"/>
      <c r="H346" s="359"/>
      <c r="I346" s="359"/>
      <c r="J346" s="359"/>
      <c r="K346" s="359"/>
    </row>
    <row r="347" ht="20.25" spans="1:11">
      <c r="A347" s="359"/>
      <c r="B347" s="359"/>
      <c r="C347" s="359"/>
      <c r="D347" s="359"/>
      <c r="E347" s="359"/>
      <c r="F347" s="359"/>
      <c r="G347" s="359"/>
      <c r="H347" s="359"/>
      <c r="I347" s="359"/>
      <c r="J347" s="359"/>
      <c r="K347" s="359"/>
    </row>
    <row r="348" ht="20.25" spans="1:11">
      <c r="A348" s="359"/>
      <c r="B348" s="359"/>
      <c r="C348" s="359"/>
      <c r="D348" s="359"/>
      <c r="E348" s="359"/>
      <c r="F348" s="359"/>
      <c r="G348" s="359"/>
      <c r="H348" s="359"/>
      <c r="I348" s="359"/>
      <c r="J348" s="359"/>
      <c r="K348" s="359"/>
    </row>
    <row r="349" ht="20.25" spans="1:11">
      <c r="A349" s="359"/>
      <c r="B349" s="359"/>
      <c r="C349" s="359"/>
      <c r="D349" s="359"/>
      <c r="E349" s="359"/>
      <c r="F349" s="359"/>
      <c r="G349" s="359"/>
      <c r="H349" s="359"/>
      <c r="I349" s="359"/>
      <c r="J349" s="359"/>
      <c r="K349" s="359"/>
    </row>
    <row r="350" ht="20.25" spans="1:11">
      <c r="A350" s="359"/>
      <c r="B350" s="359"/>
      <c r="C350" s="359"/>
      <c r="D350" s="359"/>
      <c r="E350" s="359"/>
      <c r="F350" s="359"/>
      <c r="G350" s="359"/>
      <c r="H350" s="359"/>
      <c r="I350" s="359"/>
      <c r="J350" s="359"/>
      <c r="K350" s="359"/>
    </row>
    <row r="351" ht="20.25" spans="1:11">
      <c r="A351" s="359"/>
      <c r="B351" s="359"/>
      <c r="C351" s="359"/>
      <c r="D351" s="359"/>
      <c r="E351" s="359"/>
      <c r="F351" s="359"/>
      <c r="G351" s="359"/>
      <c r="H351" s="359"/>
      <c r="I351" s="359"/>
      <c r="J351" s="359"/>
      <c r="K351" s="359"/>
    </row>
    <row r="352" ht="20.25" spans="1:11">
      <c r="A352" s="359"/>
      <c r="B352" s="359"/>
      <c r="C352" s="359"/>
      <c r="D352" s="359"/>
      <c r="E352" s="359"/>
      <c r="F352" s="359"/>
      <c r="G352" s="359"/>
      <c r="H352" s="359"/>
      <c r="I352" s="359"/>
      <c r="J352" s="359"/>
      <c r="K352" s="359"/>
    </row>
    <row r="353" ht="20.25" spans="1:11">
      <c r="A353" s="359"/>
      <c r="B353" s="359"/>
      <c r="C353" s="359"/>
      <c r="D353" s="359"/>
      <c r="E353" s="359"/>
      <c r="F353" s="359"/>
      <c r="G353" s="359"/>
      <c r="H353" s="359"/>
      <c r="I353" s="359"/>
      <c r="J353" s="359"/>
      <c r="K353" s="359"/>
    </row>
    <row r="354" ht="20.25" spans="1:11">
      <c r="A354" s="359"/>
      <c r="B354" s="359"/>
      <c r="C354" s="359"/>
      <c r="D354" s="359"/>
      <c r="E354" s="359"/>
      <c r="F354" s="359"/>
      <c r="G354" s="359"/>
      <c r="H354" s="359"/>
      <c r="I354" s="359"/>
      <c r="J354" s="359"/>
      <c r="K354" s="359"/>
    </row>
    <row r="355" ht="20.25" spans="1:11">
      <c r="A355" s="359"/>
      <c r="B355" s="359"/>
      <c r="C355" s="359"/>
      <c r="D355" s="359"/>
      <c r="E355" s="359"/>
      <c r="F355" s="359"/>
      <c r="G355" s="359"/>
      <c r="H355" s="359"/>
      <c r="I355" s="359"/>
      <c r="J355" s="359"/>
      <c r="K355" s="359"/>
    </row>
    <row r="356" ht="20.25" spans="1:11">
      <c r="A356" s="359"/>
      <c r="B356" s="359"/>
      <c r="C356" s="359"/>
      <c r="D356" s="359"/>
      <c r="E356" s="359"/>
      <c r="F356" s="359"/>
      <c r="G356" s="359"/>
      <c r="H356" s="359"/>
      <c r="I356" s="359"/>
      <c r="J356" s="359"/>
      <c r="K356" s="359"/>
    </row>
    <row r="357" ht="20.25" spans="1:11">
      <c r="A357" s="359"/>
      <c r="B357" s="359"/>
      <c r="C357" s="359"/>
      <c r="D357" s="359"/>
      <c r="E357" s="359"/>
      <c r="F357" s="359"/>
      <c r="G357" s="359"/>
      <c r="H357" s="359"/>
      <c r="I357" s="359"/>
      <c r="J357" s="359"/>
      <c r="K357" s="359"/>
    </row>
    <row r="358" ht="20.25" spans="1:11">
      <c r="A358" s="359"/>
      <c r="B358" s="359"/>
      <c r="C358" s="359"/>
      <c r="D358" s="359"/>
      <c r="E358" s="359"/>
      <c r="F358" s="359"/>
      <c r="G358" s="359"/>
      <c r="H358" s="359"/>
      <c r="I358" s="359"/>
      <c r="J358" s="359"/>
      <c r="K358" s="359"/>
    </row>
    <row r="359" ht="20.25" spans="1:11">
      <c r="A359" s="359"/>
      <c r="B359" s="359"/>
      <c r="C359" s="359"/>
      <c r="D359" s="359"/>
      <c r="E359" s="359"/>
      <c r="F359" s="359"/>
      <c r="G359" s="359"/>
      <c r="H359" s="359"/>
      <c r="I359" s="359"/>
      <c r="J359" s="359"/>
      <c r="K359" s="359"/>
    </row>
    <row r="360" ht="20.25" spans="1:11">
      <c r="A360" s="359"/>
      <c r="B360" s="359"/>
      <c r="C360" s="359"/>
      <c r="D360" s="359"/>
      <c r="E360" s="359"/>
      <c r="F360" s="359"/>
      <c r="G360" s="359"/>
      <c r="H360" s="359"/>
      <c r="I360" s="359"/>
      <c r="J360" s="359"/>
      <c r="K360" s="359"/>
    </row>
    <row r="361" ht="20.25" spans="1:11">
      <c r="A361" s="359"/>
      <c r="B361" s="359"/>
      <c r="C361" s="359"/>
      <c r="D361" s="359"/>
      <c r="E361" s="359"/>
      <c r="F361" s="359"/>
      <c r="G361" s="359"/>
      <c r="H361" s="359"/>
      <c r="I361" s="359"/>
      <c r="J361" s="359"/>
      <c r="K361" s="359"/>
    </row>
    <row r="362" ht="20.25" spans="1:11">
      <c r="A362" s="359"/>
      <c r="B362" s="359"/>
      <c r="C362" s="359"/>
      <c r="D362" s="359"/>
      <c r="E362" s="359"/>
      <c r="F362" s="359"/>
      <c r="G362" s="359"/>
      <c r="H362" s="359"/>
      <c r="I362" s="359"/>
      <c r="J362" s="359"/>
      <c r="K362" s="359"/>
    </row>
    <row r="363" ht="20.25" spans="1:11">
      <c r="A363" s="359"/>
      <c r="B363" s="359"/>
      <c r="C363" s="359"/>
      <c r="D363" s="359"/>
      <c r="E363" s="359"/>
      <c r="F363" s="359"/>
      <c r="G363" s="359"/>
      <c r="H363" s="359"/>
      <c r="I363" s="359"/>
      <c r="J363" s="359"/>
      <c r="K363" s="359"/>
    </row>
    <row r="364" ht="20.25" spans="1:11">
      <c r="A364" s="359"/>
      <c r="B364" s="359"/>
      <c r="C364" s="359"/>
      <c r="D364" s="359"/>
      <c r="E364" s="359"/>
      <c r="F364" s="359"/>
      <c r="G364" s="359"/>
      <c r="H364" s="359"/>
      <c r="I364" s="359"/>
      <c r="J364" s="359"/>
      <c r="K364" s="359"/>
    </row>
    <row r="365" ht="20.25" spans="1:11">
      <c r="A365" s="359"/>
      <c r="B365" s="359"/>
      <c r="C365" s="359"/>
      <c r="D365" s="359"/>
      <c r="E365" s="359"/>
      <c r="F365" s="359"/>
      <c r="G365" s="359"/>
      <c r="H365" s="359"/>
      <c r="I365" s="359"/>
      <c r="J365" s="359"/>
      <c r="K365" s="359"/>
    </row>
    <row r="366" ht="20.25" spans="1:11">
      <c r="A366" s="359"/>
      <c r="B366" s="359"/>
      <c r="C366" s="359"/>
      <c r="D366" s="359"/>
      <c r="E366" s="359"/>
      <c r="F366" s="359"/>
      <c r="G366" s="359"/>
      <c r="H366" s="359"/>
      <c r="I366" s="359"/>
      <c r="J366" s="359"/>
      <c r="K366" s="359"/>
    </row>
    <row r="367" ht="20.25" spans="1:11">
      <c r="A367" s="359"/>
      <c r="B367" s="359"/>
      <c r="C367" s="359"/>
      <c r="D367" s="359"/>
      <c r="E367" s="359"/>
      <c r="F367" s="359"/>
      <c r="G367" s="359"/>
      <c r="H367" s="359"/>
      <c r="I367" s="359"/>
      <c r="J367" s="359"/>
      <c r="K367" s="359"/>
    </row>
    <row r="368" ht="20.25" spans="1:11">
      <c r="A368" s="359"/>
      <c r="B368" s="359"/>
      <c r="C368" s="359"/>
      <c r="D368" s="359"/>
      <c r="E368" s="359"/>
      <c r="F368" s="359"/>
      <c r="G368" s="359"/>
      <c r="H368" s="359"/>
      <c r="I368" s="359"/>
      <c r="J368" s="359"/>
      <c r="K368" s="359"/>
    </row>
    <row r="369" ht="20.25" spans="1:11">
      <c r="A369" s="359"/>
      <c r="B369" s="359"/>
      <c r="C369" s="359"/>
      <c r="D369" s="359"/>
      <c r="E369" s="359"/>
      <c r="F369" s="359"/>
      <c r="G369" s="359"/>
      <c r="H369" s="359"/>
      <c r="I369" s="359"/>
      <c r="J369" s="359"/>
      <c r="K369" s="359"/>
    </row>
    <row r="370" ht="20.25" spans="1:11">
      <c r="A370" s="359"/>
      <c r="B370" s="359"/>
      <c r="C370" s="359"/>
      <c r="D370" s="359"/>
      <c r="E370" s="359"/>
      <c r="F370" s="359"/>
      <c r="G370" s="359"/>
      <c r="H370" s="359"/>
      <c r="I370" s="359"/>
      <c r="J370" s="359"/>
      <c r="K370" s="359"/>
    </row>
    <row r="371" ht="20.25" spans="1:11">
      <c r="A371" s="359"/>
      <c r="B371" s="359"/>
      <c r="C371" s="359"/>
      <c r="D371" s="359"/>
      <c r="E371" s="359"/>
      <c r="F371" s="359"/>
      <c r="G371" s="359"/>
      <c r="H371" s="359"/>
      <c r="I371" s="359"/>
      <c r="J371" s="359"/>
      <c r="K371" s="359"/>
    </row>
    <row r="372" ht="20.25" spans="1:11">
      <c r="A372" s="359"/>
      <c r="B372" s="359"/>
      <c r="C372" s="359"/>
      <c r="D372" s="359"/>
      <c r="E372" s="359"/>
      <c r="F372" s="359"/>
      <c r="G372" s="359"/>
      <c r="H372" s="359"/>
      <c r="I372" s="359"/>
      <c r="J372" s="359"/>
      <c r="K372" s="359"/>
    </row>
    <row r="373" ht="20.25" spans="1:11">
      <c r="A373" s="359"/>
      <c r="B373" s="359"/>
      <c r="C373" s="359"/>
      <c r="D373" s="359"/>
      <c r="E373" s="359"/>
      <c r="F373" s="359"/>
      <c r="G373" s="359"/>
      <c r="H373" s="359"/>
      <c r="I373" s="359"/>
      <c r="J373" s="359"/>
      <c r="K373" s="359"/>
    </row>
    <row r="374" ht="20.25" spans="1:11">
      <c r="A374" s="359"/>
      <c r="B374" s="359"/>
      <c r="C374" s="359"/>
      <c r="D374" s="359"/>
      <c r="E374" s="359"/>
      <c r="F374" s="359"/>
      <c r="G374" s="359"/>
      <c r="H374" s="359"/>
      <c r="I374" s="359"/>
      <c r="J374" s="359"/>
      <c r="K374" s="359"/>
    </row>
    <row r="375" ht="20.25" spans="1:11">
      <c r="A375" s="359"/>
      <c r="B375" s="359"/>
      <c r="C375" s="359"/>
      <c r="D375" s="359"/>
      <c r="E375" s="359"/>
      <c r="F375" s="359"/>
      <c r="G375" s="359"/>
      <c r="H375" s="359"/>
      <c r="I375" s="359"/>
      <c r="J375" s="359"/>
      <c r="K375" s="359"/>
    </row>
    <row r="376" ht="20.25" spans="1:11">
      <c r="A376" s="359"/>
      <c r="B376" s="359"/>
      <c r="C376" s="359"/>
      <c r="D376" s="359"/>
      <c r="E376" s="359"/>
      <c r="F376" s="359"/>
      <c r="G376" s="359"/>
      <c r="H376" s="359"/>
      <c r="I376" s="359"/>
      <c r="J376" s="359"/>
      <c r="K376" s="359"/>
    </row>
    <row r="377" ht="20.25" spans="1:11">
      <c r="A377" s="359"/>
      <c r="B377" s="359"/>
      <c r="C377" s="359"/>
      <c r="D377" s="359"/>
      <c r="E377" s="359"/>
      <c r="F377" s="359"/>
      <c r="G377" s="359"/>
      <c r="H377" s="359"/>
      <c r="I377" s="359"/>
      <c r="J377" s="359"/>
      <c r="K377" s="359"/>
    </row>
    <row r="378" ht="20.25" spans="1:11">
      <c r="A378" s="359"/>
      <c r="B378" s="359"/>
      <c r="C378" s="359"/>
      <c r="D378" s="359"/>
      <c r="E378" s="359"/>
      <c r="F378" s="359"/>
      <c r="G378" s="359"/>
      <c r="H378" s="359"/>
      <c r="I378" s="359"/>
      <c r="J378" s="359"/>
      <c r="K378" s="359"/>
    </row>
    <row r="379" ht="20.25" spans="1:11">
      <c r="A379" s="359"/>
      <c r="B379" s="359"/>
      <c r="C379" s="359"/>
      <c r="D379" s="359"/>
      <c r="E379" s="359"/>
      <c r="F379" s="359"/>
      <c r="G379" s="359"/>
      <c r="H379" s="359"/>
      <c r="I379" s="359"/>
      <c r="J379" s="359"/>
      <c r="K379" s="359"/>
    </row>
    <row r="380" ht="20.25" spans="1:11">
      <c r="A380" s="359"/>
      <c r="B380" s="359"/>
      <c r="C380" s="359"/>
      <c r="D380" s="359"/>
      <c r="E380" s="359"/>
      <c r="F380" s="359"/>
      <c r="G380" s="359"/>
      <c r="H380" s="359"/>
      <c r="I380" s="359"/>
      <c r="J380" s="359"/>
      <c r="K380" s="359"/>
    </row>
    <row r="381" ht="20.25" spans="1:11">
      <c r="A381" s="359"/>
      <c r="B381" s="359"/>
      <c r="C381" s="359"/>
      <c r="D381" s="359"/>
      <c r="E381" s="359"/>
      <c r="F381" s="359"/>
      <c r="G381" s="359"/>
      <c r="H381" s="359"/>
      <c r="I381" s="359"/>
      <c r="J381" s="359"/>
      <c r="K381" s="359"/>
    </row>
    <row r="382" ht="20.25" spans="1:11">
      <c r="A382" s="359"/>
      <c r="B382" s="359"/>
      <c r="C382" s="359"/>
      <c r="D382" s="359"/>
      <c r="E382" s="359"/>
      <c r="F382" s="359"/>
      <c r="G382" s="359"/>
      <c r="H382" s="359"/>
      <c r="I382" s="359"/>
      <c r="J382" s="359"/>
      <c r="K382" s="359"/>
    </row>
    <row r="383" ht="20.25" spans="1:11">
      <c r="A383" s="359"/>
      <c r="B383" s="359"/>
      <c r="C383" s="359"/>
      <c r="D383" s="359"/>
      <c r="E383" s="359"/>
      <c r="F383" s="359"/>
      <c r="G383" s="359"/>
      <c r="H383" s="359"/>
      <c r="I383" s="359"/>
      <c r="J383" s="359"/>
      <c r="K383" s="359"/>
    </row>
    <row r="384" ht="20.25" spans="1:11">
      <c r="A384" s="359"/>
      <c r="B384" s="359"/>
      <c r="C384" s="359"/>
      <c r="D384" s="359"/>
      <c r="E384" s="359"/>
      <c r="F384" s="359"/>
      <c r="G384" s="359"/>
      <c r="H384" s="359"/>
      <c r="I384" s="359"/>
      <c r="J384" s="359"/>
      <c r="K384" s="359"/>
    </row>
    <row r="385" ht="20.25" spans="1:11">
      <c r="A385" s="359"/>
      <c r="B385" s="359"/>
      <c r="C385" s="359"/>
      <c r="D385" s="359"/>
      <c r="E385" s="359"/>
      <c r="F385" s="359"/>
      <c r="G385" s="359"/>
      <c r="H385" s="359"/>
      <c r="I385" s="359"/>
      <c r="J385" s="359"/>
      <c r="K385" s="359"/>
    </row>
    <row r="386" ht="20.25" spans="1:11">
      <c r="A386" s="359"/>
      <c r="B386" s="359"/>
      <c r="C386" s="359"/>
      <c r="D386" s="359"/>
      <c r="E386" s="359"/>
      <c r="F386" s="359"/>
      <c r="G386" s="359"/>
      <c r="H386" s="359"/>
      <c r="I386" s="359"/>
      <c r="J386" s="359"/>
      <c r="K386" s="359"/>
    </row>
    <row r="387" ht="20.25" spans="1:11">
      <c r="A387" s="359"/>
      <c r="B387" s="359"/>
      <c r="C387" s="359"/>
      <c r="D387" s="359"/>
      <c r="E387" s="359"/>
      <c r="F387" s="359"/>
      <c r="G387" s="359"/>
      <c r="H387" s="359"/>
      <c r="I387" s="359"/>
      <c r="J387" s="359"/>
      <c r="K387" s="359"/>
    </row>
    <row r="388" ht="20.25" spans="1:11">
      <c r="A388" s="359"/>
      <c r="B388" s="359"/>
      <c r="C388" s="359"/>
      <c r="D388" s="359"/>
      <c r="E388" s="359"/>
      <c r="F388" s="359"/>
      <c r="G388" s="359"/>
      <c r="H388" s="359"/>
      <c r="I388" s="359"/>
      <c r="J388" s="359"/>
      <c r="K388" s="359"/>
    </row>
    <row r="389" ht="20.25" spans="1:11">
      <c r="A389" s="359"/>
      <c r="B389" s="359"/>
      <c r="C389" s="359"/>
      <c r="D389" s="359"/>
      <c r="E389" s="359"/>
      <c r="F389" s="359"/>
      <c r="G389" s="359"/>
      <c r="H389" s="359"/>
      <c r="I389" s="359"/>
      <c r="J389" s="359"/>
      <c r="K389" s="359"/>
    </row>
    <row r="390" ht="20.25" spans="1:11">
      <c r="A390" s="359"/>
      <c r="B390" s="359"/>
      <c r="C390" s="359"/>
      <c r="D390" s="359"/>
      <c r="E390" s="359"/>
      <c r="F390" s="359"/>
      <c r="G390" s="359"/>
      <c r="H390" s="359"/>
      <c r="I390" s="359"/>
      <c r="J390" s="359"/>
      <c r="K390" s="359"/>
    </row>
    <row r="391" ht="20.25" spans="1:11">
      <c r="A391" s="359"/>
      <c r="B391" s="359"/>
      <c r="C391" s="359"/>
      <c r="D391" s="359"/>
      <c r="E391" s="359"/>
      <c r="F391" s="359"/>
      <c r="G391" s="359"/>
      <c r="H391" s="359"/>
      <c r="I391" s="359"/>
      <c r="J391" s="359"/>
      <c r="K391" s="359"/>
    </row>
    <row r="392" ht="20.25" spans="1:11">
      <c r="A392" s="359"/>
      <c r="B392" s="359"/>
      <c r="C392" s="359"/>
      <c r="D392" s="359"/>
      <c r="E392" s="359"/>
      <c r="F392" s="359"/>
      <c r="G392" s="359"/>
      <c r="H392" s="359"/>
      <c r="I392" s="359"/>
      <c r="J392" s="359"/>
      <c r="K392" s="359"/>
    </row>
    <row r="393" ht="20.25" spans="1:11">
      <c r="A393" s="359"/>
      <c r="B393" s="359"/>
      <c r="C393" s="359"/>
      <c r="D393" s="359"/>
      <c r="E393" s="359"/>
      <c r="F393" s="359"/>
      <c r="G393" s="359"/>
      <c r="H393" s="359"/>
      <c r="I393" s="359"/>
      <c r="J393" s="359"/>
      <c r="K393" s="359"/>
    </row>
    <row r="394" ht="20.25" spans="1:11">
      <c r="A394" s="359"/>
      <c r="B394" s="359"/>
      <c r="C394" s="359"/>
      <c r="D394" s="359"/>
      <c r="E394" s="359"/>
      <c r="F394" s="359"/>
      <c r="G394" s="359"/>
      <c r="H394" s="359"/>
      <c r="I394" s="359"/>
      <c r="J394" s="359"/>
      <c r="K394" s="359"/>
    </row>
    <row r="395" ht="20.25" spans="1:11">
      <c r="A395" s="359"/>
      <c r="B395" s="359"/>
      <c r="C395" s="359"/>
      <c r="D395" s="359"/>
      <c r="E395" s="359"/>
      <c r="F395" s="359"/>
      <c r="G395" s="359"/>
      <c r="H395" s="359"/>
      <c r="I395" s="359"/>
      <c r="J395" s="359"/>
      <c r="K395" s="359"/>
    </row>
    <row r="396" ht="20.25" spans="1:11">
      <c r="A396" s="359"/>
      <c r="B396" s="359"/>
      <c r="C396" s="359"/>
      <c r="D396" s="359"/>
      <c r="E396" s="359"/>
      <c r="F396" s="359"/>
      <c r="G396" s="359"/>
      <c r="H396" s="359"/>
      <c r="I396" s="359"/>
      <c r="J396" s="359"/>
      <c r="K396" s="359"/>
    </row>
    <row r="397" ht="20.25" spans="1:11">
      <c r="A397" s="359"/>
      <c r="B397" s="359"/>
      <c r="C397" s="359"/>
      <c r="D397" s="359"/>
      <c r="E397" s="359"/>
      <c r="F397" s="359"/>
      <c r="G397" s="359"/>
      <c r="H397" s="359"/>
      <c r="I397" s="359"/>
      <c r="J397" s="359"/>
      <c r="K397" s="359"/>
    </row>
    <row r="398" ht="20.25" spans="1:11">
      <c r="A398" s="359"/>
      <c r="B398" s="359"/>
      <c r="C398" s="359"/>
      <c r="D398" s="359"/>
      <c r="E398" s="359"/>
      <c r="F398" s="359"/>
      <c r="G398" s="359"/>
      <c r="H398" s="359"/>
      <c r="I398" s="359"/>
      <c r="J398" s="359"/>
      <c r="K398" s="359"/>
    </row>
    <row r="399" ht="20.25" spans="1:11">
      <c r="A399" s="359"/>
      <c r="B399" s="359"/>
      <c r="C399" s="359"/>
      <c r="D399" s="359"/>
      <c r="E399" s="359"/>
      <c r="F399" s="359"/>
      <c r="G399" s="359"/>
      <c r="H399" s="359"/>
      <c r="I399" s="359"/>
      <c r="J399" s="359"/>
      <c r="K399" s="359"/>
    </row>
    <row r="400" ht="20.25" spans="1:11">
      <c r="A400" s="359"/>
      <c r="B400" s="359"/>
      <c r="C400" s="359"/>
      <c r="D400" s="359"/>
      <c r="E400" s="359"/>
      <c r="F400" s="359"/>
      <c r="G400" s="359"/>
      <c r="H400" s="359"/>
      <c r="I400" s="359"/>
      <c r="J400" s="359"/>
      <c r="K400" s="359"/>
    </row>
    <row r="401" ht="20.25" spans="1:11">
      <c r="A401" s="359"/>
      <c r="B401" s="359"/>
      <c r="C401" s="359"/>
      <c r="D401" s="359"/>
      <c r="E401" s="359"/>
      <c r="F401" s="359"/>
      <c r="G401" s="359"/>
      <c r="H401" s="359"/>
      <c r="I401" s="359"/>
      <c r="J401" s="359"/>
      <c r="K401" s="359"/>
    </row>
    <row r="402" ht="20.25" spans="1:11">
      <c r="A402" s="359"/>
      <c r="B402" s="359"/>
      <c r="C402" s="359"/>
      <c r="D402" s="359"/>
      <c r="E402" s="359"/>
      <c r="F402" s="359"/>
      <c r="G402" s="359"/>
      <c r="H402" s="359"/>
      <c r="I402" s="359"/>
      <c r="J402" s="359"/>
      <c r="K402" s="359"/>
    </row>
    <row r="403" ht="20.25" spans="1:11">
      <c r="A403" s="359"/>
      <c r="B403" s="359"/>
      <c r="C403" s="359"/>
      <c r="D403" s="359"/>
      <c r="E403" s="359"/>
      <c r="F403" s="359"/>
      <c r="G403" s="359"/>
      <c r="H403" s="359"/>
      <c r="I403" s="359"/>
      <c r="J403" s="359"/>
      <c r="K403" s="359"/>
    </row>
    <row r="404" ht="20.25" spans="1:11">
      <c r="A404" s="359"/>
      <c r="B404" s="359"/>
      <c r="C404" s="359"/>
      <c r="D404" s="359"/>
      <c r="E404" s="359"/>
      <c r="F404" s="359"/>
      <c r="G404" s="359"/>
      <c r="H404" s="359"/>
      <c r="I404" s="359"/>
      <c r="J404" s="359"/>
      <c r="K404" s="359"/>
    </row>
    <row r="405" ht="20.25" spans="1:11">
      <c r="A405" s="359"/>
      <c r="B405" s="359"/>
      <c r="C405" s="359"/>
      <c r="D405" s="359"/>
      <c r="E405" s="359"/>
      <c r="F405" s="359"/>
      <c r="G405" s="359"/>
      <c r="H405" s="359"/>
      <c r="I405" s="359"/>
      <c r="J405" s="359"/>
      <c r="K405" s="359"/>
    </row>
    <row r="406" ht="20.25" spans="1:11">
      <c r="A406" s="359"/>
      <c r="B406" s="359"/>
      <c r="C406" s="359"/>
      <c r="D406" s="359"/>
      <c r="E406" s="359"/>
      <c r="F406" s="359"/>
      <c r="G406" s="359"/>
      <c r="H406" s="359"/>
      <c r="I406" s="359"/>
      <c r="J406" s="359"/>
      <c r="K406" s="359"/>
    </row>
    <row r="407" ht="20.25" spans="1:11">
      <c r="A407" s="359"/>
      <c r="B407" s="359"/>
      <c r="C407" s="359"/>
      <c r="D407" s="359"/>
      <c r="E407" s="359"/>
      <c r="F407" s="359"/>
      <c r="G407" s="359"/>
      <c r="H407" s="359"/>
      <c r="I407" s="359"/>
      <c r="J407" s="359"/>
      <c r="K407" s="359"/>
    </row>
    <row r="408" ht="20.25" spans="1:11">
      <c r="A408" s="359"/>
      <c r="B408" s="359"/>
      <c r="C408" s="359"/>
      <c r="D408" s="359"/>
      <c r="E408" s="359"/>
      <c r="F408" s="359"/>
      <c r="G408" s="359"/>
      <c r="H408" s="359"/>
      <c r="I408" s="359"/>
      <c r="J408" s="359"/>
      <c r="K408" s="359"/>
    </row>
    <row r="409" ht="20.25" spans="1:11">
      <c r="A409" s="359"/>
      <c r="B409" s="359"/>
      <c r="C409" s="359"/>
      <c r="D409" s="359"/>
      <c r="E409" s="359"/>
      <c r="F409" s="359"/>
      <c r="G409" s="359"/>
      <c r="H409" s="359"/>
      <c r="I409" s="359"/>
      <c r="J409" s="359"/>
      <c r="K409" s="359"/>
    </row>
    <row r="410" ht="20.25" spans="1:11">
      <c r="A410" s="359"/>
      <c r="B410" s="359"/>
      <c r="C410" s="359"/>
      <c r="D410" s="359"/>
      <c r="E410" s="359"/>
      <c r="F410" s="359"/>
      <c r="G410" s="359"/>
      <c r="H410" s="359"/>
      <c r="I410" s="359"/>
      <c r="J410" s="359"/>
      <c r="K410" s="359"/>
    </row>
    <row r="411" ht="20.25" spans="1:11">
      <c r="A411" s="359"/>
      <c r="B411" s="359"/>
      <c r="C411" s="359"/>
      <c r="D411" s="359"/>
      <c r="E411" s="359"/>
      <c r="F411" s="359"/>
      <c r="G411" s="359"/>
      <c r="H411" s="359"/>
      <c r="I411" s="359"/>
      <c r="J411" s="359"/>
      <c r="K411" s="359"/>
    </row>
    <row r="412" ht="20.25" spans="1:11">
      <c r="A412" s="359"/>
      <c r="B412" s="359"/>
      <c r="C412" s="359"/>
      <c r="D412" s="359"/>
      <c r="E412" s="359"/>
      <c r="F412" s="359"/>
      <c r="G412" s="359"/>
      <c r="H412" s="359"/>
      <c r="I412" s="359"/>
      <c r="J412" s="359"/>
      <c r="K412" s="359"/>
    </row>
    <row r="413" ht="20.25" spans="1:11">
      <c r="A413" s="359"/>
      <c r="B413" s="359"/>
      <c r="C413" s="359"/>
      <c r="D413" s="359"/>
      <c r="E413" s="359"/>
      <c r="F413" s="359"/>
      <c r="G413" s="359"/>
      <c r="H413" s="359"/>
      <c r="I413" s="359"/>
      <c r="J413" s="359"/>
      <c r="K413" s="359"/>
    </row>
    <row r="414" ht="20.25" spans="1:11">
      <c r="A414" s="359"/>
      <c r="B414" s="359"/>
      <c r="C414" s="359"/>
      <c r="D414" s="359"/>
      <c r="E414" s="359"/>
      <c r="F414" s="359"/>
      <c r="G414" s="359"/>
      <c r="H414" s="359"/>
      <c r="I414" s="359"/>
      <c r="J414" s="359"/>
      <c r="K414" s="359"/>
    </row>
    <row r="415" ht="20.25" spans="1:11">
      <c r="A415" s="359"/>
      <c r="B415" s="359"/>
      <c r="C415" s="359"/>
      <c r="D415" s="359"/>
      <c r="E415" s="359"/>
      <c r="F415" s="359"/>
      <c r="G415" s="359"/>
      <c r="H415" s="359"/>
      <c r="I415" s="359"/>
      <c r="J415" s="359"/>
      <c r="K415" s="359"/>
    </row>
    <row r="416" ht="20.25" spans="1:11">
      <c r="A416" s="359"/>
      <c r="B416" s="359"/>
      <c r="C416" s="359"/>
      <c r="D416" s="359"/>
      <c r="E416" s="359"/>
      <c r="F416" s="359"/>
      <c r="G416" s="359"/>
      <c r="H416" s="359"/>
      <c r="I416" s="359"/>
      <c r="J416" s="359"/>
      <c r="K416" s="359"/>
    </row>
    <row r="417" ht="20.25" spans="1:11">
      <c r="A417" s="359"/>
      <c r="B417" s="359"/>
      <c r="C417" s="359"/>
      <c r="D417" s="359"/>
      <c r="E417" s="359"/>
      <c r="F417" s="359"/>
      <c r="G417" s="359"/>
      <c r="H417" s="359"/>
      <c r="I417" s="359"/>
      <c r="J417" s="359"/>
      <c r="K417" s="359"/>
    </row>
    <row r="418" ht="20.25" spans="1:11">
      <c r="A418" s="359"/>
      <c r="B418" s="359"/>
      <c r="C418" s="359"/>
      <c r="D418" s="359"/>
      <c r="E418" s="359"/>
      <c r="F418" s="359"/>
      <c r="G418" s="359"/>
      <c r="H418" s="359"/>
      <c r="I418" s="359"/>
      <c r="J418" s="359"/>
      <c r="K418" s="359"/>
    </row>
    <row r="419" ht="20.25" spans="1:11">
      <c r="A419" s="359"/>
      <c r="B419" s="359"/>
      <c r="C419" s="359"/>
      <c r="D419" s="359"/>
      <c r="E419" s="359"/>
      <c r="F419" s="359"/>
      <c r="G419" s="359"/>
      <c r="H419" s="359"/>
      <c r="I419" s="359"/>
      <c r="J419" s="359"/>
      <c r="K419" s="359"/>
    </row>
    <row r="420" ht="20.25" spans="1:11">
      <c r="A420" s="359"/>
      <c r="B420" s="359"/>
      <c r="C420" s="359"/>
      <c r="D420" s="359"/>
      <c r="E420" s="359"/>
      <c r="F420" s="359"/>
      <c r="G420" s="359"/>
      <c r="H420" s="359"/>
      <c r="I420" s="359"/>
      <c r="J420" s="359"/>
      <c r="K420" s="359"/>
    </row>
    <row r="421" ht="20.25" spans="1:11">
      <c r="A421" s="359"/>
      <c r="B421" s="359"/>
      <c r="C421" s="359"/>
      <c r="D421" s="359"/>
      <c r="E421" s="359"/>
      <c r="F421" s="359"/>
      <c r="G421" s="359"/>
      <c r="H421" s="359"/>
      <c r="I421" s="359"/>
      <c r="J421" s="359"/>
      <c r="K421" s="359"/>
    </row>
    <row r="422" ht="20.25" spans="1:11">
      <c r="A422" s="359"/>
      <c r="B422" s="359"/>
      <c r="C422" s="359"/>
      <c r="D422" s="359"/>
      <c r="E422" s="359"/>
      <c r="F422" s="359"/>
      <c r="G422" s="359"/>
      <c r="H422" s="359"/>
      <c r="I422" s="359"/>
      <c r="J422" s="359"/>
      <c r="K422" s="359"/>
    </row>
    <row r="423" ht="20.25" spans="1:11">
      <c r="A423" s="359"/>
      <c r="B423" s="359"/>
      <c r="C423" s="359"/>
      <c r="D423" s="359"/>
      <c r="E423" s="359"/>
      <c r="F423" s="359"/>
      <c r="G423" s="359"/>
      <c r="H423" s="359"/>
      <c r="I423" s="359"/>
      <c r="J423" s="359"/>
      <c r="K423" s="359"/>
    </row>
    <row r="424" ht="20.25" spans="1:11">
      <c r="A424" s="359"/>
      <c r="B424" s="359"/>
      <c r="C424" s="359"/>
      <c r="D424" s="359"/>
      <c r="E424" s="359"/>
      <c r="F424" s="359"/>
      <c r="G424" s="359"/>
      <c r="H424" s="359"/>
      <c r="I424" s="359"/>
      <c r="J424" s="359"/>
      <c r="K424" s="359"/>
    </row>
    <row r="425" ht="20.25" spans="1:11">
      <c r="A425" s="359"/>
      <c r="B425" s="359"/>
      <c r="C425" s="359"/>
      <c r="D425" s="359"/>
      <c r="E425" s="359"/>
      <c r="F425" s="359"/>
      <c r="G425" s="359"/>
      <c r="H425" s="359"/>
      <c r="I425" s="359"/>
      <c r="J425" s="359"/>
      <c r="K425" s="359"/>
    </row>
    <row r="426" ht="20.25" spans="1:11">
      <c r="A426" s="359"/>
      <c r="B426" s="359"/>
      <c r="C426" s="359"/>
      <c r="D426" s="359"/>
      <c r="E426" s="359"/>
      <c r="F426" s="359"/>
      <c r="G426" s="359"/>
      <c r="H426" s="359"/>
      <c r="I426" s="359"/>
      <c r="J426" s="359"/>
      <c r="K426" s="359"/>
    </row>
    <row r="427" ht="20.25" spans="1:11">
      <c r="A427" s="359"/>
      <c r="B427" s="359"/>
      <c r="C427" s="359"/>
      <c r="D427" s="359"/>
      <c r="E427" s="359"/>
      <c r="F427" s="359"/>
      <c r="G427" s="359"/>
      <c r="H427" s="359"/>
      <c r="I427" s="359"/>
      <c r="J427" s="359"/>
      <c r="K427" s="359"/>
    </row>
    <row r="428" ht="20.25" spans="1:11">
      <c r="A428" s="359"/>
      <c r="B428" s="359"/>
      <c r="C428" s="359"/>
      <c r="D428" s="359"/>
      <c r="E428" s="359"/>
      <c r="F428" s="359"/>
      <c r="G428" s="359"/>
      <c r="H428" s="359"/>
      <c r="I428" s="359"/>
      <c r="J428" s="359"/>
      <c r="K428" s="359"/>
    </row>
    <row r="429" ht="20.25" spans="1:11">
      <c r="A429" s="359"/>
      <c r="B429" s="359"/>
      <c r="C429" s="359"/>
      <c r="D429" s="359"/>
      <c r="E429" s="359"/>
      <c r="F429" s="359"/>
      <c r="G429" s="359"/>
      <c r="H429" s="359"/>
      <c r="I429" s="359"/>
      <c r="J429" s="359"/>
      <c r="K429" s="359"/>
    </row>
    <row r="430" ht="20.25" spans="1:11">
      <c r="A430" s="359"/>
      <c r="B430" s="359"/>
      <c r="C430" s="359"/>
      <c r="D430" s="359"/>
      <c r="E430" s="359"/>
      <c r="F430" s="359"/>
      <c r="G430" s="359"/>
      <c r="H430" s="359"/>
      <c r="I430" s="359"/>
      <c r="J430" s="359"/>
      <c r="K430" s="359"/>
    </row>
    <row r="431" ht="20.25" spans="1:11">
      <c r="A431" s="359"/>
      <c r="B431" s="359"/>
      <c r="C431" s="359"/>
      <c r="D431" s="359"/>
      <c r="E431" s="359"/>
      <c r="F431" s="359"/>
      <c r="G431" s="359"/>
      <c r="H431" s="359"/>
      <c r="I431" s="359"/>
      <c r="J431" s="359"/>
      <c r="K431" s="359"/>
    </row>
    <row r="432" ht="20.25" spans="1:11">
      <c r="A432" s="359"/>
      <c r="B432" s="359"/>
      <c r="C432" s="359"/>
      <c r="D432" s="359"/>
      <c r="E432" s="359"/>
      <c r="F432" s="359"/>
      <c r="G432" s="359"/>
      <c r="H432" s="359"/>
      <c r="I432" s="359"/>
      <c r="J432" s="359"/>
      <c r="K432" s="359"/>
    </row>
    <row r="433" ht="20.25" spans="1:11">
      <c r="A433" s="359"/>
      <c r="B433" s="359"/>
      <c r="C433" s="359"/>
      <c r="D433" s="359"/>
      <c r="E433" s="359"/>
      <c r="F433" s="359"/>
      <c r="G433" s="359"/>
      <c r="H433" s="359"/>
      <c r="I433" s="359"/>
      <c r="J433" s="359"/>
      <c r="K433" s="359"/>
    </row>
    <row r="434" ht="20.25" spans="1:11">
      <c r="A434" s="359"/>
      <c r="B434" s="359"/>
      <c r="C434" s="359"/>
      <c r="D434" s="359"/>
      <c r="E434" s="359"/>
      <c r="F434" s="359"/>
      <c r="G434" s="359"/>
      <c r="H434" s="359"/>
      <c r="I434" s="359"/>
      <c r="J434" s="359"/>
      <c r="K434" s="359"/>
    </row>
    <row r="435" ht="20.25" spans="1:11">
      <c r="A435" s="359"/>
      <c r="B435" s="359"/>
      <c r="C435" s="359"/>
      <c r="D435" s="359"/>
      <c r="E435" s="359"/>
      <c r="F435" s="359"/>
      <c r="G435" s="359"/>
      <c r="H435" s="359"/>
      <c r="I435" s="359"/>
      <c r="J435" s="359"/>
      <c r="K435" s="359"/>
    </row>
    <row r="436" ht="20.25" spans="1:11">
      <c r="A436" s="359"/>
      <c r="B436" s="359"/>
      <c r="C436" s="359"/>
      <c r="D436" s="359"/>
      <c r="E436" s="359"/>
      <c r="F436" s="359"/>
      <c r="G436" s="359"/>
      <c r="H436" s="359"/>
      <c r="I436" s="359"/>
      <c r="J436" s="359"/>
      <c r="K436" s="359"/>
    </row>
    <row r="437" ht="20.25" spans="1:11">
      <c r="A437" s="359"/>
      <c r="B437" s="359"/>
      <c r="C437" s="359"/>
      <c r="D437" s="359"/>
      <c r="E437" s="359"/>
      <c r="F437" s="359"/>
      <c r="G437" s="359"/>
      <c r="H437" s="359"/>
      <c r="I437" s="359"/>
      <c r="J437" s="359"/>
      <c r="K437" s="359"/>
    </row>
    <row r="438" ht="20.25" spans="1:11">
      <c r="A438" s="359"/>
      <c r="B438" s="359"/>
      <c r="C438" s="359"/>
      <c r="D438" s="359"/>
      <c r="E438" s="359"/>
      <c r="F438" s="359"/>
      <c r="G438" s="359"/>
      <c r="H438" s="359"/>
      <c r="I438" s="359"/>
      <c r="J438" s="359"/>
      <c r="K438" s="359"/>
    </row>
    <row r="439" ht="20.25" spans="1:11">
      <c r="A439" s="359"/>
      <c r="B439" s="359"/>
      <c r="C439" s="359"/>
      <c r="D439" s="359"/>
      <c r="E439" s="359"/>
      <c r="F439" s="359"/>
      <c r="G439" s="359"/>
      <c r="H439" s="359"/>
      <c r="I439" s="359"/>
      <c r="J439" s="359"/>
      <c r="K439" s="359"/>
    </row>
    <row r="440" ht="20.25" spans="1:11">
      <c r="A440" s="359"/>
      <c r="B440" s="359"/>
      <c r="C440" s="359"/>
      <c r="D440" s="359"/>
      <c r="E440" s="359"/>
      <c r="F440" s="359"/>
      <c r="G440" s="359"/>
      <c r="H440" s="359"/>
      <c r="I440" s="359"/>
      <c r="J440" s="359"/>
      <c r="K440" s="359"/>
    </row>
    <row r="441" ht="20.25" spans="1:11">
      <c r="A441" s="359"/>
      <c r="B441" s="359"/>
      <c r="C441" s="359"/>
      <c r="D441" s="359"/>
      <c r="E441" s="359"/>
      <c r="F441" s="359"/>
      <c r="G441" s="359"/>
      <c r="H441" s="359"/>
      <c r="I441" s="359"/>
      <c r="J441" s="359"/>
      <c r="K441" s="359"/>
    </row>
    <row r="442" ht="20.25" spans="1:11">
      <c r="A442" s="359"/>
      <c r="B442" s="359"/>
      <c r="C442" s="359"/>
      <c r="D442" s="359"/>
      <c r="E442" s="359"/>
      <c r="F442" s="359"/>
      <c r="G442" s="359"/>
      <c r="H442" s="359"/>
      <c r="I442" s="359"/>
      <c r="J442" s="359"/>
      <c r="K442" s="359"/>
    </row>
    <row r="443" ht="20.25" spans="1:11">
      <c r="A443" s="359"/>
      <c r="B443" s="359"/>
      <c r="C443" s="359"/>
      <c r="D443" s="359"/>
      <c r="E443" s="359"/>
      <c r="F443" s="359"/>
      <c r="G443" s="359"/>
      <c r="H443" s="359"/>
      <c r="I443" s="359"/>
      <c r="J443" s="359"/>
      <c r="K443" s="359"/>
    </row>
    <row r="444" ht="20.25" spans="1:11">
      <c r="A444" s="359"/>
      <c r="B444" s="359"/>
      <c r="C444" s="359"/>
      <c r="D444" s="359"/>
      <c r="E444" s="359"/>
      <c r="F444" s="359"/>
      <c r="G444" s="359"/>
      <c r="H444" s="359"/>
      <c r="I444" s="359"/>
      <c r="J444" s="359"/>
      <c r="K444" s="359"/>
    </row>
    <row r="445" ht="20.25" spans="1:11">
      <c r="A445" s="359"/>
      <c r="B445" s="359"/>
      <c r="C445" s="359"/>
      <c r="D445" s="359"/>
      <c r="E445" s="359"/>
      <c r="F445" s="359"/>
      <c r="G445" s="359"/>
      <c r="H445" s="359"/>
      <c r="I445" s="359"/>
      <c r="J445" s="359"/>
      <c r="K445" s="359"/>
    </row>
    <row r="446" ht="20.25" spans="1:11">
      <c r="A446" s="359"/>
      <c r="B446" s="359"/>
      <c r="C446" s="359"/>
      <c r="D446" s="359"/>
      <c r="E446" s="359"/>
      <c r="F446" s="359"/>
      <c r="G446" s="359"/>
      <c r="H446" s="359"/>
      <c r="I446" s="359"/>
      <c r="J446" s="359"/>
      <c r="K446" s="359"/>
    </row>
    <row r="447" ht="20.25" spans="1:11">
      <c r="A447" s="359"/>
      <c r="B447" s="359"/>
      <c r="C447" s="359"/>
      <c r="D447" s="359"/>
      <c r="E447" s="359"/>
      <c r="F447" s="359"/>
      <c r="G447" s="359"/>
      <c r="H447" s="359"/>
      <c r="I447" s="359"/>
      <c r="J447" s="359"/>
      <c r="K447" s="359"/>
    </row>
    <row r="448" ht="20.25" spans="1:11">
      <c r="A448" s="359"/>
      <c r="B448" s="359"/>
      <c r="C448" s="359"/>
      <c r="D448" s="359"/>
      <c r="E448" s="359"/>
      <c r="F448" s="359"/>
      <c r="G448" s="359"/>
      <c r="H448" s="359"/>
      <c r="I448" s="359"/>
      <c r="J448" s="359"/>
      <c r="K448" s="359"/>
    </row>
    <row r="449" ht="20.25" spans="1:11">
      <c r="A449" s="359"/>
      <c r="B449" s="359"/>
      <c r="C449" s="359"/>
      <c r="D449" s="359"/>
      <c r="E449" s="359"/>
      <c r="F449" s="359"/>
      <c r="G449" s="359"/>
      <c r="H449" s="359"/>
      <c r="I449" s="359"/>
      <c r="J449" s="359"/>
      <c r="K449" s="359"/>
    </row>
    <row r="450" ht="20.25" spans="1:11">
      <c r="A450" s="359"/>
      <c r="B450" s="359"/>
      <c r="C450" s="359"/>
      <c r="D450" s="359"/>
      <c r="E450" s="359"/>
      <c r="F450" s="359"/>
      <c r="G450" s="359"/>
      <c r="H450" s="359"/>
      <c r="I450" s="359"/>
      <c r="J450" s="359"/>
      <c r="K450" s="359"/>
    </row>
    <row r="451" ht="20.25" spans="1:11">
      <c r="A451" s="359"/>
      <c r="B451" s="359"/>
      <c r="C451" s="359"/>
      <c r="D451" s="359"/>
      <c r="E451" s="359"/>
      <c r="F451" s="359"/>
      <c r="G451" s="359"/>
      <c r="H451" s="359"/>
      <c r="I451" s="359"/>
      <c r="J451" s="359"/>
      <c r="K451" s="359"/>
    </row>
    <row r="452" ht="20.25" spans="1:11">
      <c r="A452" s="359"/>
      <c r="B452" s="359"/>
      <c r="C452" s="359"/>
      <c r="D452" s="359"/>
      <c r="E452" s="359"/>
      <c r="F452" s="359"/>
      <c r="G452" s="359"/>
      <c r="H452" s="359"/>
      <c r="I452" s="359"/>
      <c r="J452" s="359"/>
      <c r="K452" s="359"/>
    </row>
    <row r="453" ht="20.25" spans="1:11">
      <c r="A453" s="359"/>
      <c r="B453" s="359"/>
      <c r="C453" s="359"/>
      <c r="D453" s="359"/>
      <c r="E453" s="359"/>
      <c r="F453" s="359"/>
      <c r="G453" s="359"/>
      <c r="H453" s="359"/>
      <c r="I453" s="359"/>
      <c r="J453" s="359"/>
      <c r="K453" s="359"/>
    </row>
    <row r="454" ht="20.25" spans="1:11">
      <c r="A454" s="359"/>
      <c r="B454" s="359"/>
      <c r="C454" s="359"/>
      <c r="D454" s="359"/>
      <c r="E454" s="359"/>
      <c r="F454" s="359"/>
      <c r="G454" s="359"/>
      <c r="H454" s="359"/>
      <c r="I454" s="359"/>
      <c r="J454" s="359"/>
      <c r="K454" s="359"/>
    </row>
    <row r="455" ht="20.25" spans="1:11">
      <c r="A455" s="359"/>
      <c r="B455" s="359"/>
      <c r="C455" s="359"/>
      <c r="D455" s="359"/>
      <c r="E455" s="359"/>
      <c r="F455" s="359"/>
      <c r="G455" s="359"/>
      <c r="H455" s="359"/>
      <c r="I455" s="359"/>
      <c r="J455" s="359"/>
      <c r="K455" s="359"/>
    </row>
    <row r="456" ht="20.25" spans="1:11">
      <c r="A456" s="359"/>
      <c r="B456" s="359"/>
      <c r="C456" s="359"/>
      <c r="D456" s="359"/>
      <c r="E456" s="359"/>
      <c r="F456" s="359"/>
      <c r="G456" s="359"/>
      <c r="H456" s="359"/>
      <c r="I456" s="359"/>
      <c r="J456" s="359"/>
      <c r="K456" s="359"/>
    </row>
    <row r="457" ht="20.25" spans="1:11">
      <c r="A457" s="359"/>
      <c r="B457" s="359"/>
      <c r="C457" s="359"/>
      <c r="D457" s="359"/>
      <c r="E457" s="359"/>
      <c r="F457" s="359"/>
      <c r="G457" s="359"/>
      <c r="H457" s="359"/>
      <c r="I457" s="359"/>
      <c r="J457" s="359"/>
      <c r="K457" s="359"/>
    </row>
    <row r="458" ht="20.25" spans="1:11">
      <c r="A458" s="359"/>
      <c r="B458" s="359"/>
      <c r="C458" s="359"/>
      <c r="D458" s="359"/>
      <c r="E458" s="359"/>
      <c r="F458" s="359"/>
      <c r="G458" s="359"/>
      <c r="H458" s="359"/>
      <c r="I458" s="359"/>
      <c r="J458" s="359"/>
      <c r="K458" s="359"/>
    </row>
    <row r="459" ht="20.25" spans="1:11">
      <c r="A459" s="359"/>
      <c r="B459" s="359"/>
      <c r="C459" s="359"/>
      <c r="D459" s="359"/>
      <c r="E459" s="359"/>
      <c r="F459" s="359"/>
      <c r="G459" s="359"/>
      <c r="H459" s="359"/>
      <c r="I459" s="359"/>
      <c r="J459" s="359"/>
      <c r="K459" s="359"/>
    </row>
    <row r="460" ht="20.25" spans="1:11">
      <c r="A460" s="359"/>
      <c r="B460" s="359"/>
      <c r="C460" s="359"/>
      <c r="D460" s="359"/>
      <c r="E460" s="359"/>
      <c r="F460" s="359"/>
      <c r="G460" s="359"/>
      <c r="H460" s="359"/>
      <c r="I460" s="359"/>
      <c r="J460" s="359"/>
      <c r="K460" s="359"/>
    </row>
    <row r="461" ht="20.25" spans="1:11">
      <c r="A461" s="359"/>
      <c r="B461" s="359"/>
      <c r="C461" s="359"/>
      <c r="D461" s="359"/>
      <c r="E461" s="359"/>
      <c r="F461" s="359"/>
      <c r="G461" s="359"/>
      <c r="H461" s="359"/>
      <c r="I461" s="359"/>
      <c r="J461" s="359"/>
      <c r="K461" s="359"/>
    </row>
    <row r="462" ht="20.25" spans="1:11">
      <c r="A462" s="359"/>
      <c r="B462" s="359"/>
      <c r="C462" s="359"/>
      <c r="D462" s="359"/>
      <c r="E462" s="359"/>
      <c r="F462" s="359"/>
      <c r="G462" s="359"/>
      <c r="H462" s="359"/>
      <c r="I462" s="359"/>
      <c r="J462" s="359"/>
      <c r="K462" s="359"/>
    </row>
    <row r="463" ht="20.25" spans="1:11">
      <c r="A463" s="359"/>
      <c r="B463" s="359"/>
      <c r="C463" s="359"/>
      <c r="D463" s="359"/>
      <c r="E463" s="359"/>
      <c r="F463" s="359"/>
      <c r="G463" s="359"/>
      <c r="H463" s="359"/>
      <c r="I463" s="359"/>
      <c r="J463" s="359"/>
      <c r="K463" s="359"/>
    </row>
    <row r="464" ht="20.25" spans="1:11">
      <c r="A464" s="359"/>
      <c r="B464" s="359"/>
      <c r="C464" s="359"/>
      <c r="D464" s="359"/>
      <c r="E464" s="359"/>
      <c r="F464" s="359"/>
      <c r="G464" s="359"/>
      <c r="H464" s="359"/>
      <c r="I464" s="359"/>
      <c r="J464" s="359"/>
      <c r="K464" s="359"/>
    </row>
    <row r="465" ht="20.25" spans="1:11">
      <c r="A465" s="359"/>
      <c r="B465" s="359"/>
      <c r="C465" s="359"/>
      <c r="D465" s="359"/>
      <c r="E465" s="359"/>
      <c r="F465" s="359"/>
      <c r="G465" s="359"/>
      <c r="H465" s="359"/>
      <c r="I465" s="359"/>
      <c r="J465" s="359"/>
      <c r="K465" s="359"/>
    </row>
    <row r="466" ht="20.25" spans="1:11">
      <c r="A466" s="359"/>
      <c r="B466" s="359"/>
      <c r="C466" s="359"/>
      <c r="D466" s="359"/>
      <c r="E466" s="359"/>
      <c r="F466" s="359"/>
      <c r="G466" s="359"/>
      <c r="H466" s="359"/>
      <c r="I466" s="359"/>
      <c r="J466" s="359"/>
      <c r="K466" s="359"/>
    </row>
    <row r="467" ht="20.25" spans="1:11">
      <c r="A467" s="359"/>
      <c r="B467" s="359"/>
      <c r="C467" s="359"/>
      <c r="D467" s="359"/>
      <c r="E467" s="359"/>
      <c r="F467" s="359"/>
      <c r="G467" s="359"/>
      <c r="H467" s="359"/>
      <c r="I467" s="359"/>
      <c r="J467" s="359"/>
      <c r="K467" s="359"/>
    </row>
    <row r="468" ht="20.25" spans="1:11">
      <c r="A468" s="359"/>
      <c r="B468" s="359"/>
      <c r="C468" s="359"/>
      <c r="D468" s="359"/>
      <c r="E468" s="359"/>
      <c r="F468" s="359"/>
      <c r="G468" s="359"/>
      <c r="H468" s="359"/>
      <c r="I468" s="359"/>
      <c r="J468" s="359"/>
      <c r="K468" s="359"/>
    </row>
    <row r="469" ht="20.25" spans="1:11">
      <c r="A469" s="359"/>
      <c r="B469" s="359"/>
      <c r="C469" s="359"/>
      <c r="D469" s="359"/>
      <c r="E469" s="359"/>
      <c r="F469" s="359"/>
      <c r="G469" s="359"/>
      <c r="H469" s="359"/>
      <c r="I469" s="359"/>
      <c r="J469" s="359"/>
      <c r="K469" s="359"/>
    </row>
    <row r="470" ht="20.25" spans="1:11">
      <c r="A470" s="359"/>
      <c r="B470" s="359"/>
      <c r="C470" s="359"/>
      <c r="D470" s="359"/>
      <c r="E470" s="359"/>
      <c r="F470" s="359"/>
      <c r="G470" s="359"/>
      <c r="H470" s="359"/>
      <c r="I470" s="359"/>
      <c r="J470" s="359"/>
      <c r="K470" s="359"/>
    </row>
    <row r="471" ht="20.25" spans="1:11">
      <c r="A471" s="359"/>
      <c r="B471" s="359"/>
      <c r="C471" s="359"/>
      <c r="D471" s="359"/>
      <c r="E471" s="359"/>
      <c r="F471" s="359"/>
      <c r="G471" s="359"/>
      <c r="H471" s="359"/>
      <c r="I471" s="359"/>
      <c r="J471" s="359"/>
      <c r="K471" s="359"/>
    </row>
    <row r="472" ht="20.25" spans="1:11">
      <c r="A472" s="359"/>
      <c r="B472" s="359"/>
      <c r="C472" s="359"/>
      <c r="D472" s="359"/>
      <c r="E472" s="359"/>
      <c r="F472" s="359"/>
      <c r="G472" s="359"/>
      <c r="H472" s="359"/>
      <c r="I472" s="359"/>
      <c r="J472" s="359"/>
      <c r="K472" s="359"/>
    </row>
    <row r="473" ht="20.25" spans="1:11">
      <c r="A473" s="359"/>
      <c r="B473" s="359"/>
      <c r="C473" s="359"/>
      <c r="D473" s="359"/>
      <c r="E473" s="359"/>
      <c r="F473" s="359"/>
      <c r="G473" s="359"/>
      <c r="H473" s="359"/>
      <c r="I473" s="359"/>
      <c r="J473" s="359"/>
      <c r="K473" s="359"/>
    </row>
    <row r="474" ht="20.25" spans="1:11">
      <c r="A474" s="359"/>
      <c r="B474" s="359"/>
      <c r="C474" s="359"/>
      <c r="D474" s="359"/>
      <c r="E474" s="359"/>
      <c r="F474" s="359"/>
      <c r="G474" s="359"/>
      <c r="H474" s="359"/>
      <c r="I474" s="359"/>
      <c r="J474" s="359"/>
      <c r="K474" s="359"/>
    </row>
    <row r="475" ht="20.25" spans="1:11">
      <c r="A475" s="359"/>
      <c r="B475" s="359"/>
      <c r="C475" s="359"/>
      <c r="D475" s="359"/>
      <c r="E475" s="359"/>
      <c r="F475" s="359"/>
      <c r="G475" s="359"/>
      <c r="H475" s="359"/>
      <c r="I475" s="359"/>
      <c r="J475" s="359"/>
      <c r="K475" s="359"/>
    </row>
    <row r="476" ht="20.25" spans="1:11">
      <c r="A476" s="359"/>
      <c r="B476" s="359"/>
      <c r="C476" s="359"/>
      <c r="D476" s="359"/>
      <c r="E476" s="359"/>
      <c r="F476" s="359"/>
      <c r="G476" s="359"/>
      <c r="H476" s="359"/>
      <c r="I476" s="359"/>
      <c r="J476" s="359"/>
      <c r="K476" s="359"/>
    </row>
    <row r="477" ht="20.25" spans="1:11">
      <c r="A477" s="359"/>
      <c r="B477" s="359"/>
      <c r="C477" s="359"/>
      <c r="D477" s="359"/>
      <c r="E477" s="359"/>
      <c r="F477" s="359"/>
      <c r="G477" s="359"/>
      <c r="H477" s="359"/>
      <c r="I477" s="359"/>
      <c r="J477" s="359"/>
      <c r="K477" s="359"/>
    </row>
    <row r="478" ht="20.25" spans="1:11">
      <c r="A478" s="359"/>
      <c r="B478" s="359"/>
      <c r="C478" s="359"/>
      <c r="D478" s="359"/>
      <c r="E478" s="359"/>
      <c r="F478" s="359"/>
      <c r="G478" s="359"/>
      <c r="H478" s="359"/>
      <c r="I478" s="359"/>
      <c r="J478" s="359"/>
      <c r="K478" s="359"/>
    </row>
    <row r="479" ht="20.25" spans="1:11">
      <c r="A479" s="359"/>
      <c r="B479" s="359"/>
      <c r="C479" s="359"/>
      <c r="D479" s="359"/>
      <c r="E479" s="359"/>
      <c r="F479" s="359"/>
      <c r="G479" s="359"/>
      <c r="H479" s="359"/>
      <c r="I479" s="359"/>
      <c r="J479" s="359"/>
      <c r="K479" s="359"/>
    </row>
    <row r="480" ht="20.25" spans="1:11">
      <c r="A480" s="359"/>
      <c r="B480" s="359"/>
      <c r="C480" s="359"/>
      <c r="D480" s="359"/>
      <c r="E480" s="359"/>
      <c r="F480" s="359"/>
      <c r="G480" s="359"/>
      <c r="H480" s="359"/>
      <c r="I480" s="359"/>
      <c r="J480" s="359"/>
      <c r="K480" s="359"/>
    </row>
    <row r="481" ht="20.25" spans="1:11">
      <c r="A481" s="359"/>
      <c r="B481" s="359"/>
      <c r="C481" s="359"/>
      <c r="D481" s="359"/>
      <c r="E481" s="359"/>
      <c r="F481" s="359"/>
      <c r="G481" s="359"/>
      <c r="H481" s="359"/>
      <c r="I481" s="359"/>
      <c r="J481" s="359"/>
      <c r="K481" s="359"/>
    </row>
    <row r="482" ht="20.25" spans="1:11">
      <c r="A482" s="359"/>
      <c r="B482" s="359"/>
      <c r="C482" s="359"/>
      <c r="D482" s="359"/>
      <c r="E482" s="359"/>
      <c r="F482" s="359"/>
      <c r="G482" s="359"/>
      <c r="H482" s="359"/>
      <c r="I482" s="359"/>
      <c r="J482" s="359"/>
      <c r="K482" s="359"/>
    </row>
    <row r="483" ht="20.25" spans="1:11">
      <c r="A483" s="359"/>
      <c r="B483" s="359"/>
      <c r="C483" s="359"/>
      <c r="D483" s="359"/>
      <c r="E483" s="359"/>
      <c r="F483" s="359"/>
      <c r="G483" s="359"/>
      <c r="H483" s="359"/>
      <c r="I483" s="359"/>
      <c r="J483" s="359"/>
      <c r="K483" s="359"/>
    </row>
    <row r="484" ht="20.25" spans="1:11">
      <c r="A484" s="359"/>
      <c r="B484" s="359"/>
      <c r="C484" s="359"/>
      <c r="D484" s="359"/>
      <c r="E484" s="359"/>
      <c r="F484" s="359"/>
      <c r="G484" s="359"/>
      <c r="H484" s="359"/>
      <c r="I484" s="359"/>
      <c r="J484" s="359"/>
      <c r="K484" s="359"/>
    </row>
    <row r="485" ht="20.25" spans="1:11">
      <c r="A485" s="359"/>
      <c r="B485" s="359"/>
      <c r="C485" s="359"/>
      <c r="D485" s="359"/>
      <c r="E485" s="359"/>
      <c r="F485" s="359"/>
      <c r="G485" s="359"/>
      <c r="H485" s="359"/>
      <c r="I485" s="359"/>
      <c r="J485" s="359"/>
      <c r="K485" s="359"/>
    </row>
    <row r="486" ht="20.25" spans="1:11">
      <c r="A486" s="359"/>
      <c r="B486" s="359"/>
      <c r="C486" s="359"/>
      <c r="D486" s="359"/>
      <c r="E486" s="359"/>
      <c r="F486" s="359"/>
      <c r="G486" s="359"/>
      <c r="H486" s="359"/>
      <c r="I486" s="359"/>
      <c r="J486" s="359"/>
      <c r="K486" s="359"/>
    </row>
    <row r="487" ht="20.25" spans="1:11">
      <c r="A487" s="359"/>
      <c r="B487" s="359"/>
      <c r="C487" s="359"/>
      <c r="D487" s="359"/>
      <c r="E487" s="359"/>
      <c r="F487" s="359"/>
      <c r="G487" s="359"/>
      <c r="H487" s="359"/>
      <c r="I487" s="359"/>
      <c r="J487" s="359"/>
      <c r="K487" s="359"/>
    </row>
    <row r="488" ht="20.25" spans="1:11">
      <c r="A488" s="359"/>
      <c r="B488" s="359"/>
      <c r="C488" s="359"/>
      <c r="D488" s="359"/>
      <c r="E488" s="359"/>
      <c r="F488" s="359"/>
      <c r="G488" s="359"/>
      <c r="H488" s="359"/>
      <c r="I488" s="359"/>
      <c r="J488" s="359"/>
      <c r="K488" s="359"/>
    </row>
    <row r="489" ht="20.25" spans="1:11">
      <c r="A489" s="359"/>
      <c r="B489" s="359"/>
      <c r="C489" s="359"/>
      <c r="D489" s="359"/>
      <c r="E489" s="359"/>
      <c r="F489" s="359"/>
      <c r="G489" s="359"/>
      <c r="H489" s="359"/>
      <c r="I489" s="359"/>
      <c r="J489" s="359"/>
      <c r="K489" s="359"/>
    </row>
    <row r="490" ht="20.25" spans="1:11">
      <c r="A490" s="359"/>
      <c r="B490" s="359"/>
      <c r="C490" s="359"/>
      <c r="D490" s="359"/>
      <c r="E490" s="359"/>
      <c r="F490" s="359"/>
      <c r="G490" s="359"/>
      <c r="H490" s="359"/>
      <c r="I490" s="359"/>
      <c r="J490" s="359"/>
      <c r="K490" s="359"/>
    </row>
    <row r="491" ht="20.25" spans="1:11">
      <c r="A491" s="359"/>
      <c r="B491" s="359"/>
      <c r="C491" s="359"/>
      <c r="D491" s="359"/>
      <c r="E491" s="359"/>
      <c r="F491" s="359"/>
      <c r="G491" s="359"/>
      <c r="H491" s="359"/>
      <c r="I491" s="359"/>
      <c r="J491" s="359"/>
      <c r="K491" s="359"/>
    </row>
    <row r="492" ht="20.25" spans="1:11">
      <c r="A492" s="359"/>
      <c r="B492" s="359"/>
      <c r="C492" s="359"/>
      <c r="D492" s="359"/>
      <c r="E492" s="359"/>
      <c r="F492" s="359"/>
      <c r="G492" s="359"/>
      <c r="H492" s="359"/>
      <c r="I492" s="359"/>
      <c r="J492" s="359"/>
      <c r="K492" s="359"/>
    </row>
    <row r="493" ht="20.25" spans="1:11">
      <c r="A493" s="359"/>
      <c r="B493" s="359"/>
      <c r="C493" s="359"/>
      <c r="D493" s="359"/>
      <c r="E493" s="359"/>
      <c r="F493" s="359"/>
      <c r="G493" s="359"/>
      <c r="H493" s="359"/>
      <c r="I493" s="359"/>
      <c r="J493" s="359"/>
      <c r="K493" s="359"/>
    </row>
    <row r="494" ht="20.25" spans="1:11">
      <c r="A494" s="359"/>
      <c r="B494" s="359"/>
      <c r="C494" s="359"/>
      <c r="D494" s="359"/>
      <c r="E494" s="359"/>
      <c r="F494" s="359"/>
      <c r="G494" s="359"/>
      <c r="H494" s="359"/>
      <c r="I494" s="359"/>
      <c r="J494" s="359"/>
      <c r="K494" s="359"/>
    </row>
    <row r="495" ht="20.25" spans="1:11">
      <c r="A495" s="359"/>
      <c r="B495" s="359"/>
      <c r="C495" s="359"/>
      <c r="D495" s="359"/>
      <c r="E495" s="359"/>
      <c r="F495" s="359"/>
      <c r="G495" s="359"/>
      <c r="H495" s="359"/>
      <c r="I495" s="359"/>
      <c r="J495" s="359"/>
      <c r="K495" s="359"/>
    </row>
    <row r="496" ht="20.25" spans="1:11">
      <c r="A496" s="359"/>
      <c r="B496" s="359"/>
      <c r="C496" s="359"/>
      <c r="D496" s="359"/>
      <c r="E496" s="359"/>
      <c r="F496" s="359"/>
      <c r="G496" s="359"/>
      <c r="H496" s="359"/>
      <c r="I496" s="359"/>
      <c r="J496" s="359"/>
      <c r="K496" s="359"/>
    </row>
    <row r="497" ht="20.25" spans="1:11">
      <c r="A497" s="359"/>
      <c r="B497" s="359"/>
      <c r="C497" s="359"/>
      <c r="D497" s="359"/>
      <c r="E497" s="359"/>
      <c r="F497" s="359"/>
      <c r="G497" s="359"/>
      <c r="H497" s="359"/>
      <c r="I497" s="359"/>
      <c r="J497" s="359"/>
      <c r="K497" s="359"/>
    </row>
    <row r="498" ht="20.25" spans="1:11">
      <c r="A498" s="359"/>
      <c r="B498" s="359"/>
      <c r="C498" s="359"/>
      <c r="D498" s="359"/>
      <c r="E498" s="359"/>
      <c r="F498" s="359"/>
      <c r="G498" s="359"/>
      <c r="H498" s="359"/>
      <c r="I498" s="359"/>
      <c r="J498" s="359"/>
      <c r="K498" s="359"/>
    </row>
    <row r="499" ht="20.25" spans="1:11">
      <c r="A499" s="359"/>
      <c r="B499" s="359"/>
      <c r="C499" s="359"/>
      <c r="D499" s="359"/>
      <c r="E499" s="359"/>
      <c r="F499" s="359"/>
      <c r="G499" s="359"/>
      <c r="H499" s="359"/>
      <c r="I499" s="359"/>
      <c r="J499" s="359"/>
      <c r="K499" s="359"/>
    </row>
    <row r="500" ht="20.25" spans="1:11">
      <c r="A500" s="359"/>
      <c r="B500" s="359"/>
      <c r="C500" s="359"/>
      <c r="D500" s="359"/>
      <c r="E500" s="359"/>
      <c r="F500" s="359"/>
      <c r="G500" s="359"/>
      <c r="H500" s="359"/>
      <c r="I500" s="359"/>
      <c r="J500" s="359"/>
      <c r="K500" s="359"/>
    </row>
    <row r="501" ht="20.25" spans="1:11">
      <c r="A501" s="359"/>
      <c r="B501" s="359"/>
      <c r="C501" s="359"/>
      <c r="D501" s="359"/>
      <c r="E501" s="359"/>
      <c r="F501" s="359"/>
      <c r="G501" s="359"/>
      <c r="H501" s="359"/>
      <c r="I501" s="359"/>
      <c r="J501" s="359"/>
      <c r="K501" s="359"/>
    </row>
    <row r="502" ht="20.25" spans="1:11">
      <c r="A502" s="359"/>
      <c r="B502" s="359"/>
      <c r="C502" s="359"/>
      <c r="D502" s="359"/>
      <c r="E502" s="359"/>
      <c r="F502" s="359"/>
      <c r="G502" s="359"/>
      <c r="H502" s="359"/>
      <c r="I502" s="359"/>
      <c r="J502" s="359"/>
      <c r="K502" s="359"/>
    </row>
    <row r="503" ht="20.25" spans="1:11">
      <c r="A503" s="359"/>
      <c r="B503" s="359"/>
      <c r="C503" s="359"/>
      <c r="D503" s="359"/>
      <c r="E503" s="359"/>
      <c r="F503" s="359"/>
      <c r="G503" s="359"/>
      <c r="H503" s="359"/>
      <c r="I503" s="359"/>
      <c r="J503" s="359"/>
      <c r="K503" s="359"/>
    </row>
    <row r="504" ht="20.25" spans="1:11">
      <c r="A504" s="359"/>
      <c r="B504" s="359"/>
      <c r="C504" s="359"/>
      <c r="D504" s="359"/>
      <c r="E504" s="359"/>
      <c r="F504" s="359"/>
      <c r="G504" s="359"/>
      <c r="H504" s="359"/>
      <c r="I504" s="359"/>
      <c r="J504" s="359"/>
      <c r="K504" s="359"/>
    </row>
    <row r="505" ht="20.25" spans="1:11">
      <c r="A505" s="359"/>
      <c r="B505" s="359"/>
      <c r="C505" s="359"/>
      <c r="D505" s="359"/>
      <c r="E505" s="359"/>
      <c r="F505" s="359"/>
      <c r="G505" s="359"/>
      <c r="H505" s="359"/>
      <c r="I505" s="359"/>
      <c r="J505" s="359"/>
      <c r="K505" s="359"/>
    </row>
    <row r="506" ht="20.25" spans="1:11">
      <c r="A506" s="359"/>
      <c r="B506" s="359"/>
      <c r="C506" s="359"/>
      <c r="D506" s="359"/>
      <c r="E506" s="359"/>
      <c r="F506" s="359"/>
      <c r="G506" s="359"/>
      <c r="H506" s="359"/>
      <c r="I506" s="359"/>
      <c r="J506" s="359"/>
      <c r="K506" s="359"/>
    </row>
    <row r="507" ht="20.25" spans="1:11">
      <c r="A507" s="359"/>
      <c r="B507" s="359"/>
      <c r="C507" s="359"/>
      <c r="D507" s="359"/>
      <c r="E507" s="359"/>
      <c r="F507" s="359"/>
      <c r="G507" s="359"/>
      <c r="H507" s="359"/>
      <c r="I507" s="359"/>
      <c r="J507" s="359"/>
      <c r="K507" s="359"/>
    </row>
    <row r="508" ht="20.25" spans="1:11">
      <c r="A508" s="359"/>
      <c r="B508" s="359"/>
      <c r="C508" s="359"/>
      <c r="D508" s="359"/>
      <c r="E508" s="359"/>
      <c r="F508" s="359"/>
      <c r="G508" s="359"/>
      <c r="H508" s="359"/>
      <c r="I508" s="359"/>
      <c r="J508" s="359"/>
      <c r="K508" s="359"/>
    </row>
    <row r="509" ht="20.25" spans="1:11">
      <c r="A509" s="359"/>
      <c r="B509" s="359"/>
      <c r="C509" s="359"/>
      <c r="D509" s="359"/>
      <c r="E509" s="359"/>
      <c r="F509" s="359"/>
      <c r="G509" s="359"/>
      <c r="H509" s="359"/>
      <c r="I509" s="359"/>
      <c r="J509" s="359"/>
      <c r="K509" s="359"/>
    </row>
    <row r="510" ht="20.25" spans="1:11">
      <c r="A510" s="359"/>
      <c r="B510" s="359"/>
      <c r="C510" s="359"/>
      <c r="D510" s="359"/>
      <c r="E510" s="359"/>
      <c r="F510" s="359"/>
      <c r="G510" s="359"/>
      <c r="H510" s="359"/>
      <c r="I510" s="359"/>
      <c r="J510" s="359"/>
      <c r="K510" s="359"/>
    </row>
    <row r="511" ht="20.25" spans="1:11">
      <c r="A511" s="359"/>
      <c r="B511" s="359"/>
      <c r="C511" s="359"/>
      <c r="D511" s="359"/>
      <c r="E511" s="359"/>
      <c r="F511" s="359"/>
      <c r="G511" s="359"/>
      <c r="H511" s="359"/>
      <c r="I511" s="359"/>
      <c r="J511" s="359"/>
      <c r="K511" s="359"/>
    </row>
    <row r="512" ht="20.25" spans="1:11">
      <c r="A512" s="359"/>
      <c r="B512" s="359"/>
      <c r="C512" s="359"/>
      <c r="D512" s="359"/>
      <c r="E512" s="359"/>
      <c r="F512" s="359"/>
      <c r="G512" s="359"/>
      <c r="H512" s="359"/>
      <c r="I512" s="359"/>
      <c r="J512" s="359"/>
      <c r="K512" s="359"/>
    </row>
    <row r="513" ht="20.25" spans="1:11">
      <c r="A513" s="359"/>
      <c r="B513" s="359"/>
      <c r="C513" s="359"/>
      <c r="D513" s="359"/>
      <c r="E513" s="359"/>
      <c r="F513" s="359"/>
      <c r="G513" s="359"/>
      <c r="H513" s="359"/>
      <c r="I513" s="359"/>
      <c r="J513" s="359"/>
      <c r="K513" s="359"/>
    </row>
    <row r="514" ht="20.25" spans="1:11">
      <c r="A514" s="359"/>
      <c r="B514" s="359"/>
      <c r="C514" s="359"/>
      <c r="D514" s="359"/>
      <c r="E514" s="359"/>
      <c r="F514" s="359"/>
      <c r="G514" s="359"/>
      <c r="H514" s="359"/>
      <c r="I514" s="359"/>
      <c r="J514" s="359"/>
      <c r="K514" s="359"/>
    </row>
    <row r="515" ht="20.25" spans="1:11">
      <c r="A515" s="359"/>
      <c r="B515" s="359"/>
      <c r="C515" s="359"/>
      <c r="D515" s="359"/>
      <c r="E515" s="359"/>
      <c r="F515" s="359"/>
      <c r="G515" s="359"/>
      <c r="H515" s="359"/>
      <c r="I515" s="359"/>
      <c r="J515" s="359"/>
      <c r="K515" s="359"/>
    </row>
    <row r="516" ht="20.25" spans="1:11">
      <c r="A516" s="359"/>
      <c r="B516" s="359"/>
      <c r="C516" s="359"/>
      <c r="D516" s="359"/>
      <c r="E516" s="359"/>
      <c r="F516" s="359"/>
      <c r="G516" s="359"/>
      <c r="H516" s="359"/>
      <c r="I516" s="359"/>
      <c r="J516" s="359"/>
      <c r="K516" s="359"/>
    </row>
    <row r="517" ht="20.25" spans="1:11">
      <c r="A517" s="359"/>
      <c r="B517" s="359"/>
      <c r="C517" s="359"/>
      <c r="D517" s="359"/>
      <c r="E517" s="359"/>
      <c r="F517" s="359"/>
      <c r="G517" s="359"/>
      <c r="H517" s="359"/>
      <c r="I517" s="359"/>
      <c r="J517" s="359"/>
      <c r="K517" s="359"/>
    </row>
    <row r="518" ht="20.25" spans="1:11">
      <c r="A518" s="359"/>
      <c r="B518" s="359"/>
      <c r="C518" s="359"/>
      <c r="D518" s="359"/>
      <c r="E518" s="359"/>
      <c r="F518" s="359"/>
      <c r="G518" s="359"/>
      <c r="H518" s="359"/>
      <c r="I518" s="359"/>
      <c r="J518" s="359"/>
      <c r="K518" s="359"/>
    </row>
    <row r="519" ht="20.25" spans="1:11">
      <c r="A519" s="359"/>
      <c r="B519" s="359"/>
      <c r="C519" s="359"/>
      <c r="D519" s="359"/>
      <c r="E519" s="359"/>
      <c r="F519" s="359"/>
      <c r="G519" s="359"/>
      <c r="H519" s="359"/>
      <c r="I519" s="359"/>
      <c r="J519" s="359"/>
      <c r="K519" s="359"/>
    </row>
    <row r="520" ht="20.25" spans="1:11">
      <c r="A520" s="359"/>
      <c r="B520" s="359"/>
      <c r="C520" s="359"/>
      <c r="D520" s="359"/>
      <c r="E520" s="359"/>
      <c r="F520" s="359"/>
      <c r="G520" s="359"/>
      <c r="H520" s="359"/>
      <c r="I520" s="359"/>
      <c r="J520" s="359"/>
      <c r="K520" s="359"/>
    </row>
    <row r="521" ht="20.25" spans="1:11">
      <c r="A521" s="359"/>
      <c r="B521" s="359"/>
      <c r="C521" s="359"/>
      <c r="D521" s="359"/>
      <c r="E521" s="359"/>
      <c r="F521" s="359"/>
      <c r="G521" s="359"/>
      <c r="H521" s="359"/>
      <c r="I521" s="359"/>
      <c r="J521" s="359"/>
      <c r="K521" s="359"/>
    </row>
    <row r="522" ht="20.25" spans="1:11">
      <c r="A522" s="359"/>
      <c r="B522" s="359"/>
      <c r="C522" s="359"/>
      <c r="D522" s="359"/>
      <c r="E522" s="359"/>
      <c r="F522" s="359"/>
      <c r="G522" s="359"/>
      <c r="H522" s="359"/>
      <c r="I522" s="359"/>
      <c r="J522" s="359"/>
      <c r="K522" s="359"/>
    </row>
    <row r="523" ht="20.25" spans="1:11">
      <c r="A523" s="359"/>
      <c r="B523" s="359"/>
      <c r="C523" s="359"/>
      <c r="D523" s="359"/>
      <c r="E523" s="359"/>
      <c r="F523" s="359"/>
      <c r="G523" s="359"/>
      <c r="H523" s="359"/>
      <c r="I523" s="359"/>
      <c r="J523" s="359"/>
      <c r="K523" s="359"/>
    </row>
    <row r="524" ht="20.25" spans="1:11">
      <c r="A524" s="359"/>
      <c r="B524" s="359"/>
      <c r="C524" s="359"/>
      <c r="D524" s="359"/>
      <c r="E524" s="359"/>
      <c r="F524" s="359"/>
      <c r="G524" s="359"/>
      <c r="H524" s="359"/>
      <c r="I524" s="359"/>
      <c r="J524" s="359"/>
      <c r="K524" s="359"/>
    </row>
    <row r="525" ht="20.25" spans="1:11">
      <c r="A525" s="359"/>
      <c r="B525" s="359"/>
      <c r="C525" s="359"/>
      <c r="D525" s="359"/>
      <c r="E525" s="359"/>
      <c r="F525" s="359"/>
      <c r="G525" s="359"/>
      <c r="H525" s="359"/>
      <c r="I525" s="359"/>
      <c r="J525" s="359"/>
      <c r="K525" s="359"/>
    </row>
    <row r="526" ht="20.25" spans="1:11">
      <c r="A526" s="359"/>
      <c r="B526" s="359"/>
      <c r="C526" s="359"/>
      <c r="D526" s="359"/>
      <c r="E526" s="359"/>
      <c r="F526" s="359"/>
      <c r="G526" s="359"/>
      <c r="H526" s="359"/>
      <c r="I526" s="359"/>
      <c r="J526" s="359"/>
      <c r="K526" s="359"/>
    </row>
    <row r="527" ht="20.25" spans="1:11">
      <c r="A527" s="359"/>
      <c r="B527" s="359"/>
      <c r="C527" s="359"/>
      <c r="D527" s="359"/>
      <c r="E527" s="359"/>
      <c r="F527" s="359"/>
      <c r="G527" s="359"/>
      <c r="H527" s="359"/>
      <c r="I527" s="359"/>
      <c r="J527" s="359"/>
      <c r="K527" s="359"/>
    </row>
    <row r="528" ht="20.25" spans="1:11">
      <c r="A528" s="359"/>
      <c r="B528" s="359"/>
      <c r="C528" s="359"/>
      <c r="D528" s="359"/>
      <c r="E528" s="359"/>
      <c r="F528" s="359"/>
      <c r="G528" s="359"/>
      <c r="H528" s="359"/>
      <c r="I528" s="359"/>
      <c r="J528" s="359"/>
      <c r="K528" s="359"/>
    </row>
    <row r="529" ht="20.25" spans="1:11">
      <c r="A529" s="359"/>
      <c r="B529" s="359"/>
      <c r="C529" s="359"/>
      <c r="D529" s="359"/>
      <c r="E529" s="359"/>
      <c r="F529" s="359"/>
      <c r="G529" s="359"/>
      <c r="H529" s="359"/>
      <c r="I529" s="359"/>
      <c r="J529" s="359"/>
      <c r="K529" s="359"/>
    </row>
    <row r="530" ht="20.25" spans="1:11">
      <c r="A530" s="359"/>
      <c r="B530" s="359"/>
      <c r="C530" s="359"/>
      <c r="D530" s="359"/>
      <c r="E530" s="359"/>
      <c r="F530" s="359"/>
      <c r="G530" s="359"/>
      <c r="H530" s="359"/>
      <c r="I530" s="359"/>
      <c r="J530" s="359"/>
      <c r="K530" s="359"/>
    </row>
    <row r="531" ht="20.25" spans="1:11">
      <c r="A531" s="359"/>
      <c r="B531" s="359"/>
      <c r="C531" s="359"/>
      <c r="D531" s="359"/>
      <c r="E531" s="359"/>
      <c r="F531" s="359"/>
      <c r="G531" s="359"/>
      <c r="H531" s="359"/>
      <c r="I531" s="359"/>
      <c r="J531" s="359"/>
      <c r="K531" s="359"/>
    </row>
    <row r="532" ht="20.25" spans="1:11">
      <c r="A532" s="359"/>
      <c r="B532" s="359"/>
      <c r="C532" s="359"/>
      <c r="D532" s="359"/>
      <c r="E532" s="359"/>
      <c r="F532" s="359"/>
      <c r="G532" s="359"/>
      <c r="H532" s="359"/>
      <c r="I532" s="359"/>
      <c r="J532" s="359"/>
      <c r="K532" s="359"/>
    </row>
    <row r="533" ht="20.25" spans="1:11">
      <c r="A533" s="359"/>
      <c r="B533" s="359"/>
      <c r="C533" s="359"/>
      <c r="D533" s="359"/>
      <c r="E533" s="359"/>
      <c r="F533" s="359"/>
      <c r="G533" s="359"/>
      <c r="H533" s="359"/>
      <c r="I533" s="359"/>
      <c r="J533" s="359"/>
      <c r="K533" s="359"/>
    </row>
    <row r="534" ht="20.25" spans="1:11">
      <c r="A534" s="359"/>
      <c r="B534" s="359"/>
      <c r="C534" s="359"/>
      <c r="D534" s="359"/>
      <c r="E534" s="359"/>
      <c r="F534" s="359"/>
      <c r="G534" s="359"/>
      <c r="H534" s="359"/>
      <c r="I534" s="359"/>
      <c r="J534" s="359"/>
      <c r="K534" s="359"/>
    </row>
    <row r="535" ht="20.25" spans="1:11">
      <c r="A535" s="359"/>
      <c r="B535" s="359"/>
      <c r="C535" s="359"/>
      <c r="D535" s="359"/>
      <c r="E535" s="359"/>
      <c r="F535" s="359"/>
      <c r="G535" s="359"/>
      <c r="H535" s="359"/>
      <c r="I535" s="359"/>
      <c r="J535" s="359"/>
      <c r="K535" s="359"/>
    </row>
    <row r="536" ht="20.25" spans="1:11">
      <c r="A536" s="359"/>
      <c r="B536" s="359"/>
      <c r="C536" s="359"/>
      <c r="D536" s="359"/>
      <c r="E536" s="359"/>
      <c r="F536" s="359"/>
      <c r="G536" s="359"/>
      <c r="H536" s="359"/>
      <c r="I536" s="359"/>
      <c r="J536" s="359"/>
      <c r="K536" s="359"/>
    </row>
    <row r="537" ht="20.25" spans="1:11">
      <c r="A537" s="359"/>
      <c r="B537" s="359"/>
      <c r="C537" s="359"/>
      <c r="D537" s="359"/>
      <c r="E537" s="359"/>
      <c r="F537" s="359"/>
      <c r="G537" s="359"/>
      <c r="H537" s="359"/>
      <c r="I537" s="359"/>
      <c r="J537" s="359"/>
      <c r="K537" s="359"/>
    </row>
    <row r="538" ht="20.25" spans="1:11">
      <c r="A538" s="359"/>
      <c r="B538" s="359"/>
      <c r="C538" s="359"/>
      <c r="D538" s="359"/>
      <c r="E538" s="359"/>
      <c r="F538" s="359"/>
      <c r="G538" s="359"/>
      <c r="H538" s="359"/>
      <c r="I538" s="359"/>
      <c r="J538" s="359"/>
      <c r="K538" s="359"/>
    </row>
    <row r="539" ht="20.25" spans="1:11">
      <c r="A539" s="359"/>
      <c r="B539" s="359"/>
      <c r="C539" s="359"/>
      <c r="D539" s="359"/>
      <c r="E539" s="359"/>
      <c r="F539" s="359"/>
      <c r="G539" s="359"/>
      <c r="H539" s="359"/>
      <c r="I539" s="359"/>
      <c r="J539" s="359"/>
      <c r="K539" s="359"/>
    </row>
    <row r="540" ht="20.25" spans="1:11">
      <c r="A540" s="359"/>
      <c r="B540" s="359"/>
      <c r="C540" s="359"/>
      <c r="D540" s="359"/>
      <c r="E540" s="359"/>
      <c r="F540" s="359"/>
      <c r="G540" s="359"/>
      <c r="H540" s="359"/>
      <c r="I540" s="359"/>
      <c r="J540" s="359"/>
      <c r="K540" s="359"/>
    </row>
    <row r="541" ht="20.25" spans="1:11">
      <c r="A541" s="359"/>
      <c r="B541" s="359"/>
      <c r="C541" s="359"/>
      <c r="D541" s="359"/>
      <c r="E541" s="359"/>
      <c r="F541" s="359"/>
      <c r="G541" s="359"/>
      <c r="H541" s="359"/>
      <c r="I541" s="359"/>
      <c r="J541" s="359"/>
      <c r="K541" s="359"/>
    </row>
    <row r="542" ht="20.25" spans="1:11">
      <c r="A542" s="359"/>
      <c r="B542" s="359"/>
      <c r="C542" s="359"/>
      <c r="D542" s="359"/>
      <c r="E542" s="359"/>
      <c r="F542" s="359"/>
      <c r="G542" s="359"/>
      <c r="H542" s="359"/>
      <c r="I542" s="359"/>
      <c r="J542" s="359"/>
      <c r="K542" s="359"/>
    </row>
    <row r="543" ht="20.25" spans="1:11">
      <c r="A543" s="359"/>
      <c r="B543" s="359"/>
      <c r="C543" s="359"/>
      <c r="D543" s="359"/>
      <c r="E543" s="359"/>
      <c r="F543" s="359"/>
      <c r="G543" s="359"/>
      <c r="H543" s="359"/>
      <c r="I543" s="359"/>
      <c r="J543" s="359"/>
      <c r="K543" s="359"/>
    </row>
    <row r="544" ht="20.25" spans="1:11">
      <c r="A544" s="359"/>
      <c r="B544" s="359"/>
      <c r="C544" s="359"/>
      <c r="D544" s="359"/>
      <c r="E544" s="359"/>
      <c r="F544" s="359"/>
      <c r="G544" s="359"/>
      <c r="H544" s="359"/>
      <c r="I544" s="359"/>
      <c r="J544" s="359"/>
      <c r="K544" s="359"/>
    </row>
    <row r="545" ht="20.25" spans="1:11">
      <c r="A545" s="359"/>
      <c r="B545" s="359"/>
      <c r="C545" s="359"/>
      <c r="D545" s="359"/>
      <c r="E545" s="359"/>
      <c r="F545" s="359"/>
      <c r="G545" s="359"/>
      <c r="H545" s="359"/>
      <c r="I545" s="359"/>
      <c r="J545" s="359"/>
      <c r="K545" s="359"/>
    </row>
    <row r="546" ht="20.25" spans="1:11">
      <c r="A546" s="359"/>
      <c r="B546" s="359"/>
      <c r="C546" s="359"/>
      <c r="D546" s="359"/>
      <c r="E546" s="359"/>
      <c r="F546" s="359"/>
      <c r="G546" s="359"/>
      <c r="H546" s="359"/>
      <c r="I546" s="359"/>
      <c r="J546" s="359"/>
      <c r="K546" s="359"/>
    </row>
    <row r="547" ht="20.25" spans="1:11">
      <c r="A547" s="359"/>
      <c r="B547" s="359"/>
      <c r="C547" s="359"/>
      <c r="D547" s="359"/>
      <c r="E547" s="359"/>
      <c r="F547" s="359"/>
      <c r="G547" s="359"/>
      <c r="H547" s="359"/>
      <c r="I547" s="359"/>
      <c r="J547" s="359"/>
      <c r="K547" s="359"/>
    </row>
    <row r="548" ht="20.25" spans="1:11">
      <c r="A548" s="359"/>
      <c r="B548" s="359"/>
      <c r="C548" s="359"/>
      <c r="D548" s="359"/>
      <c r="E548" s="359"/>
      <c r="F548" s="359"/>
      <c r="G548" s="359"/>
      <c r="H548" s="359"/>
      <c r="I548" s="359"/>
      <c r="J548" s="359"/>
      <c r="K548" s="359"/>
    </row>
    <row r="549" ht="20.25" spans="1:11">
      <c r="A549" s="359"/>
      <c r="B549" s="359"/>
      <c r="C549" s="359"/>
      <c r="D549" s="359"/>
      <c r="E549" s="359"/>
      <c r="F549" s="359"/>
      <c r="G549" s="359"/>
      <c r="H549" s="359"/>
      <c r="I549" s="359"/>
      <c r="J549" s="359"/>
      <c r="K549" s="359"/>
    </row>
    <row r="550" ht="20.25" spans="1:11">
      <c r="A550" s="359"/>
      <c r="B550" s="359"/>
      <c r="C550" s="359"/>
      <c r="D550" s="359"/>
      <c r="E550" s="359"/>
      <c r="F550" s="359"/>
      <c r="G550" s="359"/>
      <c r="H550" s="359"/>
      <c r="I550" s="359"/>
      <c r="J550" s="359"/>
      <c r="K550" s="359"/>
    </row>
    <row r="551" ht="20.25" spans="1:11">
      <c r="A551" s="359"/>
      <c r="B551" s="359"/>
      <c r="C551" s="359"/>
      <c r="D551" s="359"/>
      <c r="E551" s="359"/>
      <c r="F551" s="359"/>
      <c r="G551" s="359"/>
      <c r="H551" s="359"/>
      <c r="I551" s="359"/>
      <c r="J551" s="359"/>
      <c r="K551" s="359"/>
    </row>
    <row r="552" ht="20.25" spans="1:11">
      <c r="A552" s="359"/>
      <c r="B552" s="359"/>
      <c r="C552" s="359"/>
      <c r="D552" s="359"/>
      <c r="E552" s="359"/>
      <c r="F552" s="359"/>
      <c r="G552" s="359"/>
      <c r="H552" s="359"/>
      <c r="I552" s="359"/>
      <c r="J552" s="359"/>
      <c r="K552" s="359"/>
    </row>
    <row r="553" ht="20.25" spans="1:11">
      <c r="A553" s="359"/>
      <c r="B553" s="359"/>
      <c r="C553" s="359"/>
      <c r="D553" s="359"/>
      <c r="E553" s="359"/>
      <c r="F553" s="359"/>
      <c r="G553" s="359"/>
      <c r="H553" s="359"/>
      <c r="I553" s="359"/>
      <c r="J553" s="359"/>
      <c r="K553" s="359"/>
    </row>
    <row r="554" ht="20.25" spans="1:11">
      <c r="A554" s="359"/>
      <c r="B554" s="359"/>
      <c r="C554" s="359"/>
      <c r="D554" s="359"/>
      <c r="E554" s="359"/>
      <c r="F554" s="359"/>
      <c r="G554" s="359"/>
      <c r="H554" s="359"/>
      <c r="I554" s="359"/>
      <c r="J554" s="359"/>
      <c r="K554" s="359"/>
    </row>
    <row r="555" ht="20.25" spans="1:11">
      <c r="A555" s="359"/>
      <c r="B555" s="359"/>
      <c r="C555" s="359"/>
      <c r="D555" s="359"/>
      <c r="E555" s="359"/>
      <c r="F555" s="359"/>
      <c r="G555" s="359"/>
      <c r="H555" s="359"/>
      <c r="I555" s="359"/>
      <c r="J555" s="359"/>
      <c r="K555" s="359"/>
    </row>
    <row r="556" ht="20.25" spans="1:11">
      <c r="A556" s="359"/>
      <c r="B556" s="359"/>
      <c r="C556" s="359"/>
      <c r="D556" s="359"/>
      <c r="E556" s="359"/>
      <c r="F556" s="359"/>
      <c r="G556" s="359"/>
      <c r="H556" s="359"/>
      <c r="I556" s="359"/>
      <c r="J556" s="359"/>
      <c r="K556" s="359"/>
    </row>
    <row r="557" ht="20.25" spans="1:11">
      <c r="A557" s="359"/>
      <c r="B557" s="359"/>
      <c r="C557" s="359"/>
      <c r="D557" s="359"/>
      <c r="E557" s="359"/>
      <c r="F557" s="359"/>
      <c r="G557" s="359"/>
      <c r="H557" s="359"/>
      <c r="I557" s="359"/>
      <c r="J557" s="359"/>
      <c r="K557" s="359"/>
    </row>
    <row r="558" ht="20.25" spans="1:11">
      <c r="A558" s="359"/>
      <c r="B558" s="359"/>
      <c r="C558" s="359"/>
      <c r="D558" s="359"/>
      <c r="E558" s="359"/>
      <c r="F558" s="359"/>
      <c r="G558" s="359"/>
      <c r="H558" s="359"/>
      <c r="I558" s="359"/>
      <c r="J558" s="359"/>
      <c r="K558" s="359"/>
    </row>
    <row r="559" ht="20.25" spans="1:11">
      <c r="A559" s="359"/>
      <c r="B559" s="359"/>
      <c r="C559" s="359"/>
      <c r="D559" s="359"/>
      <c r="E559" s="359"/>
      <c r="F559" s="359"/>
      <c r="G559" s="359"/>
      <c r="H559" s="359"/>
      <c r="I559" s="359"/>
      <c r="J559" s="359"/>
      <c r="K559" s="359"/>
    </row>
    <row r="560" ht="20.25" spans="1:11">
      <c r="A560" s="359"/>
      <c r="B560" s="359"/>
      <c r="C560" s="359"/>
      <c r="D560" s="359"/>
      <c r="E560" s="359"/>
      <c r="F560" s="359"/>
      <c r="G560" s="359"/>
      <c r="H560" s="359"/>
      <c r="I560" s="359"/>
      <c r="J560" s="359"/>
      <c r="K560" s="359"/>
    </row>
    <row r="561" ht="20.25" spans="1:11">
      <c r="A561" s="359"/>
      <c r="B561" s="359"/>
      <c r="C561" s="359"/>
      <c r="D561" s="359"/>
      <c r="E561" s="359"/>
      <c r="F561" s="359"/>
      <c r="G561" s="359"/>
      <c r="H561" s="359"/>
      <c r="I561" s="359"/>
      <c r="J561" s="359"/>
      <c r="K561" s="359"/>
    </row>
    <row r="562" ht="20.25" spans="1:11">
      <c r="A562" s="359"/>
      <c r="B562" s="359"/>
      <c r="C562" s="359"/>
      <c r="D562" s="359"/>
      <c r="E562" s="359"/>
      <c r="F562" s="359"/>
      <c r="G562" s="359"/>
      <c r="H562" s="359"/>
      <c r="I562" s="359"/>
      <c r="J562" s="359"/>
      <c r="K562" s="359"/>
    </row>
    <row r="563" ht="20.25" spans="1:11">
      <c r="A563" s="359"/>
      <c r="B563" s="359"/>
      <c r="C563" s="359"/>
      <c r="D563" s="359"/>
      <c r="E563" s="359"/>
      <c r="F563" s="359"/>
      <c r="G563" s="359"/>
      <c r="H563" s="359"/>
      <c r="I563" s="359"/>
      <c r="J563" s="359"/>
      <c r="K563" s="359"/>
    </row>
    <row r="564" ht="20.25" spans="1:11">
      <c r="A564" s="359"/>
      <c r="B564" s="359"/>
      <c r="C564" s="359"/>
      <c r="D564" s="359"/>
      <c r="E564" s="359"/>
      <c r="F564" s="359"/>
      <c r="G564" s="359"/>
      <c r="H564" s="359"/>
      <c r="I564" s="359"/>
      <c r="J564" s="359"/>
      <c r="K564" s="359"/>
    </row>
    <row r="565" ht="20.25" spans="1:11">
      <c r="A565" s="359"/>
      <c r="B565" s="359"/>
      <c r="C565" s="359"/>
      <c r="D565" s="359"/>
      <c r="E565" s="359"/>
      <c r="F565" s="359"/>
      <c r="G565" s="359"/>
      <c r="H565" s="359"/>
      <c r="I565" s="359"/>
      <c r="J565" s="359"/>
      <c r="K565" s="359"/>
    </row>
    <row r="566" ht="20.25" spans="1:11">
      <c r="A566" s="359"/>
      <c r="B566" s="359"/>
      <c r="C566" s="359"/>
      <c r="D566" s="359"/>
      <c r="E566" s="359"/>
      <c r="F566" s="359"/>
      <c r="G566" s="359"/>
      <c r="H566" s="359"/>
      <c r="I566" s="359"/>
      <c r="J566" s="359"/>
      <c r="K566" s="359"/>
    </row>
    <row r="567" ht="20.25" spans="1:11">
      <c r="A567" s="359"/>
      <c r="B567" s="359"/>
      <c r="C567" s="359"/>
      <c r="D567" s="359"/>
      <c r="E567" s="359"/>
      <c r="F567" s="359"/>
      <c r="G567" s="359"/>
      <c r="H567" s="359"/>
      <c r="I567" s="359"/>
      <c r="J567" s="359"/>
      <c r="K567" s="359"/>
    </row>
    <row r="568" ht="20.25" spans="1:11">
      <c r="A568" s="359"/>
      <c r="B568" s="359"/>
      <c r="C568" s="359"/>
      <c r="D568" s="359"/>
      <c r="E568" s="359"/>
      <c r="F568" s="359"/>
      <c r="G568" s="359"/>
      <c r="H568" s="359"/>
      <c r="I568" s="359"/>
      <c r="J568" s="359"/>
      <c r="K568" s="359"/>
    </row>
    <row r="569" ht="20.25" spans="1:11">
      <c r="A569" s="359"/>
      <c r="B569" s="359"/>
      <c r="C569" s="359"/>
      <c r="D569" s="359"/>
      <c r="E569" s="359"/>
      <c r="F569" s="359"/>
      <c r="G569" s="359"/>
      <c r="H569" s="359"/>
      <c r="I569" s="359"/>
      <c r="J569" s="359"/>
      <c r="K569" s="359"/>
    </row>
    <row r="570" ht="20.25" spans="1:11">
      <c r="A570" s="359"/>
      <c r="B570" s="359"/>
      <c r="C570" s="359"/>
      <c r="D570" s="359"/>
      <c r="E570" s="359"/>
      <c r="F570" s="359"/>
      <c r="G570" s="359"/>
      <c r="H570" s="359"/>
      <c r="I570" s="359"/>
      <c r="J570" s="359"/>
      <c r="K570" s="359"/>
    </row>
    <row r="571" ht="20.25" spans="1:11">
      <c r="A571" s="359"/>
      <c r="B571" s="359"/>
      <c r="C571" s="359"/>
      <c r="D571" s="359"/>
      <c r="E571" s="359"/>
      <c r="F571" s="359"/>
      <c r="G571" s="359"/>
      <c r="H571" s="359"/>
      <c r="I571" s="359"/>
      <c r="J571" s="359"/>
      <c r="K571" s="359"/>
    </row>
    <row r="572" ht="20.25" spans="1:11">
      <c r="A572" s="359"/>
      <c r="B572" s="359"/>
      <c r="C572" s="359"/>
      <c r="D572" s="359"/>
      <c r="E572" s="359"/>
      <c r="F572" s="359"/>
      <c r="G572" s="359"/>
      <c r="H572" s="359"/>
      <c r="I572" s="359"/>
      <c r="J572" s="359"/>
      <c r="K572" s="359"/>
    </row>
    <row r="573" ht="20.25" spans="1:11">
      <c r="A573" s="359"/>
      <c r="B573" s="359"/>
      <c r="C573" s="359"/>
      <c r="D573" s="359"/>
      <c r="E573" s="359"/>
      <c r="F573" s="359"/>
      <c r="G573" s="359"/>
      <c r="H573" s="359"/>
      <c r="I573" s="359"/>
      <c r="J573" s="359"/>
      <c r="K573" s="359"/>
    </row>
    <row r="574" ht="20.25" spans="1:11">
      <c r="A574" s="359"/>
      <c r="B574" s="359"/>
      <c r="C574" s="359"/>
      <c r="D574" s="359"/>
      <c r="E574" s="359"/>
      <c r="F574" s="359"/>
      <c r="G574" s="359"/>
      <c r="H574" s="359"/>
      <c r="I574" s="359"/>
      <c r="J574" s="359"/>
      <c r="K574" s="359"/>
    </row>
    <row r="575" ht="20.25" spans="1:11">
      <c r="A575" s="359"/>
      <c r="B575" s="359"/>
      <c r="C575" s="359"/>
      <c r="D575" s="359"/>
      <c r="E575" s="359"/>
      <c r="F575" s="359"/>
      <c r="G575" s="359"/>
      <c r="H575" s="359"/>
      <c r="I575" s="359"/>
      <c r="J575" s="359"/>
      <c r="K575" s="359"/>
    </row>
    <row r="576" ht="20.25" spans="1:11">
      <c r="A576" s="359"/>
      <c r="B576" s="359"/>
      <c r="C576" s="359"/>
      <c r="D576" s="359"/>
      <c r="E576" s="359"/>
      <c r="F576" s="359"/>
      <c r="G576" s="359"/>
      <c r="H576" s="359"/>
      <c r="I576" s="359"/>
      <c r="J576" s="359"/>
      <c r="K576" s="359"/>
    </row>
    <row r="577" ht="20.25" spans="1:11">
      <c r="A577" s="359"/>
      <c r="B577" s="359"/>
      <c r="C577" s="359"/>
      <c r="D577" s="359"/>
      <c r="E577" s="359"/>
      <c r="F577" s="359"/>
      <c r="G577" s="359"/>
      <c r="H577" s="359"/>
      <c r="I577" s="359"/>
      <c r="J577" s="359"/>
      <c r="K577" s="359"/>
    </row>
    <row r="578" ht="20.25" spans="1:11">
      <c r="A578" s="359"/>
      <c r="B578" s="359"/>
      <c r="C578" s="359"/>
      <c r="D578" s="359"/>
      <c r="E578" s="359"/>
      <c r="F578" s="359"/>
      <c r="G578" s="359"/>
      <c r="H578" s="359"/>
      <c r="I578" s="359"/>
      <c r="J578" s="359"/>
      <c r="K578" s="359"/>
    </row>
    <row r="579" ht="20.25" spans="1:11">
      <c r="A579" s="359"/>
      <c r="B579" s="359"/>
      <c r="C579" s="359"/>
      <c r="D579" s="359"/>
      <c r="E579" s="359"/>
      <c r="F579" s="359"/>
      <c r="G579" s="359"/>
      <c r="H579" s="359"/>
      <c r="I579" s="359"/>
      <c r="J579" s="359"/>
      <c r="K579" s="359"/>
    </row>
    <row r="580" ht="20.25" spans="1:11">
      <c r="A580" s="359"/>
      <c r="B580" s="359"/>
      <c r="C580" s="359"/>
      <c r="D580" s="359"/>
      <c r="E580" s="359"/>
      <c r="F580" s="359"/>
      <c r="G580" s="359"/>
      <c r="H580" s="359"/>
      <c r="I580" s="359"/>
      <c r="J580" s="359"/>
      <c r="K580" s="359"/>
    </row>
    <row r="581" ht="20.25" spans="1:11">
      <c r="A581" s="359"/>
      <c r="B581" s="359"/>
      <c r="C581" s="359"/>
      <c r="D581" s="359"/>
      <c r="E581" s="359"/>
      <c r="F581" s="359"/>
      <c r="G581" s="359"/>
      <c r="H581" s="359"/>
      <c r="I581" s="359"/>
      <c r="J581" s="359"/>
      <c r="K581" s="359"/>
    </row>
    <row r="582" ht="20.25" spans="1:11">
      <c r="A582" s="359"/>
      <c r="B582" s="359"/>
      <c r="C582" s="359"/>
      <c r="D582" s="359"/>
      <c r="E582" s="359"/>
      <c r="F582" s="359"/>
      <c r="G582" s="359"/>
      <c r="H582" s="359"/>
      <c r="I582" s="359"/>
      <c r="J582" s="359"/>
      <c r="K582" s="359"/>
    </row>
    <row r="583" ht="20.25" spans="1:11">
      <c r="A583" s="359"/>
      <c r="B583" s="359"/>
      <c r="C583" s="359"/>
      <c r="D583" s="359"/>
      <c r="E583" s="359"/>
      <c r="F583" s="359"/>
      <c r="G583" s="359"/>
      <c r="H583" s="359"/>
      <c r="I583" s="359"/>
      <c r="J583" s="359"/>
      <c r="K583" s="359"/>
    </row>
    <row r="584" ht="20.25" spans="1:11">
      <c r="A584" s="359"/>
      <c r="B584" s="359"/>
      <c r="C584" s="359"/>
      <c r="D584" s="359"/>
      <c r="E584" s="359"/>
      <c r="F584" s="359"/>
      <c r="G584" s="359"/>
      <c r="H584" s="359"/>
      <c r="I584" s="359"/>
      <c r="J584" s="359"/>
      <c r="K584" s="359"/>
    </row>
    <row r="585" ht="20.25" spans="1:11">
      <c r="A585" s="359"/>
      <c r="B585" s="359"/>
      <c r="C585" s="359"/>
      <c r="D585" s="359"/>
      <c r="E585" s="359"/>
      <c r="F585" s="359"/>
      <c r="G585" s="359"/>
      <c r="H585" s="359"/>
      <c r="I585" s="359"/>
      <c r="J585" s="359"/>
      <c r="K585" s="359"/>
    </row>
    <row r="586" ht="20.25" spans="1:11">
      <c r="A586" s="359"/>
      <c r="B586" s="359"/>
      <c r="C586" s="359"/>
      <c r="D586" s="359"/>
      <c r="E586" s="359"/>
      <c r="F586" s="359"/>
      <c r="G586" s="359"/>
      <c r="H586" s="359"/>
      <c r="I586" s="359"/>
      <c r="J586" s="359"/>
      <c r="K586" s="359"/>
    </row>
    <row r="587" ht="20.25" spans="1:11">
      <c r="A587" s="359"/>
      <c r="B587" s="359"/>
      <c r="C587" s="359"/>
      <c r="D587" s="359"/>
      <c r="E587" s="359"/>
      <c r="F587" s="359"/>
      <c r="G587" s="359"/>
      <c r="H587" s="359"/>
      <c r="I587" s="359"/>
      <c r="J587" s="359"/>
      <c r="K587" s="359"/>
    </row>
    <row r="588" ht="20.25" spans="1:11">
      <c r="A588" s="359"/>
      <c r="B588" s="359"/>
      <c r="C588" s="359"/>
      <c r="D588" s="359"/>
      <c r="E588" s="359"/>
      <c r="F588" s="359"/>
      <c r="G588" s="359"/>
      <c r="H588" s="359"/>
      <c r="I588" s="359"/>
      <c r="J588" s="359"/>
      <c r="K588" s="359"/>
    </row>
    <row r="589" ht="20.25" spans="1:11">
      <c r="A589" s="359"/>
      <c r="B589" s="359"/>
      <c r="C589" s="359"/>
      <c r="D589" s="359"/>
      <c r="E589" s="359"/>
      <c r="F589" s="359"/>
      <c r="G589" s="359"/>
      <c r="H589" s="359"/>
      <c r="I589" s="359"/>
      <c r="J589" s="359"/>
      <c r="K589" s="359"/>
    </row>
    <row r="590" ht="20.25" spans="1:11">
      <c r="A590" s="359"/>
      <c r="B590" s="359"/>
      <c r="C590" s="359"/>
      <c r="D590" s="359"/>
      <c r="E590" s="359"/>
      <c r="F590" s="359"/>
      <c r="G590" s="359"/>
      <c r="H590" s="359"/>
      <c r="I590" s="359"/>
      <c r="J590" s="359"/>
      <c r="K590" s="359"/>
    </row>
    <row r="591" ht="20.25" spans="1:11">
      <c r="A591" s="359"/>
      <c r="B591" s="359"/>
      <c r="C591" s="359"/>
      <c r="D591" s="359"/>
      <c r="E591" s="359"/>
      <c r="F591" s="359"/>
      <c r="G591" s="359"/>
      <c r="H591" s="359"/>
      <c r="I591" s="359"/>
      <c r="J591" s="359"/>
      <c r="K591" s="359"/>
    </row>
    <row r="592" ht="20.25" spans="1:11">
      <c r="A592" s="359"/>
      <c r="B592" s="359"/>
      <c r="C592" s="359"/>
      <c r="D592" s="359"/>
      <c r="E592" s="359"/>
      <c r="F592" s="359"/>
      <c r="G592" s="359"/>
      <c r="H592" s="359"/>
      <c r="I592" s="359"/>
      <c r="J592" s="359"/>
      <c r="K592" s="359"/>
    </row>
    <row r="593" ht="20.25" spans="1:11">
      <c r="A593" s="359"/>
      <c r="B593" s="359"/>
      <c r="C593" s="359"/>
      <c r="D593" s="359"/>
      <c r="E593" s="359"/>
      <c r="F593" s="359"/>
      <c r="G593" s="359"/>
      <c r="H593" s="359"/>
      <c r="I593" s="359"/>
      <c r="J593" s="359"/>
      <c r="K593" s="359"/>
    </row>
    <row r="594" ht="20.25" spans="1:11">
      <c r="A594" s="359"/>
      <c r="B594" s="359"/>
      <c r="C594" s="359"/>
      <c r="D594" s="359"/>
      <c r="E594" s="359"/>
      <c r="F594" s="359"/>
      <c r="G594" s="359"/>
      <c r="H594" s="359"/>
      <c r="I594" s="359"/>
      <c r="J594" s="359"/>
      <c r="K594" s="359"/>
    </row>
    <row r="595" ht="20.25" spans="1:11">
      <c r="A595" s="359"/>
      <c r="B595" s="359"/>
      <c r="C595" s="359"/>
      <c r="D595" s="359"/>
      <c r="E595" s="359"/>
      <c r="F595" s="359"/>
      <c r="G595" s="359"/>
      <c r="H595" s="359"/>
      <c r="I595" s="359"/>
      <c r="J595" s="359"/>
      <c r="K595" s="359"/>
    </row>
    <row r="596" ht="20.25" spans="1:11">
      <c r="A596" s="359"/>
      <c r="B596" s="359"/>
      <c r="C596" s="359"/>
      <c r="D596" s="359"/>
      <c r="E596" s="359"/>
      <c r="F596" s="359"/>
      <c r="G596" s="359"/>
      <c r="H596" s="359"/>
      <c r="I596" s="359"/>
      <c r="J596" s="359"/>
      <c r="K596" s="359"/>
    </row>
    <row r="597" ht="20.25" spans="1:11">
      <c r="A597" s="359"/>
      <c r="B597" s="359"/>
      <c r="C597" s="359"/>
      <c r="D597" s="359"/>
      <c r="E597" s="359"/>
      <c r="F597" s="359"/>
      <c r="G597" s="359"/>
      <c r="H597" s="359"/>
      <c r="I597" s="359"/>
      <c r="J597" s="359"/>
      <c r="K597" s="359"/>
    </row>
    <row r="598" ht="20.25" spans="1:11">
      <c r="A598" s="359"/>
      <c r="B598" s="359"/>
      <c r="C598" s="359"/>
      <c r="D598" s="359"/>
      <c r="E598" s="359"/>
      <c r="F598" s="359"/>
      <c r="G598" s="359"/>
      <c r="H598" s="359"/>
      <c r="I598" s="359"/>
      <c r="J598" s="359"/>
      <c r="K598" s="359"/>
    </row>
    <row r="599" ht="20.25" spans="1:11">
      <c r="A599" s="359"/>
      <c r="B599" s="359"/>
      <c r="C599" s="359"/>
      <c r="D599" s="359"/>
      <c r="E599" s="359"/>
      <c r="F599" s="359"/>
      <c r="G599" s="359"/>
      <c r="H599" s="359"/>
      <c r="I599" s="359"/>
      <c r="J599" s="359"/>
      <c r="K599" s="359"/>
    </row>
    <row r="600" ht="20.25" spans="1:11">
      <c r="A600" s="359"/>
      <c r="B600" s="359"/>
      <c r="C600" s="359"/>
      <c r="D600" s="359"/>
      <c r="E600" s="359"/>
      <c r="F600" s="359"/>
      <c r="G600" s="359"/>
      <c r="H600" s="359"/>
      <c r="I600" s="359"/>
      <c r="J600" s="359"/>
      <c r="K600" s="359"/>
    </row>
    <row r="601" ht="20.25" spans="1:11">
      <c r="A601" s="359"/>
      <c r="B601" s="359"/>
      <c r="C601" s="359"/>
      <c r="D601" s="359"/>
      <c r="E601" s="359"/>
      <c r="F601" s="359"/>
      <c r="G601" s="359"/>
      <c r="H601" s="359"/>
      <c r="I601" s="359"/>
      <c r="J601" s="359"/>
      <c r="K601" s="359"/>
    </row>
    <row r="602" ht="20.25" spans="1:11">
      <c r="A602" s="359"/>
      <c r="B602" s="359"/>
      <c r="C602" s="359"/>
      <c r="D602" s="359"/>
      <c r="E602" s="359"/>
      <c r="F602" s="359"/>
      <c r="G602" s="359"/>
      <c r="H602" s="359"/>
      <c r="I602" s="359"/>
      <c r="J602" s="359"/>
      <c r="K602" s="359"/>
    </row>
    <row r="603" ht="20.25" spans="1:11">
      <c r="A603" s="359"/>
      <c r="B603" s="359"/>
      <c r="C603" s="359"/>
      <c r="D603" s="359"/>
      <c r="E603" s="359"/>
      <c r="F603" s="359"/>
      <c r="G603" s="359"/>
      <c r="H603" s="359"/>
      <c r="I603" s="359"/>
      <c r="J603" s="359"/>
      <c r="K603" s="359"/>
    </row>
    <row r="604" ht="20.25" spans="1:11">
      <c r="A604" s="359"/>
      <c r="B604" s="359"/>
      <c r="C604" s="359"/>
      <c r="D604" s="359"/>
      <c r="E604" s="359"/>
      <c r="F604" s="359"/>
      <c r="G604" s="359"/>
      <c r="H604" s="359"/>
      <c r="I604" s="359"/>
      <c r="J604" s="359"/>
      <c r="K604" s="359"/>
    </row>
    <row r="605" ht="20.25" spans="1:11">
      <c r="A605" s="359"/>
      <c r="B605" s="359"/>
      <c r="C605" s="359"/>
      <c r="D605" s="359"/>
      <c r="E605" s="359"/>
      <c r="F605" s="359"/>
      <c r="G605" s="359"/>
      <c r="H605" s="359"/>
      <c r="I605" s="359"/>
      <c r="J605" s="359"/>
      <c r="K605" s="359"/>
    </row>
    <row r="606" ht="20.25" spans="1:11">
      <c r="A606" s="359"/>
      <c r="B606" s="359"/>
      <c r="C606" s="359"/>
      <c r="D606" s="359"/>
      <c r="E606" s="359"/>
      <c r="F606" s="359"/>
      <c r="G606" s="359"/>
      <c r="H606" s="359"/>
      <c r="I606" s="359"/>
      <c r="J606" s="359"/>
      <c r="K606" s="359"/>
    </row>
    <row r="607" ht="20.25" spans="1:11">
      <c r="A607" s="359"/>
      <c r="B607" s="359"/>
      <c r="C607" s="359"/>
      <c r="D607" s="359"/>
      <c r="E607" s="359"/>
      <c r="F607" s="359"/>
      <c r="G607" s="359"/>
      <c r="H607" s="359"/>
      <c r="I607" s="359"/>
      <c r="J607" s="359"/>
      <c r="K607" s="359"/>
    </row>
    <row r="608" ht="20.25" spans="1:11">
      <c r="A608" s="359"/>
      <c r="B608" s="359"/>
      <c r="C608" s="359"/>
      <c r="D608" s="359"/>
      <c r="E608" s="359"/>
      <c r="F608" s="359"/>
      <c r="G608" s="359"/>
      <c r="H608" s="359"/>
      <c r="I608" s="359"/>
      <c r="J608" s="359"/>
      <c r="K608" s="359"/>
    </row>
    <row r="609" ht="20.25" spans="1:11">
      <c r="A609" s="359"/>
      <c r="B609" s="359"/>
      <c r="C609" s="359"/>
      <c r="D609" s="359"/>
      <c r="E609" s="359"/>
      <c r="F609" s="359"/>
      <c r="G609" s="359"/>
      <c r="H609" s="359"/>
      <c r="I609" s="359"/>
      <c r="J609" s="359"/>
      <c r="K609" s="359"/>
    </row>
    <row r="610" ht="20.25" spans="1:11">
      <c r="A610" s="359"/>
      <c r="B610" s="359"/>
      <c r="C610" s="359"/>
      <c r="D610" s="359"/>
      <c r="E610" s="359"/>
      <c r="F610" s="359"/>
      <c r="G610" s="359"/>
      <c r="H610" s="359"/>
      <c r="I610" s="359"/>
      <c r="J610" s="359"/>
      <c r="K610" s="359"/>
    </row>
    <row r="611" ht="20.25" spans="1:11">
      <c r="A611" s="359"/>
      <c r="B611" s="359"/>
      <c r="C611" s="359"/>
      <c r="D611" s="359"/>
      <c r="E611" s="359"/>
      <c r="F611" s="359"/>
      <c r="G611" s="359"/>
      <c r="H611" s="359"/>
      <c r="I611" s="359"/>
      <c r="J611" s="359"/>
      <c r="K611" s="359"/>
    </row>
    <row r="612" ht="20.25" spans="1:11">
      <c r="A612" s="359"/>
      <c r="B612" s="359"/>
      <c r="C612" s="359"/>
      <c r="D612" s="359"/>
      <c r="E612" s="359"/>
      <c r="F612" s="359"/>
      <c r="G612" s="359"/>
      <c r="H612" s="359"/>
      <c r="I612" s="359"/>
      <c r="J612" s="359"/>
      <c r="K612" s="359"/>
    </row>
    <row r="613" ht="20.25" spans="1:11">
      <c r="A613" s="359"/>
      <c r="B613" s="359"/>
      <c r="C613" s="359"/>
      <c r="D613" s="359"/>
      <c r="E613" s="359"/>
      <c r="F613" s="359"/>
      <c r="G613" s="359"/>
      <c r="H613" s="359"/>
      <c r="I613" s="359"/>
      <c r="J613" s="359"/>
      <c r="K613" s="359"/>
    </row>
    <row r="614" ht="20.25" spans="1:11">
      <c r="A614" s="359"/>
      <c r="B614" s="359"/>
      <c r="C614" s="359"/>
      <c r="D614" s="359"/>
      <c r="E614" s="359"/>
      <c r="F614" s="359"/>
      <c r="G614" s="359"/>
      <c r="H614" s="359"/>
      <c r="I614" s="359"/>
      <c r="J614" s="359"/>
      <c r="K614" s="359"/>
    </row>
    <row r="615" ht="20.25" spans="1:11">
      <c r="A615" s="359"/>
      <c r="B615" s="359"/>
      <c r="C615" s="359"/>
      <c r="D615" s="359"/>
      <c r="E615" s="359"/>
      <c r="F615" s="359"/>
      <c r="G615" s="359"/>
      <c r="H615" s="359"/>
      <c r="I615" s="359"/>
      <c r="J615" s="359"/>
      <c r="K615" s="359"/>
    </row>
    <row r="616" ht="20.25" spans="1:11">
      <c r="A616" s="359"/>
      <c r="B616" s="359"/>
      <c r="C616" s="359"/>
      <c r="D616" s="359"/>
      <c r="E616" s="359"/>
      <c r="F616" s="359"/>
      <c r="G616" s="359"/>
      <c r="H616" s="359"/>
      <c r="I616" s="359"/>
      <c r="J616" s="359"/>
      <c r="K616" s="359"/>
    </row>
    <row r="617" ht="20.25" spans="1:11">
      <c r="A617" s="359"/>
      <c r="B617" s="359"/>
      <c r="C617" s="359"/>
      <c r="D617" s="359"/>
      <c r="E617" s="359"/>
      <c r="F617" s="359"/>
      <c r="G617" s="359"/>
      <c r="H617" s="359"/>
      <c r="I617" s="359"/>
      <c r="J617" s="359"/>
      <c r="K617" s="359"/>
    </row>
    <row r="618" ht="20.25" spans="1:11">
      <c r="A618" s="359"/>
      <c r="B618" s="359"/>
      <c r="C618" s="359"/>
      <c r="D618" s="359"/>
      <c r="E618" s="359"/>
      <c r="F618" s="359"/>
      <c r="G618" s="359"/>
      <c r="H618" s="359"/>
      <c r="I618" s="359"/>
      <c r="J618" s="359"/>
      <c r="K618" s="359"/>
    </row>
    <row r="619" ht="20.25" spans="1:11">
      <c r="A619" s="359"/>
      <c r="B619" s="359"/>
      <c r="C619" s="359"/>
      <c r="D619" s="359"/>
      <c r="E619" s="359"/>
      <c r="F619" s="359"/>
      <c r="G619" s="359"/>
      <c r="H619" s="359"/>
      <c r="I619" s="359"/>
      <c r="J619" s="359"/>
      <c r="K619" s="359"/>
    </row>
    <row r="620" ht="20.25" spans="1:11">
      <c r="A620" s="359"/>
      <c r="B620" s="359"/>
      <c r="C620" s="359"/>
      <c r="D620" s="359"/>
      <c r="E620" s="359"/>
      <c r="F620" s="359"/>
      <c r="G620" s="359"/>
      <c r="H620" s="359"/>
      <c r="I620" s="359"/>
      <c r="J620" s="359"/>
      <c r="K620" s="359"/>
    </row>
    <row r="621" ht="20.25" spans="1:11">
      <c r="A621" s="359"/>
      <c r="B621" s="359"/>
      <c r="C621" s="359"/>
      <c r="D621" s="359"/>
      <c r="E621" s="359"/>
      <c r="F621" s="359"/>
      <c r="G621" s="359"/>
      <c r="H621" s="359"/>
      <c r="I621" s="359"/>
      <c r="J621" s="359"/>
      <c r="K621" s="359"/>
    </row>
    <row r="622" ht="20.25" spans="1:11">
      <c r="A622" s="359"/>
      <c r="B622" s="359"/>
      <c r="C622" s="359"/>
      <c r="D622" s="359"/>
      <c r="E622" s="359"/>
      <c r="F622" s="359"/>
      <c r="G622" s="359"/>
      <c r="H622" s="359"/>
      <c r="I622" s="359"/>
      <c r="J622" s="359"/>
      <c r="K622" s="359"/>
    </row>
    <row r="623" ht="20.25" spans="1:11">
      <c r="A623" s="359"/>
      <c r="B623" s="359"/>
      <c r="C623" s="359"/>
      <c r="D623" s="359"/>
      <c r="E623" s="359"/>
      <c r="F623" s="359"/>
      <c r="G623" s="359"/>
      <c r="H623" s="359"/>
      <c r="I623" s="359"/>
      <c r="J623" s="359"/>
      <c r="K623" s="359"/>
    </row>
    <row r="624" ht="20.25" spans="1:11">
      <c r="A624" s="359"/>
      <c r="B624" s="359"/>
      <c r="C624" s="359"/>
      <c r="D624" s="359"/>
      <c r="E624" s="359"/>
      <c r="F624" s="359"/>
      <c r="G624" s="359"/>
      <c r="H624" s="359"/>
      <c r="I624" s="359"/>
      <c r="J624" s="359"/>
      <c r="K624" s="359"/>
    </row>
    <row r="625" ht="20.25" spans="1:11">
      <c r="A625" s="359"/>
      <c r="B625" s="359"/>
      <c r="C625" s="359"/>
      <c r="D625" s="359"/>
      <c r="E625" s="359"/>
      <c r="F625" s="359"/>
      <c r="G625" s="359"/>
      <c r="H625" s="359"/>
      <c r="I625" s="359"/>
      <c r="J625" s="359"/>
      <c r="K625" s="359"/>
    </row>
    <row r="626" ht="20.25" spans="1:11">
      <c r="A626" s="359"/>
      <c r="B626" s="359"/>
      <c r="C626" s="359"/>
      <c r="D626" s="359"/>
      <c r="E626" s="359"/>
      <c r="F626" s="359"/>
      <c r="G626" s="359"/>
      <c r="H626" s="359"/>
      <c r="I626" s="359"/>
      <c r="J626" s="359"/>
      <c r="K626" s="359"/>
    </row>
    <row r="627" ht="20.25" spans="1:11">
      <c r="A627" s="359"/>
      <c r="B627" s="359"/>
      <c r="C627" s="359"/>
      <c r="D627" s="359"/>
      <c r="E627" s="359"/>
      <c r="F627" s="359"/>
      <c r="G627" s="359"/>
      <c r="H627" s="359"/>
      <c r="I627" s="359"/>
      <c r="J627" s="359"/>
      <c r="K627" s="359"/>
    </row>
    <row r="628" ht="20.25" spans="1:11">
      <c r="A628" s="359"/>
      <c r="B628" s="359"/>
      <c r="C628" s="359"/>
      <c r="D628" s="359"/>
      <c r="E628" s="359"/>
      <c r="F628" s="359"/>
      <c r="G628" s="359"/>
      <c r="H628" s="359"/>
      <c r="I628" s="359"/>
      <c r="J628" s="359"/>
      <c r="K628" s="359"/>
    </row>
    <row r="629" ht="20.25" spans="1:11">
      <c r="A629" s="359"/>
      <c r="B629" s="359"/>
      <c r="C629" s="359"/>
      <c r="D629" s="359"/>
      <c r="E629" s="359"/>
      <c r="F629" s="359"/>
      <c r="G629" s="359"/>
      <c r="H629" s="359"/>
      <c r="I629" s="359"/>
      <c r="J629" s="359"/>
      <c r="K629" s="359"/>
    </row>
    <row r="630" ht="20.25" spans="1:11">
      <c r="A630" s="359"/>
      <c r="B630" s="359"/>
      <c r="C630" s="359"/>
      <c r="D630" s="359"/>
      <c r="E630" s="359"/>
      <c r="F630" s="359"/>
      <c r="G630" s="359"/>
      <c r="H630" s="359"/>
      <c r="I630" s="359"/>
      <c r="J630" s="359"/>
      <c r="K630" s="359"/>
    </row>
    <row r="631" ht="20.25" spans="1:11">
      <c r="A631" s="359"/>
      <c r="B631" s="359"/>
      <c r="C631" s="359"/>
      <c r="D631" s="359"/>
      <c r="E631" s="359"/>
      <c r="F631" s="359"/>
      <c r="G631" s="359"/>
      <c r="H631" s="359"/>
      <c r="I631" s="359"/>
      <c r="J631" s="359"/>
      <c r="K631" s="359"/>
    </row>
    <row r="632" ht="20.25" spans="1:11">
      <c r="A632" s="359"/>
      <c r="B632" s="359"/>
      <c r="C632" s="359"/>
      <c r="D632" s="359"/>
      <c r="E632" s="359"/>
      <c r="F632" s="359"/>
      <c r="G632" s="359"/>
      <c r="H632" s="359"/>
      <c r="I632" s="359"/>
      <c r="J632" s="359"/>
      <c r="K632" s="359"/>
    </row>
    <row r="633" ht="20.25" spans="1:11">
      <c r="A633" s="359"/>
      <c r="B633" s="359"/>
      <c r="C633" s="359"/>
      <c r="D633" s="359"/>
      <c r="E633" s="359"/>
      <c r="F633" s="359"/>
      <c r="G633" s="359"/>
      <c r="H633" s="359"/>
      <c r="I633" s="359"/>
      <c r="J633" s="359"/>
      <c r="K633" s="359"/>
    </row>
    <row r="634" ht="20.25" spans="1:11">
      <c r="A634" s="359"/>
      <c r="B634" s="359"/>
      <c r="C634" s="359"/>
      <c r="D634" s="359"/>
      <c r="E634" s="359"/>
      <c r="F634" s="359"/>
      <c r="G634" s="359"/>
      <c r="H634" s="359"/>
      <c r="I634" s="359"/>
      <c r="J634" s="359"/>
      <c r="K634" s="359"/>
    </row>
    <row r="635" ht="20.25" spans="1:11">
      <c r="A635" s="359"/>
      <c r="B635" s="359"/>
      <c r="C635" s="359"/>
      <c r="D635" s="359"/>
      <c r="E635" s="359"/>
      <c r="F635" s="359"/>
      <c r="G635" s="359"/>
      <c r="H635" s="359"/>
      <c r="I635" s="359"/>
      <c r="J635" s="359"/>
      <c r="K635" s="359"/>
    </row>
    <row r="636" ht="20.25" spans="1:11">
      <c r="A636" s="359"/>
      <c r="B636" s="359"/>
      <c r="C636" s="359"/>
      <c r="D636" s="359"/>
      <c r="E636" s="359"/>
      <c r="F636" s="359"/>
      <c r="G636" s="359"/>
      <c r="H636" s="359"/>
      <c r="I636" s="359"/>
      <c r="J636" s="359"/>
      <c r="K636" s="359"/>
    </row>
    <row r="637" ht="20.25" spans="1:11">
      <c r="A637" s="359"/>
      <c r="B637" s="359"/>
      <c r="C637" s="359"/>
      <c r="D637" s="359"/>
      <c r="E637" s="359"/>
      <c r="F637" s="359"/>
      <c r="G637" s="359"/>
      <c r="H637" s="359"/>
      <c r="I637" s="359"/>
      <c r="J637" s="359"/>
      <c r="K637" s="359"/>
    </row>
    <row r="638" ht="20.25" spans="1:11">
      <c r="A638" s="359"/>
      <c r="B638" s="359"/>
      <c r="C638" s="359"/>
      <c r="D638" s="359"/>
      <c r="E638" s="359"/>
      <c r="F638" s="359"/>
      <c r="G638" s="359"/>
      <c r="H638" s="359"/>
      <c r="I638" s="359"/>
      <c r="J638" s="359"/>
      <c r="K638" s="359"/>
    </row>
    <row r="639" ht="20.25" spans="1:11">
      <c r="A639" s="359"/>
      <c r="B639" s="359"/>
      <c r="C639" s="359"/>
      <c r="D639" s="359"/>
      <c r="E639" s="359"/>
      <c r="F639" s="359"/>
      <c r="G639" s="359"/>
      <c r="H639" s="359"/>
      <c r="I639" s="359"/>
      <c r="J639" s="359"/>
      <c r="K639" s="359"/>
    </row>
    <row r="640" ht="20.25" spans="1:11">
      <c r="A640" s="359"/>
      <c r="B640" s="359"/>
      <c r="C640" s="359"/>
      <c r="D640" s="359"/>
      <c r="E640" s="359"/>
      <c r="F640" s="359"/>
      <c r="G640" s="359"/>
      <c r="H640" s="359"/>
      <c r="I640" s="359"/>
      <c r="J640" s="359"/>
      <c r="K640" s="359"/>
    </row>
    <row r="641" ht="20.25" spans="1:11">
      <c r="A641" s="359"/>
      <c r="B641" s="359"/>
      <c r="C641" s="359"/>
      <c r="D641" s="359"/>
      <c r="E641" s="359"/>
      <c r="F641" s="359"/>
      <c r="G641" s="359"/>
      <c r="H641" s="359"/>
      <c r="I641" s="359"/>
      <c r="J641" s="359"/>
      <c r="K641" s="359"/>
    </row>
    <row r="642" ht="20.25" spans="1:11">
      <c r="A642" s="359"/>
      <c r="B642" s="359"/>
      <c r="C642" s="359"/>
      <c r="D642" s="359"/>
      <c r="E642" s="359"/>
      <c r="F642" s="359"/>
      <c r="G642" s="359"/>
      <c r="H642" s="359"/>
      <c r="I642" s="359"/>
      <c r="J642" s="359"/>
      <c r="K642" s="359"/>
    </row>
    <row r="643" ht="20.25" spans="1:11">
      <c r="A643" s="359"/>
      <c r="B643" s="359"/>
      <c r="C643" s="359"/>
      <c r="D643" s="359"/>
      <c r="E643" s="359"/>
      <c r="F643" s="359"/>
      <c r="G643" s="359"/>
      <c r="H643" s="359"/>
      <c r="I643" s="359"/>
      <c r="J643" s="359"/>
      <c r="K643" s="359"/>
    </row>
    <row r="644" ht="20.25" spans="1:11">
      <c r="A644" s="359"/>
      <c r="B644" s="359"/>
      <c r="C644" s="359"/>
      <c r="D644" s="359"/>
      <c r="E644" s="359"/>
      <c r="F644" s="359"/>
      <c r="G644" s="359"/>
      <c r="H644" s="359"/>
      <c r="I644" s="359"/>
      <c r="J644" s="359"/>
      <c r="K644" s="359"/>
    </row>
    <row r="645" ht="20.25" spans="1:11">
      <c r="A645" s="359"/>
      <c r="B645" s="359"/>
      <c r="C645" s="359"/>
      <c r="D645" s="359"/>
      <c r="E645" s="359"/>
      <c r="F645" s="359"/>
      <c r="G645" s="359"/>
      <c r="H645" s="359"/>
      <c r="I645" s="359"/>
      <c r="J645" s="359"/>
      <c r="K645" s="359"/>
    </row>
    <row r="646" ht="20.25" spans="1:11">
      <c r="A646" s="359"/>
      <c r="B646" s="359"/>
      <c r="C646" s="359"/>
      <c r="D646" s="359"/>
      <c r="E646" s="359"/>
      <c r="F646" s="359"/>
      <c r="G646" s="359"/>
      <c r="H646" s="359"/>
      <c r="I646" s="359"/>
      <c r="J646" s="359"/>
      <c r="K646" s="359"/>
    </row>
    <row r="647" ht="20.25" spans="1:11">
      <c r="A647" s="359"/>
      <c r="B647" s="359"/>
      <c r="C647" s="359"/>
      <c r="D647" s="359"/>
      <c r="E647" s="359"/>
      <c r="F647" s="359"/>
      <c r="G647" s="359"/>
      <c r="H647" s="359"/>
      <c r="I647" s="359"/>
      <c r="J647" s="359"/>
      <c r="K647" s="359"/>
    </row>
    <row r="648" ht="20.25" spans="1:11">
      <c r="A648" s="359"/>
      <c r="B648" s="359"/>
      <c r="C648" s="359"/>
      <c r="D648" s="359"/>
      <c r="E648" s="359"/>
      <c r="F648" s="359"/>
      <c r="G648" s="359"/>
      <c r="H648" s="359"/>
      <c r="I648" s="359"/>
      <c r="J648" s="359"/>
      <c r="K648" s="359"/>
    </row>
    <row r="649" ht="20.25" spans="1:11">
      <c r="A649" s="359"/>
      <c r="B649" s="359"/>
      <c r="C649" s="359"/>
      <c r="D649" s="359"/>
      <c r="E649" s="359"/>
      <c r="F649" s="359"/>
      <c r="G649" s="359"/>
      <c r="H649" s="359"/>
      <c r="I649" s="359"/>
      <c r="J649" s="359"/>
      <c r="K649" s="359"/>
    </row>
    <row r="650" ht="20.25" spans="1:11">
      <c r="A650" s="359"/>
      <c r="B650" s="359"/>
      <c r="C650" s="359"/>
      <c r="D650" s="359"/>
      <c r="E650" s="359"/>
      <c r="F650" s="359"/>
      <c r="G650" s="359"/>
      <c r="H650" s="359"/>
      <c r="I650" s="359"/>
      <c r="J650" s="359"/>
      <c r="K650" s="359"/>
    </row>
    <row r="651" ht="20.25" spans="1:11">
      <c r="A651" s="359"/>
      <c r="B651" s="359"/>
      <c r="C651" s="359"/>
      <c r="D651" s="359"/>
      <c r="E651" s="359"/>
      <c r="F651" s="359"/>
      <c r="G651" s="359"/>
      <c r="H651" s="359"/>
      <c r="I651" s="359"/>
      <c r="J651" s="359"/>
      <c r="K651" s="359"/>
    </row>
    <row r="652" ht="20.25" spans="1:11">
      <c r="A652" s="359"/>
      <c r="B652" s="359"/>
      <c r="C652" s="359"/>
      <c r="D652" s="359"/>
      <c r="E652" s="359"/>
      <c r="F652" s="359"/>
      <c r="G652" s="359"/>
      <c r="H652" s="359"/>
      <c r="I652" s="359"/>
      <c r="J652" s="359"/>
      <c r="K652" s="359"/>
    </row>
    <row r="653" ht="20.25" spans="1:11">
      <c r="A653" s="359"/>
      <c r="B653" s="359"/>
      <c r="C653" s="359"/>
      <c r="D653" s="359"/>
      <c r="E653" s="359"/>
      <c r="F653" s="359"/>
      <c r="G653" s="359"/>
      <c r="H653" s="359"/>
      <c r="I653" s="359"/>
      <c r="J653" s="359"/>
      <c r="K653" s="359"/>
    </row>
    <row r="654" ht="20.25" spans="1:11">
      <c r="A654" s="359"/>
      <c r="B654" s="359"/>
      <c r="C654" s="359"/>
      <c r="D654" s="359"/>
      <c r="E654" s="359"/>
      <c r="F654" s="359"/>
      <c r="G654" s="359"/>
      <c r="H654" s="359"/>
      <c r="I654" s="359"/>
      <c r="J654" s="359"/>
      <c r="K654" s="359"/>
    </row>
    <row r="655" ht="20.25" spans="1:11">
      <c r="A655" s="359"/>
      <c r="B655" s="359"/>
      <c r="C655" s="359"/>
      <c r="D655" s="359"/>
      <c r="E655" s="359"/>
      <c r="F655" s="359"/>
      <c r="G655" s="359"/>
      <c r="H655" s="359"/>
      <c r="I655" s="359"/>
      <c r="J655" s="359"/>
      <c r="K655" s="359"/>
    </row>
    <row r="656" ht="20.25" spans="1:11">
      <c r="A656" s="359"/>
      <c r="B656" s="359"/>
      <c r="C656" s="359"/>
      <c r="D656" s="359"/>
      <c r="E656" s="359"/>
      <c r="F656" s="359"/>
      <c r="G656" s="359"/>
      <c r="H656" s="359"/>
      <c r="I656" s="359"/>
      <c r="J656" s="359"/>
      <c r="K656" s="359"/>
    </row>
    <row r="657" ht="20.25" spans="1:11">
      <c r="A657" s="359"/>
      <c r="B657" s="359"/>
      <c r="C657" s="359"/>
      <c r="D657" s="359"/>
      <c r="E657" s="359"/>
      <c r="F657" s="359"/>
      <c r="G657" s="359"/>
      <c r="H657" s="359"/>
      <c r="I657" s="359"/>
      <c r="J657" s="359"/>
      <c r="K657" s="359"/>
    </row>
    <row r="658" ht="20.25" spans="1:11">
      <c r="A658" s="359"/>
      <c r="B658" s="359"/>
      <c r="C658" s="359"/>
      <c r="D658" s="359"/>
      <c r="E658" s="359"/>
      <c r="F658" s="359"/>
      <c r="G658" s="359"/>
      <c r="H658" s="359"/>
      <c r="I658" s="359"/>
      <c r="J658" s="359"/>
      <c r="K658" s="359"/>
    </row>
    <row r="659" ht="20.25" spans="1:11">
      <c r="A659" s="359"/>
      <c r="B659" s="359"/>
      <c r="C659" s="359"/>
      <c r="D659" s="359"/>
      <c r="E659" s="359"/>
      <c r="F659" s="359"/>
      <c r="G659" s="359"/>
      <c r="H659" s="359"/>
      <c r="I659" s="359"/>
      <c r="J659" s="359"/>
      <c r="K659" s="359"/>
    </row>
    <row r="660" ht="20.25" spans="1:11">
      <c r="A660" s="359"/>
      <c r="B660" s="359"/>
      <c r="C660" s="359"/>
      <c r="D660" s="359"/>
      <c r="E660" s="359"/>
      <c r="F660" s="359"/>
      <c r="G660" s="359"/>
      <c r="H660" s="359"/>
      <c r="I660" s="359"/>
      <c r="J660" s="359"/>
      <c r="K660" s="359"/>
    </row>
    <row r="661" ht="20.25" spans="1:11">
      <c r="A661" s="359"/>
      <c r="B661" s="359"/>
      <c r="C661" s="359"/>
      <c r="D661" s="359"/>
      <c r="E661" s="359"/>
      <c r="F661" s="359"/>
      <c r="G661" s="359"/>
      <c r="H661" s="359"/>
      <c r="I661" s="359"/>
      <c r="J661" s="359"/>
      <c r="K661" s="359"/>
    </row>
    <row r="662" ht="20.25" spans="1:11">
      <c r="A662" s="359"/>
      <c r="B662" s="359"/>
      <c r="C662" s="359"/>
      <c r="D662" s="359"/>
      <c r="E662" s="359"/>
      <c r="F662" s="359"/>
      <c r="G662" s="359"/>
      <c r="H662" s="359"/>
      <c r="I662" s="359"/>
      <c r="J662" s="359"/>
      <c r="K662" s="359"/>
    </row>
    <row r="663" ht="20.25" spans="1:11">
      <c r="A663" s="359"/>
      <c r="B663" s="359"/>
      <c r="C663" s="359"/>
      <c r="D663" s="359"/>
      <c r="E663" s="359"/>
      <c r="F663" s="359"/>
      <c r="G663" s="359"/>
      <c r="H663" s="359"/>
      <c r="I663" s="359"/>
      <c r="J663" s="359"/>
      <c r="K663" s="359"/>
    </row>
    <row r="664" ht="20.25" spans="1:11">
      <c r="A664" s="359"/>
      <c r="B664" s="359"/>
      <c r="C664" s="359"/>
      <c r="D664" s="359"/>
      <c r="E664" s="359"/>
      <c r="F664" s="359"/>
      <c r="G664" s="359"/>
      <c r="H664" s="359"/>
      <c r="I664" s="359"/>
      <c r="J664" s="359"/>
      <c r="K664" s="359"/>
    </row>
    <row r="665" ht="20.25" spans="1:11">
      <c r="A665" s="359"/>
      <c r="B665" s="359"/>
      <c r="C665" s="359"/>
      <c r="D665" s="359"/>
      <c r="E665" s="359"/>
      <c r="F665" s="359"/>
      <c r="G665" s="359"/>
      <c r="H665" s="359"/>
      <c r="I665" s="359"/>
      <c r="J665" s="359"/>
      <c r="K665" s="359"/>
    </row>
    <row r="666" ht="20.25" spans="1:11">
      <c r="A666" s="359"/>
      <c r="B666" s="359"/>
      <c r="C666" s="359"/>
      <c r="D666" s="359"/>
      <c r="E666" s="359"/>
      <c r="F666" s="359"/>
      <c r="G666" s="359"/>
      <c r="H666" s="359"/>
      <c r="I666" s="359"/>
      <c r="J666" s="359"/>
      <c r="K666" s="359"/>
    </row>
    <row r="667" ht="20.25" spans="1:11">
      <c r="A667" s="359"/>
      <c r="B667" s="359"/>
      <c r="C667" s="359"/>
      <c r="D667" s="359"/>
      <c r="E667" s="359"/>
      <c r="F667" s="359"/>
      <c r="G667" s="359"/>
      <c r="H667" s="359"/>
      <c r="I667" s="359"/>
      <c r="J667" s="359"/>
      <c r="K667" s="359"/>
    </row>
    <row r="668" ht="20.25" spans="1:11">
      <c r="A668" s="359"/>
      <c r="B668" s="359"/>
      <c r="C668" s="359"/>
      <c r="D668" s="359"/>
      <c r="E668" s="359"/>
      <c r="F668" s="359"/>
      <c r="G668" s="359"/>
      <c r="H668" s="359"/>
      <c r="I668" s="359"/>
      <c r="J668" s="359"/>
      <c r="K668" s="359"/>
    </row>
    <row r="669" ht="20.25" spans="1:11">
      <c r="A669" s="359"/>
      <c r="B669" s="359"/>
      <c r="C669" s="359"/>
      <c r="D669" s="359"/>
      <c r="E669" s="359"/>
      <c r="F669" s="359"/>
      <c r="G669" s="359"/>
      <c r="H669" s="359"/>
      <c r="I669" s="359"/>
      <c r="J669" s="359"/>
      <c r="K669" s="359"/>
    </row>
    <row r="670" ht="20.25" spans="1:11">
      <c r="A670" s="359"/>
      <c r="B670" s="359"/>
      <c r="C670" s="359"/>
      <c r="D670" s="359"/>
      <c r="E670" s="359"/>
      <c r="F670" s="359"/>
      <c r="G670" s="359"/>
      <c r="H670" s="359"/>
      <c r="I670" s="359"/>
      <c r="J670" s="359"/>
      <c r="K670" s="359"/>
    </row>
    <row r="671" ht="20.25" spans="1:11">
      <c r="A671" s="359"/>
      <c r="B671" s="359"/>
      <c r="C671" s="359"/>
      <c r="D671" s="359"/>
      <c r="E671" s="359"/>
      <c r="F671" s="359"/>
      <c r="G671" s="359"/>
      <c r="H671" s="359"/>
      <c r="I671" s="359"/>
      <c r="J671" s="359"/>
      <c r="K671" s="359"/>
    </row>
    <row r="672" ht="20.25" spans="1:11">
      <c r="A672" s="359"/>
      <c r="B672" s="359"/>
      <c r="C672" s="359"/>
      <c r="D672" s="359"/>
      <c r="E672" s="359"/>
      <c r="F672" s="359"/>
      <c r="G672" s="359"/>
      <c r="H672" s="359"/>
      <c r="I672" s="359"/>
      <c r="J672" s="359"/>
      <c r="K672" s="359"/>
    </row>
    <row r="673" ht="20.25" spans="1:11">
      <c r="A673" s="359"/>
      <c r="B673" s="359"/>
      <c r="C673" s="359"/>
      <c r="D673" s="359"/>
      <c r="E673" s="359"/>
      <c r="F673" s="359"/>
      <c r="G673" s="359"/>
      <c r="H673" s="359"/>
      <c r="I673" s="359"/>
      <c r="J673" s="359"/>
      <c r="K673" s="359"/>
    </row>
    <row r="674" ht="20.25" spans="1:11">
      <c r="A674" s="359"/>
      <c r="B674" s="359"/>
      <c r="C674" s="359"/>
      <c r="D674" s="359"/>
      <c r="E674" s="359"/>
      <c r="F674" s="359"/>
      <c r="G674" s="359"/>
      <c r="H674" s="359"/>
      <c r="I674" s="359"/>
      <c r="J674" s="359"/>
      <c r="K674" s="359"/>
    </row>
    <row r="675" ht="20.25" spans="1:11">
      <c r="A675" s="359"/>
      <c r="B675" s="359"/>
      <c r="C675" s="359"/>
      <c r="D675" s="359"/>
      <c r="E675" s="359"/>
      <c r="F675" s="359"/>
      <c r="G675" s="359"/>
      <c r="H675" s="359"/>
      <c r="I675" s="359"/>
      <c r="J675" s="359"/>
      <c r="K675" s="359"/>
    </row>
    <row r="676" ht="20.25" spans="1:11">
      <c r="A676" s="359"/>
      <c r="B676" s="359"/>
      <c r="C676" s="359"/>
      <c r="D676" s="359"/>
      <c r="E676" s="359"/>
      <c r="F676" s="359"/>
      <c r="G676" s="359"/>
      <c r="H676" s="359"/>
      <c r="I676" s="359"/>
      <c r="J676" s="359"/>
      <c r="K676" s="359"/>
    </row>
    <row r="677" ht="20.25" spans="1:11">
      <c r="A677" s="359"/>
      <c r="B677" s="359"/>
      <c r="C677" s="359"/>
      <c r="D677" s="359"/>
      <c r="E677" s="359"/>
      <c r="F677" s="359"/>
      <c r="G677" s="359"/>
      <c r="H677" s="359"/>
      <c r="I677" s="359"/>
      <c r="J677" s="359"/>
      <c r="K677" s="359"/>
    </row>
    <row r="678" ht="20.25" spans="1:11">
      <c r="A678" s="359"/>
      <c r="B678" s="359"/>
      <c r="C678" s="359"/>
      <c r="D678" s="359"/>
      <c r="E678" s="359"/>
      <c r="F678" s="359"/>
      <c r="G678" s="359"/>
      <c r="H678" s="359"/>
      <c r="I678" s="359"/>
      <c r="J678" s="359"/>
      <c r="K678" s="359"/>
    </row>
    <row r="679" ht="20.25" spans="1:11">
      <c r="A679" s="359"/>
      <c r="B679" s="359"/>
      <c r="C679" s="359"/>
      <c r="D679" s="359"/>
      <c r="E679" s="359"/>
      <c r="F679" s="359"/>
      <c r="G679" s="359"/>
      <c r="H679" s="359"/>
      <c r="I679" s="359"/>
      <c r="J679" s="359"/>
      <c r="K679" s="359"/>
    </row>
    <row r="680" ht="20.25" spans="1:11">
      <c r="A680" s="359"/>
      <c r="B680" s="359"/>
      <c r="C680" s="359"/>
      <c r="D680" s="359"/>
      <c r="E680" s="359"/>
      <c r="F680" s="359"/>
      <c r="G680" s="359"/>
      <c r="H680" s="359"/>
      <c r="I680" s="359"/>
      <c r="J680" s="359"/>
      <c r="K680" s="359"/>
    </row>
    <row r="681" ht="20.25" spans="1:11">
      <c r="A681" s="359"/>
      <c r="B681" s="359"/>
      <c r="C681" s="359"/>
      <c r="D681" s="359"/>
      <c r="E681" s="359"/>
      <c r="F681" s="359"/>
      <c r="G681" s="359"/>
      <c r="H681" s="359"/>
      <c r="I681" s="359"/>
      <c r="J681" s="359"/>
      <c r="K681" s="359"/>
    </row>
    <row r="682" ht="20.25" spans="1:11">
      <c r="A682" s="359"/>
      <c r="B682" s="359"/>
      <c r="C682" s="359"/>
      <c r="D682" s="359"/>
      <c r="E682" s="359"/>
      <c r="F682" s="359"/>
      <c r="G682" s="359"/>
      <c r="H682" s="359"/>
      <c r="I682" s="359"/>
      <c r="J682" s="359"/>
      <c r="K682" s="359"/>
    </row>
    <row r="683" ht="20.25" spans="1:11">
      <c r="A683" s="359"/>
      <c r="B683" s="359"/>
      <c r="C683" s="359"/>
      <c r="D683" s="359"/>
      <c r="E683" s="359"/>
      <c r="F683" s="359"/>
      <c r="G683" s="359"/>
      <c r="H683" s="359"/>
      <c r="I683" s="359"/>
      <c r="J683" s="359"/>
      <c r="K683" s="359"/>
    </row>
    <row r="684" ht="20.25" spans="1:11">
      <c r="A684" s="359"/>
      <c r="B684" s="359"/>
      <c r="C684" s="359"/>
      <c r="D684" s="359"/>
      <c r="E684" s="359"/>
      <c r="F684" s="359"/>
      <c r="G684" s="359"/>
      <c r="H684" s="359"/>
      <c r="I684" s="359"/>
      <c r="J684" s="359"/>
      <c r="K684" s="359"/>
    </row>
    <row r="685" ht="20.25" spans="1:11">
      <c r="A685" s="359"/>
      <c r="B685" s="359"/>
      <c r="C685" s="359"/>
      <c r="D685" s="359"/>
      <c r="E685" s="359"/>
      <c r="F685" s="359"/>
      <c r="G685" s="359"/>
      <c r="H685" s="359"/>
      <c r="I685" s="359"/>
      <c r="J685" s="359"/>
      <c r="K685" s="359"/>
    </row>
    <row r="686" ht="20.25" spans="1:11">
      <c r="A686" s="359"/>
      <c r="B686" s="359"/>
      <c r="C686" s="359"/>
      <c r="D686" s="359"/>
      <c r="E686" s="359"/>
      <c r="F686" s="359"/>
      <c r="G686" s="359"/>
      <c r="H686" s="359"/>
      <c r="I686" s="359"/>
      <c r="J686" s="359"/>
      <c r="K686" s="359"/>
    </row>
    <row r="687" ht="20.25" spans="1:11">
      <c r="A687" s="359"/>
      <c r="B687" s="359"/>
      <c r="C687" s="359"/>
      <c r="D687" s="359"/>
      <c r="E687" s="359"/>
      <c r="F687" s="359"/>
      <c r="G687" s="359"/>
      <c r="H687" s="359"/>
      <c r="I687" s="359"/>
      <c r="J687" s="359"/>
      <c r="K687" s="359"/>
    </row>
    <row r="688" ht="20.25" spans="1:11">
      <c r="A688" s="359"/>
      <c r="B688" s="359"/>
      <c r="C688" s="359"/>
      <c r="D688" s="359"/>
      <c r="E688" s="359"/>
      <c r="F688" s="359"/>
      <c r="G688" s="359"/>
      <c r="H688" s="359"/>
      <c r="I688" s="359"/>
      <c r="J688" s="359"/>
      <c r="K688" s="359"/>
    </row>
    <row r="689" ht="20.25" spans="1:11">
      <c r="A689" s="359"/>
      <c r="B689" s="359"/>
      <c r="C689" s="359"/>
      <c r="D689" s="359"/>
      <c r="E689" s="359"/>
      <c r="F689" s="359"/>
      <c r="G689" s="359"/>
      <c r="H689" s="359"/>
      <c r="I689" s="359"/>
      <c r="J689" s="359"/>
      <c r="K689" s="359"/>
    </row>
    <row r="690" ht="20.25" spans="1:11">
      <c r="A690" s="359"/>
      <c r="B690" s="359"/>
      <c r="C690" s="359"/>
      <c r="D690" s="359"/>
      <c r="E690" s="359"/>
      <c r="F690" s="359"/>
      <c r="G690" s="359"/>
      <c r="H690" s="359"/>
      <c r="I690" s="359"/>
      <c r="J690" s="359"/>
      <c r="K690" s="359"/>
    </row>
    <row r="691" ht="20.25" spans="1:11">
      <c r="A691" s="359"/>
      <c r="B691" s="359"/>
      <c r="C691" s="359"/>
      <c r="D691" s="359"/>
      <c r="E691" s="359"/>
      <c r="F691" s="359"/>
      <c r="G691" s="359"/>
      <c r="H691" s="359"/>
      <c r="I691" s="359"/>
      <c r="J691" s="359"/>
      <c r="K691" s="359"/>
    </row>
    <row r="692" ht="20.25" spans="1:11">
      <c r="A692" s="359"/>
      <c r="B692" s="359"/>
      <c r="C692" s="359"/>
      <c r="D692" s="359"/>
      <c r="E692" s="359"/>
      <c r="F692" s="359"/>
      <c r="G692" s="359"/>
      <c r="H692" s="359"/>
      <c r="I692" s="359"/>
      <c r="J692" s="359"/>
      <c r="K692" s="359"/>
    </row>
    <row r="693" ht="20.25" spans="1:11">
      <c r="A693" s="359"/>
      <c r="B693" s="359"/>
      <c r="C693" s="359"/>
      <c r="D693" s="359"/>
      <c r="E693" s="359"/>
      <c r="F693" s="359"/>
      <c r="G693" s="359"/>
      <c r="H693" s="359"/>
      <c r="I693" s="359"/>
      <c r="J693" s="359"/>
      <c r="K693" s="359"/>
    </row>
    <row r="694" ht="20.25" spans="1:11">
      <c r="A694" s="359"/>
      <c r="B694" s="359"/>
      <c r="C694" s="359"/>
      <c r="D694" s="359"/>
      <c r="E694" s="359"/>
      <c r="F694" s="359"/>
      <c r="G694" s="359"/>
      <c r="H694" s="359"/>
      <c r="I694" s="359"/>
      <c r="J694" s="359"/>
      <c r="K694" s="359"/>
    </row>
    <row r="695" ht="20.25" spans="1:11">
      <c r="A695" s="359"/>
      <c r="B695" s="359"/>
      <c r="C695" s="359"/>
      <c r="D695" s="359"/>
      <c r="E695" s="359"/>
      <c r="F695" s="359"/>
      <c r="G695" s="359"/>
      <c r="H695" s="359"/>
      <c r="I695" s="359"/>
      <c r="J695" s="359"/>
      <c r="K695" s="359"/>
    </row>
    <row r="696" ht="20.25" spans="1:11">
      <c r="A696" s="359"/>
      <c r="B696" s="359"/>
      <c r="C696" s="359"/>
      <c r="D696" s="359"/>
      <c r="E696" s="359"/>
      <c r="F696" s="359"/>
      <c r="G696" s="359"/>
      <c r="H696" s="359"/>
      <c r="I696" s="359"/>
      <c r="J696" s="359"/>
      <c r="K696" s="359"/>
    </row>
    <row r="697" ht="20.25" spans="1:11">
      <c r="A697" s="359"/>
      <c r="B697" s="359"/>
      <c r="C697" s="359"/>
      <c r="D697" s="359"/>
      <c r="E697" s="359"/>
      <c r="F697" s="359"/>
      <c r="G697" s="359"/>
      <c r="H697" s="359"/>
      <c r="I697" s="359"/>
      <c r="J697" s="359"/>
      <c r="K697" s="359"/>
    </row>
    <row r="698" ht="20.25" spans="1:11">
      <c r="A698" s="359"/>
      <c r="B698" s="359"/>
      <c r="C698" s="359"/>
      <c r="D698" s="359"/>
      <c r="E698" s="359"/>
      <c r="F698" s="359"/>
      <c r="G698" s="359"/>
      <c r="H698" s="359"/>
      <c r="I698" s="359"/>
      <c r="J698" s="359"/>
      <c r="K698" s="359"/>
    </row>
    <row r="699" ht="20.25" spans="1:11">
      <c r="A699" s="359"/>
      <c r="B699" s="359"/>
      <c r="C699" s="359"/>
      <c r="D699" s="359"/>
      <c r="E699" s="359"/>
      <c r="F699" s="359"/>
      <c r="G699" s="359"/>
      <c r="H699" s="359"/>
      <c r="I699" s="359"/>
      <c r="J699" s="359"/>
      <c r="K699" s="359"/>
    </row>
    <row r="700" ht="20.25" spans="1:11">
      <c r="A700" s="359"/>
      <c r="B700" s="359"/>
      <c r="C700" s="359"/>
      <c r="D700" s="359"/>
      <c r="E700" s="359"/>
      <c r="F700" s="359"/>
      <c r="G700" s="359"/>
      <c r="H700" s="359"/>
      <c r="I700" s="359"/>
      <c r="J700" s="359"/>
      <c r="K700" s="359"/>
    </row>
    <row r="701" ht="20.25" spans="1:11">
      <c r="A701" s="359"/>
      <c r="B701" s="359"/>
      <c r="C701" s="359"/>
      <c r="D701" s="359"/>
      <c r="E701" s="359"/>
      <c r="F701" s="359"/>
      <c r="G701" s="359"/>
      <c r="H701" s="359"/>
      <c r="I701" s="359"/>
      <c r="J701" s="359"/>
      <c r="K701" s="359"/>
    </row>
    <row r="702" ht="20.25" spans="1:11">
      <c r="A702" s="359"/>
      <c r="B702" s="359"/>
      <c r="C702" s="359"/>
      <c r="D702" s="359"/>
      <c r="E702" s="359"/>
      <c r="F702" s="359"/>
      <c r="G702" s="359"/>
      <c r="H702" s="359"/>
      <c r="I702" s="359"/>
      <c r="J702" s="359"/>
      <c r="K702" s="359"/>
    </row>
    <row r="703" ht="20.25" spans="1:11">
      <c r="A703" s="359"/>
      <c r="B703" s="359"/>
      <c r="C703" s="359"/>
      <c r="D703" s="359"/>
      <c r="E703" s="359"/>
      <c r="F703" s="359"/>
      <c r="G703" s="359"/>
      <c r="H703" s="359"/>
      <c r="I703" s="359"/>
      <c r="J703" s="359"/>
      <c r="K703" s="359"/>
    </row>
    <row r="704" ht="20.25" spans="1:11">
      <c r="A704" s="359"/>
      <c r="B704" s="359"/>
      <c r="C704" s="359"/>
      <c r="D704" s="359"/>
      <c r="E704" s="359"/>
      <c r="F704" s="359"/>
      <c r="G704" s="359"/>
      <c r="H704" s="359"/>
      <c r="I704" s="359"/>
      <c r="J704" s="359"/>
      <c r="K704" s="359"/>
    </row>
    <row r="705" ht="20.25" spans="1:11">
      <c r="A705" s="359"/>
      <c r="B705" s="359"/>
      <c r="C705" s="359"/>
      <c r="D705" s="359"/>
      <c r="E705" s="359"/>
      <c r="F705" s="359"/>
      <c r="G705" s="359"/>
      <c r="H705" s="359"/>
      <c r="I705" s="359"/>
      <c r="J705" s="359"/>
      <c r="K705" s="359"/>
    </row>
    <row r="706" ht="20.25" spans="1:11">
      <c r="A706" s="359"/>
      <c r="B706" s="359"/>
      <c r="C706" s="359"/>
      <c r="D706" s="359"/>
      <c r="E706" s="359"/>
      <c r="F706" s="359"/>
      <c r="G706" s="359"/>
      <c r="H706" s="359"/>
      <c r="I706" s="359"/>
      <c r="J706" s="359"/>
      <c r="K706" s="359"/>
    </row>
    <row r="707" ht="20.25" spans="1:11">
      <c r="A707" s="359"/>
      <c r="B707" s="359"/>
      <c r="C707" s="359"/>
      <c r="D707" s="359"/>
      <c r="E707" s="359"/>
      <c r="F707" s="359"/>
      <c r="G707" s="359"/>
      <c r="H707" s="359"/>
      <c r="I707" s="359"/>
      <c r="J707" s="359"/>
      <c r="K707" s="359"/>
    </row>
    <row r="708" ht="20.25" spans="1:11">
      <c r="A708" s="359"/>
      <c r="B708" s="359"/>
      <c r="C708" s="359"/>
      <c r="D708" s="359"/>
      <c r="E708" s="359"/>
      <c r="F708" s="359"/>
      <c r="G708" s="359"/>
      <c r="H708" s="359"/>
      <c r="I708" s="359"/>
      <c r="J708" s="359"/>
      <c r="K708" s="359"/>
    </row>
    <row r="709" ht="20.25" spans="1:11">
      <c r="A709" s="359"/>
      <c r="B709" s="359"/>
      <c r="C709" s="359"/>
      <c r="D709" s="359"/>
      <c r="E709" s="359"/>
      <c r="F709" s="359"/>
      <c r="G709" s="359"/>
      <c r="H709" s="359"/>
      <c r="I709" s="359"/>
      <c r="J709" s="359"/>
      <c r="K709" s="359"/>
    </row>
    <row r="710" ht="20.25" spans="1:11">
      <c r="A710" s="359"/>
      <c r="B710" s="359"/>
      <c r="C710" s="359"/>
      <c r="D710" s="359"/>
      <c r="E710" s="359"/>
      <c r="F710" s="359"/>
      <c r="G710" s="359"/>
      <c r="H710" s="359"/>
      <c r="I710" s="359"/>
      <c r="J710" s="359"/>
      <c r="K710" s="359"/>
    </row>
    <row r="711" ht="20.25" spans="1:11">
      <c r="A711" s="359"/>
      <c r="B711" s="359"/>
      <c r="C711" s="359"/>
      <c r="D711" s="359"/>
      <c r="E711" s="359"/>
      <c r="F711" s="359"/>
      <c r="G711" s="359"/>
      <c r="H711" s="359"/>
      <c r="I711" s="359"/>
      <c r="J711" s="359"/>
      <c r="K711" s="359"/>
    </row>
    <row r="712" ht="20.25" spans="1:11">
      <c r="A712" s="359"/>
      <c r="B712" s="359"/>
      <c r="C712" s="359"/>
      <c r="D712" s="359"/>
      <c r="E712" s="359"/>
      <c r="F712" s="359"/>
      <c r="G712" s="359"/>
      <c r="H712" s="359"/>
      <c r="I712" s="359"/>
      <c r="J712" s="359"/>
      <c r="K712" s="359"/>
    </row>
    <row r="713" ht="20.25" spans="1:11">
      <c r="A713" s="359"/>
      <c r="B713" s="359"/>
      <c r="C713" s="359"/>
      <c r="D713" s="359"/>
      <c r="E713" s="359"/>
      <c r="F713" s="359"/>
      <c r="G713" s="359"/>
      <c r="H713" s="359"/>
      <c r="I713" s="359"/>
      <c r="J713" s="359"/>
      <c r="K713" s="359"/>
    </row>
    <row r="714" ht="20.25" spans="1:11">
      <c r="A714" s="359"/>
      <c r="B714" s="359"/>
      <c r="C714" s="359"/>
      <c r="D714" s="359"/>
      <c r="E714" s="359"/>
      <c r="F714" s="359"/>
      <c r="G714" s="359"/>
      <c r="H714" s="359"/>
      <c r="I714" s="359"/>
      <c r="J714" s="359"/>
      <c r="K714" s="359"/>
    </row>
    <row r="715" ht="20.25" spans="1:11">
      <c r="A715" s="359"/>
      <c r="B715" s="359"/>
      <c r="C715" s="359"/>
      <c r="D715" s="359"/>
      <c r="E715" s="359"/>
      <c r="F715" s="359"/>
      <c r="G715" s="359"/>
      <c r="H715" s="359"/>
      <c r="I715" s="359"/>
      <c r="J715" s="359"/>
      <c r="K715" s="359"/>
    </row>
    <row r="716" ht="20.25" spans="1:11">
      <c r="A716" s="359"/>
      <c r="B716" s="359"/>
      <c r="C716" s="359"/>
      <c r="D716" s="359"/>
      <c r="E716" s="359"/>
      <c r="F716" s="359"/>
      <c r="G716" s="359"/>
      <c r="H716" s="359"/>
      <c r="I716" s="359"/>
      <c r="J716" s="359"/>
      <c r="K716" s="359"/>
    </row>
    <row r="717" ht="20.25" spans="1:11">
      <c r="A717" s="359"/>
      <c r="B717" s="359"/>
      <c r="C717" s="359"/>
      <c r="D717" s="359"/>
      <c r="E717" s="359"/>
      <c r="F717" s="359"/>
      <c r="G717" s="359"/>
      <c r="H717" s="359"/>
      <c r="I717" s="359"/>
      <c r="J717" s="359"/>
      <c r="K717" s="359"/>
    </row>
    <row r="718" ht="20.25" spans="1:11">
      <c r="A718" s="359"/>
      <c r="B718" s="359"/>
      <c r="C718" s="359"/>
      <c r="D718" s="359"/>
      <c r="E718" s="359"/>
      <c r="F718" s="359"/>
      <c r="G718" s="359"/>
      <c r="H718" s="359"/>
      <c r="I718" s="359"/>
      <c r="J718" s="359"/>
      <c r="K718" s="359"/>
    </row>
    <row r="719" ht="20.25" spans="1:11">
      <c r="A719" s="359"/>
      <c r="B719" s="359"/>
      <c r="C719" s="359"/>
      <c r="D719" s="359"/>
      <c r="E719" s="359"/>
      <c r="F719" s="359"/>
      <c r="G719" s="359"/>
      <c r="H719" s="359"/>
      <c r="I719" s="359"/>
      <c r="J719" s="359"/>
      <c r="K719" s="359"/>
    </row>
    <row r="720" ht="20.25" spans="1:11">
      <c r="A720" s="359"/>
      <c r="B720" s="359"/>
      <c r="C720" s="359"/>
      <c r="D720" s="359"/>
      <c r="E720" s="359"/>
      <c r="F720" s="359"/>
      <c r="G720" s="359"/>
      <c r="H720" s="359"/>
      <c r="I720" s="359"/>
      <c r="J720" s="359"/>
      <c r="K720" s="359"/>
    </row>
    <row r="721" ht="20.25" spans="1:11">
      <c r="A721" s="359"/>
      <c r="B721" s="359"/>
      <c r="C721" s="359"/>
      <c r="D721" s="359"/>
      <c r="E721" s="359"/>
      <c r="F721" s="359"/>
      <c r="G721" s="359"/>
      <c r="H721" s="359"/>
      <c r="I721" s="359"/>
      <c r="J721" s="359"/>
      <c r="K721" s="359"/>
    </row>
    <row r="722" ht="20.25" spans="1:11">
      <c r="A722" s="359"/>
      <c r="B722" s="359"/>
      <c r="C722" s="359"/>
      <c r="D722" s="359"/>
      <c r="E722" s="359"/>
      <c r="F722" s="359"/>
      <c r="G722" s="359"/>
      <c r="H722" s="359"/>
      <c r="I722" s="359"/>
      <c r="J722" s="359"/>
      <c r="K722" s="359"/>
    </row>
    <row r="723" ht="20.25" spans="1:11">
      <c r="A723" s="359"/>
      <c r="B723" s="359"/>
      <c r="C723" s="359"/>
      <c r="D723" s="359"/>
      <c r="E723" s="359"/>
      <c r="F723" s="359"/>
      <c r="G723" s="359"/>
      <c r="H723" s="359"/>
      <c r="I723" s="359"/>
      <c r="J723" s="359"/>
      <c r="K723" s="359"/>
    </row>
    <row r="724" ht="20.25" spans="1:11">
      <c r="A724" s="359"/>
      <c r="B724" s="359"/>
      <c r="C724" s="359"/>
      <c r="D724" s="359"/>
      <c r="E724" s="359"/>
      <c r="F724" s="359"/>
      <c r="G724" s="359"/>
      <c r="H724" s="359"/>
      <c r="I724" s="359"/>
      <c r="J724" s="359"/>
      <c r="K724" s="359"/>
    </row>
    <row r="725" ht="20.25" spans="1:11">
      <c r="A725" s="359"/>
      <c r="B725" s="359"/>
      <c r="C725" s="359"/>
      <c r="D725" s="359"/>
      <c r="E725" s="359"/>
      <c r="F725" s="359"/>
      <c r="G725" s="359"/>
      <c r="H725" s="359"/>
      <c r="I725" s="359"/>
      <c r="J725" s="359"/>
      <c r="K725" s="359"/>
    </row>
    <row r="726" ht="20.25" spans="1:11">
      <c r="A726" s="359"/>
      <c r="B726" s="359"/>
      <c r="C726" s="359"/>
      <c r="D726" s="359"/>
      <c r="E726" s="359"/>
      <c r="F726" s="359"/>
      <c r="G726" s="359"/>
      <c r="H726" s="359"/>
      <c r="I726" s="359"/>
      <c r="J726" s="359"/>
      <c r="K726" s="359"/>
    </row>
    <row r="727" ht="20.25" spans="1:11">
      <c r="A727" s="359"/>
      <c r="B727" s="359"/>
      <c r="C727" s="359"/>
      <c r="D727" s="359"/>
      <c r="E727" s="359"/>
      <c r="F727" s="359"/>
      <c r="G727" s="359"/>
      <c r="H727" s="359"/>
      <c r="I727" s="359"/>
      <c r="J727" s="359"/>
      <c r="K727" s="359"/>
    </row>
    <row r="728" ht="20.25" spans="1:11">
      <c r="A728" s="359"/>
      <c r="B728" s="359"/>
      <c r="C728" s="359"/>
      <c r="D728" s="359"/>
      <c r="E728" s="359"/>
      <c r="F728" s="359"/>
      <c r="G728" s="359"/>
      <c r="H728" s="359"/>
      <c r="I728" s="359"/>
      <c r="J728" s="359"/>
      <c r="K728" s="359"/>
    </row>
    <row r="729" ht="20.25" spans="1:11">
      <c r="A729" s="359"/>
      <c r="B729" s="359"/>
      <c r="C729" s="359"/>
      <c r="D729" s="359"/>
      <c r="E729" s="359"/>
      <c r="F729" s="359"/>
      <c r="G729" s="359"/>
      <c r="H729" s="359"/>
      <c r="I729" s="359"/>
      <c r="J729" s="359"/>
      <c r="K729" s="359"/>
    </row>
    <row r="730" ht="20.25" spans="1:11">
      <c r="A730" s="359"/>
      <c r="B730" s="359"/>
      <c r="C730" s="359"/>
      <c r="D730" s="359"/>
      <c r="E730" s="359"/>
      <c r="F730" s="359"/>
      <c r="G730" s="359"/>
      <c r="H730" s="359"/>
      <c r="I730" s="359"/>
      <c r="J730" s="359"/>
      <c r="K730" s="359"/>
    </row>
    <row r="731" ht="20.25" spans="1:11">
      <c r="A731" s="359"/>
      <c r="B731" s="359"/>
      <c r="C731" s="359"/>
      <c r="D731" s="359"/>
      <c r="E731" s="359"/>
      <c r="F731" s="359"/>
      <c r="G731" s="359"/>
      <c r="H731" s="359"/>
      <c r="I731" s="359"/>
      <c r="J731" s="359"/>
      <c r="K731" s="359"/>
    </row>
    <row r="732" ht="20.25" spans="1:11">
      <c r="A732" s="359"/>
      <c r="B732" s="359"/>
      <c r="C732" s="359"/>
      <c r="D732" s="359"/>
      <c r="E732" s="359"/>
      <c r="F732" s="359"/>
      <c r="G732" s="359"/>
      <c r="H732" s="359"/>
      <c r="I732" s="359"/>
      <c r="J732" s="359"/>
      <c r="K732" s="359"/>
    </row>
    <row r="733" ht="20.25" spans="1:11">
      <c r="A733" s="359"/>
      <c r="B733" s="359"/>
      <c r="C733" s="359"/>
      <c r="D733" s="359"/>
      <c r="E733" s="359"/>
      <c r="F733" s="359"/>
      <c r="G733" s="359"/>
      <c r="H733" s="359"/>
      <c r="I733" s="359"/>
      <c r="J733" s="359"/>
      <c r="K733" s="359"/>
    </row>
    <row r="734" ht="20.25" spans="1:11">
      <c r="A734" s="359"/>
      <c r="B734" s="359"/>
      <c r="C734" s="359"/>
      <c r="D734" s="359"/>
      <c r="E734" s="359"/>
      <c r="F734" s="359"/>
      <c r="G734" s="359"/>
      <c r="H734" s="359"/>
      <c r="I734" s="359"/>
      <c r="J734" s="359"/>
      <c r="K734" s="359"/>
    </row>
    <row r="735" ht="20.25" spans="1:11">
      <c r="A735" s="359"/>
      <c r="B735" s="359"/>
      <c r="C735" s="359"/>
      <c r="D735" s="359"/>
      <c r="E735" s="359"/>
      <c r="F735" s="359"/>
      <c r="G735" s="359"/>
      <c r="H735" s="359"/>
      <c r="I735" s="359"/>
      <c r="J735" s="359"/>
      <c r="K735" s="359"/>
    </row>
    <row r="736" ht="20.25" spans="1:11">
      <c r="A736" s="359"/>
      <c r="B736" s="359"/>
      <c r="C736" s="359"/>
      <c r="D736" s="359"/>
      <c r="E736" s="359"/>
      <c r="F736" s="359"/>
      <c r="G736" s="359"/>
      <c r="H736" s="359"/>
      <c r="I736" s="359"/>
      <c r="J736" s="359"/>
      <c r="K736" s="359"/>
    </row>
    <row r="737" ht="20.25" spans="1:11">
      <c r="A737" s="359"/>
      <c r="B737" s="359"/>
      <c r="C737" s="359"/>
      <c r="D737" s="359"/>
      <c r="E737" s="359"/>
      <c r="F737" s="359"/>
      <c r="G737" s="359"/>
      <c r="H737" s="359"/>
      <c r="I737" s="359"/>
      <c r="J737" s="359"/>
      <c r="K737" s="359"/>
    </row>
    <row r="738" ht="20.25" spans="1:11">
      <c r="A738" s="359"/>
      <c r="B738" s="359"/>
      <c r="C738" s="359"/>
      <c r="D738" s="359"/>
      <c r="E738" s="359"/>
      <c r="F738" s="359"/>
      <c r="G738" s="359"/>
      <c r="H738" s="359"/>
      <c r="I738" s="359"/>
      <c r="J738" s="359"/>
      <c r="K738" s="359"/>
    </row>
    <row r="739" ht="20.25" spans="1:11">
      <c r="A739" s="359"/>
      <c r="B739" s="359"/>
      <c r="C739" s="359"/>
      <c r="D739" s="359"/>
      <c r="E739" s="359"/>
      <c r="F739" s="359"/>
      <c r="G739" s="359"/>
      <c r="H739" s="359"/>
      <c r="I739" s="359"/>
      <c r="J739" s="359"/>
      <c r="K739" s="359"/>
    </row>
    <row r="740" ht="20.25" spans="1:11">
      <c r="A740" s="359"/>
      <c r="B740" s="359"/>
      <c r="C740" s="359"/>
      <c r="D740" s="359"/>
      <c r="E740" s="359"/>
      <c r="F740" s="359"/>
      <c r="G740" s="359"/>
      <c r="H740" s="359"/>
      <c r="I740" s="359"/>
      <c r="J740" s="359"/>
      <c r="K740" s="359"/>
    </row>
    <row r="741" ht="20.25" spans="1:11">
      <c r="A741" s="359"/>
      <c r="B741" s="359"/>
      <c r="C741" s="359"/>
      <c r="D741" s="359"/>
      <c r="E741" s="359"/>
      <c r="F741" s="359"/>
      <c r="G741" s="359"/>
      <c r="H741" s="359"/>
      <c r="I741" s="359"/>
      <c r="J741" s="359"/>
      <c r="K741" s="359"/>
    </row>
    <row r="742" ht="20.25" spans="1:11">
      <c r="A742" s="359"/>
      <c r="B742" s="359"/>
      <c r="C742" s="359"/>
      <c r="D742" s="359"/>
      <c r="E742" s="359"/>
      <c r="F742" s="359"/>
      <c r="G742" s="359"/>
      <c r="H742" s="359"/>
      <c r="I742" s="359"/>
      <c r="J742" s="359"/>
      <c r="K742" s="359"/>
    </row>
    <row r="743" ht="20.25" spans="1:11">
      <c r="A743" s="359"/>
      <c r="B743" s="359"/>
      <c r="C743" s="359"/>
      <c r="D743" s="359"/>
      <c r="E743" s="359"/>
      <c r="F743" s="359"/>
      <c r="G743" s="359"/>
      <c r="H743" s="359"/>
      <c r="I743" s="359"/>
      <c r="J743" s="359"/>
      <c r="K743" s="359"/>
    </row>
    <row r="744" ht="20.25" spans="1:11">
      <c r="A744" s="359"/>
      <c r="B744" s="359"/>
      <c r="C744" s="359"/>
      <c r="D744" s="359"/>
      <c r="E744" s="359"/>
      <c r="F744" s="359"/>
      <c r="G744" s="359"/>
      <c r="H744" s="359"/>
      <c r="I744" s="359"/>
      <c r="J744" s="359"/>
      <c r="K744" s="359"/>
    </row>
    <row r="745" ht="20.25" spans="1:11">
      <c r="A745" s="359"/>
      <c r="B745" s="359"/>
      <c r="C745" s="359"/>
      <c r="D745" s="359"/>
      <c r="E745" s="359"/>
      <c r="F745" s="359"/>
      <c r="G745" s="359"/>
      <c r="H745" s="359"/>
      <c r="I745" s="359"/>
      <c r="J745" s="359"/>
      <c r="K745" s="359"/>
    </row>
    <row r="746" ht="20.25" spans="1:11">
      <c r="A746" s="359"/>
      <c r="B746" s="359"/>
      <c r="C746" s="359"/>
      <c r="D746" s="359"/>
      <c r="E746" s="359"/>
      <c r="F746" s="359"/>
      <c r="G746" s="359"/>
      <c r="H746" s="359"/>
      <c r="I746" s="359"/>
      <c r="J746" s="359"/>
      <c r="K746" s="359"/>
    </row>
    <row r="747" ht="20.25" spans="1:11">
      <c r="A747" s="359"/>
      <c r="B747" s="359"/>
      <c r="C747" s="359"/>
      <c r="D747" s="359"/>
      <c r="E747" s="359"/>
      <c r="F747" s="359"/>
      <c r="G747" s="359"/>
      <c r="H747" s="359"/>
      <c r="I747" s="359"/>
      <c r="J747" s="359"/>
      <c r="K747" s="359"/>
    </row>
    <row r="748" ht="20.25" spans="1:11">
      <c r="A748" s="359"/>
      <c r="B748" s="359"/>
      <c r="C748" s="359"/>
      <c r="D748" s="359"/>
      <c r="E748" s="359"/>
      <c r="F748" s="359"/>
      <c r="G748" s="359"/>
      <c r="H748" s="359"/>
      <c r="I748" s="359"/>
      <c r="J748" s="359"/>
      <c r="K748" s="359"/>
    </row>
    <row r="749" ht="20.25" spans="1:11">
      <c r="A749" s="359"/>
      <c r="B749" s="359"/>
      <c r="C749" s="359"/>
      <c r="D749" s="359"/>
      <c r="E749" s="359"/>
      <c r="F749" s="359"/>
      <c r="G749" s="359"/>
      <c r="H749" s="359"/>
      <c r="I749" s="359"/>
      <c r="J749" s="359"/>
      <c r="K749" s="359"/>
    </row>
    <row r="750" ht="20.25" spans="1:11">
      <c r="A750" s="359"/>
      <c r="B750" s="359"/>
      <c r="C750" s="359"/>
      <c r="D750" s="359"/>
      <c r="E750" s="359"/>
      <c r="F750" s="359"/>
      <c r="G750" s="359"/>
      <c r="H750" s="359"/>
      <c r="I750" s="359"/>
      <c r="J750" s="359"/>
      <c r="K750" s="359"/>
    </row>
    <row r="751" ht="20.25" spans="1:11">
      <c r="A751" s="359"/>
      <c r="B751" s="359"/>
      <c r="C751" s="359"/>
      <c r="D751" s="359"/>
      <c r="E751" s="359"/>
      <c r="F751" s="359"/>
      <c r="G751" s="359"/>
      <c r="H751" s="359"/>
      <c r="I751" s="359"/>
      <c r="J751" s="359"/>
      <c r="K751" s="359"/>
    </row>
    <row r="752" ht="20.25" spans="1:11">
      <c r="A752" s="359"/>
      <c r="B752" s="359"/>
      <c r="C752" s="359"/>
      <c r="D752" s="359"/>
      <c r="E752" s="359"/>
      <c r="F752" s="359"/>
      <c r="G752" s="359"/>
      <c r="H752" s="359"/>
      <c r="I752" s="359"/>
      <c r="J752" s="359"/>
      <c r="K752" s="359"/>
    </row>
    <row r="753" ht="20.25" spans="1:11">
      <c r="A753" s="359"/>
      <c r="B753" s="359"/>
      <c r="C753" s="359"/>
      <c r="D753" s="359"/>
      <c r="E753" s="359"/>
      <c r="F753" s="359"/>
      <c r="G753" s="359"/>
      <c r="H753" s="359"/>
      <c r="I753" s="359"/>
      <c r="J753" s="359"/>
      <c r="K753" s="359"/>
    </row>
    <row r="754" ht="20.25" spans="1:11">
      <c r="A754" s="359"/>
      <c r="B754" s="359"/>
      <c r="C754" s="359"/>
      <c r="D754" s="359"/>
      <c r="E754" s="359"/>
      <c r="F754" s="359"/>
      <c r="G754" s="359"/>
      <c r="H754" s="359"/>
      <c r="I754" s="359"/>
      <c r="J754" s="359"/>
      <c r="K754" s="35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95" customWidth="1"/>
    <col min="4" max="4" width="6" style="95" customWidth="1"/>
    <col min="5" max="5" width="7.625" style="95" customWidth="1"/>
    <col min="6" max="6" width="9.375" style="95" customWidth="1"/>
    <col min="7" max="7" width="7.25" style="199" customWidth="1"/>
    <col min="8" max="8" width="7.5" style="95" customWidth="1"/>
    <col min="9" max="9" width="4.75" style="95" customWidth="1"/>
    <col min="10" max="10" width="5.625" style="95" customWidth="1"/>
    <col min="11" max="11" width="4.75" style="95" customWidth="1"/>
    <col min="12" max="12" width="13.125" style="95" customWidth="1"/>
    <col min="13" max="13" width="6.125" style="95" customWidth="1"/>
    <col min="14" max="14" width="4.25" style="95" customWidth="1"/>
    <col min="15" max="15" width="6.125" style="95" customWidth="1"/>
    <col min="16" max="16" width="7.875" style="199" customWidth="1"/>
    <col min="17" max="17" width="6.5" style="95" customWidth="1"/>
    <col min="18" max="18" width="4.75" style="95" customWidth="1"/>
    <col min="19" max="19" width="14.5" style="95" customWidth="1"/>
    <col min="20" max="20" width="10.375" style="95" customWidth="1"/>
    <col min="21" max="21" width="5.25" style="200" customWidth="1"/>
    <col min="22" max="22" width="4.875" style="200" customWidth="1"/>
    <col min="23" max="23" width="22" style="200" customWidth="1"/>
    <col min="24" max="24" width="9.5" style="95" customWidth="1"/>
    <col min="25" max="25" width="10.125" style="95" customWidth="1"/>
    <col min="26" max="26" width="10" style="95" customWidth="1"/>
    <col min="27" max="27" width="8.375" style="95" customWidth="1"/>
    <col min="28" max="28" width="21.25" style="102" customWidth="1"/>
    <col min="29" max="29" width="15.5" style="102" customWidth="1"/>
    <col min="30" max="30" width="20.25" style="102" customWidth="1"/>
    <col min="31" max="31" width="16.625" style="102" customWidth="1"/>
    <col min="32" max="33" width="11.375" style="102" customWidth="1"/>
    <col min="34" max="34" width="13.375" style="102" customWidth="1"/>
    <col min="35" max="35" width="11.375" style="200" customWidth="1"/>
    <col min="36" max="39" width="6.125" style="102" customWidth="1"/>
    <col min="40" max="42" width="6.125" style="95" customWidth="1"/>
    <col min="43" max="45" width="13.375" style="95" customWidth="1"/>
    <col min="46" max="51" width="6.125" style="95" customWidth="1"/>
    <col min="52" max="54" width="13.625" style="95" customWidth="1"/>
    <col min="55" max="60" width="6.125" style="95" customWidth="1"/>
    <col min="61" max="61" width="15.375" style="95" customWidth="1"/>
    <col min="62" max="64" width="6.125" style="95" customWidth="1"/>
    <col min="65" max="67" width="11" style="95" customWidth="1"/>
    <col min="68" max="74" width="6.125" style="95" customWidth="1"/>
    <col min="75" max="16384" width="9" style="95"/>
  </cols>
  <sheetData>
    <row r="1" ht="22.5" spans="1:20">
      <c r="A1" s="201" t="s">
        <v>1030</v>
      </c>
      <c r="B1" s="201"/>
      <c r="C1" s="201"/>
      <c r="D1" s="201"/>
      <c r="E1" s="201"/>
      <c r="F1" s="201"/>
      <c r="G1" s="201"/>
      <c r="H1" s="201"/>
      <c r="I1" s="201"/>
      <c r="J1" s="201"/>
      <c r="K1" s="201"/>
      <c r="L1" s="201"/>
      <c r="M1" s="201"/>
      <c r="N1" s="201"/>
      <c r="O1" s="201"/>
      <c r="P1" s="201"/>
      <c r="Q1" s="201"/>
      <c r="R1" s="272"/>
      <c r="S1" s="273" t="s">
        <v>1177</v>
      </c>
      <c r="T1" s="274" t="s">
        <v>1178</v>
      </c>
    </row>
    <row r="2" ht="20.1" customHeight="1" spans="1:74">
      <c r="A2" s="202" t="s">
        <v>411</v>
      </c>
      <c r="B2" s="202"/>
      <c r="C2" s="202"/>
      <c r="D2" s="202">
        <f>'作(5)'!C5</f>
        <v>0</v>
      </c>
      <c r="E2" s="202"/>
      <c r="F2" s="202"/>
      <c r="G2" s="202"/>
      <c r="H2" s="202"/>
      <c r="I2" s="202"/>
      <c r="J2" s="202"/>
      <c r="K2" s="202"/>
      <c r="L2" s="202"/>
      <c r="M2" s="202"/>
      <c r="N2" s="247" t="s">
        <v>946</v>
      </c>
      <c r="O2" s="247"/>
      <c r="P2" s="248">
        <f>实木!B5</f>
        <v>0</v>
      </c>
      <c r="Q2" s="248"/>
      <c r="T2" s="274" t="s">
        <v>1177</v>
      </c>
      <c r="AA2" s="298"/>
      <c r="AB2" s="299"/>
      <c r="AC2" s="299"/>
      <c r="AD2" s="299"/>
      <c r="AE2" s="299"/>
      <c r="AF2" s="299"/>
      <c r="AG2" s="299"/>
      <c r="AH2" s="299"/>
      <c r="AI2" s="299"/>
      <c r="AJ2" s="299"/>
      <c r="AK2" s="299"/>
      <c r="AL2" s="299"/>
      <c r="AM2" s="299"/>
      <c r="AN2" s="299"/>
      <c r="AO2" s="299"/>
      <c r="AP2" s="299"/>
      <c r="AQ2" s="298"/>
      <c r="AR2" s="298"/>
      <c r="AS2" s="298"/>
      <c r="AT2" s="298"/>
      <c r="AU2" s="298"/>
      <c r="AV2" s="298"/>
      <c r="AW2" s="298"/>
      <c r="AX2" s="298"/>
      <c r="AY2" s="298"/>
      <c r="AZ2" s="298" t="s">
        <v>1179</v>
      </c>
      <c r="BA2" s="298"/>
      <c r="BB2" s="298"/>
      <c r="BC2" s="298"/>
      <c r="BD2" s="298"/>
      <c r="BE2" s="298"/>
      <c r="BF2" s="298"/>
      <c r="BG2" s="298"/>
      <c r="BH2" s="298"/>
      <c r="BI2" s="298"/>
      <c r="BJ2" s="298"/>
      <c r="BK2" s="298"/>
      <c r="BL2" s="298"/>
      <c r="BM2" s="298" t="s">
        <v>1180</v>
      </c>
      <c r="BN2" s="298"/>
      <c r="BO2" s="298"/>
      <c r="BP2" s="298"/>
      <c r="BQ2" s="298"/>
      <c r="BR2" s="298"/>
      <c r="BS2" s="298"/>
      <c r="BT2" s="298"/>
      <c r="BU2" s="298"/>
      <c r="BV2" s="298"/>
    </row>
    <row r="3" ht="20.1" customHeight="1" spans="1:74">
      <c r="A3" s="203" t="s">
        <v>1</v>
      </c>
      <c r="B3" s="204"/>
      <c r="C3" s="204"/>
      <c r="D3" s="204">
        <f>'作(5)'!C4</f>
        <v>0</v>
      </c>
      <c r="E3" s="204"/>
      <c r="F3" s="204"/>
      <c r="G3" s="204"/>
      <c r="H3" s="204"/>
      <c r="I3" s="204"/>
      <c r="J3" s="204" t="s">
        <v>6</v>
      </c>
      <c r="K3" s="204"/>
      <c r="L3" s="249">
        <f>'作(5)'!H5</f>
        <v>0</v>
      </c>
      <c r="M3" s="249"/>
      <c r="N3" s="204" t="s">
        <v>761</v>
      </c>
      <c r="O3" s="204"/>
      <c r="P3" s="204" t="s">
        <v>1181</v>
      </c>
      <c r="Q3" s="275"/>
      <c r="T3" s="95" t="s">
        <v>1090</v>
      </c>
      <c r="AA3" s="300"/>
      <c r="AB3" s="301"/>
      <c r="AC3" s="301"/>
      <c r="AD3" s="301" t="s">
        <v>1182</v>
      </c>
      <c r="AE3" s="301" t="s">
        <v>1183</v>
      </c>
      <c r="AF3" s="302" t="s">
        <v>1184</v>
      </c>
      <c r="AG3" s="302"/>
      <c r="AH3" s="302"/>
      <c r="AI3" s="302"/>
      <c r="AJ3" s="302"/>
      <c r="AK3" s="302"/>
      <c r="AL3" s="302"/>
      <c r="AM3" s="302"/>
      <c r="AN3" s="302" t="s">
        <v>1185</v>
      </c>
      <c r="AO3" s="302" t="s">
        <v>1068</v>
      </c>
      <c r="AP3" s="302"/>
      <c r="AQ3" s="310" t="s">
        <v>1186</v>
      </c>
      <c r="AR3" s="310"/>
      <c r="AS3" s="310"/>
      <c r="AT3" s="310"/>
      <c r="AU3" s="310"/>
      <c r="AV3" s="310"/>
      <c r="AW3" s="311" t="s">
        <v>1185</v>
      </c>
      <c r="AX3" s="311" t="s">
        <v>1068</v>
      </c>
      <c r="AY3" s="310"/>
      <c r="AZ3" s="300" t="s">
        <v>1187</v>
      </c>
      <c r="BA3" s="300"/>
      <c r="BB3" s="300"/>
      <c r="BC3" s="300"/>
      <c r="BD3" s="300"/>
      <c r="BE3" s="300"/>
      <c r="BF3" s="300" t="s">
        <v>1185</v>
      </c>
      <c r="BG3" s="300"/>
      <c r="BH3" s="300"/>
      <c r="BI3" s="312" t="s">
        <v>1143</v>
      </c>
      <c r="BJ3" s="312" t="s">
        <v>1185</v>
      </c>
      <c r="BK3" s="312" t="s">
        <v>1068</v>
      </c>
      <c r="BL3" s="312"/>
      <c r="BM3" s="313" t="s">
        <v>1188</v>
      </c>
      <c r="BN3" s="313"/>
      <c r="BO3" s="313"/>
      <c r="BP3" s="313"/>
      <c r="BQ3" s="313"/>
      <c r="BR3" s="313"/>
      <c r="BS3" s="313"/>
      <c r="BT3" s="313"/>
      <c r="BU3" s="313"/>
      <c r="BV3" s="298" t="s">
        <v>1189</v>
      </c>
    </row>
    <row r="4" ht="20.1" customHeight="1" spans="1:76">
      <c r="A4" s="205" t="s">
        <v>1190</v>
      </c>
      <c r="B4" s="206"/>
      <c r="C4" s="206"/>
      <c r="D4" s="206">
        <f>'作(5)'!H4</f>
        <v>0</v>
      </c>
      <c r="E4" s="206"/>
      <c r="F4" s="206"/>
      <c r="G4" s="206"/>
      <c r="H4" s="206"/>
      <c r="I4" s="206"/>
      <c r="J4" s="206" t="s">
        <v>1159</v>
      </c>
      <c r="K4" s="206"/>
      <c r="L4" s="250">
        <f>'作(5)'!K5</f>
        <v>0</v>
      </c>
      <c r="M4" s="250"/>
      <c r="N4" s="206"/>
      <c r="O4" s="206"/>
      <c r="P4" s="206"/>
      <c r="Q4" s="276"/>
      <c r="R4" s="277"/>
      <c r="S4" s="278"/>
      <c r="T4" s="278"/>
      <c r="U4" s="94" t="s">
        <v>1156</v>
      </c>
      <c r="AA4" s="303" t="s">
        <v>1191</v>
      </c>
      <c r="AB4" s="303" t="s">
        <v>1156</v>
      </c>
      <c r="AC4" s="303" t="s">
        <v>1192</v>
      </c>
      <c r="AD4" s="303" t="s">
        <v>1193</v>
      </c>
      <c r="AE4" s="303" t="s">
        <v>1194</v>
      </c>
      <c r="AF4" s="304" t="s">
        <v>1195</v>
      </c>
      <c r="AG4" s="309" t="s">
        <v>1196</v>
      </c>
      <c r="AH4" s="309" t="s">
        <v>1197</v>
      </c>
      <c r="AI4" s="309" t="s">
        <v>1198</v>
      </c>
      <c r="AJ4" s="302">
        <v>1</v>
      </c>
      <c r="AK4" s="302">
        <v>0.5</v>
      </c>
      <c r="AL4" s="302">
        <v>2</v>
      </c>
      <c r="AM4" s="302">
        <v>0.15</v>
      </c>
      <c r="AN4" s="302">
        <v>50</v>
      </c>
      <c r="AO4" s="302">
        <v>1</v>
      </c>
      <c r="AP4" s="302">
        <f t="shared" ref="AP4:AP9" si="0">AN4*AO4</f>
        <v>50</v>
      </c>
      <c r="AQ4" s="310" t="s">
        <v>1199</v>
      </c>
      <c r="AR4" s="310" t="s">
        <v>1196</v>
      </c>
      <c r="AS4" s="310" t="s">
        <v>1197</v>
      </c>
      <c r="AT4" s="310">
        <v>1</v>
      </c>
      <c r="AU4" s="310">
        <v>0.5</v>
      </c>
      <c r="AV4" s="310">
        <v>1.2</v>
      </c>
      <c r="AW4" s="310">
        <v>290</v>
      </c>
      <c r="AX4" s="310">
        <v>1</v>
      </c>
      <c r="AY4" s="310">
        <f t="shared" ref="AY4:AY9" si="1">AW4*AX4</f>
        <v>290</v>
      </c>
      <c r="AZ4" s="300" t="s">
        <v>1200</v>
      </c>
      <c r="BA4" s="300" t="s">
        <v>1201</v>
      </c>
      <c r="BB4" s="300" t="s">
        <v>1202</v>
      </c>
      <c r="BC4" s="300">
        <v>1</v>
      </c>
      <c r="BD4" s="300">
        <v>0.5</v>
      </c>
      <c r="BE4" s="300">
        <v>0.5</v>
      </c>
      <c r="BF4" s="300">
        <v>285</v>
      </c>
      <c r="BG4" s="300">
        <v>3</v>
      </c>
      <c r="BH4" s="300">
        <f t="shared" ref="BH4:BH9" si="2">BF4*BG4</f>
        <v>855</v>
      </c>
      <c r="BI4" s="312" t="s">
        <v>1203</v>
      </c>
      <c r="BJ4" s="312">
        <v>35</v>
      </c>
      <c r="BK4" s="312">
        <v>2</v>
      </c>
      <c r="BL4" s="312">
        <f t="shared" ref="BL4:BL9" si="3">BJ4*BK4</f>
        <v>70</v>
      </c>
      <c r="BM4" s="313"/>
      <c r="BN4" s="313"/>
      <c r="BO4" s="313"/>
      <c r="BP4" s="313"/>
      <c r="BQ4" s="313"/>
      <c r="BR4" s="313"/>
      <c r="BS4" s="313" t="s">
        <v>1185</v>
      </c>
      <c r="BT4" s="313"/>
      <c r="BU4" s="313"/>
      <c r="BV4" s="298">
        <v>17</v>
      </c>
      <c r="BW4" s="95">
        <v>1</v>
      </c>
      <c r="BX4" s="95">
        <f>BV4*BW4</f>
        <v>17</v>
      </c>
    </row>
    <row r="5" ht="20.1" customHeight="1" spans="1:74">
      <c r="A5" s="203" t="s">
        <v>221</v>
      </c>
      <c r="B5" s="204" t="s">
        <v>22</v>
      </c>
      <c r="C5" s="204" t="s">
        <v>211</v>
      </c>
      <c r="D5" s="204"/>
      <c r="E5" s="204" t="s">
        <v>212</v>
      </c>
      <c r="F5" s="204"/>
      <c r="G5" s="207" t="s">
        <v>90</v>
      </c>
      <c r="H5" s="204" t="s">
        <v>26</v>
      </c>
      <c r="I5" s="203" t="s">
        <v>221</v>
      </c>
      <c r="J5" s="204" t="s">
        <v>22</v>
      </c>
      <c r="K5" s="204" t="s">
        <v>211</v>
      </c>
      <c r="L5" s="204"/>
      <c r="M5" s="204" t="s">
        <v>1033</v>
      </c>
      <c r="N5" s="204"/>
      <c r="O5" s="204"/>
      <c r="P5" s="251" t="s">
        <v>90</v>
      </c>
      <c r="Q5" s="275" t="s">
        <v>26</v>
      </c>
      <c r="R5" s="277"/>
      <c r="S5" s="278"/>
      <c r="T5" s="278"/>
      <c r="U5" s="94" t="s">
        <v>1161</v>
      </c>
      <c r="AA5" s="303" t="s">
        <v>1204</v>
      </c>
      <c r="AB5" s="303" t="s">
        <v>1158</v>
      </c>
      <c r="AC5" s="303" t="s">
        <v>1205</v>
      </c>
      <c r="AD5" s="303" t="s">
        <v>1206</v>
      </c>
      <c r="AE5" s="303" t="s">
        <v>1207</v>
      </c>
      <c r="AF5" s="304" t="s">
        <v>1195</v>
      </c>
      <c r="AG5" s="309" t="s">
        <v>1196</v>
      </c>
      <c r="AH5" s="309" t="s">
        <v>1197</v>
      </c>
      <c r="AI5" s="309" t="s">
        <v>1208</v>
      </c>
      <c r="AJ5" s="302">
        <v>1</v>
      </c>
      <c r="AK5" s="302">
        <v>0.5</v>
      </c>
      <c r="AL5" s="302">
        <v>2</v>
      </c>
      <c r="AM5" s="302">
        <v>0.15</v>
      </c>
      <c r="AN5" s="302">
        <v>280</v>
      </c>
      <c r="AO5" s="302">
        <v>1</v>
      </c>
      <c r="AP5" s="302">
        <f t="shared" si="0"/>
        <v>280</v>
      </c>
      <c r="AQ5" s="310" t="s">
        <v>1209</v>
      </c>
      <c r="AR5" s="310" t="s">
        <v>1210</v>
      </c>
      <c r="AS5" s="310" t="s">
        <v>1197</v>
      </c>
      <c r="AT5" s="310">
        <v>1</v>
      </c>
      <c r="AU5" s="310">
        <v>0.5</v>
      </c>
      <c r="AV5" s="310">
        <v>0.7</v>
      </c>
      <c r="AW5" s="310">
        <v>315</v>
      </c>
      <c r="AX5" s="310">
        <v>1</v>
      </c>
      <c r="AY5" s="310">
        <f t="shared" si="1"/>
        <v>315</v>
      </c>
      <c r="AZ5" s="300" t="s">
        <v>1200</v>
      </c>
      <c r="BA5" s="300" t="s">
        <v>1201</v>
      </c>
      <c r="BB5" s="300" t="s">
        <v>1202</v>
      </c>
      <c r="BC5" s="300">
        <v>1</v>
      </c>
      <c r="BD5" s="300">
        <v>0.5</v>
      </c>
      <c r="BE5" s="300">
        <v>0.5</v>
      </c>
      <c r="BF5" s="300">
        <v>285</v>
      </c>
      <c r="BG5" s="300">
        <v>3</v>
      </c>
      <c r="BH5" s="300">
        <f t="shared" si="2"/>
        <v>855</v>
      </c>
      <c r="BI5" s="312" t="s">
        <v>1203</v>
      </c>
      <c r="BJ5" s="312">
        <v>35</v>
      </c>
      <c r="BK5" s="312">
        <v>4</v>
      </c>
      <c r="BL5" s="312">
        <f t="shared" si="3"/>
        <v>140</v>
      </c>
      <c r="BM5" s="313" t="s">
        <v>1200</v>
      </c>
      <c r="BN5" s="313" t="s">
        <v>1201</v>
      </c>
      <c r="BO5" s="313" t="s">
        <v>1202</v>
      </c>
      <c r="BP5" s="313">
        <v>1</v>
      </c>
      <c r="BQ5" s="313">
        <v>0.5</v>
      </c>
      <c r="BR5" s="313">
        <v>0.5</v>
      </c>
      <c r="BS5" s="313">
        <v>323</v>
      </c>
      <c r="BT5" s="313">
        <v>1</v>
      </c>
      <c r="BU5" s="313">
        <f>BS5*BT5</f>
        <v>323</v>
      </c>
      <c r="BV5" s="298"/>
    </row>
    <row r="6" ht="20.1" customHeight="1" spans="1:76">
      <c r="A6" s="208" t="s">
        <v>1088</v>
      </c>
      <c r="B6" s="209">
        <v>1</v>
      </c>
      <c r="C6" s="209" t="s">
        <v>1211</v>
      </c>
      <c r="D6" s="209"/>
      <c r="E6" s="209" t="str">
        <f>'作(5)'!J8</f>
        <v>18厚EO级素刨花板</v>
      </c>
      <c r="F6" s="209"/>
      <c r="G6" s="210">
        <f>'作(5)'!N38</f>
        <v>0</v>
      </c>
      <c r="H6" s="209" t="s">
        <v>231</v>
      </c>
      <c r="I6" s="208" t="s">
        <v>170</v>
      </c>
      <c r="J6" s="209">
        <v>1</v>
      </c>
      <c r="K6" s="209" t="str">
        <f>VLOOKUP('作(5)'!F6,AB:AE,4,0)</f>
        <v>红樱桃木皮封边</v>
      </c>
      <c r="L6" s="209"/>
      <c r="M6" s="252">
        <v>1</v>
      </c>
      <c r="N6" s="253" t="s">
        <v>1212</v>
      </c>
      <c r="O6" s="229">
        <v>24</v>
      </c>
      <c r="P6" s="254">
        <f>'作(5)'!L38</f>
        <v>0</v>
      </c>
      <c r="Q6" s="279" t="s">
        <v>261</v>
      </c>
      <c r="U6" s="94" t="s">
        <v>1166</v>
      </c>
      <c r="AA6" s="303" t="s">
        <v>1204</v>
      </c>
      <c r="AB6" s="303" t="s">
        <v>1161</v>
      </c>
      <c r="AC6" s="303" t="s">
        <v>1213</v>
      </c>
      <c r="AD6" s="303" t="s">
        <v>1214</v>
      </c>
      <c r="AE6" s="303" t="s">
        <v>1215</v>
      </c>
      <c r="AF6" s="304" t="s">
        <v>1195</v>
      </c>
      <c r="AG6" s="309" t="s">
        <v>1196</v>
      </c>
      <c r="AH6" s="309" t="s">
        <v>1197</v>
      </c>
      <c r="AI6" s="309" t="s">
        <v>1216</v>
      </c>
      <c r="AJ6" s="302">
        <v>1</v>
      </c>
      <c r="AK6" s="302">
        <v>0.5</v>
      </c>
      <c r="AL6" s="302">
        <v>2</v>
      </c>
      <c r="AM6" s="302">
        <v>0.15</v>
      </c>
      <c r="AN6" s="302">
        <v>50</v>
      </c>
      <c r="AO6" s="302">
        <v>1</v>
      </c>
      <c r="AP6" s="302">
        <f t="shared" si="0"/>
        <v>50</v>
      </c>
      <c r="AQ6" s="310" t="s">
        <v>1209</v>
      </c>
      <c r="AR6" s="310" t="s">
        <v>1210</v>
      </c>
      <c r="AS6" s="310" t="s">
        <v>1197</v>
      </c>
      <c r="AT6" s="310">
        <v>1</v>
      </c>
      <c r="AU6" s="310">
        <v>0.5</v>
      </c>
      <c r="AV6" s="310">
        <v>0.7</v>
      </c>
      <c r="AW6" s="310">
        <v>290</v>
      </c>
      <c r="AX6" s="310">
        <v>1</v>
      </c>
      <c r="AY6" s="310">
        <f t="shared" si="1"/>
        <v>290</v>
      </c>
      <c r="AZ6" s="300" t="s">
        <v>1200</v>
      </c>
      <c r="BA6" s="300" t="s">
        <v>1201</v>
      </c>
      <c r="BB6" s="300" t="s">
        <v>1202</v>
      </c>
      <c r="BC6" s="300">
        <v>1</v>
      </c>
      <c r="BD6" s="300">
        <v>0.5</v>
      </c>
      <c r="BE6" s="300">
        <v>0.5</v>
      </c>
      <c r="BF6" s="300">
        <v>285</v>
      </c>
      <c r="BG6" s="300">
        <v>3</v>
      </c>
      <c r="BH6" s="300">
        <f t="shared" si="2"/>
        <v>855</v>
      </c>
      <c r="BI6" s="312" t="s">
        <v>1203</v>
      </c>
      <c r="BJ6" s="312">
        <v>35</v>
      </c>
      <c r="BK6" s="312">
        <v>4</v>
      </c>
      <c r="BL6" s="312">
        <f t="shared" si="3"/>
        <v>140</v>
      </c>
      <c r="BM6" s="313"/>
      <c r="BN6" s="313"/>
      <c r="BO6" s="313"/>
      <c r="BP6" s="313"/>
      <c r="BQ6" s="313"/>
      <c r="BR6" s="313"/>
      <c r="BS6" s="313"/>
      <c r="BT6" s="313"/>
      <c r="BU6" s="313"/>
      <c r="BV6" s="298">
        <v>17</v>
      </c>
      <c r="BW6" s="95">
        <v>1</v>
      </c>
      <c r="BX6" s="95">
        <f>BV6*BW6</f>
        <v>17</v>
      </c>
    </row>
    <row r="7" ht="20.1" customHeight="1" spans="1:74">
      <c r="A7" s="208"/>
      <c r="B7" s="209">
        <v>2</v>
      </c>
      <c r="C7" s="209"/>
      <c r="D7" s="209"/>
      <c r="E7" s="209"/>
      <c r="F7" s="209"/>
      <c r="G7" s="210"/>
      <c r="H7" s="209"/>
      <c r="I7" s="208"/>
      <c r="J7" s="209">
        <v>2</v>
      </c>
      <c r="K7" s="209" t="str">
        <f>+K6</f>
        <v>红樱桃木皮封边</v>
      </c>
      <c r="L7" s="209"/>
      <c r="M7" s="252">
        <v>1</v>
      </c>
      <c r="N7" s="253" t="s">
        <v>1212</v>
      </c>
      <c r="O7" s="229">
        <v>56</v>
      </c>
      <c r="P7" s="254"/>
      <c r="Q7" s="279" t="s">
        <v>261</v>
      </c>
      <c r="AA7" s="303" t="s">
        <v>1204</v>
      </c>
      <c r="AB7" s="303" t="s">
        <v>1165</v>
      </c>
      <c r="AC7" s="303" t="s">
        <v>1213</v>
      </c>
      <c r="AD7" s="303" t="s">
        <v>1214</v>
      </c>
      <c r="AE7" s="303" t="s">
        <v>1217</v>
      </c>
      <c r="AF7" s="304" t="s">
        <v>1195</v>
      </c>
      <c r="AG7" s="309" t="s">
        <v>1196</v>
      </c>
      <c r="AH7" s="309" t="s">
        <v>1197</v>
      </c>
      <c r="AI7" s="309" t="s">
        <v>1216</v>
      </c>
      <c r="AJ7" s="302">
        <v>1</v>
      </c>
      <c r="AK7" s="302">
        <v>0.5</v>
      </c>
      <c r="AL7" s="302">
        <v>2</v>
      </c>
      <c r="AM7" s="302">
        <v>0.15</v>
      </c>
      <c r="AN7" s="302">
        <v>200</v>
      </c>
      <c r="AO7" s="302">
        <v>1</v>
      </c>
      <c r="AP7" s="302">
        <f t="shared" si="0"/>
        <v>200</v>
      </c>
      <c r="AQ7" s="310" t="s">
        <v>1209</v>
      </c>
      <c r="AR7" s="310" t="s">
        <v>1210</v>
      </c>
      <c r="AS7" s="310" t="s">
        <v>1197</v>
      </c>
      <c r="AT7" s="310">
        <v>1</v>
      </c>
      <c r="AU7" s="310">
        <v>0.5</v>
      </c>
      <c r="AV7" s="310">
        <v>0.7</v>
      </c>
      <c r="AW7" s="310">
        <v>315</v>
      </c>
      <c r="AX7" s="310">
        <v>1</v>
      </c>
      <c r="AY7" s="310">
        <f t="shared" si="1"/>
        <v>315</v>
      </c>
      <c r="AZ7" s="300" t="s">
        <v>1200</v>
      </c>
      <c r="BA7" s="300" t="s">
        <v>1201</v>
      </c>
      <c r="BB7" s="300" t="s">
        <v>1202</v>
      </c>
      <c r="BC7" s="300">
        <v>1</v>
      </c>
      <c r="BD7" s="300">
        <v>0.5</v>
      </c>
      <c r="BE7" s="300">
        <v>0.5</v>
      </c>
      <c r="BF7" s="300">
        <v>285</v>
      </c>
      <c r="BG7" s="300">
        <v>3</v>
      </c>
      <c r="BH7" s="300">
        <f t="shared" si="2"/>
        <v>855</v>
      </c>
      <c r="BI7" s="312" t="s">
        <v>1203</v>
      </c>
      <c r="BJ7" s="312">
        <v>35</v>
      </c>
      <c r="BK7" s="312">
        <v>4</v>
      </c>
      <c r="BL7" s="312">
        <f t="shared" si="3"/>
        <v>140</v>
      </c>
      <c r="BM7" s="313" t="s">
        <v>1200</v>
      </c>
      <c r="BN7" s="313" t="s">
        <v>1201</v>
      </c>
      <c r="BO7" s="313" t="s">
        <v>1202</v>
      </c>
      <c r="BP7" s="313">
        <v>1</v>
      </c>
      <c r="BQ7" s="313">
        <v>0.5</v>
      </c>
      <c r="BR7" s="313">
        <v>0.5</v>
      </c>
      <c r="BS7" s="313">
        <v>323</v>
      </c>
      <c r="BT7" s="313">
        <v>1</v>
      </c>
      <c r="BU7" s="313">
        <f>BS7*BT7</f>
        <v>323</v>
      </c>
      <c r="BV7" s="298"/>
    </row>
    <row r="8" ht="20.1" customHeight="1" spans="1:74">
      <c r="A8" s="211" t="s">
        <v>1182</v>
      </c>
      <c r="B8" s="209">
        <v>1</v>
      </c>
      <c r="C8" s="209" t="str">
        <f>VLOOKUP('作(5)'!F6,AB:AC,2,0)</f>
        <v>樱桃山纹木皮</v>
      </c>
      <c r="D8" s="209"/>
      <c r="E8" s="209" t="str">
        <f>VLOOKUP('作(5)'!F6,AB:AD,3,0)</f>
        <v>樱桃山纹木皮0.5mm</v>
      </c>
      <c r="F8" s="209"/>
      <c r="G8" s="210">
        <f>'作(5)'!P38</f>
        <v>0</v>
      </c>
      <c r="H8" s="209" t="s">
        <v>52</v>
      </c>
      <c r="I8" s="208"/>
      <c r="J8" s="209">
        <v>3</v>
      </c>
      <c r="K8" s="209"/>
      <c r="L8" s="209"/>
      <c r="M8" s="209" t="s">
        <v>1218</v>
      </c>
      <c r="N8" s="209"/>
      <c r="O8" s="209"/>
      <c r="P8" s="255">
        <f>(0.024*P6*2)/0.6+(0.056*P7*2)/0.6</f>
        <v>0</v>
      </c>
      <c r="Q8" s="279" t="s">
        <v>52</v>
      </c>
      <c r="AA8" s="303" t="s">
        <v>1191</v>
      </c>
      <c r="AB8" s="303" t="s">
        <v>1166</v>
      </c>
      <c r="AC8" s="303" t="s">
        <v>1219</v>
      </c>
      <c r="AD8" s="303" t="s">
        <v>1220</v>
      </c>
      <c r="AE8" s="303" t="s">
        <v>1221</v>
      </c>
      <c r="AF8" s="304" t="s">
        <v>1195</v>
      </c>
      <c r="AG8" s="309" t="s">
        <v>1196</v>
      </c>
      <c r="AH8" s="309" t="s">
        <v>1197</v>
      </c>
      <c r="AI8" s="309" t="s">
        <v>1222</v>
      </c>
      <c r="AJ8" s="302">
        <v>1</v>
      </c>
      <c r="AK8" s="302">
        <v>0.5</v>
      </c>
      <c r="AL8" s="302">
        <v>2</v>
      </c>
      <c r="AM8" s="302">
        <v>0.15</v>
      </c>
      <c r="AN8" s="302">
        <v>280</v>
      </c>
      <c r="AO8" s="302">
        <v>1</v>
      </c>
      <c r="AP8" s="302">
        <f t="shared" si="0"/>
        <v>280</v>
      </c>
      <c r="AQ8" s="310" t="s">
        <v>1199</v>
      </c>
      <c r="AR8" s="310" t="s">
        <v>1196</v>
      </c>
      <c r="AS8" s="310" t="s">
        <v>1197</v>
      </c>
      <c r="AT8" s="310">
        <v>1</v>
      </c>
      <c r="AU8" s="310">
        <v>0.5</v>
      </c>
      <c r="AV8" s="310">
        <v>1.2</v>
      </c>
      <c r="AW8" s="310">
        <v>315</v>
      </c>
      <c r="AX8" s="310">
        <v>1</v>
      </c>
      <c r="AY8" s="310">
        <f t="shared" si="1"/>
        <v>315</v>
      </c>
      <c r="AZ8" s="300" t="s">
        <v>1200</v>
      </c>
      <c r="BA8" s="300" t="s">
        <v>1201</v>
      </c>
      <c r="BB8" s="300" t="s">
        <v>1202</v>
      </c>
      <c r="BC8" s="300">
        <v>1</v>
      </c>
      <c r="BD8" s="300">
        <v>0.5</v>
      </c>
      <c r="BE8" s="300">
        <v>0.8</v>
      </c>
      <c r="BF8" s="300">
        <v>238</v>
      </c>
      <c r="BG8" s="300">
        <v>2</v>
      </c>
      <c r="BH8" s="300">
        <f t="shared" si="2"/>
        <v>476</v>
      </c>
      <c r="BI8" s="312" t="s">
        <v>1203</v>
      </c>
      <c r="BJ8" s="312">
        <v>35</v>
      </c>
      <c r="BK8" s="312">
        <v>2</v>
      </c>
      <c r="BL8" s="312">
        <f t="shared" si="3"/>
        <v>70</v>
      </c>
      <c r="BM8" s="313"/>
      <c r="BN8" s="313"/>
      <c r="BO8" s="313"/>
      <c r="BP8" s="313"/>
      <c r="BQ8" s="313"/>
      <c r="BR8" s="313"/>
      <c r="BS8" s="313"/>
      <c r="BT8" s="313"/>
      <c r="BU8" s="313"/>
      <c r="BV8" s="298"/>
    </row>
    <row r="9" ht="20.1" customHeight="1" spans="1:74">
      <c r="A9" s="212"/>
      <c r="B9" s="209"/>
      <c r="C9" s="209"/>
      <c r="D9" s="209"/>
      <c r="E9" s="209"/>
      <c r="F9" s="209"/>
      <c r="G9" s="210"/>
      <c r="H9" s="209"/>
      <c r="I9" s="208" t="s">
        <v>1223</v>
      </c>
      <c r="J9" s="209">
        <v>4</v>
      </c>
      <c r="K9" s="209" t="s">
        <v>1100</v>
      </c>
      <c r="L9" s="209"/>
      <c r="M9" s="209" t="s">
        <v>1224</v>
      </c>
      <c r="N9" s="209"/>
      <c r="O9" s="209"/>
      <c r="P9" s="255">
        <f>P6*4.1+P7*10.5</f>
        <v>0</v>
      </c>
      <c r="Q9" s="279" t="s">
        <v>279</v>
      </c>
      <c r="AA9" s="303" t="s">
        <v>1191</v>
      </c>
      <c r="AB9" s="303" t="s">
        <v>1169</v>
      </c>
      <c r="AC9" s="303" t="s">
        <v>1225</v>
      </c>
      <c r="AD9" s="303" t="s">
        <v>1226</v>
      </c>
      <c r="AE9" s="303" t="s">
        <v>1227</v>
      </c>
      <c r="AF9" s="304" t="s">
        <v>1195</v>
      </c>
      <c r="AG9" s="309" t="s">
        <v>1196</v>
      </c>
      <c r="AH9" s="309" t="s">
        <v>1197</v>
      </c>
      <c r="AI9" s="309" t="s">
        <v>1198</v>
      </c>
      <c r="AJ9" s="302">
        <v>1</v>
      </c>
      <c r="AK9" s="302">
        <v>0.5</v>
      </c>
      <c r="AL9" s="302">
        <v>2</v>
      </c>
      <c r="AM9" s="302">
        <v>0.15</v>
      </c>
      <c r="AN9" s="302">
        <v>280</v>
      </c>
      <c r="AO9" s="302">
        <v>1</v>
      </c>
      <c r="AP9" s="302">
        <f t="shared" si="0"/>
        <v>280</v>
      </c>
      <c r="AQ9" s="310" t="s">
        <v>1199</v>
      </c>
      <c r="AR9" s="310" t="s">
        <v>1196</v>
      </c>
      <c r="AS9" s="310" t="s">
        <v>1197</v>
      </c>
      <c r="AT9" s="310">
        <v>1</v>
      </c>
      <c r="AU9" s="310">
        <v>0.5</v>
      </c>
      <c r="AV9" s="310">
        <v>1.2</v>
      </c>
      <c r="AW9" s="310">
        <v>315</v>
      </c>
      <c r="AX9" s="310">
        <v>1</v>
      </c>
      <c r="AY9" s="310">
        <f t="shared" si="1"/>
        <v>315</v>
      </c>
      <c r="AZ9" s="300" t="s">
        <v>1200</v>
      </c>
      <c r="BA9" s="300" t="s">
        <v>1201</v>
      </c>
      <c r="BB9" s="300" t="s">
        <v>1202</v>
      </c>
      <c r="BC9" s="300">
        <v>1</v>
      </c>
      <c r="BD9" s="300">
        <v>0.5</v>
      </c>
      <c r="BE9" s="300">
        <v>0.5</v>
      </c>
      <c r="BF9" s="300">
        <v>285</v>
      </c>
      <c r="BG9" s="300">
        <v>3</v>
      </c>
      <c r="BH9" s="300">
        <f t="shared" si="2"/>
        <v>855</v>
      </c>
      <c r="BI9" s="312" t="s">
        <v>1203</v>
      </c>
      <c r="BJ9" s="312">
        <v>35</v>
      </c>
      <c r="BK9" s="312">
        <v>4</v>
      </c>
      <c r="BL9" s="312">
        <f t="shared" si="3"/>
        <v>140</v>
      </c>
      <c r="BM9" s="313" t="s">
        <v>1200</v>
      </c>
      <c r="BN9" s="313" t="s">
        <v>1201</v>
      </c>
      <c r="BO9" s="313" t="s">
        <v>1202</v>
      </c>
      <c r="BP9" s="313">
        <v>1</v>
      </c>
      <c r="BQ9" s="313">
        <v>0.5</v>
      </c>
      <c r="BR9" s="313">
        <v>0.5</v>
      </c>
      <c r="BS9" s="313">
        <v>323</v>
      </c>
      <c r="BT9" s="313">
        <v>1</v>
      </c>
      <c r="BU9" s="313">
        <f>BS9*BT9</f>
        <v>323</v>
      </c>
      <c r="BV9" s="298"/>
    </row>
    <row r="10" ht="20.1" customHeight="1" spans="1:17">
      <c r="A10" s="212" t="s">
        <v>209</v>
      </c>
      <c r="B10" s="209">
        <v>1</v>
      </c>
      <c r="C10" s="209" t="s">
        <v>209</v>
      </c>
      <c r="D10" s="209"/>
      <c r="E10" s="209" t="s">
        <v>1228</v>
      </c>
      <c r="F10" s="209"/>
      <c r="G10" s="210"/>
      <c r="H10" s="209" t="s">
        <v>261</v>
      </c>
      <c r="I10" s="208"/>
      <c r="J10" s="209">
        <v>5</v>
      </c>
      <c r="K10" s="209" t="s">
        <v>1100</v>
      </c>
      <c r="L10" s="209"/>
      <c r="M10" s="209" t="s">
        <v>1229</v>
      </c>
      <c r="N10" s="209"/>
      <c r="O10" s="209"/>
      <c r="P10" s="255"/>
      <c r="Q10" s="279" t="s">
        <v>279</v>
      </c>
    </row>
    <row r="11" ht="20.1" customHeight="1" spans="1:17">
      <c r="A11" s="213"/>
      <c r="B11" s="209">
        <v>2</v>
      </c>
      <c r="C11" s="209" t="s">
        <v>1039</v>
      </c>
      <c r="D11" s="209"/>
      <c r="E11" s="209"/>
      <c r="F11" s="209"/>
      <c r="G11" s="210"/>
      <c r="H11" s="209" t="s">
        <v>439</v>
      </c>
      <c r="I11" s="208"/>
      <c r="J11" s="209">
        <v>6</v>
      </c>
      <c r="K11" s="209" t="s">
        <v>1230</v>
      </c>
      <c r="L11" s="209"/>
      <c r="M11" s="209" t="s">
        <v>1231</v>
      </c>
      <c r="N11" s="209"/>
      <c r="O11" s="209"/>
      <c r="P11" s="255">
        <f>G8*120</f>
        <v>0</v>
      </c>
      <c r="Q11" s="279" t="s">
        <v>279</v>
      </c>
    </row>
    <row r="12" ht="20.1" customHeight="1" spans="1:17">
      <c r="A12" s="211" t="s">
        <v>1102</v>
      </c>
      <c r="B12" s="209">
        <v>1</v>
      </c>
      <c r="C12" s="214" t="s">
        <v>1232</v>
      </c>
      <c r="D12" s="215"/>
      <c r="E12" s="216" t="s">
        <v>1233</v>
      </c>
      <c r="F12" s="216"/>
      <c r="G12" s="217">
        <f>30*$V$32/1000</f>
        <v>0</v>
      </c>
      <c r="H12" s="216" t="s">
        <v>1105</v>
      </c>
      <c r="I12" s="256"/>
      <c r="J12" s="209"/>
      <c r="K12" s="209"/>
      <c r="L12" s="209"/>
      <c r="M12" s="209"/>
      <c r="N12" s="209"/>
      <c r="O12" s="209"/>
      <c r="P12" s="255"/>
      <c r="Q12" s="279"/>
    </row>
    <row r="13" ht="20.1" customHeight="1" spans="1:17">
      <c r="A13" s="212"/>
      <c r="B13" s="209">
        <v>2</v>
      </c>
      <c r="C13" s="218"/>
      <c r="D13" s="219"/>
      <c r="E13" s="216" t="s">
        <v>1146</v>
      </c>
      <c r="F13" s="216"/>
      <c r="G13" s="217">
        <f>25*$V$32/1000</f>
        <v>0</v>
      </c>
      <c r="H13" s="216" t="s">
        <v>1105</v>
      </c>
      <c r="I13" s="256"/>
      <c r="J13" s="209"/>
      <c r="K13" s="209"/>
      <c r="L13" s="209"/>
      <c r="M13" s="209"/>
      <c r="N13" s="209"/>
      <c r="O13" s="209"/>
      <c r="P13" s="255"/>
      <c r="Q13" s="279"/>
    </row>
    <row r="14" ht="20.1" customHeight="1" spans="1:25">
      <c r="A14" s="212"/>
      <c r="B14" s="209">
        <v>3</v>
      </c>
      <c r="C14" s="220"/>
      <c r="D14" s="221"/>
      <c r="E14" s="216" t="s">
        <v>1234</v>
      </c>
      <c r="F14" s="216"/>
      <c r="G14" s="217">
        <f>35*$V$32/1000</f>
        <v>0</v>
      </c>
      <c r="H14" s="216" t="s">
        <v>1105</v>
      </c>
      <c r="I14" s="230"/>
      <c r="J14" s="209"/>
      <c r="K14" s="224"/>
      <c r="L14" s="229"/>
      <c r="M14" s="224"/>
      <c r="N14" s="253"/>
      <c r="O14" s="229"/>
      <c r="P14" s="255"/>
      <c r="Q14" s="279"/>
      <c r="T14" s="280" t="s">
        <v>1235</v>
      </c>
      <c r="U14" s="281"/>
      <c r="V14" s="281"/>
      <c r="W14" s="281"/>
      <c r="X14" s="281"/>
      <c r="Y14" s="305"/>
    </row>
    <row r="15" ht="20.1" customHeight="1" spans="1:25">
      <c r="A15" s="212"/>
      <c r="B15" s="209">
        <v>4</v>
      </c>
      <c r="C15" s="222" t="s">
        <v>1236</v>
      </c>
      <c r="D15" s="223"/>
      <c r="E15" s="209" t="str">
        <f>W15</f>
        <v>UA1832</v>
      </c>
      <c r="F15" s="209"/>
      <c r="G15" s="210">
        <f>Y15</f>
        <v>0</v>
      </c>
      <c r="H15" s="224" t="s">
        <v>1105</v>
      </c>
      <c r="I15" s="230"/>
      <c r="J15" s="209"/>
      <c r="K15" s="230"/>
      <c r="L15" s="230"/>
      <c r="M15" s="209"/>
      <c r="N15" s="209"/>
      <c r="O15" s="209"/>
      <c r="P15" s="255"/>
      <c r="Q15" s="279"/>
      <c r="T15" s="282" t="s">
        <v>1237</v>
      </c>
      <c r="U15" s="283">
        <v>50</v>
      </c>
      <c r="V15" s="282">
        <f>'作(5)'!L39</f>
        <v>0</v>
      </c>
      <c r="W15" s="284" t="s">
        <v>1238</v>
      </c>
      <c r="X15" s="284">
        <f>VLOOKUP('作(5)'!F6,AB:BC,28,0)</f>
        <v>1</v>
      </c>
      <c r="Y15" s="306">
        <f>U15*$V$15*X15/1000</f>
        <v>0</v>
      </c>
    </row>
    <row r="16" ht="20.1" customHeight="1" spans="1:25">
      <c r="A16" s="212"/>
      <c r="B16" s="209">
        <v>5</v>
      </c>
      <c r="C16" s="225"/>
      <c r="D16" s="226"/>
      <c r="E16" s="209" t="str">
        <f>W16</f>
        <v>UA4032</v>
      </c>
      <c r="F16" s="209"/>
      <c r="G16" s="210">
        <f>Y16</f>
        <v>0</v>
      </c>
      <c r="H16" s="224" t="s">
        <v>1105</v>
      </c>
      <c r="I16" s="230"/>
      <c r="J16" s="209"/>
      <c r="K16" s="257" t="s">
        <v>1239</v>
      </c>
      <c r="L16" s="258"/>
      <c r="M16" s="258"/>
      <c r="N16" s="258"/>
      <c r="O16" s="258"/>
      <c r="P16" s="259"/>
      <c r="Q16" s="279"/>
      <c r="T16" s="285"/>
      <c r="U16" s="283">
        <v>80</v>
      </c>
      <c r="V16" s="285"/>
      <c r="W16" s="284" t="s">
        <v>1240</v>
      </c>
      <c r="X16" s="284">
        <v>1</v>
      </c>
      <c r="Y16" s="306">
        <f>U16*$V$15*X16/1000</f>
        <v>0</v>
      </c>
    </row>
    <row r="17" ht="20.1" customHeight="1" spans="1:25">
      <c r="A17" s="212"/>
      <c r="B17" s="209">
        <v>6</v>
      </c>
      <c r="C17" s="225"/>
      <c r="D17" s="226"/>
      <c r="E17" s="209"/>
      <c r="F17" s="209"/>
      <c r="G17" s="210"/>
      <c r="H17" s="224"/>
      <c r="I17" s="230"/>
      <c r="J17" s="209"/>
      <c r="K17" s="260"/>
      <c r="L17" s="261"/>
      <c r="M17" s="261"/>
      <c r="N17" s="261"/>
      <c r="O17" s="261"/>
      <c r="P17" s="262"/>
      <c r="Q17" s="279"/>
      <c r="T17" s="286"/>
      <c r="U17" s="283"/>
      <c r="V17" s="286"/>
      <c r="W17" s="284"/>
      <c r="X17" s="284"/>
      <c r="Y17" s="306"/>
    </row>
    <row r="18" ht="20.1" customHeight="1" spans="1:25">
      <c r="A18" s="212"/>
      <c r="B18" s="209">
        <v>7</v>
      </c>
      <c r="C18" s="227"/>
      <c r="D18" s="228"/>
      <c r="E18" s="224"/>
      <c r="F18" s="229"/>
      <c r="G18" s="210"/>
      <c r="H18" s="224"/>
      <c r="I18" s="230"/>
      <c r="J18" s="209"/>
      <c r="K18" s="260"/>
      <c r="L18" s="261"/>
      <c r="M18" s="261"/>
      <c r="N18" s="261"/>
      <c r="O18" s="261"/>
      <c r="P18" s="262"/>
      <c r="Q18" s="279"/>
      <c r="T18" s="287"/>
      <c r="U18" s="287"/>
      <c r="V18" s="287"/>
      <c r="W18" s="288"/>
      <c r="X18" s="288"/>
      <c r="Y18" s="307"/>
    </row>
    <row r="19" ht="20.1" customHeight="1" spans="1:25">
      <c r="A19" s="212"/>
      <c r="B19" s="209">
        <v>8</v>
      </c>
      <c r="C19" s="222" t="s">
        <v>1241</v>
      </c>
      <c r="D19" s="223"/>
      <c r="E19" s="209" t="str">
        <f>+IF(OR('作(5)'!F6='料单 (5)'!U4,'作(5)'!F6='料单 (5)'!U5,'作(5)'!F6='料单 (5)'!U6),"",'料单 (5)'!W19)</f>
        <v>主剂PD3200</v>
      </c>
      <c r="F19" s="209"/>
      <c r="G19" s="210">
        <f>IF(E19="","",Y19)</f>
        <v>0</v>
      </c>
      <c r="H19" s="224" t="str">
        <f>IF(E19="","","千克")</f>
        <v>千克</v>
      </c>
      <c r="I19" s="230"/>
      <c r="J19" s="209"/>
      <c r="K19" s="260"/>
      <c r="L19" s="261"/>
      <c r="M19" s="261"/>
      <c r="N19" s="261"/>
      <c r="O19" s="261"/>
      <c r="P19" s="262"/>
      <c r="Q19" s="279"/>
      <c r="T19" s="282" t="str">
        <f>C19</f>
        <v>PU清底（手工喷涂）</v>
      </c>
      <c r="U19" s="282">
        <f>VLOOKUP('作(5)'!F6,AB:BU,46,0)</f>
        <v>323</v>
      </c>
      <c r="V19" s="282">
        <f>'作(5)'!O38</f>
        <v>0</v>
      </c>
      <c r="W19" s="284" t="str">
        <f>VLOOKUP('作(5)'!F6,AB:BM,38,0)</f>
        <v>主剂PD3200</v>
      </c>
      <c r="X19" s="284">
        <f>VLOOKUP('作(5)'!F6,AB:BP,41,0)</f>
        <v>1</v>
      </c>
      <c r="Y19" s="306">
        <f>V$19*(U$19/(X$19+X$20+X$21))*X19/1000</f>
        <v>0</v>
      </c>
    </row>
    <row r="20" ht="20.1" customHeight="1" spans="1:25">
      <c r="A20" s="212"/>
      <c r="B20" s="209">
        <v>9</v>
      </c>
      <c r="C20" s="225"/>
      <c r="D20" s="226"/>
      <c r="E20" s="209" t="str">
        <f>+IF(OR('作(5)'!F6='料单 (5)'!U4,'作(5)'!F6='料单 (5)'!U5,'作(5)'!F6='料单 (5)'!U6),"",'料单 (5)'!W20)</f>
        <v>固化剂PR66</v>
      </c>
      <c r="F20" s="209"/>
      <c r="G20" s="210">
        <f>IF(E20="","",Y20)</f>
        <v>0</v>
      </c>
      <c r="H20" s="224" t="str">
        <f>IF(E20="","","千克")</f>
        <v>千克</v>
      </c>
      <c r="I20" s="230"/>
      <c r="J20" s="209"/>
      <c r="K20" s="260"/>
      <c r="L20" s="261"/>
      <c r="M20" s="261"/>
      <c r="N20" s="261"/>
      <c r="O20" s="261"/>
      <c r="P20" s="262"/>
      <c r="Q20" s="279"/>
      <c r="T20" s="285"/>
      <c r="U20" s="285"/>
      <c r="V20" s="285"/>
      <c r="W20" s="284" t="str">
        <f>VLOOKUP('作(5)'!F6,AB:BN,39,0)</f>
        <v>固化剂PR66</v>
      </c>
      <c r="X20" s="284">
        <f>VLOOKUP('作(5)'!F6,AB:BQ,42,0)</f>
        <v>0.5</v>
      </c>
      <c r="Y20" s="306">
        <f>V$19*(U$19/(X$19+X$20+X$21))*X20/1000</f>
        <v>0</v>
      </c>
    </row>
    <row r="21" ht="20.1" customHeight="1" spans="1:25">
      <c r="A21" s="212"/>
      <c r="B21" s="209">
        <v>10</v>
      </c>
      <c r="C21" s="225"/>
      <c r="D21" s="226"/>
      <c r="E21" s="209" t="str">
        <f>+IF(OR('作(5)'!F6='料单 (5)'!U4,'作(5)'!F6='料单 (5)'!U5,'作(5)'!F6='料单 (5)'!U6),"",'料单 (5)'!W21)</f>
        <v>稀料PX705/PX707</v>
      </c>
      <c r="F21" s="209"/>
      <c r="G21" s="210">
        <f>IF(E21="","",IF(E22="",Y21,Y21/1.3*1))</f>
        <v>0</v>
      </c>
      <c r="H21" s="224" t="str">
        <f>IF(E21="","","千克")</f>
        <v>千克</v>
      </c>
      <c r="I21" s="230"/>
      <c r="J21" s="209"/>
      <c r="K21" s="260"/>
      <c r="L21" s="261"/>
      <c r="M21" s="261"/>
      <c r="N21" s="261"/>
      <c r="O21" s="261"/>
      <c r="P21" s="262"/>
      <c r="Q21" s="279"/>
      <c r="T21" s="286"/>
      <c r="U21" s="286"/>
      <c r="V21" s="286"/>
      <c r="W21" s="284" t="str">
        <f>VLOOKUP('作(5)'!F6,AB:BO,40,0)</f>
        <v>稀料PX705/PX707</v>
      </c>
      <c r="X21" s="284">
        <f>VLOOKUP('作(5)'!F6,AB:BR,43,0)</f>
        <v>0.5</v>
      </c>
      <c r="Y21" s="306">
        <f>V$19*(U$19/(X$19+X$20+X$21))*X21/1000</f>
        <v>0</v>
      </c>
    </row>
    <row r="22" ht="20.1" customHeight="1" spans="1:25">
      <c r="A22" s="212"/>
      <c r="B22" s="209">
        <v>11</v>
      </c>
      <c r="C22" s="227"/>
      <c r="D22" s="228"/>
      <c r="E22" s="209" t="str">
        <f>+IF(OR('作(5)'!F6='料单 (5)'!U4,'作(5)'!F6='料单 (5)'!U5,'作(5)'!F6='料单 (5)'!U6),"",'料单 (5)'!W22)</f>
        <v>慢干水PZ807</v>
      </c>
      <c r="F22" s="209"/>
      <c r="G22" s="210">
        <f>IF(E22="","",G21*0.3)</f>
        <v>0</v>
      </c>
      <c r="H22" s="224" t="str">
        <f>IF(E22="","","千克")</f>
        <v>千克</v>
      </c>
      <c r="I22" s="230"/>
      <c r="J22" s="209"/>
      <c r="K22" s="260"/>
      <c r="L22" s="261"/>
      <c r="M22" s="261"/>
      <c r="N22" s="261"/>
      <c r="O22" s="261"/>
      <c r="P22" s="262"/>
      <c r="Q22" s="279"/>
      <c r="T22" s="285"/>
      <c r="U22" s="285"/>
      <c r="V22" s="285"/>
      <c r="W22" s="284" t="str">
        <f>IF($S$1=$T$2,"慢干水PZ807","")</f>
        <v>慢干水PZ807</v>
      </c>
      <c r="X22" s="284"/>
      <c r="Y22" s="306">
        <f>IF(W22="","",Y21*0.34)</f>
        <v>0</v>
      </c>
    </row>
    <row r="23" ht="20.1" customHeight="1" spans="1:25">
      <c r="A23" s="212"/>
      <c r="B23" s="209">
        <v>12</v>
      </c>
      <c r="C23" s="222" t="s">
        <v>1242</v>
      </c>
      <c r="D23" s="223"/>
      <c r="E23" s="209" t="str">
        <f>W23</f>
        <v>主剂GT2024</v>
      </c>
      <c r="F23" s="209"/>
      <c r="G23" s="210">
        <f>Y23</f>
        <v>0</v>
      </c>
      <c r="H23" s="224" t="s">
        <v>1105</v>
      </c>
      <c r="I23" s="230"/>
      <c r="J23" s="209"/>
      <c r="K23" s="260"/>
      <c r="L23" s="261"/>
      <c r="M23" s="261"/>
      <c r="N23" s="261"/>
      <c r="O23" s="261"/>
      <c r="P23" s="262"/>
      <c r="Q23" s="279"/>
      <c r="T23" s="282" t="str">
        <f>C23</f>
        <v>修色 面漆</v>
      </c>
      <c r="U23" s="282">
        <f>VLOOKUP('作(5)'!F6,AB:AP,15,0)</f>
        <v>280</v>
      </c>
      <c r="V23" s="282">
        <f>+'作(5)'!K39</f>
        <v>0</v>
      </c>
      <c r="W23" s="284" t="str">
        <f>VLOOKUP('作(5)'!F6,AB:AF,5,0)</f>
        <v>主剂GT2024</v>
      </c>
      <c r="X23" s="284">
        <f>VLOOKUP('作(5)'!F6,AB:AJ,9,0)</f>
        <v>1</v>
      </c>
      <c r="Y23" s="306">
        <f>V$23*(U$23/(X$23+X$24+X$25+X26))*X23/1000</f>
        <v>0</v>
      </c>
    </row>
    <row r="24" ht="20.1" customHeight="1" spans="1:25">
      <c r="A24" s="212"/>
      <c r="B24" s="209">
        <v>13</v>
      </c>
      <c r="C24" s="225"/>
      <c r="D24" s="226"/>
      <c r="E24" s="209" t="str">
        <f>W24</f>
        <v>固化剂PR50</v>
      </c>
      <c r="F24" s="209"/>
      <c r="G24" s="210">
        <f>Y24</f>
        <v>0</v>
      </c>
      <c r="H24" s="224" t="s">
        <v>1105</v>
      </c>
      <c r="I24" s="230"/>
      <c r="J24" s="209"/>
      <c r="K24" s="263"/>
      <c r="L24" s="264"/>
      <c r="M24" s="264"/>
      <c r="N24" s="264"/>
      <c r="O24" s="264"/>
      <c r="P24" s="265"/>
      <c r="Q24" s="289"/>
      <c r="T24" s="285"/>
      <c r="U24" s="285"/>
      <c r="V24" s="285"/>
      <c r="W24" s="284" t="str">
        <f>VLOOKUP('作(5)'!F6,AB:AG,6,0)</f>
        <v>固化剂PR50</v>
      </c>
      <c r="X24" s="284">
        <f>VLOOKUP('作(5)'!F6,AB:AK,10,0)</f>
        <v>0.5</v>
      </c>
      <c r="Y24" s="306">
        <f>V$23*(U$23/(X$23+X$24+X$25+X26))*X24/1000</f>
        <v>0</v>
      </c>
    </row>
    <row r="25" ht="20.1" customHeight="1" spans="1:25">
      <c r="A25" s="212"/>
      <c r="B25" s="209">
        <v>14</v>
      </c>
      <c r="C25" s="225"/>
      <c r="D25" s="226"/>
      <c r="E25" s="209" t="str">
        <f>W25</f>
        <v>稀料PX903/PX904</v>
      </c>
      <c r="F25" s="209"/>
      <c r="G25" s="210">
        <f>IF(E27="",Y25,Y25/1.3*1)</f>
        <v>0</v>
      </c>
      <c r="H25" s="224" t="s">
        <v>1105</v>
      </c>
      <c r="I25" s="230"/>
      <c r="J25" s="209"/>
      <c r="K25" s="266"/>
      <c r="L25" s="256"/>
      <c r="M25" s="209"/>
      <c r="N25" s="209"/>
      <c r="O25" s="209"/>
      <c r="P25" s="255"/>
      <c r="Q25" s="279"/>
      <c r="T25" s="285"/>
      <c r="U25" s="285"/>
      <c r="V25" s="285"/>
      <c r="W25" s="284" t="str">
        <f>VLOOKUP('作(5)'!F6,AB:AH,7,0)</f>
        <v>稀料PX903/PX904</v>
      </c>
      <c r="X25" s="284">
        <f>VLOOKUP('作(5)'!F6,AB:AL,11,0)</f>
        <v>2</v>
      </c>
      <c r="Y25" s="306">
        <f>V$23*(U$23/(X$23+X$24+X$25+X26))*X25/1000</f>
        <v>0</v>
      </c>
    </row>
    <row r="26" ht="20.1" customHeight="1" spans="1:25">
      <c r="A26" s="212"/>
      <c r="B26" s="209">
        <v>15</v>
      </c>
      <c r="C26" s="225"/>
      <c r="D26" s="226"/>
      <c r="E26" s="224" t="str">
        <f>W26</f>
        <v>PBJ3992</v>
      </c>
      <c r="F26" s="229"/>
      <c r="G26" s="210">
        <f>+Y26</f>
        <v>0</v>
      </c>
      <c r="H26" s="224" t="s">
        <v>1105</v>
      </c>
      <c r="I26" s="230"/>
      <c r="J26" s="209"/>
      <c r="K26" s="266"/>
      <c r="L26" s="256"/>
      <c r="M26" s="209"/>
      <c r="N26" s="209"/>
      <c r="O26" s="209"/>
      <c r="P26" s="255"/>
      <c r="Q26" s="279"/>
      <c r="T26" s="285"/>
      <c r="U26" s="286"/>
      <c r="V26" s="285"/>
      <c r="W26" s="284" t="str">
        <f>VLOOKUP('作(5)'!F6,AB:AI,8,0)</f>
        <v>PBJ3992</v>
      </c>
      <c r="X26" s="284">
        <f>VLOOKUP('作(5)'!F6,AB:AM,12,0)</f>
        <v>0.15</v>
      </c>
      <c r="Y26" s="306">
        <f>V$23*(U$23/(X$23+X$24+X$25+X26))*X26/1000</f>
        <v>0</v>
      </c>
    </row>
    <row r="27" ht="20.1" customHeight="1" spans="1:25">
      <c r="A27" s="212"/>
      <c r="B27" s="209">
        <v>16</v>
      </c>
      <c r="C27" s="227"/>
      <c r="D27" s="228"/>
      <c r="E27" s="224" t="str">
        <f>IF($S$1=$T$2,"慢干水PZ807","")</f>
        <v>慢干水PZ807</v>
      </c>
      <c r="F27" s="229"/>
      <c r="G27" s="210">
        <f>IF(E27="","",G25*0.3)</f>
        <v>0</v>
      </c>
      <c r="H27" s="224" t="str">
        <f>IF(E27="","","千克")</f>
        <v>千克</v>
      </c>
      <c r="I27" s="230"/>
      <c r="J27" s="209"/>
      <c r="K27" s="230"/>
      <c r="L27" s="230"/>
      <c r="M27" s="209"/>
      <c r="N27" s="209"/>
      <c r="O27" s="209"/>
      <c r="P27" s="255"/>
      <c r="Q27" s="279"/>
      <c r="T27" s="286"/>
      <c r="U27" s="282"/>
      <c r="V27" s="282"/>
      <c r="W27" s="284" t="s">
        <v>1243</v>
      </c>
      <c r="X27" s="284"/>
      <c r="Y27" s="306"/>
    </row>
    <row r="28" ht="20.1" customHeight="1" spans="1:25">
      <c r="A28" s="212"/>
      <c r="B28" s="209">
        <v>17</v>
      </c>
      <c r="C28" s="230" t="s">
        <v>1244</v>
      </c>
      <c r="D28" s="230"/>
      <c r="E28" s="209" t="str">
        <f>W28</f>
        <v>主剂P86003</v>
      </c>
      <c r="F28" s="209"/>
      <c r="G28" s="210">
        <f>Y28</f>
        <v>0</v>
      </c>
      <c r="H28" s="209" t="s">
        <v>1105</v>
      </c>
      <c r="I28" s="211" t="s">
        <v>1102</v>
      </c>
      <c r="J28" s="209">
        <v>1</v>
      </c>
      <c r="K28" s="230" t="str">
        <f>+IF(OR('作(5)'!F6='料单 (5)'!U4,'作(5)'!F6='料单 (5)'!U5),"UV辊面","")</f>
        <v/>
      </c>
      <c r="L28" s="230"/>
      <c r="M28" s="209" t="str">
        <f>+IF(OR('作(5)'!F6='料单 (5)'!U4,'作(5)'!F6='料单 (5)'!U5),"主剂UA69225","")</f>
        <v/>
      </c>
      <c r="N28" s="209"/>
      <c r="O28" s="209"/>
      <c r="P28" s="255" t="str">
        <f>IF(M28="","",Y33)</f>
        <v/>
      </c>
      <c r="Q28" s="279" t="str">
        <f>IF(M28="","","千克")</f>
        <v/>
      </c>
      <c r="T28" s="290" t="str">
        <f>C28</f>
        <v>PU面漆（手工喷涂）</v>
      </c>
      <c r="U28" s="290">
        <f>VLOOKUP('作(5)'!F6,AB:AY,24,0)</f>
        <v>315</v>
      </c>
      <c r="V28" s="290">
        <f>+'作(5)'!K39</f>
        <v>0</v>
      </c>
      <c r="W28" s="291" t="str">
        <f>VLOOKUP('作(5)'!F6,AB:AQ,16,0)</f>
        <v>主剂P86003</v>
      </c>
      <c r="X28" s="291">
        <f>VLOOKUP('作(5)'!F6,AB:AJ,9,0)</f>
        <v>1</v>
      </c>
      <c r="Y28" s="295">
        <f>V$28*(U$28/(X$28+X$29+X$30))*X28/1000</f>
        <v>0</v>
      </c>
    </row>
    <row r="29" ht="20.1" customHeight="1" spans="1:25">
      <c r="A29" s="212"/>
      <c r="B29" s="209">
        <v>18</v>
      </c>
      <c r="C29" s="230"/>
      <c r="D29" s="230"/>
      <c r="E29" s="209" t="str">
        <f>W29</f>
        <v>固化剂PR86</v>
      </c>
      <c r="F29" s="209"/>
      <c r="G29" s="210">
        <f>Y29</f>
        <v>0</v>
      </c>
      <c r="H29" s="209" t="s">
        <v>1105</v>
      </c>
      <c r="I29" s="212"/>
      <c r="J29" s="209"/>
      <c r="K29" s="230"/>
      <c r="L29" s="230"/>
      <c r="M29" s="209"/>
      <c r="N29" s="209"/>
      <c r="O29" s="209"/>
      <c r="P29" s="255"/>
      <c r="Q29" s="279"/>
      <c r="T29" s="292"/>
      <c r="U29" s="292"/>
      <c r="V29" s="292"/>
      <c r="W29" s="291" t="str">
        <f>VLOOKUP('作(5)'!F6,AB:AR,17,0)</f>
        <v>固化剂PR86</v>
      </c>
      <c r="X29" s="291">
        <f>VLOOKUP('作(5)'!F6,AB:AU,20,0)</f>
        <v>0.5</v>
      </c>
      <c r="Y29" s="295">
        <f>V$28*(U$28/(X$28+X$29+X$30))*X29/1000</f>
        <v>0</v>
      </c>
    </row>
    <row r="30" ht="20.1" customHeight="1" spans="1:25">
      <c r="A30" s="212"/>
      <c r="B30" s="209">
        <v>19</v>
      </c>
      <c r="C30" s="230"/>
      <c r="D30" s="230"/>
      <c r="E30" s="209" t="str">
        <f>W30</f>
        <v>稀料PX903/PX904</v>
      </c>
      <c r="F30" s="209"/>
      <c r="G30" s="210">
        <f>IF(E31="",Y30,Y30/1.3*1)</f>
        <v>0</v>
      </c>
      <c r="H30" s="209" t="s">
        <v>1105</v>
      </c>
      <c r="I30" s="212"/>
      <c r="J30" s="209"/>
      <c r="K30" s="209"/>
      <c r="L30" s="209"/>
      <c r="M30" s="209"/>
      <c r="N30" s="209"/>
      <c r="O30" s="209"/>
      <c r="P30" s="255"/>
      <c r="Q30" s="279"/>
      <c r="T30" s="292"/>
      <c r="U30" s="292"/>
      <c r="V30" s="292"/>
      <c r="W30" s="291" t="str">
        <f>VLOOKUP('作(5)'!F6,AB:AS,18,0)</f>
        <v>稀料PX903/PX904</v>
      </c>
      <c r="X30" s="291">
        <f>VLOOKUP('作(5)'!F6,AB:AV,21,0)</f>
        <v>0.7</v>
      </c>
      <c r="Y30" s="295">
        <f>V$28*(U$28/(X$28+X$29+X$30))*X30/1000</f>
        <v>0</v>
      </c>
    </row>
    <row r="31" ht="20.1" customHeight="1" spans="1:25">
      <c r="A31" s="231"/>
      <c r="B31" s="209">
        <v>20</v>
      </c>
      <c r="C31" s="232"/>
      <c r="D31" s="232"/>
      <c r="E31" s="233" t="str">
        <f>IF($S$1=$T$2,"慢干水PZ807","")</f>
        <v>慢干水PZ807</v>
      </c>
      <c r="F31" s="234"/>
      <c r="G31" s="235">
        <f>IF(E31="","",G30*0.3)</f>
        <v>0</v>
      </c>
      <c r="H31" s="236" t="str">
        <f>H27</f>
        <v>千克</v>
      </c>
      <c r="I31" s="231"/>
      <c r="J31" s="236"/>
      <c r="K31" s="236"/>
      <c r="L31" s="236"/>
      <c r="M31" s="236"/>
      <c r="N31" s="236"/>
      <c r="O31" s="236"/>
      <c r="P31" s="235"/>
      <c r="Q31" s="293"/>
      <c r="T31" s="294"/>
      <c r="U31" s="294"/>
      <c r="V31" s="294"/>
      <c r="W31" s="291" t="str">
        <f>E31</f>
        <v>慢干水PZ807</v>
      </c>
      <c r="X31" s="291"/>
      <c r="Y31" s="295">
        <f>Y30*0.3</f>
        <v>0</v>
      </c>
    </row>
    <row r="32" ht="15" customHeight="1" spans="1:25">
      <c r="A32" s="237"/>
      <c r="B32" s="237"/>
      <c r="C32" s="237"/>
      <c r="D32" s="237"/>
      <c r="E32" s="237"/>
      <c r="F32" s="237"/>
      <c r="G32" s="238"/>
      <c r="H32" s="237"/>
      <c r="I32" s="237"/>
      <c r="J32" s="237"/>
      <c r="K32" s="237"/>
      <c r="L32" s="237"/>
      <c r="M32" s="267"/>
      <c r="N32" s="267"/>
      <c r="O32" s="267"/>
      <c r="P32" s="268"/>
      <c r="Q32" s="267"/>
      <c r="T32" s="295" t="s">
        <v>1143</v>
      </c>
      <c r="U32" s="291">
        <f>VLOOKUP('作(5)'!F6,AB:BL,37,0)</f>
        <v>140</v>
      </c>
      <c r="V32" s="291">
        <f>'作(5)'!O38</f>
        <v>0</v>
      </c>
      <c r="W32" s="291" t="str">
        <f>VLOOKUP('作(5)'!F6,AB:BI,34,0)</f>
        <v>主剂UA5002</v>
      </c>
      <c r="X32" s="295"/>
      <c r="Y32" s="295">
        <f>V32*U32/1000</f>
        <v>0</v>
      </c>
    </row>
    <row r="33" ht="15" customHeight="1" spans="1:25">
      <c r="A33" s="239"/>
      <c r="B33" s="239"/>
      <c r="C33" s="237"/>
      <c r="D33" s="240" t="s">
        <v>1040</v>
      </c>
      <c r="E33" s="240"/>
      <c r="F33" s="241" t="s">
        <v>1045</v>
      </c>
      <c r="G33" s="241"/>
      <c r="H33" s="241"/>
      <c r="I33" s="269"/>
      <c r="J33" s="270"/>
      <c r="K33" s="269"/>
      <c r="L33" s="240" t="s">
        <v>758</v>
      </c>
      <c r="M33" s="241"/>
      <c r="N33" s="241"/>
      <c r="O33" s="267"/>
      <c r="P33" s="271"/>
      <c r="Q33" s="267"/>
      <c r="T33" s="118" t="s">
        <v>1245</v>
      </c>
      <c r="U33" s="296">
        <f>VLOOKUP('作(5)'!F6,AB:BX,49,0)</f>
        <v>0</v>
      </c>
      <c r="V33" s="297">
        <f>'作(5)'!O38</f>
        <v>0</v>
      </c>
      <c r="W33" s="296" t="s">
        <v>1246</v>
      </c>
      <c r="X33" s="118"/>
      <c r="Y33" s="308">
        <f>V33*U33/1000</f>
        <v>0</v>
      </c>
    </row>
    <row r="34" ht="15" customHeight="1" spans="1:17">
      <c r="A34" s="239"/>
      <c r="B34" s="239"/>
      <c r="C34" s="237"/>
      <c r="D34" s="240"/>
      <c r="E34" s="240"/>
      <c r="F34" s="240"/>
      <c r="G34" s="242"/>
      <c r="H34" s="243"/>
      <c r="I34" s="269"/>
      <c r="J34" s="270"/>
      <c r="K34" s="269"/>
      <c r="L34" s="240"/>
      <c r="M34" s="202"/>
      <c r="N34" s="202"/>
      <c r="O34" s="267"/>
      <c r="P34" s="268"/>
      <c r="Q34" s="267"/>
    </row>
    <row r="35" ht="15" customHeight="1" spans="1:17">
      <c r="A35" s="239"/>
      <c r="B35" s="239"/>
      <c r="C35" s="237"/>
      <c r="D35" s="240" t="s">
        <v>1041</v>
      </c>
      <c r="E35" s="240"/>
      <c r="F35" s="244"/>
      <c r="G35" s="244"/>
      <c r="H35" s="244"/>
      <c r="I35" s="269"/>
      <c r="J35" s="270"/>
      <c r="K35" s="270" t="s">
        <v>1042</v>
      </c>
      <c r="L35" s="270"/>
      <c r="M35" s="241"/>
      <c r="N35" s="241"/>
      <c r="O35" s="267"/>
      <c r="P35" s="268"/>
      <c r="Q35" s="267"/>
    </row>
    <row r="36" spans="1:17">
      <c r="A36" s="245"/>
      <c r="B36" s="245"/>
      <c r="C36" s="245"/>
      <c r="D36" s="245"/>
      <c r="E36" s="245"/>
      <c r="F36" s="245"/>
      <c r="G36" s="246"/>
      <c r="H36" s="245"/>
      <c r="I36" s="245"/>
      <c r="J36" s="245"/>
      <c r="K36" s="245"/>
      <c r="L36" s="245"/>
      <c r="M36" s="245"/>
      <c r="N36" s="245"/>
      <c r="O36" s="245"/>
      <c r="P36" s="246"/>
      <c r="Q36" s="245"/>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48" customWidth="1"/>
    <col min="2" max="2" width="8.625" style="148" customWidth="1"/>
    <col min="3" max="3" width="4.625" style="148" customWidth="1"/>
    <col min="4" max="4" width="9.75" style="148" customWidth="1"/>
    <col min="5" max="5" width="10.875" style="148" customWidth="1"/>
    <col min="6" max="6" width="6" style="148" customWidth="1"/>
    <col min="7" max="7" width="5.625" style="148" customWidth="1"/>
    <col min="8" max="8" width="10.125" style="148" customWidth="1"/>
    <col min="9" max="9" width="15" style="148" customWidth="1"/>
    <col min="10" max="16384" width="9" style="148"/>
  </cols>
  <sheetData>
    <row r="1" spans="1:6">
      <c r="A1" s="149"/>
      <c r="B1" s="149"/>
      <c r="C1" s="149"/>
      <c r="D1" s="149"/>
      <c r="E1" s="149"/>
      <c r="F1" s="149"/>
    </row>
    <row r="2" spans="1:9">
      <c r="A2" s="150"/>
      <c r="B2" s="150"/>
      <c r="C2" s="150"/>
      <c r="D2" s="150"/>
      <c r="E2" s="149"/>
      <c r="F2" s="149"/>
      <c r="H2" s="151" t="s">
        <v>1247</v>
      </c>
      <c r="I2" s="151"/>
    </row>
    <row r="3" ht="20.25" spans="1:11">
      <c r="A3" s="152" t="s">
        <v>1248</v>
      </c>
      <c r="B3" s="153"/>
      <c r="C3" s="153"/>
      <c r="D3" s="153"/>
      <c r="E3" s="153"/>
      <c r="F3" s="153"/>
      <c r="G3" s="153"/>
      <c r="H3" s="153"/>
      <c r="I3" s="153"/>
      <c r="K3" s="154" t="s">
        <v>1160</v>
      </c>
    </row>
    <row r="4" ht="20.1" customHeight="1" spans="1:9">
      <c r="A4" s="154" t="s">
        <v>1249</v>
      </c>
      <c r="B4" s="155" t="s">
        <v>1250</v>
      </c>
      <c r="C4" s="155"/>
      <c r="D4" s="155"/>
      <c r="E4" s="156" t="s">
        <v>1251</v>
      </c>
      <c r="F4" s="155">
        <f>下料单!C2</f>
        <v>0</v>
      </c>
      <c r="G4" s="155"/>
      <c r="H4" s="148" t="s">
        <v>1252</v>
      </c>
      <c r="I4" s="155" t="str">
        <f>SUM(E10:E33)&amp;"块"</f>
        <v>0块</v>
      </c>
    </row>
    <row r="5" ht="20.1" customHeight="1" spans="1:9">
      <c r="A5" s="148" t="s">
        <v>411</v>
      </c>
      <c r="B5" s="155">
        <f>下料单!J2</f>
        <v>0</v>
      </c>
      <c r="C5" s="157"/>
      <c r="D5" s="157"/>
      <c r="E5" s="156" t="s">
        <v>1253</v>
      </c>
      <c r="F5" s="158"/>
      <c r="G5" s="158"/>
      <c r="H5" s="148" t="s">
        <v>1254</v>
      </c>
      <c r="I5" s="197"/>
    </row>
    <row r="6" ht="20.1" customHeight="1" spans="1:9">
      <c r="A6" s="159" t="s">
        <v>1255</v>
      </c>
      <c r="B6" s="155" t="s">
        <v>1250</v>
      </c>
      <c r="C6" s="155"/>
      <c r="D6" s="155"/>
      <c r="E6" s="160" t="s">
        <v>1256</v>
      </c>
      <c r="F6" s="161">
        <v>89251111</v>
      </c>
      <c r="G6" s="161"/>
      <c r="H6" s="148" t="s">
        <v>1257</v>
      </c>
      <c r="I6" s="155">
        <v>89251111</v>
      </c>
    </row>
    <row r="7" ht="20.1" customHeight="1" spans="1:9">
      <c r="A7" s="162" t="s">
        <v>1258</v>
      </c>
      <c r="B7" s="161"/>
      <c r="C7" s="161"/>
      <c r="D7" s="161"/>
      <c r="E7" s="160" t="s">
        <v>1259</v>
      </c>
      <c r="F7" s="161">
        <v>80529723</v>
      </c>
      <c r="G7" s="161"/>
      <c r="H7" s="148" t="s">
        <v>1260</v>
      </c>
      <c r="I7" s="161">
        <v>80529723</v>
      </c>
    </row>
    <row r="8" ht="20.1" customHeight="1" spans="1:9">
      <c r="A8" s="159" t="s">
        <v>1261</v>
      </c>
      <c r="B8" s="161" t="s">
        <v>1262</v>
      </c>
      <c r="C8" s="161"/>
      <c r="D8" s="161"/>
      <c r="E8" s="161"/>
      <c r="F8" s="161"/>
      <c r="G8" s="161"/>
      <c r="H8" s="162" t="s">
        <v>1263</v>
      </c>
      <c r="I8" s="155" t="s">
        <v>1264</v>
      </c>
    </row>
    <row r="9" ht="20.1" customHeight="1" spans="1:9">
      <c r="A9" s="163" t="s">
        <v>958</v>
      </c>
      <c r="B9" s="163" t="s">
        <v>764</v>
      </c>
      <c r="C9" s="163" t="s">
        <v>1265</v>
      </c>
      <c r="D9" s="163" t="s">
        <v>765</v>
      </c>
      <c r="E9" s="163" t="s">
        <v>90</v>
      </c>
      <c r="F9" s="163" t="s">
        <v>1266</v>
      </c>
      <c r="G9" s="163"/>
      <c r="H9" s="163"/>
      <c r="I9" s="163" t="s">
        <v>30</v>
      </c>
    </row>
    <row r="10" ht="20.1" customHeight="1" spans="1:10">
      <c r="A10" s="164"/>
      <c r="B10" s="165"/>
      <c r="C10" s="163" t="s">
        <v>1265</v>
      </c>
      <c r="D10" s="165"/>
      <c r="E10" s="165"/>
      <c r="F10" s="163"/>
      <c r="G10" s="163"/>
      <c r="H10" s="163"/>
      <c r="I10" s="163"/>
      <c r="J10" s="198">
        <f>B10*D10*E10/1000000</f>
        <v>0</v>
      </c>
    </row>
    <row r="11" ht="20.1" customHeight="1" spans="1:10">
      <c r="A11" s="164"/>
      <c r="B11" s="165"/>
      <c r="C11" s="163" t="s">
        <v>1265</v>
      </c>
      <c r="D11" s="165"/>
      <c r="E11" s="165"/>
      <c r="F11" s="163"/>
      <c r="G11" s="163"/>
      <c r="H11" s="163"/>
      <c r="I11" s="163"/>
      <c r="J11" s="198">
        <f t="shared" ref="J11:J33" si="0">B11*D11*E11/1000000</f>
        <v>0</v>
      </c>
    </row>
    <row r="12" ht="20.1" customHeight="1" spans="1:10">
      <c r="A12" s="164"/>
      <c r="B12" s="165"/>
      <c r="C12" s="163" t="s">
        <v>1265</v>
      </c>
      <c r="D12" s="165"/>
      <c r="E12" s="165"/>
      <c r="F12" s="163"/>
      <c r="G12" s="163"/>
      <c r="H12" s="163"/>
      <c r="I12" s="163"/>
      <c r="J12" s="198">
        <f t="shared" si="0"/>
        <v>0</v>
      </c>
    </row>
    <row r="13" ht="20.1" customHeight="1" spans="1:10">
      <c r="A13" s="164"/>
      <c r="B13" s="165"/>
      <c r="C13" s="163" t="s">
        <v>1265</v>
      </c>
      <c r="D13" s="165"/>
      <c r="E13" s="165"/>
      <c r="F13" s="163"/>
      <c r="G13" s="163"/>
      <c r="H13" s="163"/>
      <c r="I13" s="163"/>
      <c r="J13" s="198">
        <f t="shared" si="0"/>
        <v>0</v>
      </c>
    </row>
    <row r="14" ht="20.1" customHeight="1" spans="1:10">
      <c r="A14" s="164"/>
      <c r="B14" s="166"/>
      <c r="C14" s="163" t="s">
        <v>1265</v>
      </c>
      <c r="D14" s="166"/>
      <c r="E14" s="165"/>
      <c r="F14" s="163"/>
      <c r="G14" s="163"/>
      <c r="H14" s="163"/>
      <c r="I14" s="163"/>
      <c r="J14" s="198">
        <f t="shared" si="0"/>
        <v>0</v>
      </c>
    </row>
    <row r="15" ht="20.1" customHeight="1" spans="1:10">
      <c r="A15" s="164"/>
      <c r="B15" s="166"/>
      <c r="C15" s="163" t="s">
        <v>1265</v>
      </c>
      <c r="D15" s="166"/>
      <c r="E15" s="165"/>
      <c r="F15" s="163"/>
      <c r="G15" s="163"/>
      <c r="H15" s="163"/>
      <c r="I15" s="163"/>
      <c r="J15" s="198">
        <f t="shared" si="0"/>
        <v>0</v>
      </c>
    </row>
    <row r="16" ht="20.1" customHeight="1" spans="1:10">
      <c r="A16" s="164"/>
      <c r="B16" s="166"/>
      <c r="C16" s="163" t="s">
        <v>1265</v>
      </c>
      <c r="D16" s="166"/>
      <c r="E16" s="165"/>
      <c r="F16" s="163"/>
      <c r="G16" s="163"/>
      <c r="H16" s="163"/>
      <c r="I16" s="163"/>
      <c r="J16" s="198">
        <f t="shared" si="0"/>
        <v>0</v>
      </c>
    </row>
    <row r="17" ht="20.1" customHeight="1" spans="1:10">
      <c r="A17" s="164"/>
      <c r="B17" s="166"/>
      <c r="C17" s="163" t="s">
        <v>1265</v>
      </c>
      <c r="D17" s="166"/>
      <c r="E17" s="165"/>
      <c r="F17" s="163"/>
      <c r="G17" s="163"/>
      <c r="H17" s="163"/>
      <c r="I17" s="163"/>
      <c r="J17" s="198">
        <f t="shared" si="0"/>
        <v>0</v>
      </c>
    </row>
    <row r="18" ht="20.1" customHeight="1" spans="1:10">
      <c r="A18" s="164"/>
      <c r="B18" s="166"/>
      <c r="C18" s="163" t="s">
        <v>1265</v>
      </c>
      <c r="D18" s="166"/>
      <c r="E18" s="165"/>
      <c r="F18" s="163"/>
      <c r="G18" s="163"/>
      <c r="H18" s="163"/>
      <c r="I18" s="163"/>
      <c r="J18" s="198">
        <f t="shared" si="0"/>
        <v>0</v>
      </c>
    </row>
    <row r="19" ht="20.1" customHeight="1" spans="1:10">
      <c r="A19" s="164"/>
      <c r="B19" s="166"/>
      <c r="C19" s="163" t="s">
        <v>1265</v>
      </c>
      <c r="D19" s="166"/>
      <c r="E19" s="166"/>
      <c r="F19" s="163"/>
      <c r="G19" s="163"/>
      <c r="H19" s="163"/>
      <c r="I19" s="163"/>
      <c r="J19" s="198">
        <f t="shared" si="0"/>
        <v>0</v>
      </c>
    </row>
    <row r="20" ht="20.1" customHeight="1" spans="1:10">
      <c r="A20" s="167"/>
      <c r="B20" s="166"/>
      <c r="C20" s="163" t="s">
        <v>1265</v>
      </c>
      <c r="D20" s="166"/>
      <c r="E20" s="165"/>
      <c r="F20" s="163"/>
      <c r="G20" s="163"/>
      <c r="H20" s="163"/>
      <c r="I20" s="163"/>
      <c r="J20" s="198">
        <f t="shared" si="0"/>
        <v>0</v>
      </c>
    </row>
    <row r="21" ht="20.1" customHeight="1" spans="1:10">
      <c r="A21" s="167"/>
      <c r="B21" s="166"/>
      <c r="C21" s="163" t="s">
        <v>1265</v>
      </c>
      <c r="D21" s="166"/>
      <c r="E21" s="165"/>
      <c r="F21" s="163"/>
      <c r="G21" s="163"/>
      <c r="H21" s="163"/>
      <c r="I21" s="163"/>
      <c r="J21" s="198">
        <f t="shared" si="0"/>
        <v>0</v>
      </c>
    </row>
    <row r="22" ht="20.1" customHeight="1" spans="1:10">
      <c r="A22" s="168"/>
      <c r="B22" s="166"/>
      <c r="C22" s="163" t="s">
        <v>1265</v>
      </c>
      <c r="D22" s="166"/>
      <c r="E22" s="166"/>
      <c r="F22" s="163"/>
      <c r="G22" s="163"/>
      <c r="H22" s="163"/>
      <c r="I22" s="163"/>
      <c r="J22" s="198">
        <f t="shared" si="0"/>
        <v>0</v>
      </c>
    </row>
    <row r="23" ht="20.1" customHeight="1" spans="1:10">
      <c r="A23" s="168"/>
      <c r="B23" s="166"/>
      <c r="C23" s="163" t="s">
        <v>1265</v>
      </c>
      <c r="D23" s="165"/>
      <c r="E23" s="166"/>
      <c r="F23" s="163"/>
      <c r="G23" s="163"/>
      <c r="H23" s="163"/>
      <c r="I23" s="163"/>
      <c r="J23" s="198">
        <f t="shared" si="0"/>
        <v>0</v>
      </c>
    </row>
    <row r="24" ht="20.1" customHeight="1" spans="1:10">
      <c r="A24" s="169"/>
      <c r="B24" s="166"/>
      <c r="C24" s="163" t="s">
        <v>1265</v>
      </c>
      <c r="D24" s="165"/>
      <c r="E24" s="166"/>
      <c r="F24" s="163"/>
      <c r="G24" s="163"/>
      <c r="H24" s="163"/>
      <c r="I24" s="163"/>
      <c r="J24" s="198">
        <f t="shared" si="0"/>
        <v>0</v>
      </c>
    </row>
    <row r="25" ht="20.1" customHeight="1" spans="1:10">
      <c r="A25" s="168"/>
      <c r="B25" s="166"/>
      <c r="C25" s="163" t="s">
        <v>1265</v>
      </c>
      <c r="D25" s="166"/>
      <c r="E25" s="165"/>
      <c r="F25" s="163"/>
      <c r="G25" s="163"/>
      <c r="H25" s="163"/>
      <c r="I25" s="163"/>
      <c r="J25" s="198">
        <f t="shared" si="0"/>
        <v>0</v>
      </c>
    </row>
    <row r="26" ht="20.1" customHeight="1" spans="1:10">
      <c r="A26" s="168"/>
      <c r="B26" s="166"/>
      <c r="C26" s="163" t="s">
        <v>1265</v>
      </c>
      <c r="D26" s="166"/>
      <c r="E26" s="165"/>
      <c r="F26" s="163"/>
      <c r="G26" s="163"/>
      <c r="H26" s="163"/>
      <c r="I26" s="163"/>
      <c r="J26" s="198">
        <f t="shared" si="0"/>
        <v>0</v>
      </c>
    </row>
    <row r="27" ht="20.1" customHeight="1" spans="1:10">
      <c r="A27" s="168"/>
      <c r="B27" s="166"/>
      <c r="C27" s="163" t="s">
        <v>1265</v>
      </c>
      <c r="D27" s="166"/>
      <c r="E27" s="165"/>
      <c r="F27" s="163"/>
      <c r="G27" s="163"/>
      <c r="H27" s="163"/>
      <c r="I27" s="163"/>
      <c r="J27" s="198">
        <f t="shared" si="0"/>
        <v>0</v>
      </c>
    </row>
    <row r="28" ht="20.1" customHeight="1" spans="1:10">
      <c r="A28" s="170" t="s">
        <v>1267</v>
      </c>
      <c r="B28" s="171">
        <v>50</v>
      </c>
      <c r="C28" s="172" t="s">
        <v>1265</v>
      </c>
      <c r="D28" s="171">
        <v>720</v>
      </c>
      <c r="E28" s="173"/>
      <c r="F28" s="172"/>
      <c r="G28" s="172"/>
      <c r="H28" s="172"/>
      <c r="I28" s="163"/>
      <c r="J28" s="198">
        <f t="shared" si="0"/>
        <v>0</v>
      </c>
    </row>
    <row r="29" ht="20.1" customHeight="1" spans="1:10">
      <c r="A29" s="170" t="s">
        <v>1267</v>
      </c>
      <c r="B29" s="172">
        <v>50</v>
      </c>
      <c r="C29" s="172" t="s">
        <v>1265</v>
      </c>
      <c r="D29" s="172">
        <v>820</v>
      </c>
      <c r="E29" s="172"/>
      <c r="F29" s="172" t="s">
        <v>1268</v>
      </c>
      <c r="G29" s="172"/>
      <c r="H29" s="172"/>
      <c r="I29" s="163"/>
      <c r="J29" s="198">
        <f t="shared" si="0"/>
        <v>0</v>
      </c>
    </row>
    <row r="30" ht="20.1" customHeight="1" spans="1:10">
      <c r="A30" s="170" t="s">
        <v>1173</v>
      </c>
      <c r="B30" s="172">
        <v>2400</v>
      </c>
      <c r="C30" s="172" t="s">
        <v>1265</v>
      </c>
      <c r="D30" s="172"/>
      <c r="E30" s="172"/>
      <c r="F30" s="172" t="s">
        <v>1269</v>
      </c>
      <c r="G30" s="172"/>
      <c r="H30" s="172"/>
      <c r="I30" s="163"/>
      <c r="J30" s="198">
        <f t="shared" si="0"/>
        <v>0</v>
      </c>
    </row>
    <row r="31" ht="20.1" customHeight="1" spans="1:10">
      <c r="A31" s="174" t="s">
        <v>492</v>
      </c>
      <c r="B31" s="163">
        <v>2400</v>
      </c>
      <c r="C31" s="163" t="s">
        <v>1265</v>
      </c>
      <c r="D31" s="163">
        <v>80</v>
      </c>
      <c r="E31" s="175"/>
      <c r="F31" s="163"/>
      <c r="G31" s="163"/>
      <c r="H31" s="163"/>
      <c r="I31" s="163"/>
      <c r="J31" s="198">
        <f t="shared" si="0"/>
        <v>0</v>
      </c>
    </row>
    <row r="32" ht="20.1" customHeight="1" spans="1:10">
      <c r="A32" s="176" t="s">
        <v>1270</v>
      </c>
      <c r="B32" s="177">
        <v>2400</v>
      </c>
      <c r="C32" s="177" t="s">
        <v>1265</v>
      </c>
      <c r="D32" s="177">
        <v>80</v>
      </c>
      <c r="E32" s="177"/>
      <c r="F32" s="177"/>
      <c r="G32" s="177"/>
      <c r="H32" s="177"/>
      <c r="I32" s="177">
        <v>2</v>
      </c>
      <c r="J32" s="198">
        <f t="shared" si="0"/>
        <v>0</v>
      </c>
    </row>
    <row r="33" ht="20.1" customHeight="1" spans="1:10">
      <c r="A33" s="176" t="s">
        <v>1271</v>
      </c>
      <c r="B33" s="177">
        <v>2400</v>
      </c>
      <c r="C33" s="177" t="s">
        <v>1265</v>
      </c>
      <c r="D33" s="177"/>
      <c r="E33" s="178"/>
      <c r="F33" s="177"/>
      <c r="G33" s="177"/>
      <c r="H33" s="177"/>
      <c r="I33" s="177">
        <v>2</v>
      </c>
      <c r="J33" s="198">
        <f t="shared" si="0"/>
        <v>0</v>
      </c>
    </row>
    <row r="34" ht="20.1" customHeight="1" spans="1:9">
      <c r="A34" s="179" t="s">
        <v>1272</v>
      </c>
      <c r="B34" s="180"/>
      <c r="C34" s="180"/>
      <c r="D34" s="180"/>
      <c r="E34" s="180"/>
      <c r="F34" s="180"/>
      <c r="G34" s="180"/>
      <c r="H34" s="180"/>
      <c r="I34" s="180"/>
    </row>
    <row r="35" ht="20.1" customHeight="1" spans="1:9">
      <c r="A35" s="181"/>
      <c r="B35" s="181"/>
      <c r="C35" s="181"/>
      <c r="D35" s="181"/>
      <c r="E35" s="181"/>
      <c r="F35" s="181"/>
      <c r="G35" s="181"/>
      <c r="H35" s="181"/>
      <c r="I35" s="181"/>
    </row>
    <row r="36" ht="20.1" customHeight="1" spans="1:9">
      <c r="A36" s="182" t="s">
        <v>1273</v>
      </c>
      <c r="B36" s="182"/>
      <c r="C36" s="182"/>
      <c r="D36" s="182"/>
      <c r="E36" s="182"/>
      <c r="F36" s="182"/>
      <c r="G36" s="182"/>
      <c r="H36" s="182"/>
      <c r="I36" s="182"/>
    </row>
    <row r="37" ht="20.1" customHeight="1" spans="1:9">
      <c r="A37" s="183"/>
      <c r="B37" s="184"/>
      <c r="C37" s="147"/>
      <c r="D37" s="147"/>
      <c r="E37" s="147"/>
      <c r="F37" s="185"/>
      <c r="G37" s="186"/>
      <c r="H37" s="185"/>
      <c r="I37" s="192"/>
    </row>
    <row r="38" s="147" customFormat="1" ht="20.1" customHeight="1" spans="1:9">
      <c r="A38" s="187" t="s">
        <v>204</v>
      </c>
      <c r="B38" s="185" t="s">
        <v>1045</v>
      </c>
      <c r="C38" s="185"/>
      <c r="D38" s="156"/>
      <c r="E38" s="149"/>
      <c r="F38" s="156" t="s">
        <v>758</v>
      </c>
      <c r="G38" s="156"/>
      <c r="H38" s="156"/>
      <c r="I38" s="192"/>
    </row>
    <row r="39" ht="20.1" customHeight="1" spans="1:9">
      <c r="A39" s="188"/>
      <c r="B39" s="189"/>
      <c r="C39" s="190"/>
      <c r="D39" s="191"/>
      <c r="E39" s="192"/>
      <c r="F39" s="191"/>
      <c r="G39" s="193"/>
      <c r="H39" s="191"/>
      <c r="I39" s="194"/>
    </row>
    <row r="40" ht="20.1" customHeight="1" spans="1:9">
      <c r="A40" s="188"/>
      <c r="B40" s="191"/>
      <c r="C40" s="185"/>
      <c r="D40" s="191"/>
      <c r="E40" s="192"/>
      <c r="F40" s="191"/>
      <c r="G40" s="193"/>
      <c r="H40" s="191"/>
      <c r="I40" s="194"/>
    </row>
    <row r="41" ht="21.75" customHeight="1" spans="1:9">
      <c r="A41" s="188"/>
      <c r="B41" s="191"/>
      <c r="C41" s="185"/>
      <c r="D41" s="191"/>
      <c r="E41" s="192"/>
      <c r="F41" s="191"/>
      <c r="G41" s="193"/>
      <c r="H41" s="191"/>
      <c r="I41" s="194"/>
    </row>
    <row r="42" ht="21.75" customHeight="1" spans="1:9">
      <c r="A42" s="188"/>
      <c r="B42" s="191"/>
      <c r="C42" s="185"/>
      <c r="D42" s="191"/>
      <c r="E42" s="192"/>
      <c r="F42" s="191"/>
      <c r="G42" s="193"/>
      <c r="H42" s="191"/>
      <c r="I42" s="194"/>
    </row>
    <row r="43" ht="21.75" customHeight="1" spans="1:9">
      <c r="A43" s="188"/>
      <c r="B43" s="191"/>
      <c r="C43" s="185"/>
      <c r="D43" s="191"/>
      <c r="E43" s="192"/>
      <c r="F43" s="191"/>
      <c r="G43" s="193"/>
      <c r="H43" s="191"/>
      <c r="I43" s="194"/>
    </row>
    <row r="44" ht="21.75" customHeight="1" spans="1:9">
      <c r="A44" s="188"/>
      <c r="B44" s="191"/>
      <c r="C44" s="185"/>
      <c r="D44" s="191"/>
      <c r="E44" s="192"/>
      <c r="F44" s="191"/>
      <c r="G44" s="193"/>
      <c r="H44" s="191"/>
      <c r="I44" s="194"/>
    </row>
    <row r="45" ht="21.75" customHeight="1" spans="1:9">
      <c r="A45" s="188"/>
      <c r="B45" s="191"/>
      <c r="C45" s="191"/>
      <c r="D45" s="191"/>
      <c r="E45" s="194"/>
      <c r="F45" s="191"/>
      <c r="G45" s="193"/>
      <c r="H45" s="191"/>
      <c r="I45" s="194"/>
    </row>
    <row r="46" ht="20.25" spans="1:9">
      <c r="A46" s="195"/>
      <c r="B46" s="196"/>
      <c r="C46" s="195"/>
      <c r="E46" s="195"/>
      <c r="F46" s="195"/>
      <c r="G46" s="195"/>
      <c r="H46" s="195"/>
      <c r="I46" s="195"/>
    </row>
    <row r="47" ht="20.25" spans="1:9">
      <c r="A47" s="195"/>
      <c r="B47" s="195"/>
      <c r="C47" s="195"/>
      <c r="D47" s="195"/>
      <c r="E47" s="195"/>
      <c r="F47" s="195"/>
      <c r="G47" s="195"/>
      <c r="H47" s="195"/>
      <c r="I47" s="195"/>
    </row>
    <row r="48" ht="20.25" spans="1:9">
      <c r="A48" s="195"/>
      <c r="B48" s="195"/>
      <c r="C48" s="195"/>
      <c r="D48" s="195"/>
      <c r="E48" s="195"/>
      <c r="F48" s="195"/>
      <c r="G48" s="195"/>
      <c r="H48" s="195"/>
      <c r="I48" s="195"/>
    </row>
    <row r="49" ht="20.25" spans="1:9">
      <c r="A49" s="195"/>
      <c r="B49" s="195"/>
      <c r="C49" s="195"/>
      <c r="D49" s="195"/>
      <c r="E49" s="195"/>
      <c r="F49" s="195"/>
      <c r="G49" s="195"/>
      <c r="H49" s="195"/>
      <c r="I49" s="195"/>
    </row>
    <row r="50" ht="20.25" spans="1:9">
      <c r="A50" s="195"/>
      <c r="B50" s="195"/>
      <c r="C50" s="195"/>
      <c r="D50" s="195"/>
      <c r="E50" s="195"/>
      <c r="F50" s="195"/>
      <c r="G50" s="195"/>
      <c r="H50" s="195"/>
      <c r="I50" s="195"/>
    </row>
    <row r="51" ht="20.25" spans="1:9">
      <c r="A51" s="195"/>
      <c r="B51" s="195"/>
      <c r="C51" s="195"/>
      <c r="D51" s="195"/>
      <c r="E51" s="195"/>
      <c r="F51" s="195"/>
      <c r="G51" s="195"/>
      <c r="H51" s="195"/>
      <c r="I51" s="195"/>
    </row>
    <row r="52" ht="20.25" spans="1:9">
      <c r="A52" s="195"/>
      <c r="B52" s="195"/>
      <c r="C52" s="195"/>
      <c r="D52" s="195"/>
      <c r="E52" s="195"/>
      <c r="F52" s="195"/>
      <c r="G52" s="195"/>
      <c r="H52" s="195"/>
      <c r="I52" s="195"/>
    </row>
    <row r="53" ht="20.25" spans="1:9">
      <c r="A53" s="195"/>
      <c r="B53" s="195"/>
      <c r="C53" s="195"/>
      <c r="D53" s="195"/>
      <c r="E53" s="195"/>
      <c r="F53" s="195"/>
      <c r="G53" s="195"/>
      <c r="H53" s="195"/>
      <c r="I53" s="195"/>
    </row>
    <row r="54" ht="20.25" spans="1:9">
      <c r="A54" s="195"/>
      <c r="B54" s="195"/>
      <c r="C54" s="195"/>
      <c r="D54" s="195"/>
      <c r="E54" s="195"/>
      <c r="F54" s="195"/>
      <c r="G54" s="195"/>
      <c r="H54" s="195"/>
      <c r="I54" s="195"/>
    </row>
    <row r="55" ht="20.25" spans="1:9">
      <c r="A55" s="195"/>
      <c r="B55" s="195"/>
      <c r="C55" s="195"/>
      <c r="D55" s="195"/>
      <c r="E55" s="195"/>
      <c r="F55" s="195"/>
      <c r="G55" s="195"/>
      <c r="H55" s="195"/>
      <c r="I55" s="195"/>
    </row>
    <row r="56" ht="20.25" spans="1:9">
      <c r="A56" s="195"/>
      <c r="B56" s="195"/>
      <c r="C56" s="195"/>
      <c r="D56" s="195"/>
      <c r="E56" s="195"/>
      <c r="F56" s="195"/>
      <c r="G56" s="195"/>
      <c r="H56" s="195"/>
      <c r="I56" s="195"/>
    </row>
    <row r="57" ht="20.25" spans="1:9">
      <c r="A57" s="195"/>
      <c r="B57" s="195"/>
      <c r="C57" s="195"/>
      <c r="D57" s="195"/>
      <c r="E57" s="195"/>
      <c r="F57" s="195"/>
      <c r="G57" s="195"/>
      <c r="H57" s="195"/>
      <c r="I57" s="195"/>
    </row>
    <row r="58" ht="20.25" spans="1:9">
      <c r="A58" s="195"/>
      <c r="B58" s="195"/>
      <c r="C58" s="195"/>
      <c r="D58" s="195"/>
      <c r="E58" s="195"/>
      <c r="F58" s="195"/>
      <c r="G58" s="195"/>
      <c r="H58" s="195"/>
      <c r="I58" s="195"/>
    </row>
    <row r="59" ht="20.25" spans="1:9">
      <c r="A59" s="195"/>
      <c r="B59" s="195"/>
      <c r="C59" s="195"/>
      <c r="D59" s="195"/>
      <c r="E59" s="195"/>
      <c r="F59" s="195"/>
      <c r="G59" s="195"/>
      <c r="H59" s="195"/>
      <c r="I59" s="195"/>
    </row>
    <row r="60" ht="20.25" spans="1:9">
      <c r="A60" s="195"/>
      <c r="B60" s="195"/>
      <c r="C60" s="195"/>
      <c r="D60" s="195"/>
      <c r="E60" s="195"/>
      <c r="F60" s="195"/>
      <c r="G60" s="195"/>
      <c r="H60" s="195"/>
      <c r="I60" s="195"/>
    </row>
    <row r="61" ht="20.25" spans="1:9">
      <c r="A61" s="195"/>
      <c r="B61" s="195"/>
      <c r="C61" s="195"/>
      <c r="D61" s="195"/>
      <c r="E61" s="195"/>
      <c r="F61" s="195"/>
      <c r="G61" s="195"/>
      <c r="H61" s="195"/>
      <c r="I61" s="195"/>
    </row>
    <row r="62" ht="20.25" spans="1:9">
      <c r="A62" s="195"/>
      <c r="B62" s="195"/>
      <c r="C62" s="195"/>
      <c r="D62" s="195"/>
      <c r="E62" s="195"/>
      <c r="F62" s="195"/>
      <c r="G62" s="195"/>
      <c r="H62" s="195"/>
      <c r="I62" s="195"/>
    </row>
    <row r="63" ht="20.25" spans="1:9">
      <c r="A63" s="195"/>
      <c r="B63" s="195"/>
      <c r="C63" s="195"/>
      <c r="D63" s="195"/>
      <c r="E63" s="195"/>
      <c r="F63" s="195"/>
      <c r="G63" s="195"/>
      <c r="H63" s="195"/>
      <c r="I63" s="195"/>
    </row>
    <row r="64" ht="20.25" spans="1:9">
      <c r="A64" s="195"/>
      <c r="B64" s="195"/>
      <c r="C64" s="195"/>
      <c r="D64" s="195"/>
      <c r="E64" s="195"/>
      <c r="F64" s="195"/>
      <c r="G64" s="195"/>
      <c r="H64" s="195"/>
      <c r="I64" s="195"/>
    </row>
    <row r="65" ht="20.25" spans="1:9">
      <c r="A65" s="195"/>
      <c r="B65" s="195"/>
      <c r="C65" s="195"/>
      <c r="D65" s="195"/>
      <c r="E65" s="195"/>
      <c r="F65" s="195"/>
      <c r="G65" s="195"/>
      <c r="H65" s="195"/>
      <c r="I65" s="195"/>
    </row>
    <row r="66" ht="20.25" spans="1:9">
      <c r="A66" s="195"/>
      <c r="B66" s="195"/>
      <c r="C66" s="195"/>
      <c r="D66" s="195"/>
      <c r="E66" s="195"/>
      <c r="F66" s="195"/>
      <c r="G66" s="195"/>
      <c r="H66" s="195"/>
      <c r="I66" s="195"/>
    </row>
    <row r="67" ht="20.25" spans="1:9">
      <c r="A67" s="195"/>
      <c r="B67" s="195"/>
      <c r="C67" s="195"/>
      <c r="D67" s="195"/>
      <c r="E67" s="195"/>
      <c r="F67" s="195"/>
      <c r="G67" s="195"/>
      <c r="H67" s="195"/>
      <c r="I67" s="195"/>
    </row>
    <row r="68" ht="20.25" spans="1:9">
      <c r="A68" s="195"/>
      <c r="B68" s="195"/>
      <c r="C68" s="195"/>
      <c r="D68" s="195"/>
      <c r="E68" s="195"/>
      <c r="F68" s="195"/>
      <c r="G68" s="195"/>
      <c r="H68" s="195"/>
      <c r="I68" s="195"/>
    </row>
    <row r="69" ht="20.25" spans="1:9">
      <c r="A69" s="195"/>
      <c r="B69" s="195"/>
      <c r="C69" s="195"/>
      <c r="D69" s="195"/>
      <c r="E69" s="195"/>
      <c r="F69" s="195"/>
      <c r="G69" s="195"/>
      <c r="H69" s="195"/>
      <c r="I69" s="195"/>
    </row>
    <row r="70" ht="20.25" spans="1:9">
      <c r="A70" s="195"/>
      <c r="B70" s="195"/>
      <c r="C70" s="195"/>
      <c r="D70" s="195"/>
      <c r="E70" s="195"/>
      <c r="F70" s="195"/>
      <c r="G70" s="195"/>
      <c r="H70" s="195"/>
      <c r="I70" s="195"/>
    </row>
    <row r="71" ht="20.25" spans="1:9">
      <c r="A71" s="195"/>
      <c r="B71" s="195"/>
      <c r="C71" s="195"/>
      <c r="D71" s="195"/>
      <c r="E71" s="195"/>
      <c r="F71" s="195"/>
      <c r="G71" s="195"/>
      <c r="H71" s="195"/>
      <c r="I71" s="195"/>
    </row>
    <row r="72" ht="20.25" spans="1:9">
      <c r="A72" s="195"/>
      <c r="B72" s="195"/>
      <c r="C72" s="195"/>
      <c r="D72" s="195"/>
      <c r="E72" s="195"/>
      <c r="F72" s="195"/>
      <c r="G72" s="195"/>
      <c r="H72" s="195"/>
      <c r="I72" s="195"/>
    </row>
    <row r="73" ht="20.25" spans="1:9">
      <c r="A73" s="195"/>
      <c r="B73" s="195"/>
      <c r="C73" s="195"/>
      <c r="D73" s="195"/>
      <c r="E73" s="195"/>
      <c r="F73" s="195"/>
      <c r="G73" s="195"/>
      <c r="H73" s="195"/>
      <c r="I73" s="195"/>
    </row>
    <row r="74" ht="20.25" spans="1:9">
      <c r="A74" s="195"/>
      <c r="B74" s="195"/>
      <c r="C74" s="195"/>
      <c r="D74" s="195"/>
      <c r="E74" s="195"/>
      <c r="F74" s="195"/>
      <c r="G74" s="195"/>
      <c r="H74" s="195"/>
      <c r="I74" s="195"/>
    </row>
    <row r="75" ht="20.25" spans="1:9">
      <c r="A75" s="195"/>
      <c r="B75" s="195"/>
      <c r="C75" s="195"/>
      <c r="D75" s="195"/>
      <c r="E75" s="195"/>
      <c r="F75" s="195"/>
      <c r="G75" s="195"/>
      <c r="H75" s="195"/>
      <c r="I75" s="195"/>
    </row>
    <row r="76" ht="20.25" spans="1:9">
      <c r="A76" s="195"/>
      <c r="B76" s="195"/>
      <c r="C76" s="195"/>
      <c r="D76" s="195"/>
      <c r="E76" s="195"/>
      <c r="F76" s="195"/>
      <c r="G76" s="195"/>
      <c r="H76" s="195"/>
      <c r="I76" s="195"/>
    </row>
    <row r="77" ht="20.25" spans="1:9">
      <c r="A77" s="195"/>
      <c r="B77" s="195"/>
      <c r="C77" s="195"/>
      <c r="D77" s="195"/>
      <c r="E77" s="195"/>
      <c r="F77" s="195"/>
      <c r="G77" s="195"/>
      <c r="H77" s="195"/>
      <c r="I77" s="195"/>
    </row>
    <row r="78" ht="20.25" spans="1:9">
      <c r="A78" s="195"/>
      <c r="B78" s="195"/>
      <c r="C78" s="195"/>
      <c r="D78" s="195"/>
      <c r="E78" s="195"/>
      <c r="F78" s="195"/>
      <c r="G78" s="195"/>
      <c r="H78" s="195"/>
      <c r="I78" s="195"/>
    </row>
    <row r="79" ht="20.25" spans="1:9">
      <c r="A79" s="195"/>
      <c r="B79" s="195"/>
      <c r="C79" s="195"/>
      <c r="D79" s="195"/>
      <c r="E79" s="195"/>
      <c r="F79" s="195"/>
      <c r="G79" s="195"/>
      <c r="H79" s="195"/>
      <c r="I79" s="195"/>
    </row>
    <row r="80" ht="20.25" spans="1:9">
      <c r="A80" s="195"/>
      <c r="B80" s="195"/>
      <c r="C80" s="195"/>
      <c r="D80" s="195"/>
      <c r="E80" s="195"/>
      <c r="F80" s="195"/>
      <c r="G80" s="195"/>
      <c r="H80" s="195"/>
      <c r="I80" s="195"/>
    </row>
    <row r="81" ht="20.25" spans="1:9">
      <c r="A81" s="195"/>
      <c r="B81" s="195"/>
      <c r="C81" s="195"/>
      <c r="D81" s="195"/>
      <c r="E81" s="195"/>
      <c r="F81" s="195"/>
      <c r="G81" s="195"/>
      <c r="H81" s="195"/>
      <c r="I81" s="195"/>
    </row>
    <row r="82" ht="20.25" spans="1:9">
      <c r="A82" s="195"/>
      <c r="B82" s="195"/>
      <c r="C82" s="195"/>
      <c r="D82" s="195"/>
      <c r="E82" s="195"/>
      <c r="F82" s="195"/>
      <c r="G82" s="195"/>
      <c r="H82" s="195"/>
      <c r="I82" s="195"/>
    </row>
    <row r="83" ht="20.25" spans="1:9">
      <c r="A83" s="195"/>
      <c r="B83" s="195"/>
      <c r="C83" s="195"/>
      <c r="D83" s="195"/>
      <c r="E83" s="195"/>
      <c r="F83" s="195"/>
      <c r="G83" s="195"/>
      <c r="H83" s="195"/>
      <c r="I83" s="195"/>
    </row>
    <row r="84" ht="20.25" spans="1:9">
      <c r="A84" s="195"/>
      <c r="B84" s="195"/>
      <c r="C84" s="195"/>
      <c r="D84" s="195"/>
      <c r="E84" s="195"/>
      <c r="F84" s="195"/>
      <c r="G84" s="195"/>
      <c r="H84" s="195"/>
      <c r="I84" s="195"/>
    </row>
    <row r="85" ht="20.25" spans="1:9">
      <c r="A85" s="195"/>
      <c r="B85" s="195"/>
      <c r="C85" s="195"/>
      <c r="D85" s="195"/>
      <c r="E85" s="195"/>
      <c r="F85" s="195"/>
      <c r="G85" s="195"/>
      <c r="H85" s="195"/>
      <c r="I85" s="195"/>
    </row>
    <row r="86" ht="20.25" spans="1:9">
      <c r="A86" s="195"/>
      <c r="B86" s="195"/>
      <c r="C86" s="195"/>
      <c r="D86" s="195"/>
      <c r="E86" s="195"/>
      <c r="F86" s="195"/>
      <c r="G86" s="195"/>
      <c r="H86" s="195"/>
      <c r="I86" s="195"/>
    </row>
    <row r="87" ht="20.25" spans="1:9">
      <c r="A87" s="195"/>
      <c r="B87" s="195"/>
      <c r="C87" s="195"/>
      <c r="D87" s="195"/>
      <c r="E87" s="195"/>
      <c r="F87" s="195"/>
      <c r="G87" s="195"/>
      <c r="H87" s="195"/>
      <c r="I87" s="195"/>
    </row>
    <row r="88" ht="20.25" spans="1:9">
      <c r="A88" s="195"/>
      <c r="B88" s="195"/>
      <c r="C88" s="195"/>
      <c r="D88" s="195"/>
      <c r="E88" s="195"/>
      <c r="F88" s="195"/>
      <c r="G88" s="195"/>
      <c r="H88" s="195"/>
      <c r="I88" s="195"/>
    </row>
    <row r="89" ht="20.25" spans="1:9">
      <c r="A89" s="195"/>
      <c r="B89" s="195"/>
      <c r="C89" s="195"/>
      <c r="D89" s="195"/>
      <c r="E89" s="195"/>
      <c r="F89" s="195"/>
      <c r="G89" s="195"/>
      <c r="H89" s="195"/>
      <c r="I89" s="195"/>
    </row>
    <row r="90" ht="20.25" spans="1:9">
      <c r="A90" s="195"/>
      <c r="B90" s="195"/>
      <c r="C90" s="195"/>
      <c r="D90" s="195"/>
      <c r="E90" s="195"/>
      <c r="F90" s="195"/>
      <c r="G90" s="195"/>
      <c r="H90" s="195"/>
      <c r="I90" s="195"/>
    </row>
    <row r="91" ht="20.25" spans="1:9">
      <c r="A91" s="195"/>
      <c r="B91" s="195"/>
      <c r="C91" s="195"/>
      <c r="D91" s="195"/>
      <c r="E91" s="195"/>
      <c r="F91" s="195"/>
      <c r="G91" s="195"/>
      <c r="H91" s="195"/>
      <c r="I91" s="195"/>
    </row>
    <row r="92" ht="20.25" spans="1:9">
      <c r="A92" s="195"/>
      <c r="B92" s="195"/>
      <c r="C92" s="195"/>
      <c r="D92" s="195"/>
      <c r="E92" s="195"/>
      <c r="F92" s="195"/>
      <c r="G92" s="195"/>
      <c r="H92" s="195"/>
      <c r="I92" s="195"/>
    </row>
    <row r="93" ht="20.25" spans="1:9">
      <c r="A93" s="195"/>
      <c r="B93" s="195"/>
      <c r="C93" s="195"/>
      <c r="D93" s="195"/>
      <c r="E93" s="195"/>
      <c r="F93" s="195"/>
      <c r="G93" s="195"/>
      <c r="H93" s="195"/>
      <c r="I93" s="195"/>
    </row>
    <row r="94" ht="20.25" spans="1:9">
      <c r="A94" s="195"/>
      <c r="B94" s="195"/>
      <c r="C94" s="195"/>
      <c r="D94" s="195"/>
      <c r="E94" s="195"/>
      <c r="F94" s="195"/>
      <c r="G94" s="195"/>
      <c r="H94" s="195"/>
      <c r="I94" s="195"/>
    </row>
    <row r="95" ht="20.25" spans="1:9">
      <c r="A95" s="195"/>
      <c r="B95" s="195"/>
      <c r="C95" s="195"/>
      <c r="D95" s="195"/>
      <c r="E95" s="195"/>
      <c r="F95" s="195"/>
      <c r="G95" s="195"/>
      <c r="H95" s="195"/>
      <c r="I95" s="195"/>
    </row>
    <row r="96" ht="20.25" spans="1:9">
      <c r="A96" s="195"/>
      <c r="B96" s="195"/>
      <c r="C96" s="195"/>
      <c r="D96" s="195"/>
      <c r="E96" s="195"/>
      <c r="F96" s="195"/>
      <c r="G96" s="195"/>
      <c r="H96" s="195"/>
      <c r="I96" s="195"/>
    </row>
    <row r="97" ht="20.25" spans="1:9">
      <c r="A97" s="195"/>
      <c r="B97" s="195"/>
      <c r="C97" s="195"/>
      <c r="D97" s="195"/>
      <c r="E97" s="195"/>
      <c r="F97" s="195"/>
      <c r="G97" s="195"/>
      <c r="H97" s="195"/>
      <c r="I97" s="195"/>
    </row>
    <row r="98" ht="20.25" spans="1:9">
      <c r="A98" s="195"/>
      <c r="B98" s="195"/>
      <c r="C98" s="195"/>
      <c r="D98" s="195"/>
      <c r="E98" s="195"/>
      <c r="F98" s="195"/>
      <c r="G98" s="195"/>
      <c r="H98" s="195"/>
      <c r="I98" s="195"/>
    </row>
    <row r="99" ht="20.25" spans="1:9">
      <c r="A99" s="195"/>
      <c r="B99" s="195"/>
      <c r="C99" s="195"/>
      <c r="D99" s="195"/>
      <c r="E99" s="195"/>
      <c r="F99" s="195"/>
      <c r="G99" s="195"/>
      <c r="H99" s="195"/>
      <c r="I99" s="195"/>
    </row>
    <row r="100" ht="20.25" spans="1:9">
      <c r="A100" s="195"/>
      <c r="B100" s="195"/>
      <c r="C100" s="195"/>
      <c r="D100" s="195"/>
      <c r="E100" s="195"/>
      <c r="F100" s="195"/>
      <c r="G100" s="195"/>
      <c r="H100" s="195"/>
      <c r="I100" s="195"/>
    </row>
    <row r="101" ht="20.25" spans="1:9">
      <c r="A101" s="195"/>
      <c r="B101" s="195"/>
      <c r="C101" s="195"/>
      <c r="D101" s="195"/>
      <c r="E101" s="195"/>
      <c r="F101" s="195"/>
      <c r="G101" s="195"/>
      <c r="H101" s="195"/>
      <c r="I101" s="195"/>
    </row>
    <row r="102" ht="20.25" spans="1:9">
      <c r="A102" s="195"/>
      <c r="B102" s="195"/>
      <c r="C102" s="195"/>
      <c r="D102" s="195"/>
      <c r="E102" s="195"/>
      <c r="F102" s="195"/>
      <c r="G102" s="195"/>
      <c r="H102" s="195"/>
      <c r="I102" s="195"/>
    </row>
    <row r="103" ht="20.25" spans="1:9">
      <c r="A103" s="195"/>
      <c r="B103" s="195"/>
      <c r="C103" s="195"/>
      <c r="D103" s="195"/>
      <c r="E103" s="195"/>
      <c r="F103" s="195"/>
      <c r="G103" s="195"/>
      <c r="H103" s="195"/>
      <c r="I103" s="195"/>
    </row>
    <row r="104" ht="20.25" spans="1:9">
      <c r="A104" s="195"/>
      <c r="B104" s="195"/>
      <c r="C104" s="195"/>
      <c r="D104" s="195"/>
      <c r="E104" s="195"/>
      <c r="F104" s="195"/>
      <c r="G104" s="195"/>
      <c r="H104" s="195"/>
      <c r="I104" s="195"/>
    </row>
    <row r="105" ht="20.25" spans="1:9">
      <c r="A105" s="195"/>
      <c r="B105" s="195"/>
      <c r="C105" s="195"/>
      <c r="D105" s="195"/>
      <c r="E105" s="195"/>
      <c r="F105" s="195"/>
      <c r="G105" s="195"/>
      <c r="H105" s="195"/>
      <c r="I105" s="195"/>
    </row>
    <row r="106" ht="20.25" spans="1:9">
      <c r="A106" s="195"/>
      <c r="B106" s="195"/>
      <c r="C106" s="195"/>
      <c r="D106" s="195"/>
      <c r="E106" s="195"/>
      <c r="F106" s="195"/>
      <c r="G106" s="195"/>
      <c r="H106" s="195"/>
      <c r="I106" s="195"/>
    </row>
    <row r="107" ht="20.25" spans="1:9">
      <c r="A107" s="195"/>
      <c r="B107" s="195"/>
      <c r="C107" s="195"/>
      <c r="D107" s="195"/>
      <c r="E107" s="195"/>
      <c r="F107" s="195"/>
      <c r="G107" s="195"/>
      <c r="H107" s="195"/>
      <c r="I107" s="195"/>
    </row>
    <row r="108" ht="20.25" spans="1:9">
      <c r="A108" s="195"/>
      <c r="B108" s="195"/>
      <c r="C108" s="195"/>
      <c r="D108" s="195"/>
      <c r="E108" s="195"/>
      <c r="F108" s="195"/>
      <c r="G108" s="195"/>
      <c r="H108" s="195"/>
      <c r="I108" s="195"/>
    </row>
    <row r="109" ht="20.25" spans="1:9">
      <c r="A109" s="195"/>
      <c r="B109" s="195"/>
      <c r="C109" s="195"/>
      <c r="D109" s="195"/>
      <c r="E109" s="195"/>
      <c r="F109" s="195"/>
      <c r="G109" s="195"/>
      <c r="H109" s="195"/>
      <c r="I109" s="195"/>
    </row>
    <row r="110" ht="20.25" spans="1:9">
      <c r="A110" s="195"/>
      <c r="B110" s="195"/>
      <c r="C110" s="195"/>
      <c r="D110" s="195"/>
      <c r="E110" s="195"/>
      <c r="F110" s="195"/>
      <c r="G110" s="195"/>
      <c r="H110" s="195"/>
      <c r="I110" s="195"/>
    </row>
    <row r="111" ht="20.25" spans="1:9">
      <c r="A111" s="195"/>
      <c r="B111" s="195"/>
      <c r="C111" s="195"/>
      <c r="D111" s="195"/>
      <c r="E111" s="195"/>
      <c r="F111" s="195"/>
      <c r="G111" s="195"/>
      <c r="H111" s="195"/>
      <c r="I111" s="195"/>
    </row>
    <row r="112" ht="20.25" spans="1:9">
      <c r="A112" s="195"/>
      <c r="B112" s="195"/>
      <c r="C112" s="195"/>
      <c r="D112" s="195"/>
      <c r="E112" s="195"/>
      <c r="F112" s="195"/>
      <c r="G112" s="195"/>
      <c r="H112" s="195"/>
      <c r="I112" s="195"/>
    </row>
    <row r="113" ht="20.25" spans="1:9">
      <c r="A113" s="195"/>
      <c r="B113" s="195"/>
      <c r="C113" s="195"/>
      <c r="D113" s="195"/>
      <c r="E113" s="195"/>
      <c r="F113" s="195"/>
      <c r="G113" s="195"/>
      <c r="H113" s="195"/>
      <c r="I113" s="195"/>
    </row>
    <row r="114" ht="20.25" spans="1:9">
      <c r="A114" s="195"/>
      <c r="B114" s="195"/>
      <c r="C114" s="195"/>
      <c r="D114" s="195"/>
      <c r="E114" s="195"/>
      <c r="F114" s="195"/>
      <c r="G114" s="195"/>
      <c r="H114" s="195"/>
      <c r="I114" s="195"/>
    </row>
    <row r="115" ht="20.25" spans="1:9">
      <c r="A115" s="195"/>
      <c r="B115" s="195"/>
      <c r="C115" s="195"/>
      <c r="D115" s="195"/>
      <c r="E115" s="195"/>
      <c r="F115" s="195"/>
      <c r="G115" s="195"/>
      <c r="H115" s="195"/>
      <c r="I115" s="195"/>
    </row>
    <row r="116" ht="20.25" spans="1:9">
      <c r="A116" s="195"/>
      <c r="B116" s="195"/>
      <c r="C116" s="195"/>
      <c r="D116" s="195"/>
      <c r="E116" s="195"/>
      <c r="F116" s="195"/>
      <c r="G116" s="195"/>
      <c r="H116" s="195"/>
      <c r="I116" s="195"/>
    </row>
    <row r="117" ht="20.25" spans="1:9">
      <c r="A117" s="195"/>
      <c r="B117" s="195"/>
      <c r="C117" s="195"/>
      <c r="D117" s="195"/>
      <c r="E117" s="195"/>
      <c r="F117" s="195"/>
      <c r="G117" s="195"/>
      <c r="H117" s="195"/>
      <c r="I117" s="195"/>
    </row>
    <row r="118" ht="20.25" spans="1:9">
      <c r="A118" s="195"/>
      <c r="B118" s="195"/>
      <c r="C118" s="195"/>
      <c r="D118" s="195"/>
      <c r="E118" s="195"/>
      <c r="F118" s="195"/>
      <c r="G118" s="195"/>
      <c r="H118" s="195"/>
      <c r="I118" s="195"/>
    </row>
    <row r="119" ht="20.25" spans="1:9">
      <c r="A119" s="195"/>
      <c r="B119" s="195"/>
      <c r="C119" s="195"/>
      <c r="D119" s="195"/>
      <c r="E119" s="195"/>
      <c r="F119" s="195"/>
      <c r="G119" s="195"/>
      <c r="H119" s="195"/>
      <c r="I119" s="195"/>
    </row>
    <row r="120" ht="20.25" spans="1:9">
      <c r="A120" s="195"/>
      <c r="B120" s="195"/>
      <c r="C120" s="195"/>
      <c r="D120" s="195"/>
      <c r="E120" s="195"/>
      <c r="F120" s="195"/>
      <c r="G120" s="195"/>
      <c r="H120" s="195"/>
      <c r="I120" s="195"/>
    </row>
    <row r="121" ht="20.25" spans="1:9">
      <c r="A121" s="195"/>
      <c r="B121" s="195"/>
      <c r="C121" s="195"/>
      <c r="D121" s="195"/>
      <c r="E121" s="195"/>
      <c r="F121" s="195"/>
      <c r="G121" s="195"/>
      <c r="H121" s="195"/>
      <c r="I121" s="195"/>
    </row>
    <row r="122" ht="20.25" spans="1:9">
      <c r="A122" s="195"/>
      <c r="B122" s="195"/>
      <c r="C122" s="195"/>
      <c r="D122" s="195"/>
      <c r="E122" s="195"/>
      <c r="F122" s="195"/>
      <c r="G122" s="195"/>
      <c r="H122" s="195"/>
      <c r="I122" s="195"/>
    </row>
    <row r="123" ht="20.25" spans="1:9">
      <c r="A123" s="195"/>
      <c r="B123" s="195"/>
      <c r="C123" s="195"/>
      <c r="D123" s="195"/>
      <c r="E123" s="195"/>
      <c r="F123" s="195"/>
      <c r="G123" s="195"/>
      <c r="H123" s="195"/>
      <c r="I123" s="195"/>
    </row>
    <row r="124" ht="20.25" spans="1:9">
      <c r="A124" s="195"/>
      <c r="B124" s="195"/>
      <c r="C124" s="195"/>
      <c r="D124" s="195"/>
      <c r="E124" s="195"/>
      <c r="F124" s="195"/>
      <c r="G124" s="195"/>
      <c r="H124" s="195"/>
      <c r="I124" s="195"/>
    </row>
    <row r="125" ht="20.25" spans="1:9">
      <c r="A125" s="195"/>
      <c r="B125" s="195"/>
      <c r="C125" s="195"/>
      <c r="D125" s="195"/>
      <c r="E125" s="195"/>
      <c r="F125" s="195"/>
      <c r="G125" s="195"/>
      <c r="H125" s="195"/>
      <c r="I125" s="195"/>
    </row>
    <row r="126" ht="20.25" spans="1:9">
      <c r="A126" s="195"/>
      <c r="B126" s="195"/>
      <c r="C126" s="195"/>
      <c r="D126" s="195"/>
      <c r="E126" s="195"/>
      <c r="F126" s="195"/>
      <c r="G126" s="195"/>
      <c r="H126" s="195"/>
      <c r="I126" s="195"/>
    </row>
    <row r="127" ht="20.25" spans="1:9">
      <c r="A127" s="195"/>
      <c r="B127" s="195"/>
      <c r="C127" s="195"/>
      <c r="D127" s="195"/>
      <c r="E127" s="195"/>
      <c r="F127" s="195"/>
      <c r="G127" s="195"/>
      <c r="H127" s="195"/>
      <c r="I127" s="195"/>
    </row>
    <row r="128" ht="20.25" spans="1:9">
      <c r="A128" s="195"/>
      <c r="B128" s="195"/>
      <c r="C128" s="195"/>
      <c r="D128" s="195"/>
      <c r="E128" s="195"/>
      <c r="F128" s="195"/>
      <c r="G128" s="195"/>
      <c r="H128" s="195"/>
      <c r="I128" s="195"/>
    </row>
    <row r="129" ht="20.25" spans="1:9">
      <c r="A129" s="195"/>
      <c r="B129" s="195"/>
      <c r="C129" s="195"/>
      <c r="D129" s="195"/>
      <c r="E129" s="195"/>
      <c r="F129" s="195"/>
      <c r="G129" s="195"/>
      <c r="H129" s="195"/>
      <c r="I129" s="195"/>
    </row>
    <row r="130" ht="20.25" spans="1:9">
      <c r="A130" s="195"/>
      <c r="B130" s="195"/>
      <c r="C130" s="195"/>
      <c r="D130" s="195"/>
      <c r="E130" s="195"/>
      <c r="F130" s="195"/>
      <c r="G130" s="195"/>
      <c r="H130" s="195"/>
      <c r="I130" s="195"/>
    </row>
    <row r="131" ht="20.25" spans="1:9">
      <c r="A131" s="195"/>
      <c r="B131" s="195"/>
      <c r="C131" s="195"/>
      <c r="D131" s="195"/>
      <c r="E131" s="195"/>
      <c r="F131" s="195"/>
      <c r="G131" s="195"/>
      <c r="H131" s="195"/>
      <c r="I131" s="195"/>
    </row>
    <row r="132" ht="20.25" spans="1:9">
      <c r="A132" s="195"/>
      <c r="B132" s="195"/>
      <c r="C132" s="195"/>
      <c r="D132" s="195"/>
      <c r="E132" s="195"/>
      <c r="F132" s="195"/>
      <c r="G132" s="195"/>
      <c r="H132" s="195"/>
      <c r="I132" s="195"/>
    </row>
    <row r="133" ht="20.25" spans="1:9">
      <c r="A133" s="195"/>
      <c r="B133" s="195"/>
      <c r="C133" s="195"/>
      <c r="D133" s="195"/>
      <c r="E133" s="195"/>
      <c r="F133" s="195"/>
      <c r="G133" s="195"/>
      <c r="H133" s="195"/>
      <c r="I133" s="195"/>
    </row>
    <row r="134" ht="20.25" spans="1:9">
      <c r="A134" s="195"/>
      <c r="B134" s="195"/>
      <c r="C134" s="195"/>
      <c r="D134" s="195"/>
      <c r="E134" s="195"/>
      <c r="F134" s="195"/>
      <c r="G134" s="195"/>
      <c r="H134" s="195"/>
      <c r="I134" s="195"/>
    </row>
    <row r="135" ht="20.25" spans="1:9">
      <c r="A135" s="195"/>
      <c r="B135" s="195"/>
      <c r="C135" s="195"/>
      <c r="D135" s="195"/>
      <c r="E135" s="195"/>
      <c r="F135" s="195"/>
      <c r="G135" s="195"/>
      <c r="H135" s="195"/>
      <c r="I135" s="195"/>
    </row>
    <row r="136" ht="20.25" spans="1:9">
      <c r="A136" s="195"/>
      <c r="B136" s="195"/>
      <c r="C136" s="195"/>
      <c r="D136" s="195"/>
      <c r="E136" s="195"/>
      <c r="F136" s="195"/>
      <c r="G136" s="195"/>
      <c r="H136" s="195"/>
      <c r="I136" s="195"/>
    </row>
    <row r="137" ht="20.25" spans="1:9">
      <c r="A137" s="195"/>
      <c r="B137" s="195"/>
      <c r="C137" s="195"/>
      <c r="D137" s="195"/>
      <c r="E137" s="195"/>
      <c r="F137" s="195"/>
      <c r="G137" s="195"/>
      <c r="H137" s="195"/>
      <c r="I137" s="195"/>
    </row>
    <row r="138" ht="20.25" spans="1:9">
      <c r="A138" s="195"/>
      <c r="B138" s="195"/>
      <c r="C138" s="195"/>
      <c r="D138" s="195"/>
      <c r="E138" s="195"/>
      <c r="F138" s="195"/>
      <c r="G138" s="195"/>
      <c r="H138" s="195"/>
      <c r="I138" s="195"/>
    </row>
    <row r="139" ht="20.25" spans="1:9">
      <c r="A139" s="195"/>
      <c r="B139" s="195"/>
      <c r="C139" s="195"/>
      <c r="D139" s="195"/>
      <c r="E139" s="195"/>
      <c r="F139" s="195"/>
      <c r="G139" s="195"/>
      <c r="H139" s="195"/>
      <c r="I139" s="195"/>
    </row>
    <row r="140" ht="20.25" spans="1:9">
      <c r="A140" s="195"/>
      <c r="B140" s="195"/>
      <c r="C140" s="195"/>
      <c r="D140" s="195"/>
      <c r="E140" s="195"/>
      <c r="F140" s="195"/>
      <c r="G140" s="195"/>
      <c r="H140" s="195"/>
      <c r="I140" s="195"/>
    </row>
    <row r="141" ht="20.25" spans="1:9">
      <c r="A141" s="195"/>
      <c r="B141" s="195"/>
      <c r="C141" s="195"/>
      <c r="D141" s="195"/>
      <c r="E141" s="195"/>
      <c r="F141" s="195"/>
      <c r="G141" s="195"/>
      <c r="H141" s="195"/>
      <c r="I141" s="195"/>
    </row>
    <row r="142" ht="20.25" spans="1:9">
      <c r="A142" s="195"/>
      <c r="B142" s="195"/>
      <c r="C142" s="195"/>
      <c r="D142" s="195"/>
      <c r="E142" s="195"/>
      <c r="F142" s="195"/>
      <c r="G142" s="195"/>
      <c r="H142" s="195"/>
      <c r="I142" s="195"/>
    </row>
    <row r="143" ht="20.25" spans="1:9">
      <c r="A143" s="195"/>
      <c r="B143" s="195"/>
      <c r="C143" s="195"/>
      <c r="D143" s="195"/>
      <c r="E143" s="195"/>
      <c r="F143" s="195"/>
      <c r="G143" s="195"/>
      <c r="H143" s="195"/>
      <c r="I143" s="195"/>
    </row>
    <row r="144" ht="20.25" spans="1:9">
      <c r="A144" s="195"/>
      <c r="B144" s="195"/>
      <c r="C144" s="195"/>
      <c r="D144" s="195"/>
      <c r="E144" s="195"/>
      <c r="F144" s="195"/>
      <c r="G144" s="195"/>
      <c r="H144" s="195"/>
      <c r="I144" s="195"/>
    </row>
    <row r="145" ht="20.25" spans="1:9">
      <c r="A145" s="195"/>
      <c r="B145" s="195"/>
      <c r="C145" s="195"/>
      <c r="D145" s="195"/>
      <c r="E145" s="195"/>
      <c r="F145" s="195"/>
      <c r="G145" s="195"/>
      <c r="H145" s="195"/>
      <c r="I145" s="195"/>
    </row>
    <row r="146" ht="20.25" spans="1:9">
      <c r="A146" s="195"/>
      <c r="B146" s="195"/>
      <c r="C146" s="195"/>
      <c r="D146" s="195"/>
      <c r="E146" s="195"/>
      <c r="F146" s="195"/>
      <c r="G146" s="195"/>
      <c r="H146" s="195"/>
      <c r="I146" s="195"/>
    </row>
    <row r="147" ht="20.25" spans="1:9">
      <c r="A147" s="195"/>
      <c r="B147" s="195"/>
      <c r="C147" s="195"/>
      <c r="D147" s="195"/>
      <c r="E147" s="195"/>
      <c r="F147" s="195"/>
      <c r="G147" s="195"/>
      <c r="H147" s="195"/>
      <c r="I147" s="195"/>
    </row>
    <row r="148" ht="20.25" spans="1:9">
      <c r="A148" s="195"/>
      <c r="B148" s="195"/>
      <c r="C148" s="195"/>
      <c r="D148" s="195"/>
      <c r="E148" s="195"/>
      <c r="F148" s="195"/>
      <c r="G148" s="195"/>
      <c r="H148" s="195"/>
      <c r="I148" s="195"/>
    </row>
    <row r="149" ht="20.25" spans="1:9">
      <c r="A149" s="195"/>
      <c r="B149" s="195"/>
      <c r="C149" s="195"/>
      <c r="D149" s="195"/>
      <c r="E149" s="195"/>
      <c r="F149" s="195"/>
      <c r="G149" s="195"/>
      <c r="H149" s="195"/>
      <c r="I149" s="195"/>
    </row>
    <row r="150" ht="20.25" spans="1:9">
      <c r="A150" s="195"/>
      <c r="B150" s="195"/>
      <c r="C150" s="195"/>
      <c r="D150" s="195"/>
      <c r="E150" s="195"/>
      <c r="F150" s="195"/>
      <c r="G150" s="195"/>
      <c r="H150" s="195"/>
      <c r="I150" s="195"/>
    </row>
    <row r="151" ht="20.25" spans="1:9">
      <c r="A151" s="195"/>
      <c r="B151" s="195"/>
      <c r="C151" s="195"/>
      <c r="D151" s="195"/>
      <c r="E151" s="195"/>
      <c r="F151" s="195"/>
      <c r="G151" s="195"/>
      <c r="H151" s="195"/>
      <c r="I151" s="195"/>
    </row>
    <row r="152" ht="20.25" spans="1:9">
      <c r="A152" s="195"/>
      <c r="B152" s="195"/>
      <c r="C152" s="195"/>
      <c r="D152" s="195"/>
      <c r="E152" s="195"/>
      <c r="F152" s="195"/>
      <c r="G152" s="195"/>
      <c r="H152" s="195"/>
      <c r="I152" s="195"/>
    </row>
    <row r="153" ht="20.25" spans="1:9">
      <c r="A153" s="195"/>
      <c r="B153" s="195"/>
      <c r="C153" s="195"/>
      <c r="D153" s="195"/>
      <c r="E153" s="195"/>
      <c r="F153" s="195"/>
      <c r="G153" s="195"/>
      <c r="H153" s="195"/>
      <c r="I153" s="195"/>
    </row>
    <row r="154" ht="20.25" spans="1:9">
      <c r="A154" s="195"/>
      <c r="B154" s="195"/>
      <c r="C154" s="195"/>
      <c r="D154" s="195"/>
      <c r="E154" s="195"/>
      <c r="F154" s="195"/>
      <c r="G154" s="195"/>
      <c r="H154" s="195"/>
      <c r="I154" s="195"/>
    </row>
    <row r="155" ht="20.25" spans="1:9">
      <c r="A155" s="195"/>
      <c r="B155" s="195"/>
      <c r="C155" s="195"/>
      <c r="D155" s="195"/>
      <c r="E155" s="195"/>
      <c r="F155" s="195"/>
      <c r="G155" s="195"/>
      <c r="H155" s="195"/>
      <c r="I155" s="195"/>
    </row>
    <row r="156" ht="20.25" spans="1:9">
      <c r="A156" s="195"/>
      <c r="B156" s="195"/>
      <c r="C156" s="195"/>
      <c r="D156" s="195"/>
      <c r="E156" s="195"/>
      <c r="F156" s="195"/>
      <c r="G156" s="195"/>
      <c r="H156" s="195"/>
      <c r="I156" s="195"/>
    </row>
    <row r="157" ht="20.25" spans="1:9">
      <c r="A157" s="195"/>
      <c r="B157" s="195"/>
      <c r="C157" s="195"/>
      <c r="D157" s="195"/>
      <c r="E157" s="195"/>
      <c r="F157" s="195"/>
      <c r="G157" s="195"/>
      <c r="H157" s="195"/>
      <c r="I157" s="195"/>
    </row>
    <row r="158" ht="20.25" spans="1:9">
      <c r="A158" s="195"/>
      <c r="B158" s="195"/>
      <c r="C158" s="195"/>
      <c r="D158" s="195"/>
      <c r="E158" s="195"/>
      <c r="F158" s="195"/>
      <c r="G158" s="195"/>
      <c r="H158" s="195"/>
      <c r="I158" s="195"/>
    </row>
    <row r="159" ht="20.25" spans="1:9">
      <c r="A159" s="195"/>
      <c r="B159" s="195"/>
      <c r="C159" s="195"/>
      <c r="D159" s="195"/>
      <c r="E159" s="195"/>
      <c r="F159" s="195"/>
      <c r="G159" s="195"/>
      <c r="H159" s="195"/>
      <c r="I159" s="195"/>
    </row>
    <row r="160" ht="20.25" spans="1:9">
      <c r="A160" s="195"/>
      <c r="B160" s="195"/>
      <c r="C160" s="195"/>
      <c r="D160" s="195"/>
      <c r="E160" s="195"/>
      <c r="F160" s="195"/>
      <c r="G160" s="195"/>
      <c r="H160" s="195"/>
      <c r="I160" s="195"/>
    </row>
    <row r="161" ht="20.25" spans="1:9">
      <c r="A161" s="195"/>
      <c r="B161" s="195"/>
      <c r="C161" s="195"/>
      <c r="D161" s="195"/>
      <c r="E161" s="195"/>
      <c r="F161" s="195"/>
      <c r="G161" s="195"/>
      <c r="H161" s="195"/>
      <c r="I161" s="195"/>
    </row>
    <row r="162" ht="20.25" spans="1:9">
      <c r="A162" s="195"/>
      <c r="B162" s="195"/>
      <c r="C162" s="195"/>
      <c r="D162" s="195"/>
      <c r="E162" s="195"/>
      <c r="F162" s="195"/>
      <c r="G162" s="195"/>
      <c r="H162" s="195"/>
      <c r="I162" s="195"/>
    </row>
    <row r="163" ht="20.25" spans="1:9">
      <c r="A163" s="195"/>
      <c r="B163" s="195"/>
      <c r="C163" s="195"/>
      <c r="D163" s="195"/>
      <c r="E163" s="195"/>
      <c r="F163" s="195"/>
      <c r="G163" s="195"/>
      <c r="H163" s="195"/>
      <c r="I163" s="195"/>
    </row>
    <row r="164" ht="20.25" spans="1:9">
      <c r="A164" s="195"/>
      <c r="B164" s="195"/>
      <c r="C164" s="195"/>
      <c r="D164" s="195"/>
      <c r="E164" s="195"/>
      <c r="F164" s="195"/>
      <c r="G164" s="195"/>
      <c r="H164" s="195"/>
      <c r="I164" s="195"/>
    </row>
    <row r="165" ht="20.25" spans="1:9">
      <c r="A165" s="195"/>
      <c r="B165" s="195"/>
      <c r="C165" s="195"/>
      <c r="D165" s="195"/>
      <c r="E165" s="195"/>
      <c r="F165" s="195"/>
      <c r="G165" s="195"/>
      <c r="H165" s="195"/>
      <c r="I165" s="195"/>
    </row>
    <row r="166" ht="20.25" spans="1:9">
      <c r="A166" s="195"/>
      <c r="B166" s="195"/>
      <c r="C166" s="195"/>
      <c r="D166" s="195"/>
      <c r="E166" s="195"/>
      <c r="F166" s="195"/>
      <c r="G166" s="195"/>
      <c r="H166" s="195"/>
      <c r="I166" s="195"/>
    </row>
    <row r="167" ht="20.25" spans="1:9">
      <c r="A167" s="195"/>
      <c r="B167" s="195"/>
      <c r="C167" s="195"/>
      <c r="D167" s="195"/>
      <c r="E167" s="195"/>
      <c r="F167" s="195"/>
      <c r="G167" s="195"/>
      <c r="H167" s="195"/>
      <c r="I167" s="195"/>
    </row>
    <row r="168" ht="20.25" spans="1:9">
      <c r="A168" s="195"/>
      <c r="B168" s="195"/>
      <c r="C168" s="195"/>
      <c r="D168" s="195"/>
      <c r="E168" s="195"/>
      <c r="F168" s="195"/>
      <c r="G168" s="195"/>
      <c r="H168" s="195"/>
      <c r="I168" s="195"/>
    </row>
    <row r="169" ht="20.25" spans="1:9">
      <c r="A169" s="195"/>
      <c r="B169" s="195"/>
      <c r="C169" s="195"/>
      <c r="D169" s="195"/>
      <c r="E169" s="195"/>
      <c r="F169" s="195"/>
      <c r="G169" s="195"/>
      <c r="H169" s="195"/>
      <c r="I169" s="195"/>
    </row>
    <row r="170" ht="20.25" spans="1:9">
      <c r="A170" s="195"/>
      <c r="B170" s="195"/>
      <c r="C170" s="195"/>
      <c r="D170" s="195"/>
      <c r="E170" s="195"/>
      <c r="F170" s="195"/>
      <c r="G170" s="195"/>
      <c r="H170" s="195"/>
      <c r="I170" s="195"/>
    </row>
    <row r="171" ht="20.25" spans="1:9">
      <c r="A171" s="195"/>
      <c r="B171" s="195"/>
      <c r="C171" s="195"/>
      <c r="D171" s="195"/>
      <c r="E171" s="195"/>
      <c r="F171" s="195"/>
      <c r="G171" s="195"/>
      <c r="H171" s="195"/>
      <c r="I171" s="195"/>
    </row>
    <row r="172" ht="20.25" spans="1:9">
      <c r="A172" s="195"/>
      <c r="B172" s="195"/>
      <c r="C172" s="195"/>
      <c r="D172" s="195"/>
      <c r="E172" s="195"/>
      <c r="F172" s="195"/>
      <c r="G172" s="195"/>
      <c r="H172" s="195"/>
      <c r="I172" s="195"/>
    </row>
    <row r="173" ht="20.25" spans="1:9">
      <c r="A173" s="195"/>
      <c r="B173" s="195"/>
      <c r="C173" s="195"/>
      <c r="D173" s="195"/>
      <c r="E173" s="195"/>
      <c r="F173" s="195"/>
      <c r="G173" s="195"/>
      <c r="H173" s="195"/>
      <c r="I173" s="195"/>
    </row>
    <row r="174" ht="20.25" spans="1:9">
      <c r="A174" s="195"/>
      <c r="B174" s="195"/>
      <c r="C174" s="195"/>
      <c r="D174" s="195"/>
      <c r="E174" s="195"/>
      <c r="F174" s="195"/>
      <c r="G174" s="195"/>
      <c r="H174" s="195"/>
      <c r="I174" s="195"/>
    </row>
    <row r="175" ht="20.25" spans="1:9">
      <c r="A175" s="195"/>
      <c r="B175" s="195"/>
      <c r="C175" s="195"/>
      <c r="D175" s="195"/>
      <c r="E175" s="195"/>
      <c r="F175" s="195"/>
      <c r="G175" s="195"/>
      <c r="H175" s="195"/>
      <c r="I175" s="195"/>
    </row>
    <row r="176" ht="20.25" spans="1:9">
      <c r="A176" s="195"/>
      <c r="B176" s="195"/>
      <c r="C176" s="195"/>
      <c r="D176" s="195"/>
      <c r="E176" s="195"/>
      <c r="F176" s="195"/>
      <c r="G176" s="195"/>
      <c r="H176" s="195"/>
      <c r="I176" s="195"/>
    </row>
    <row r="177" ht="20.25" spans="1:9">
      <c r="A177" s="195"/>
      <c r="B177" s="195"/>
      <c r="C177" s="195"/>
      <c r="D177" s="195"/>
      <c r="E177" s="195"/>
      <c r="F177" s="195"/>
      <c r="G177" s="195"/>
      <c r="H177" s="195"/>
      <c r="I177" s="195"/>
    </row>
    <row r="178" ht="20.25" spans="1:9">
      <c r="A178" s="195"/>
      <c r="B178" s="195"/>
      <c r="C178" s="195"/>
      <c r="D178" s="195"/>
      <c r="E178" s="195"/>
      <c r="F178" s="195"/>
      <c r="G178" s="195"/>
      <c r="H178" s="195"/>
      <c r="I178" s="195"/>
    </row>
    <row r="179" ht="20.25" spans="1:9">
      <c r="A179" s="195"/>
      <c r="B179" s="195"/>
      <c r="C179" s="195"/>
      <c r="D179" s="195"/>
      <c r="E179" s="195"/>
      <c r="F179" s="195"/>
      <c r="G179" s="195"/>
      <c r="H179" s="195"/>
      <c r="I179" s="195"/>
    </row>
    <row r="180" ht="20.25" spans="1:9">
      <c r="A180" s="195"/>
      <c r="B180" s="195"/>
      <c r="C180" s="195"/>
      <c r="D180" s="195"/>
      <c r="E180" s="195"/>
      <c r="F180" s="195"/>
      <c r="G180" s="195"/>
      <c r="H180" s="195"/>
      <c r="I180" s="195"/>
    </row>
    <row r="181" ht="20.25" spans="1:9">
      <c r="A181" s="195"/>
      <c r="B181" s="195"/>
      <c r="C181" s="195"/>
      <c r="D181" s="195"/>
      <c r="E181" s="195"/>
      <c r="F181" s="195"/>
      <c r="G181" s="195"/>
      <c r="H181" s="195"/>
      <c r="I181" s="195"/>
    </row>
    <row r="182" ht="20.25" spans="1:9">
      <c r="A182" s="195"/>
      <c r="B182" s="195"/>
      <c r="C182" s="195"/>
      <c r="D182" s="195"/>
      <c r="E182" s="195"/>
      <c r="F182" s="195"/>
      <c r="G182" s="195"/>
      <c r="H182" s="195"/>
      <c r="I182" s="195"/>
    </row>
    <row r="183" ht="20.25" spans="1:9">
      <c r="A183" s="195"/>
      <c r="B183" s="195"/>
      <c r="C183" s="195"/>
      <c r="D183" s="195"/>
      <c r="E183" s="195"/>
      <c r="F183" s="195"/>
      <c r="G183" s="195"/>
      <c r="H183" s="195"/>
      <c r="I183" s="195"/>
    </row>
    <row r="184" ht="20.25" spans="1:9">
      <c r="A184" s="195"/>
      <c r="B184" s="195"/>
      <c r="C184" s="195"/>
      <c r="D184" s="195"/>
      <c r="E184" s="195"/>
      <c r="F184" s="195"/>
      <c r="G184" s="195"/>
      <c r="H184" s="195"/>
      <c r="I184" s="195"/>
    </row>
    <row r="185" ht="20.25" spans="1:9">
      <c r="A185" s="195"/>
      <c r="B185" s="195"/>
      <c r="C185" s="195"/>
      <c r="D185" s="195"/>
      <c r="E185" s="195"/>
      <c r="F185" s="195"/>
      <c r="G185" s="195"/>
      <c r="H185" s="195"/>
      <c r="I185" s="195"/>
    </row>
    <row r="186" ht="20.25" spans="1:9">
      <c r="A186" s="195"/>
      <c r="B186" s="195"/>
      <c r="C186" s="195"/>
      <c r="D186" s="195"/>
      <c r="E186" s="195"/>
      <c r="F186" s="195"/>
      <c r="G186" s="195"/>
      <c r="H186" s="195"/>
      <c r="I186" s="195"/>
    </row>
    <row r="187" ht="20.25" spans="1:9">
      <c r="A187" s="195"/>
      <c r="B187" s="195"/>
      <c r="C187" s="195"/>
      <c r="D187" s="195"/>
      <c r="E187" s="195"/>
      <c r="F187" s="195"/>
      <c r="G187" s="195"/>
      <c r="H187" s="195"/>
      <c r="I187" s="195"/>
    </row>
    <row r="188" ht="20.25" spans="1:9">
      <c r="A188" s="195"/>
      <c r="B188" s="195"/>
      <c r="C188" s="195"/>
      <c r="D188" s="195"/>
      <c r="E188" s="195"/>
      <c r="F188" s="195"/>
      <c r="G188" s="195"/>
      <c r="H188" s="195"/>
      <c r="I188" s="195"/>
    </row>
    <row r="189" ht="20.25" spans="1:9">
      <c r="A189" s="195"/>
      <c r="B189" s="195"/>
      <c r="C189" s="195"/>
      <c r="D189" s="195"/>
      <c r="E189" s="195"/>
      <c r="F189" s="195"/>
      <c r="G189" s="195"/>
      <c r="H189" s="195"/>
      <c r="I189" s="195"/>
    </row>
    <row r="190" ht="20.25" spans="1:9">
      <c r="A190" s="195"/>
      <c r="B190" s="195"/>
      <c r="C190" s="195"/>
      <c r="D190" s="195"/>
      <c r="E190" s="195"/>
      <c r="F190" s="195"/>
      <c r="G190" s="195"/>
      <c r="H190" s="195"/>
      <c r="I190" s="195"/>
    </row>
    <row r="191" ht="20.25" spans="1:9">
      <c r="A191" s="195"/>
      <c r="B191" s="195"/>
      <c r="C191" s="195"/>
      <c r="D191" s="195"/>
      <c r="E191" s="195"/>
      <c r="F191" s="195"/>
      <c r="G191" s="195"/>
      <c r="H191" s="195"/>
      <c r="I191" s="195"/>
    </row>
    <row r="192" ht="20.25" spans="1:9">
      <c r="A192" s="195"/>
      <c r="B192" s="195"/>
      <c r="C192" s="195"/>
      <c r="D192" s="195"/>
      <c r="E192" s="195"/>
      <c r="F192" s="195"/>
      <c r="G192" s="195"/>
      <c r="H192" s="195"/>
      <c r="I192" s="195"/>
    </row>
    <row r="193" ht="20.25" spans="1:9">
      <c r="A193" s="195"/>
      <c r="B193" s="195"/>
      <c r="C193" s="195"/>
      <c r="D193" s="195"/>
      <c r="E193" s="195"/>
      <c r="F193" s="195"/>
      <c r="G193" s="195"/>
      <c r="H193" s="195"/>
      <c r="I193" s="195"/>
    </row>
    <row r="194" ht="20.25" spans="1:9">
      <c r="A194" s="195"/>
      <c r="B194" s="195"/>
      <c r="C194" s="195"/>
      <c r="D194" s="195"/>
      <c r="E194" s="195"/>
      <c r="F194" s="195"/>
      <c r="G194" s="195"/>
      <c r="H194" s="195"/>
      <c r="I194" s="195"/>
    </row>
    <row r="195" ht="20.25" spans="1:9">
      <c r="A195" s="195"/>
      <c r="B195" s="195"/>
      <c r="C195" s="195"/>
      <c r="D195" s="195"/>
      <c r="E195" s="195"/>
      <c r="F195" s="195"/>
      <c r="G195" s="195"/>
      <c r="H195" s="195"/>
      <c r="I195" s="195"/>
    </row>
    <row r="196" ht="20.25" spans="1:9">
      <c r="A196" s="195"/>
      <c r="B196" s="195"/>
      <c r="C196" s="195"/>
      <c r="D196" s="195"/>
      <c r="E196" s="195"/>
      <c r="F196" s="195"/>
      <c r="G196" s="195"/>
      <c r="H196" s="195"/>
      <c r="I196" s="195"/>
    </row>
    <row r="197" ht="20.25" spans="1:9">
      <c r="A197" s="195"/>
      <c r="B197" s="195"/>
      <c r="C197" s="195"/>
      <c r="D197" s="195"/>
      <c r="E197" s="195"/>
      <c r="F197" s="195"/>
      <c r="G197" s="195"/>
      <c r="H197" s="195"/>
      <c r="I197" s="195"/>
    </row>
    <row r="198" ht="20.25" spans="1:9">
      <c r="A198" s="195"/>
      <c r="B198" s="195"/>
      <c r="C198" s="195"/>
      <c r="D198" s="195"/>
      <c r="E198" s="195"/>
      <c r="F198" s="195"/>
      <c r="G198" s="195"/>
      <c r="H198" s="195"/>
      <c r="I198" s="195"/>
    </row>
    <row r="199" ht="20.25" spans="1:9">
      <c r="A199" s="195"/>
      <c r="B199" s="195"/>
      <c r="C199" s="195"/>
      <c r="D199" s="195"/>
      <c r="E199" s="195"/>
      <c r="F199" s="195"/>
      <c r="G199" s="195"/>
      <c r="H199" s="195"/>
      <c r="I199" s="195"/>
    </row>
    <row r="200" ht="20.25" spans="1:9">
      <c r="A200" s="195"/>
      <c r="B200" s="195"/>
      <c r="C200" s="195"/>
      <c r="D200" s="195"/>
      <c r="E200" s="195"/>
      <c r="F200" s="195"/>
      <c r="G200" s="195"/>
      <c r="H200" s="195"/>
      <c r="I200" s="195"/>
    </row>
    <row r="201" ht="20.25" spans="1:9">
      <c r="A201" s="195"/>
      <c r="B201" s="195"/>
      <c r="C201" s="195"/>
      <c r="D201" s="195"/>
      <c r="E201" s="195"/>
      <c r="F201" s="195"/>
      <c r="G201" s="195"/>
      <c r="H201" s="195"/>
      <c r="I201" s="195"/>
    </row>
    <row r="202" ht="20.25" spans="1:9">
      <c r="A202" s="195"/>
      <c r="B202" s="195"/>
      <c r="C202" s="195"/>
      <c r="D202" s="195"/>
      <c r="E202" s="195"/>
      <c r="F202" s="195"/>
      <c r="G202" s="195"/>
      <c r="H202" s="195"/>
      <c r="I202" s="195"/>
    </row>
    <row r="203" ht="20.25" spans="1:9">
      <c r="A203" s="195"/>
      <c r="B203" s="195"/>
      <c r="C203" s="195"/>
      <c r="D203" s="195"/>
      <c r="E203" s="195"/>
      <c r="F203" s="195"/>
      <c r="G203" s="195"/>
      <c r="H203" s="195"/>
      <c r="I203" s="195"/>
    </row>
    <row r="204" ht="20.25" spans="1:9">
      <c r="A204" s="195"/>
      <c r="B204" s="195"/>
      <c r="C204" s="195"/>
      <c r="D204" s="195"/>
      <c r="E204" s="195"/>
      <c r="F204" s="195"/>
      <c r="G204" s="195"/>
      <c r="H204" s="195"/>
      <c r="I204" s="195"/>
    </row>
    <row r="205" ht="20.25" spans="1:9">
      <c r="A205" s="195"/>
      <c r="B205" s="195"/>
      <c r="C205" s="195"/>
      <c r="D205" s="195"/>
      <c r="E205" s="195"/>
      <c r="F205" s="195"/>
      <c r="G205" s="195"/>
      <c r="H205" s="195"/>
      <c r="I205" s="195"/>
    </row>
    <row r="206" ht="20.25" spans="1:9">
      <c r="A206" s="195"/>
      <c r="B206" s="195"/>
      <c r="C206" s="195"/>
      <c r="D206" s="195"/>
      <c r="E206" s="195"/>
      <c r="F206" s="195"/>
      <c r="G206" s="195"/>
      <c r="H206" s="195"/>
      <c r="I206" s="195"/>
    </row>
    <row r="207" ht="20.25" spans="1:9">
      <c r="A207" s="195"/>
      <c r="B207" s="195"/>
      <c r="C207" s="195"/>
      <c r="D207" s="195"/>
      <c r="E207" s="195"/>
      <c r="F207" s="195"/>
      <c r="G207" s="195"/>
      <c r="H207" s="195"/>
      <c r="I207" s="195"/>
    </row>
    <row r="208" ht="20.25" spans="1:9">
      <c r="A208" s="195"/>
      <c r="B208" s="195"/>
      <c r="C208" s="195"/>
      <c r="D208" s="195"/>
      <c r="E208" s="195"/>
      <c r="F208" s="195"/>
      <c r="G208" s="195"/>
      <c r="H208" s="195"/>
      <c r="I208" s="195"/>
    </row>
    <row r="209" ht="20.25" spans="1:9">
      <c r="A209" s="195"/>
      <c r="B209" s="195"/>
      <c r="C209" s="195"/>
      <c r="D209" s="195"/>
      <c r="E209" s="195"/>
      <c r="F209" s="195"/>
      <c r="G209" s="195"/>
      <c r="H209" s="195"/>
      <c r="I209" s="195"/>
    </row>
    <row r="210" ht="20.25" spans="1:9">
      <c r="A210" s="195"/>
      <c r="B210" s="195"/>
      <c r="C210" s="195"/>
      <c r="D210" s="195"/>
      <c r="E210" s="195"/>
      <c r="F210" s="195"/>
      <c r="G210" s="195"/>
      <c r="H210" s="195"/>
      <c r="I210" s="195"/>
    </row>
    <row r="211" ht="20.25" spans="1:9">
      <c r="A211" s="195"/>
      <c r="B211" s="195"/>
      <c r="C211" s="195"/>
      <c r="D211" s="195"/>
      <c r="E211" s="195"/>
      <c r="F211" s="195"/>
      <c r="G211" s="195"/>
      <c r="H211" s="195"/>
      <c r="I211" s="195"/>
    </row>
    <row r="212" ht="20.25" spans="1:9">
      <c r="A212" s="195"/>
      <c r="B212" s="195"/>
      <c r="C212" s="195"/>
      <c r="D212" s="195"/>
      <c r="E212" s="195"/>
      <c r="F212" s="195"/>
      <c r="G212" s="195"/>
      <c r="H212" s="195"/>
      <c r="I212" s="195"/>
    </row>
    <row r="213" ht="20.25" spans="1:9">
      <c r="A213" s="195"/>
      <c r="B213" s="195"/>
      <c r="C213" s="195"/>
      <c r="D213" s="195"/>
      <c r="E213" s="195"/>
      <c r="F213" s="195"/>
      <c r="G213" s="195"/>
      <c r="H213" s="195"/>
      <c r="I213" s="195"/>
    </row>
    <row r="214" ht="20.25" spans="1:9">
      <c r="A214" s="195"/>
      <c r="B214" s="195"/>
      <c r="C214" s="195"/>
      <c r="D214" s="195"/>
      <c r="E214" s="195"/>
      <c r="F214" s="195"/>
      <c r="G214" s="195"/>
      <c r="H214" s="195"/>
      <c r="I214" s="195"/>
    </row>
    <row r="215" ht="20.25" spans="1:9">
      <c r="A215" s="195"/>
      <c r="B215" s="195"/>
      <c r="C215" s="195"/>
      <c r="D215" s="195"/>
      <c r="E215" s="195"/>
      <c r="F215" s="195"/>
      <c r="G215" s="195"/>
      <c r="H215" s="195"/>
      <c r="I215" s="195"/>
    </row>
    <row r="216" ht="20.25" spans="1:9">
      <c r="A216" s="195"/>
      <c r="B216" s="195"/>
      <c r="C216" s="195"/>
      <c r="D216" s="195"/>
      <c r="E216" s="195"/>
      <c r="F216" s="195"/>
      <c r="G216" s="195"/>
      <c r="H216" s="195"/>
      <c r="I216" s="195"/>
    </row>
    <row r="217" ht="20.25" spans="1:9">
      <c r="A217" s="195"/>
      <c r="B217" s="195"/>
      <c r="C217" s="195"/>
      <c r="D217" s="195"/>
      <c r="E217" s="195"/>
      <c r="F217" s="195"/>
      <c r="G217" s="195"/>
      <c r="H217" s="195"/>
      <c r="I217" s="195"/>
    </row>
    <row r="218" ht="20.25" spans="1:9">
      <c r="A218" s="195"/>
      <c r="B218" s="195"/>
      <c r="C218" s="195"/>
      <c r="D218" s="195"/>
      <c r="E218" s="195"/>
      <c r="F218" s="195"/>
      <c r="G218" s="195"/>
      <c r="H218" s="195"/>
      <c r="I218" s="195"/>
    </row>
    <row r="219" ht="20.25" spans="1:9">
      <c r="A219" s="195"/>
      <c r="B219" s="195"/>
      <c r="C219" s="195"/>
      <c r="D219" s="195"/>
      <c r="E219" s="195"/>
      <c r="F219" s="195"/>
      <c r="G219" s="195"/>
      <c r="H219" s="195"/>
      <c r="I219" s="195"/>
    </row>
    <row r="220" ht="20.25" spans="1:9">
      <c r="A220" s="195"/>
      <c r="B220" s="195"/>
      <c r="C220" s="195"/>
      <c r="D220" s="195"/>
      <c r="E220" s="195"/>
      <c r="F220" s="195"/>
      <c r="G220" s="195"/>
      <c r="H220" s="195"/>
      <c r="I220" s="195"/>
    </row>
    <row r="221" ht="20.25" spans="1:9">
      <c r="A221" s="195"/>
      <c r="B221" s="195"/>
      <c r="C221" s="195"/>
      <c r="D221" s="195"/>
      <c r="E221" s="195"/>
      <c r="F221" s="195"/>
      <c r="G221" s="195"/>
      <c r="H221" s="195"/>
      <c r="I221" s="195"/>
    </row>
    <row r="222" ht="20.25" spans="1:9">
      <c r="A222" s="195"/>
      <c r="B222" s="195"/>
      <c r="C222" s="195"/>
      <c r="D222" s="195"/>
      <c r="E222" s="195"/>
      <c r="F222" s="195"/>
      <c r="G222" s="195"/>
      <c r="H222" s="195"/>
      <c r="I222" s="195"/>
    </row>
    <row r="223" ht="20.25" spans="1:9">
      <c r="A223" s="195"/>
      <c r="B223" s="195"/>
      <c r="C223" s="195"/>
      <c r="D223" s="195"/>
      <c r="E223" s="195"/>
      <c r="F223" s="195"/>
      <c r="G223" s="195"/>
      <c r="H223" s="195"/>
      <c r="I223" s="195"/>
    </row>
    <row r="224" ht="20.25" spans="1:9">
      <c r="A224" s="195"/>
      <c r="B224" s="195"/>
      <c r="C224" s="195"/>
      <c r="D224" s="195"/>
      <c r="E224" s="195"/>
      <c r="F224" s="195"/>
      <c r="G224" s="195"/>
      <c r="H224" s="195"/>
      <c r="I224" s="195"/>
    </row>
    <row r="225" ht="20.25" spans="1:9">
      <c r="A225" s="195"/>
      <c r="B225" s="195"/>
      <c r="C225" s="195"/>
      <c r="D225" s="195"/>
      <c r="E225" s="195"/>
      <c r="F225" s="195"/>
      <c r="G225" s="195"/>
      <c r="H225" s="195"/>
      <c r="I225" s="195"/>
    </row>
    <row r="226" ht="20.25" spans="1:9">
      <c r="A226" s="195"/>
      <c r="B226" s="195"/>
      <c r="C226" s="195"/>
      <c r="D226" s="195"/>
      <c r="E226" s="195"/>
      <c r="F226" s="195"/>
      <c r="G226" s="195"/>
      <c r="H226" s="195"/>
      <c r="I226" s="195"/>
    </row>
    <row r="227" ht="20.25" spans="1:9">
      <c r="A227" s="195"/>
      <c r="B227" s="195"/>
      <c r="C227" s="195"/>
      <c r="D227" s="195"/>
      <c r="E227" s="195"/>
      <c r="F227" s="195"/>
      <c r="G227" s="195"/>
      <c r="H227" s="195"/>
      <c r="I227" s="195"/>
    </row>
    <row r="228" ht="20.25" spans="1:9">
      <c r="A228" s="195"/>
      <c r="B228" s="195"/>
      <c r="C228" s="195"/>
      <c r="D228" s="195"/>
      <c r="E228" s="195"/>
      <c r="F228" s="195"/>
      <c r="G228" s="195"/>
      <c r="H228" s="195"/>
      <c r="I228" s="195"/>
    </row>
    <row r="229" ht="20.25" spans="1:9">
      <c r="A229" s="195"/>
      <c r="B229" s="195"/>
      <c r="C229" s="195"/>
      <c r="D229" s="195"/>
      <c r="E229" s="195"/>
      <c r="F229" s="195"/>
      <c r="G229" s="195"/>
      <c r="H229" s="195"/>
      <c r="I229" s="195"/>
    </row>
    <row r="230" ht="20.25" spans="1:9">
      <c r="A230" s="195"/>
      <c r="B230" s="195"/>
      <c r="C230" s="195"/>
      <c r="D230" s="195"/>
      <c r="E230" s="195"/>
      <c r="F230" s="195"/>
      <c r="G230" s="195"/>
      <c r="H230" s="195"/>
      <c r="I230" s="195"/>
    </row>
    <row r="231" ht="20.25" spans="1:9">
      <c r="A231" s="195"/>
      <c r="B231" s="195"/>
      <c r="C231" s="195"/>
      <c r="D231" s="195"/>
      <c r="E231" s="195"/>
      <c r="F231" s="195"/>
      <c r="G231" s="195"/>
      <c r="H231" s="195"/>
      <c r="I231" s="195"/>
    </row>
    <row r="232" ht="20.25" spans="1:9">
      <c r="A232" s="195"/>
      <c r="B232" s="195"/>
      <c r="C232" s="195"/>
      <c r="D232" s="195"/>
      <c r="E232" s="195"/>
      <c r="F232" s="195"/>
      <c r="G232" s="195"/>
      <c r="H232" s="195"/>
      <c r="I232" s="195"/>
    </row>
    <row r="233" ht="20.25" spans="1:9">
      <c r="A233" s="195"/>
      <c r="B233" s="195"/>
      <c r="C233" s="195"/>
      <c r="D233" s="195"/>
      <c r="E233" s="195"/>
      <c r="F233" s="195"/>
      <c r="G233" s="195"/>
      <c r="H233" s="195"/>
      <c r="I233" s="195"/>
    </row>
    <row r="234" ht="20.25" spans="1:9">
      <c r="A234" s="195"/>
      <c r="B234" s="195"/>
      <c r="C234" s="195"/>
      <c r="D234" s="195"/>
      <c r="E234" s="195"/>
      <c r="F234" s="195"/>
      <c r="G234" s="195"/>
      <c r="H234" s="195"/>
      <c r="I234" s="195"/>
    </row>
    <row r="235" ht="20.25" spans="1:9">
      <c r="A235" s="195"/>
      <c r="B235" s="195"/>
      <c r="C235" s="195"/>
      <c r="D235" s="195"/>
      <c r="E235" s="195"/>
      <c r="F235" s="195"/>
      <c r="G235" s="195"/>
      <c r="H235" s="195"/>
      <c r="I235" s="195"/>
    </row>
    <row r="236" ht="20.25" spans="1:9">
      <c r="A236" s="195"/>
      <c r="B236" s="195"/>
      <c r="C236" s="195"/>
      <c r="D236" s="195"/>
      <c r="E236" s="195"/>
      <c r="F236" s="195"/>
      <c r="G236" s="195"/>
      <c r="H236" s="195"/>
      <c r="I236" s="195"/>
    </row>
    <row r="237" ht="20.25" spans="1:9">
      <c r="A237" s="195"/>
      <c r="B237" s="195"/>
      <c r="C237" s="195"/>
      <c r="D237" s="195"/>
      <c r="E237" s="195"/>
      <c r="F237" s="195"/>
      <c r="G237" s="195"/>
      <c r="H237" s="195"/>
      <c r="I237" s="195"/>
    </row>
    <row r="238" ht="20.25" spans="1:9">
      <c r="A238" s="195"/>
      <c r="B238" s="195"/>
      <c r="C238" s="195"/>
      <c r="D238" s="195"/>
      <c r="E238" s="195"/>
      <c r="F238" s="195"/>
      <c r="G238" s="195"/>
      <c r="H238" s="195"/>
      <c r="I238" s="195"/>
    </row>
    <row r="239" ht="20.25" spans="1:9">
      <c r="A239" s="195"/>
      <c r="B239" s="195"/>
      <c r="C239" s="195"/>
      <c r="D239" s="195"/>
      <c r="E239" s="195"/>
      <c r="F239" s="195"/>
      <c r="G239" s="195"/>
      <c r="H239" s="195"/>
      <c r="I239" s="195"/>
    </row>
    <row r="240" ht="20.25" spans="1:9">
      <c r="A240" s="195"/>
      <c r="B240" s="195"/>
      <c r="C240" s="195"/>
      <c r="D240" s="195"/>
      <c r="E240" s="195"/>
      <c r="F240" s="195"/>
      <c r="G240" s="195"/>
      <c r="H240" s="195"/>
      <c r="I240" s="195"/>
    </row>
    <row r="241" ht="20.25" spans="1:9">
      <c r="A241" s="195"/>
      <c r="B241" s="195"/>
      <c r="C241" s="195"/>
      <c r="D241" s="195"/>
      <c r="E241" s="195"/>
      <c r="F241" s="195"/>
      <c r="G241" s="195"/>
      <c r="H241" s="195"/>
      <c r="I241" s="195"/>
    </row>
    <row r="242" ht="20.25" spans="1:9">
      <c r="A242" s="195"/>
      <c r="B242" s="195"/>
      <c r="C242" s="195"/>
      <c r="D242" s="195"/>
      <c r="E242" s="195"/>
      <c r="F242" s="195"/>
      <c r="G242" s="195"/>
      <c r="H242" s="195"/>
      <c r="I242" s="195"/>
    </row>
    <row r="243" ht="20.25" spans="1:9">
      <c r="A243" s="195"/>
      <c r="B243" s="195"/>
      <c r="C243" s="195"/>
      <c r="D243" s="195"/>
      <c r="E243" s="195"/>
      <c r="F243" s="195"/>
      <c r="G243" s="195"/>
      <c r="H243" s="195"/>
      <c r="I243" s="195"/>
    </row>
    <row r="244" ht="20.25" spans="1:9">
      <c r="A244" s="195"/>
      <c r="B244" s="195"/>
      <c r="C244" s="195"/>
      <c r="D244" s="195"/>
      <c r="E244" s="195"/>
      <c r="F244" s="195"/>
      <c r="G244" s="195"/>
      <c r="H244" s="195"/>
      <c r="I244" s="195"/>
    </row>
    <row r="245" ht="20.25" spans="1:9">
      <c r="A245" s="195"/>
      <c r="B245" s="195"/>
      <c r="C245" s="195"/>
      <c r="D245" s="195"/>
      <c r="E245" s="195"/>
      <c r="F245" s="195"/>
      <c r="G245" s="195"/>
      <c r="H245" s="195"/>
      <c r="I245" s="195"/>
    </row>
    <row r="246" ht="20.25" spans="1:9">
      <c r="A246" s="195"/>
      <c r="B246" s="195"/>
      <c r="C246" s="195"/>
      <c r="D246" s="195"/>
      <c r="E246" s="195"/>
      <c r="F246" s="195"/>
      <c r="G246" s="195"/>
      <c r="H246" s="195"/>
      <c r="I246" s="195"/>
    </row>
    <row r="247" ht="20.25" spans="1:9">
      <c r="A247" s="195"/>
      <c r="B247" s="195"/>
      <c r="C247" s="195"/>
      <c r="D247" s="195"/>
      <c r="E247" s="195"/>
      <c r="F247" s="195"/>
      <c r="G247" s="195"/>
      <c r="H247" s="195"/>
      <c r="I247" s="195"/>
    </row>
    <row r="248" ht="20.25" spans="1:9">
      <c r="A248" s="195"/>
      <c r="B248" s="195"/>
      <c r="C248" s="195"/>
      <c r="D248" s="195"/>
      <c r="E248" s="195"/>
      <c r="F248" s="195"/>
      <c r="G248" s="195"/>
      <c r="H248" s="195"/>
      <c r="I248" s="195"/>
    </row>
    <row r="249" ht="20.25" spans="1:9">
      <c r="A249" s="195"/>
      <c r="B249" s="195"/>
      <c r="C249" s="195"/>
      <c r="D249" s="195"/>
      <c r="E249" s="195"/>
      <c r="F249" s="195"/>
      <c r="G249" s="195"/>
      <c r="H249" s="195"/>
      <c r="I249" s="195"/>
    </row>
    <row r="250" ht="20.25" spans="1:9">
      <c r="A250" s="195"/>
      <c r="B250" s="195"/>
      <c r="C250" s="195"/>
      <c r="D250" s="195"/>
      <c r="E250" s="195"/>
      <c r="F250" s="195"/>
      <c r="G250" s="195"/>
      <c r="H250" s="195"/>
      <c r="I250" s="195"/>
    </row>
    <row r="251" ht="20.25" spans="1:9">
      <c r="A251" s="195"/>
      <c r="B251" s="195"/>
      <c r="C251" s="195"/>
      <c r="D251" s="195"/>
      <c r="E251" s="195"/>
      <c r="F251" s="195"/>
      <c r="G251" s="195"/>
      <c r="H251" s="195"/>
      <c r="I251" s="195"/>
    </row>
    <row r="252" ht="20.25" spans="1:9">
      <c r="A252" s="195"/>
      <c r="B252" s="195"/>
      <c r="C252" s="195"/>
      <c r="D252" s="195"/>
      <c r="E252" s="195"/>
      <c r="F252" s="195"/>
      <c r="G252" s="195"/>
      <c r="H252" s="195"/>
      <c r="I252" s="195"/>
    </row>
    <row r="253" ht="20.25" spans="1:9">
      <c r="A253" s="195"/>
      <c r="B253" s="195"/>
      <c r="C253" s="195"/>
      <c r="D253" s="195"/>
      <c r="E253" s="195"/>
      <c r="F253" s="195"/>
      <c r="G253" s="195"/>
      <c r="H253" s="195"/>
      <c r="I253" s="195"/>
    </row>
    <row r="254" ht="20.25" spans="1:9">
      <c r="A254" s="195"/>
      <c r="B254" s="195"/>
      <c r="C254" s="195"/>
      <c r="D254" s="195"/>
      <c r="E254" s="195"/>
      <c r="F254" s="195"/>
      <c r="G254" s="195"/>
      <c r="H254" s="195"/>
      <c r="I254" s="195"/>
    </row>
    <row r="255" ht="20.25" spans="1:9">
      <c r="A255" s="195"/>
      <c r="B255" s="195"/>
      <c r="C255" s="195"/>
      <c r="D255" s="195"/>
      <c r="E255" s="195"/>
      <c r="F255" s="195"/>
      <c r="G255" s="195"/>
      <c r="H255" s="195"/>
      <c r="I255" s="195"/>
    </row>
    <row r="256" ht="20.25" spans="1:9">
      <c r="A256" s="195"/>
      <c r="B256" s="195"/>
      <c r="C256" s="195"/>
      <c r="D256" s="195"/>
      <c r="E256" s="195"/>
      <c r="F256" s="195"/>
      <c r="G256" s="195"/>
      <c r="H256" s="195"/>
      <c r="I256" s="195"/>
    </row>
    <row r="257" ht="20.25" spans="1:9">
      <c r="A257" s="195"/>
      <c r="B257" s="195"/>
      <c r="C257" s="195"/>
      <c r="D257" s="195"/>
      <c r="E257" s="195"/>
      <c r="F257" s="195"/>
      <c r="G257" s="195"/>
      <c r="H257" s="195"/>
      <c r="I257" s="195"/>
    </row>
    <row r="258" ht="20.25" spans="1:9">
      <c r="A258" s="195"/>
      <c r="B258" s="195"/>
      <c r="C258" s="195"/>
      <c r="D258" s="195"/>
      <c r="E258" s="195"/>
      <c r="F258" s="195"/>
      <c r="G258" s="195"/>
      <c r="H258" s="195"/>
      <c r="I258" s="195"/>
    </row>
    <row r="259" ht="20.25" spans="1:9">
      <c r="A259" s="195"/>
      <c r="B259" s="195"/>
      <c r="C259" s="195"/>
      <c r="D259" s="195"/>
      <c r="E259" s="195"/>
      <c r="F259" s="195"/>
      <c r="G259" s="195"/>
      <c r="H259" s="195"/>
      <c r="I259" s="195"/>
    </row>
    <row r="260" ht="20.25" spans="1:9">
      <c r="A260" s="195"/>
      <c r="B260" s="195"/>
      <c r="C260" s="195"/>
      <c r="D260" s="195"/>
      <c r="E260" s="195"/>
      <c r="F260" s="195"/>
      <c r="G260" s="195"/>
      <c r="H260" s="195"/>
      <c r="I260" s="195"/>
    </row>
    <row r="261" ht="20.25" spans="1:9">
      <c r="A261" s="195"/>
      <c r="B261" s="195"/>
      <c r="C261" s="195"/>
      <c r="D261" s="195"/>
      <c r="E261" s="195"/>
      <c r="F261" s="195"/>
      <c r="G261" s="195"/>
      <c r="H261" s="195"/>
      <c r="I261" s="195"/>
    </row>
    <row r="262" ht="20.25" spans="1:9">
      <c r="A262" s="195"/>
      <c r="B262" s="195"/>
      <c r="C262" s="195"/>
      <c r="D262" s="195"/>
      <c r="E262" s="195"/>
      <c r="F262" s="195"/>
      <c r="G262" s="195"/>
      <c r="H262" s="195"/>
      <c r="I262" s="195"/>
    </row>
    <row r="263" ht="20.25" spans="1:9">
      <c r="A263" s="195"/>
      <c r="B263" s="195"/>
      <c r="C263" s="195"/>
      <c r="D263" s="195"/>
      <c r="E263" s="195"/>
      <c r="F263" s="195"/>
      <c r="G263" s="195"/>
      <c r="H263" s="195"/>
      <c r="I263" s="195"/>
    </row>
    <row r="264" ht="20.25" spans="1:9">
      <c r="A264" s="195"/>
      <c r="B264" s="195"/>
      <c r="C264" s="195"/>
      <c r="D264" s="195"/>
      <c r="E264" s="195"/>
      <c r="F264" s="195"/>
      <c r="G264" s="195"/>
      <c r="H264" s="195"/>
      <c r="I264" s="195"/>
    </row>
    <row r="265" ht="20.25" spans="1:9">
      <c r="A265" s="195"/>
      <c r="B265" s="195"/>
      <c r="C265" s="195"/>
      <c r="D265" s="195"/>
      <c r="E265" s="195"/>
      <c r="F265" s="195"/>
      <c r="G265" s="195"/>
      <c r="H265" s="195"/>
      <c r="I265" s="195"/>
    </row>
    <row r="266" ht="20.25" spans="1:9">
      <c r="A266" s="195"/>
      <c r="B266" s="195"/>
      <c r="C266" s="195"/>
      <c r="D266" s="195"/>
      <c r="E266" s="195"/>
      <c r="F266" s="195"/>
      <c r="G266" s="195"/>
      <c r="H266" s="195"/>
      <c r="I266" s="195"/>
    </row>
    <row r="267" ht="20.25" spans="1:9">
      <c r="A267" s="195"/>
      <c r="B267" s="195"/>
      <c r="C267" s="195"/>
      <c r="D267" s="195"/>
      <c r="E267" s="195"/>
      <c r="F267" s="195"/>
      <c r="G267" s="195"/>
      <c r="H267" s="195"/>
      <c r="I267" s="195"/>
    </row>
    <row r="268" ht="20.25" spans="1:9">
      <c r="A268" s="195"/>
      <c r="B268" s="195"/>
      <c r="C268" s="195"/>
      <c r="D268" s="195"/>
      <c r="E268" s="195"/>
      <c r="F268" s="195"/>
      <c r="G268" s="195"/>
      <c r="H268" s="195"/>
      <c r="I268" s="195"/>
    </row>
    <row r="269" ht="20.25" spans="1:9">
      <c r="A269" s="195"/>
      <c r="B269" s="195"/>
      <c r="C269" s="195"/>
      <c r="D269" s="195"/>
      <c r="E269" s="195"/>
      <c r="F269" s="195"/>
      <c r="G269" s="195"/>
      <c r="H269" s="195"/>
      <c r="I269" s="195"/>
    </row>
    <row r="270" ht="20.25" spans="1:9">
      <c r="A270" s="195"/>
      <c r="B270" s="195"/>
      <c r="C270" s="195"/>
      <c r="D270" s="195"/>
      <c r="E270" s="195"/>
      <c r="F270" s="195"/>
      <c r="G270" s="195"/>
      <c r="H270" s="195"/>
      <c r="I270" s="195"/>
    </row>
    <row r="271" ht="20.25" spans="1:9">
      <c r="A271" s="195"/>
      <c r="B271" s="195"/>
      <c r="C271" s="195"/>
      <c r="D271" s="195"/>
      <c r="E271" s="195"/>
      <c r="F271" s="195"/>
      <c r="G271" s="195"/>
      <c r="H271" s="195"/>
      <c r="I271" s="195"/>
    </row>
    <row r="272" ht="20.25" spans="1:9">
      <c r="A272" s="195"/>
      <c r="B272" s="195"/>
      <c r="C272" s="195"/>
      <c r="D272" s="195"/>
      <c r="E272" s="195"/>
      <c r="F272" s="195"/>
      <c r="G272" s="195"/>
      <c r="H272" s="195"/>
      <c r="I272" s="195"/>
    </row>
    <row r="273" ht="20.25" spans="1:9">
      <c r="A273" s="195"/>
      <c r="B273" s="195"/>
      <c r="C273" s="195"/>
      <c r="D273" s="195"/>
      <c r="E273" s="195"/>
      <c r="F273" s="195"/>
      <c r="G273" s="195"/>
      <c r="H273" s="195"/>
      <c r="I273" s="195"/>
    </row>
    <row r="274" ht="20.25" spans="1:9">
      <c r="A274" s="195"/>
      <c r="B274" s="195"/>
      <c r="C274" s="195"/>
      <c r="D274" s="195"/>
      <c r="E274" s="195"/>
      <c r="F274" s="195"/>
      <c r="G274" s="195"/>
      <c r="H274" s="195"/>
      <c r="I274" s="195"/>
    </row>
    <row r="275" ht="20.25" spans="1:9">
      <c r="A275" s="195"/>
      <c r="B275" s="195"/>
      <c r="C275" s="195"/>
      <c r="D275" s="195"/>
      <c r="E275" s="195"/>
      <c r="F275" s="195"/>
      <c r="G275" s="195"/>
      <c r="H275" s="195"/>
      <c r="I275" s="195"/>
    </row>
    <row r="276" ht="20.25" spans="1:9">
      <c r="A276" s="195"/>
      <c r="B276" s="195"/>
      <c r="C276" s="195"/>
      <c r="D276" s="195"/>
      <c r="E276" s="195"/>
      <c r="F276" s="195"/>
      <c r="G276" s="195"/>
      <c r="H276" s="195"/>
      <c r="I276" s="195"/>
    </row>
    <row r="277" ht="20.25" spans="1:9">
      <c r="A277" s="195"/>
      <c r="B277" s="195"/>
      <c r="C277" s="195"/>
      <c r="D277" s="195"/>
      <c r="E277" s="195"/>
      <c r="F277" s="195"/>
      <c r="G277" s="195"/>
      <c r="H277" s="195"/>
      <c r="I277" s="195"/>
    </row>
    <row r="278" ht="20.25" spans="1:9">
      <c r="A278" s="195"/>
      <c r="B278" s="195"/>
      <c r="C278" s="195"/>
      <c r="D278" s="195"/>
      <c r="E278" s="195"/>
      <c r="F278" s="195"/>
      <c r="G278" s="195"/>
      <c r="H278" s="195"/>
      <c r="I278" s="195"/>
    </row>
    <row r="279" ht="20.25" spans="1:9">
      <c r="A279" s="195"/>
      <c r="B279" s="195"/>
      <c r="C279" s="195"/>
      <c r="D279" s="195"/>
      <c r="E279" s="195"/>
      <c r="F279" s="195"/>
      <c r="G279" s="195"/>
      <c r="H279" s="195"/>
      <c r="I279" s="195"/>
    </row>
    <row r="280" ht="20.25" spans="1:9">
      <c r="A280" s="195"/>
      <c r="B280" s="195"/>
      <c r="C280" s="195"/>
      <c r="D280" s="195"/>
      <c r="E280" s="195"/>
      <c r="F280" s="195"/>
      <c r="G280" s="195"/>
      <c r="H280" s="195"/>
      <c r="I280" s="195"/>
    </row>
    <row r="281" ht="20.25" spans="1:9">
      <c r="A281" s="195"/>
      <c r="B281" s="195"/>
      <c r="C281" s="195"/>
      <c r="D281" s="195"/>
      <c r="E281" s="195"/>
      <c r="F281" s="195"/>
      <c r="G281" s="195"/>
      <c r="H281" s="195"/>
      <c r="I281" s="195"/>
    </row>
    <row r="282" ht="20.25" spans="1:9">
      <c r="A282" s="195"/>
      <c r="B282" s="195"/>
      <c r="C282" s="195"/>
      <c r="D282" s="195"/>
      <c r="E282" s="195"/>
      <c r="F282" s="195"/>
      <c r="G282" s="195"/>
      <c r="H282" s="195"/>
      <c r="I282" s="195"/>
    </row>
    <row r="283" ht="20.25" spans="1:9">
      <c r="A283" s="195"/>
      <c r="B283" s="195"/>
      <c r="C283" s="195"/>
      <c r="D283" s="195"/>
      <c r="E283" s="195"/>
      <c r="F283" s="195"/>
      <c r="G283" s="195"/>
      <c r="H283" s="195"/>
      <c r="I283" s="195"/>
    </row>
    <row r="284" ht="20.25" spans="1:9">
      <c r="A284" s="195"/>
      <c r="B284" s="195"/>
      <c r="C284" s="195"/>
      <c r="D284" s="195"/>
      <c r="E284" s="195"/>
      <c r="F284" s="195"/>
      <c r="G284" s="195"/>
      <c r="H284" s="195"/>
      <c r="I284" s="195"/>
    </row>
    <row r="285" ht="20.25" spans="1:9">
      <c r="A285" s="195"/>
      <c r="B285" s="195"/>
      <c r="C285" s="195"/>
      <c r="D285" s="195"/>
      <c r="E285" s="195"/>
      <c r="F285" s="195"/>
      <c r="G285" s="195"/>
      <c r="H285" s="195"/>
      <c r="I285" s="195"/>
    </row>
    <row r="286" ht="20.25" spans="1:9">
      <c r="A286" s="195"/>
      <c r="B286" s="195"/>
      <c r="C286" s="195"/>
      <c r="D286" s="195"/>
      <c r="E286" s="195"/>
      <c r="F286" s="195"/>
      <c r="G286" s="195"/>
      <c r="H286" s="195"/>
      <c r="I286" s="195"/>
    </row>
    <row r="287" ht="20.25" spans="1:9">
      <c r="A287" s="195"/>
      <c r="B287" s="195"/>
      <c r="C287" s="195"/>
      <c r="D287" s="195"/>
      <c r="E287" s="195"/>
      <c r="F287" s="195"/>
      <c r="G287" s="195"/>
      <c r="H287" s="195"/>
      <c r="I287" s="195"/>
    </row>
    <row r="288" ht="20.25" spans="1:9">
      <c r="A288" s="195"/>
      <c r="B288" s="195"/>
      <c r="C288" s="195"/>
      <c r="D288" s="195"/>
      <c r="E288" s="195"/>
      <c r="F288" s="195"/>
      <c r="G288" s="195"/>
      <c r="H288" s="195"/>
      <c r="I288" s="195"/>
    </row>
    <row r="289" ht="20.25" spans="1:9">
      <c r="A289" s="195"/>
      <c r="B289" s="195"/>
      <c r="C289" s="195"/>
      <c r="D289" s="195"/>
      <c r="E289" s="195"/>
      <c r="F289" s="195"/>
      <c r="G289" s="195"/>
      <c r="H289" s="195"/>
      <c r="I289" s="195"/>
    </row>
    <row r="290" ht="20.25" spans="1:9">
      <c r="A290" s="195"/>
      <c r="B290" s="195"/>
      <c r="C290" s="195"/>
      <c r="D290" s="195"/>
      <c r="E290" s="195"/>
      <c r="F290" s="195"/>
      <c r="G290" s="195"/>
      <c r="H290" s="195"/>
      <c r="I290" s="195"/>
    </row>
    <row r="291" ht="20.25" spans="1:9">
      <c r="A291" s="195"/>
      <c r="B291" s="195"/>
      <c r="C291" s="195"/>
      <c r="D291" s="195"/>
      <c r="E291" s="195"/>
      <c r="F291" s="195"/>
      <c r="G291" s="195"/>
      <c r="H291" s="195"/>
      <c r="I291" s="195"/>
    </row>
    <row r="292" ht="20.25" spans="1:9">
      <c r="A292" s="195"/>
      <c r="B292" s="195"/>
      <c r="C292" s="195"/>
      <c r="D292" s="195"/>
      <c r="E292" s="195"/>
      <c r="F292" s="195"/>
      <c r="G292" s="195"/>
      <c r="H292" s="195"/>
      <c r="I292" s="195"/>
    </row>
    <row r="293" ht="20.25" spans="1:9">
      <c r="A293" s="195"/>
      <c r="B293" s="195"/>
      <c r="C293" s="195"/>
      <c r="D293" s="195"/>
      <c r="E293" s="195"/>
      <c r="F293" s="195"/>
      <c r="G293" s="195"/>
      <c r="H293" s="195"/>
      <c r="I293" s="195"/>
    </row>
    <row r="294" ht="20.25" spans="1:9">
      <c r="A294" s="195"/>
      <c r="B294" s="195"/>
      <c r="C294" s="195"/>
      <c r="D294" s="195"/>
      <c r="E294" s="195"/>
      <c r="F294" s="195"/>
      <c r="G294" s="195"/>
      <c r="H294" s="195"/>
      <c r="I294" s="195"/>
    </row>
    <row r="295" ht="20.25" spans="1:9">
      <c r="A295" s="195"/>
      <c r="B295" s="195"/>
      <c r="C295" s="195"/>
      <c r="D295" s="195"/>
      <c r="E295" s="195"/>
      <c r="F295" s="195"/>
      <c r="G295" s="195"/>
      <c r="H295" s="195"/>
      <c r="I295" s="195"/>
    </row>
    <row r="296" ht="20.25" spans="1:9">
      <c r="A296" s="195"/>
      <c r="B296" s="195"/>
      <c r="C296" s="195"/>
      <c r="D296" s="195"/>
      <c r="E296" s="195"/>
      <c r="F296" s="195"/>
      <c r="G296" s="195"/>
      <c r="H296" s="195"/>
      <c r="I296" s="195"/>
    </row>
    <row r="297" ht="20.25" spans="1:9">
      <c r="A297" s="195"/>
      <c r="B297" s="195"/>
      <c r="C297" s="195"/>
      <c r="D297" s="195"/>
      <c r="E297" s="195"/>
      <c r="F297" s="195"/>
      <c r="G297" s="195"/>
      <c r="H297" s="195"/>
      <c r="I297" s="195"/>
    </row>
    <row r="298" ht="20.25" spans="1:9">
      <c r="A298" s="195"/>
      <c r="B298" s="195"/>
      <c r="C298" s="195"/>
      <c r="D298" s="195"/>
      <c r="E298" s="195"/>
      <c r="F298" s="195"/>
      <c r="G298" s="195"/>
      <c r="H298" s="195"/>
      <c r="I298" s="195"/>
    </row>
    <row r="299" ht="20.25" spans="1:9">
      <c r="A299" s="195"/>
      <c r="B299" s="195"/>
      <c r="C299" s="195"/>
      <c r="D299" s="195"/>
      <c r="E299" s="195"/>
      <c r="F299" s="195"/>
      <c r="G299" s="195"/>
      <c r="H299" s="195"/>
      <c r="I299" s="195"/>
    </row>
    <row r="300" ht="20.25" spans="1:9">
      <c r="A300" s="195"/>
      <c r="B300" s="195"/>
      <c r="C300" s="195"/>
      <c r="D300" s="195"/>
      <c r="E300" s="195"/>
      <c r="F300" s="195"/>
      <c r="G300" s="195"/>
      <c r="H300" s="195"/>
      <c r="I300" s="195"/>
    </row>
    <row r="301" ht="20.25" spans="1:9">
      <c r="A301" s="195"/>
      <c r="B301" s="195"/>
      <c r="C301" s="195"/>
      <c r="D301" s="195"/>
      <c r="E301" s="195"/>
      <c r="F301" s="195"/>
      <c r="G301" s="195"/>
      <c r="H301" s="195"/>
      <c r="I301" s="195"/>
    </row>
    <row r="302" ht="20.25" spans="1:9">
      <c r="A302" s="195"/>
      <c r="B302" s="195"/>
      <c r="C302" s="195"/>
      <c r="D302" s="195"/>
      <c r="E302" s="195"/>
      <c r="F302" s="195"/>
      <c r="G302" s="195"/>
      <c r="H302" s="195"/>
      <c r="I302" s="195"/>
    </row>
    <row r="303" ht="20.25" spans="1:9">
      <c r="A303" s="195"/>
      <c r="B303" s="195"/>
      <c r="C303" s="195"/>
      <c r="D303" s="195"/>
      <c r="E303" s="195"/>
      <c r="F303" s="195"/>
      <c r="G303" s="195"/>
      <c r="H303" s="195"/>
      <c r="I303" s="195"/>
    </row>
    <row r="304" ht="20.25" spans="1:9">
      <c r="A304" s="195"/>
      <c r="B304" s="195"/>
      <c r="C304" s="195"/>
      <c r="D304" s="195"/>
      <c r="E304" s="195"/>
      <c r="F304" s="195"/>
      <c r="G304" s="195"/>
      <c r="H304" s="195"/>
      <c r="I304" s="195"/>
    </row>
    <row r="305" ht="20.25" spans="1:9">
      <c r="A305" s="195"/>
      <c r="B305" s="195"/>
      <c r="C305" s="195"/>
      <c r="D305" s="195"/>
      <c r="E305" s="195"/>
      <c r="F305" s="195"/>
      <c r="G305" s="195"/>
      <c r="H305" s="195"/>
      <c r="I305" s="195"/>
    </row>
    <row r="306" ht="20.25" spans="1:9">
      <c r="A306" s="195"/>
      <c r="B306" s="195"/>
      <c r="C306" s="195"/>
      <c r="D306" s="195"/>
      <c r="E306" s="195"/>
      <c r="F306" s="195"/>
      <c r="G306" s="195"/>
      <c r="H306" s="195"/>
      <c r="I306" s="195"/>
    </row>
    <row r="307" ht="20.25" spans="1:9">
      <c r="A307" s="195"/>
      <c r="B307" s="195"/>
      <c r="C307" s="195"/>
      <c r="D307" s="195"/>
      <c r="E307" s="195"/>
      <c r="F307" s="195"/>
      <c r="G307" s="195"/>
      <c r="H307" s="195"/>
      <c r="I307" s="195"/>
    </row>
    <row r="308" ht="20.25" spans="1:9">
      <c r="A308" s="195"/>
      <c r="B308" s="195"/>
      <c r="C308" s="195"/>
      <c r="D308" s="195"/>
      <c r="E308" s="195"/>
      <c r="F308" s="195"/>
      <c r="G308" s="195"/>
      <c r="H308" s="195"/>
      <c r="I308" s="195"/>
    </row>
    <row r="309" ht="20.25" spans="1:9">
      <c r="A309" s="195"/>
      <c r="B309" s="195"/>
      <c r="C309" s="195"/>
      <c r="D309" s="195"/>
      <c r="E309" s="195"/>
      <c r="F309" s="195"/>
      <c r="G309" s="195"/>
      <c r="H309" s="195"/>
      <c r="I309" s="195"/>
    </row>
    <row r="310" ht="20.25" spans="1:9">
      <c r="A310" s="195"/>
      <c r="B310" s="195"/>
      <c r="C310" s="195"/>
      <c r="D310" s="195"/>
      <c r="E310" s="195"/>
      <c r="F310" s="195"/>
      <c r="G310" s="195"/>
      <c r="H310" s="195"/>
      <c r="I310" s="195"/>
    </row>
    <row r="311" ht="20.25" spans="1:9">
      <c r="A311" s="195"/>
      <c r="B311" s="195"/>
      <c r="C311" s="195"/>
      <c r="D311" s="195"/>
      <c r="E311" s="195"/>
      <c r="F311" s="195"/>
      <c r="G311" s="195"/>
      <c r="H311" s="195"/>
      <c r="I311" s="195"/>
    </row>
    <row r="312" ht="20.25" spans="1:9">
      <c r="A312" s="195"/>
      <c r="B312" s="195"/>
      <c r="C312" s="195"/>
      <c r="D312" s="195"/>
      <c r="E312" s="195"/>
      <c r="F312" s="195"/>
      <c r="G312" s="195"/>
      <c r="H312" s="195"/>
      <c r="I312" s="195"/>
    </row>
    <row r="313" ht="20.25" spans="1:9">
      <c r="A313" s="195"/>
      <c r="B313" s="195"/>
      <c r="C313" s="195"/>
      <c r="D313" s="195"/>
      <c r="E313" s="195"/>
      <c r="F313" s="195"/>
      <c r="G313" s="195"/>
      <c r="H313" s="195"/>
      <c r="I313" s="195"/>
    </row>
    <row r="314" ht="20.25" spans="1:9">
      <c r="A314" s="195"/>
      <c r="B314" s="195"/>
      <c r="C314" s="195"/>
      <c r="D314" s="195"/>
      <c r="E314" s="195"/>
      <c r="F314" s="195"/>
      <c r="G314" s="195"/>
      <c r="H314" s="195"/>
      <c r="I314" s="195"/>
    </row>
    <row r="315" ht="20.25" spans="1:9">
      <c r="A315" s="195"/>
      <c r="B315" s="195"/>
      <c r="C315" s="195"/>
      <c r="D315" s="195"/>
      <c r="E315" s="195"/>
      <c r="F315" s="195"/>
      <c r="G315" s="195"/>
      <c r="H315" s="195"/>
      <c r="I315" s="195"/>
    </row>
    <row r="316" ht="20.25" spans="1:9">
      <c r="A316" s="195"/>
      <c r="B316" s="195"/>
      <c r="C316" s="195"/>
      <c r="D316" s="195"/>
      <c r="E316" s="195"/>
      <c r="F316" s="195"/>
      <c r="G316" s="195"/>
      <c r="H316" s="195"/>
      <c r="I316" s="195"/>
    </row>
    <row r="317" ht="20.25" spans="1:9">
      <c r="A317" s="195"/>
      <c r="B317" s="195"/>
      <c r="C317" s="195"/>
      <c r="D317" s="195"/>
      <c r="E317" s="195"/>
      <c r="F317" s="195"/>
      <c r="G317" s="195"/>
      <c r="H317" s="195"/>
      <c r="I317" s="195"/>
    </row>
    <row r="318" ht="20.25" spans="1:9">
      <c r="A318" s="195"/>
      <c r="B318" s="195"/>
      <c r="C318" s="195"/>
      <c r="D318" s="195"/>
      <c r="E318" s="195"/>
      <c r="F318" s="195"/>
      <c r="G318" s="195"/>
      <c r="H318" s="195"/>
      <c r="I318" s="195"/>
    </row>
    <row r="319" ht="20.25" spans="1:9">
      <c r="A319" s="195"/>
      <c r="B319" s="195"/>
      <c r="C319" s="195"/>
      <c r="D319" s="195"/>
      <c r="E319" s="195"/>
      <c r="F319" s="195"/>
      <c r="G319" s="195"/>
      <c r="H319" s="195"/>
      <c r="I319" s="195"/>
    </row>
    <row r="320" ht="20.25" spans="1:9">
      <c r="A320" s="195"/>
      <c r="B320" s="195"/>
      <c r="C320" s="195"/>
      <c r="D320" s="195"/>
      <c r="E320" s="195"/>
      <c r="F320" s="195"/>
      <c r="G320" s="195"/>
      <c r="H320" s="195"/>
      <c r="I320" s="195"/>
    </row>
    <row r="321" ht="20.25" spans="1:9">
      <c r="A321" s="195"/>
      <c r="B321" s="195"/>
      <c r="C321" s="195"/>
      <c r="D321" s="195"/>
      <c r="E321" s="195"/>
      <c r="F321" s="195"/>
      <c r="G321" s="195"/>
      <c r="H321" s="195"/>
      <c r="I321" s="195"/>
    </row>
    <row r="322" ht="20.25" spans="1:9">
      <c r="A322" s="195"/>
      <c r="B322" s="195"/>
      <c r="C322" s="195"/>
      <c r="D322" s="195"/>
      <c r="E322" s="195"/>
      <c r="F322" s="195"/>
      <c r="G322" s="195"/>
      <c r="H322" s="195"/>
      <c r="I322" s="195"/>
    </row>
    <row r="323" ht="20.25" spans="1:9">
      <c r="A323" s="195"/>
      <c r="B323" s="195"/>
      <c r="C323" s="195"/>
      <c r="D323" s="195"/>
      <c r="E323" s="195"/>
      <c r="F323" s="195"/>
      <c r="G323" s="195"/>
      <c r="H323" s="195"/>
      <c r="I323" s="195"/>
    </row>
    <row r="324" ht="20.25" spans="1:9">
      <c r="A324" s="195"/>
      <c r="B324" s="195"/>
      <c r="C324" s="195"/>
      <c r="D324" s="195"/>
      <c r="E324" s="195"/>
      <c r="F324" s="195"/>
      <c r="G324" s="195"/>
      <c r="H324" s="195"/>
      <c r="I324" s="195"/>
    </row>
    <row r="325" ht="20.25" spans="1:9">
      <c r="A325" s="195"/>
      <c r="B325" s="195"/>
      <c r="C325" s="195"/>
      <c r="D325" s="195"/>
      <c r="E325" s="195"/>
      <c r="F325" s="195"/>
      <c r="G325" s="195"/>
      <c r="H325" s="195"/>
      <c r="I325" s="195"/>
    </row>
    <row r="326" ht="20.25" spans="1:9">
      <c r="A326" s="195"/>
      <c r="B326" s="195"/>
      <c r="C326" s="195"/>
      <c r="D326" s="195"/>
      <c r="E326" s="195"/>
      <c r="F326" s="195"/>
      <c r="G326" s="195"/>
      <c r="H326" s="195"/>
      <c r="I326" s="195"/>
    </row>
    <row r="327" ht="20.25" spans="1:9">
      <c r="A327" s="195"/>
      <c r="B327" s="195"/>
      <c r="C327" s="195"/>
      <c r="D327" s="195"/>
      <c r="E327" s="195"/>
      <c r="F327" s="195"/>
      <c r="G327" s="195"/>
      <c r="H327" s="195"/>
      <c r="I327" s="195"/>
    </row>
    <row r="328" ht="20.25" spans="1:9">
      <c r="A328" s="195"/>
      <c r="B328" s="195"/>
      <c r="C328" s="195"/>
      <c r="D328" s="195"/>
      <c r="E328" s="195"/>
      <c r="F328" s="195"/>
      <c r="G328" s="195"/>
      <c r="H328" s="195"/>
      <c r="I328" s="195"/>
    </row>
    <row r="329" ht="20.25" spans="1:9">
      <c r="A329" s="195"/>
      <c r="B329" s="195"/>
      <c r="C329" s="195"/>
      <c r="D329" s="195"/>
      <c r="E329" s="195"/>
      <c r="F329" s="195"/>
      <c r="G329" s="195"/>
      <c r="H329" s="195"/>
      <c r="I329" s="195"/>
    </row>
    <row r="330" ht="20.25" spans="1:9">
      <c r="A330" s="195"/>
      <c r="B330" s="195"/>
      <c r="C330" s="195"/>
      <c r="D330" s="195"/>
      <c r="E330" s="195"/>
      <c r="F330" s="195"/>
      <c r="G330" s="195"/>
      <c r="H330" s="195"/>
      <c r="I330" s="195"/>
    </row>
    <row r="331" ht="20.25" spans="1:9">
      <c r="A331" s="195"/>
      <c r="B331" s="195"/>
      <c r="C331" s="195"/>
      <c r="D331" s="195"/>
      <c r="E331" s="195"/>
      <c r="F331" s="195"/>
      <c r="G331" s="195"/>
      <c r="H331" s="195"/>
      <c r="I331" s="195"/>
    </row>
    <row r="332" ht="20.25" spans="1:9">
      <c r="A332" s="195"/>
      <c r="B332" s="195"/>
      <c r="C332" s="195"/>
      <c r="D332" s="195"/>
      <c r="E332" s="195"/>
      <c r="F332" s="195"/>
      <c r="G332" s="195"/>
      <c r="H332" s="195"/>
      <c r="I332" s="195"/>
    </row>
    <row r="333" ht="20.25" spans="1:9">
      <c r="A333" s="195"/>
      <c r="B333" s="195"/>
      <c r="C333" s="195"/>
      <c r="D333" s="195"/>
      <c r="E333" s="195"/>
      <c r="F333" s="195"/>
      <c r="G333" s="195"/>
      <c r="H333" s="195"/>
      <c r="I333" s="195"/>
    </row>
    <row r="334" ht="20.25" spans="1:9">
      <c r="A334" s="195"/>
      <c r="B334" s="195"/>
      <c r="C334" s="195"/>
      <c r="D334" s="195"/>
      <c r="E334" s="195"/>
      <c r="F334" s="195"/>
      <c r="G334" s="195"/>
      <c r="H334" s="195"/>
      <c r="I334" s="195"/>
    </row>
    <row r="335" ht="20.25" spans="1:9">
      <c r="A335" s="195"/>
      <c r="B335" s="195"/>
      <c r="C335" s="195"/>
      <c r="D335" s="195"/>
      <c r="E335" s="195"/>
      <c r="F335" s="195"/>
      <c r="G335" s="195"/>
      <c r="H335" s="195"/>
      <c r="I335" s="195"/>
    </row>
    <row r="336" ht="20.25" spans="1:9">
      <c r="A336" s="195"/>
      <c r="B336" s="195"/>
      <c r="C336" s="195"/>
      <c r="D336" s="195"/>
      <c r="E336" s="195"/>
      <c r="F336" s="195"/>
      <c r="G336" s="195"/>
      <c r="H336" s="195"/>
      <c r="I336" s="195"/>
    </row>
    <row r="337" ht="20.25" spans="1:9">
      <c r="A337" s="195"/>
      <c r="B337" s="195"/>
      <c r="C337" s="195"/>
      <c r="D337" s="195"/>
      <c r="E337" s="195"/>
      <c r="F337" s="195"/>
      <c r="G337" s="195"/>
      <c r="H337" s="195"/>
      <c r="I337" s="195"/>
    </row>
    <row r="338" ht="20.25" spans="1:9">
      <c r="A338" s="195"/>
      <c r="B338" s="195"/>
      <c r="C338" s="195"/>
      <c r="D338" s="195"/>
      <c r="E338" s="195"/>
      <c r="F338" s="195"/>
      <c r="G338" s="195"/>
      <c r="H338" s="195"/>
      <c r="I338" s="195"/>
    </row>
    <row r="339" ht="20.25" spans="1:9">
      <c r="A339" s="195"/>
      <c r="B339" s="195"/>
      <c r="C339" s="195"/>
      <c r="D339" s="195"/>
      <c r="E339" s="195"/>
      <c r="F339" s="195"/>
      <c r="G339" s="195"/>
      <c r="H339" s="195"/>
      <c r="I339" s="195"/>
    </row>
    <row r="340" ht="20.25" spans="1:9">
      <c r="A340" s="195"/>
      <c r="B340" s="195"/>
      <c r="C340" s="195"/>
      <c r="D340" s="195"/>
      <c r="E340" s="195"/>
      <c r="F340" s="195"/>
      <c r="G340" s="195"/>
      <c r="H340" s="195"/>
      <c r="I340" s="195"/>
    </row>
    <row r="341" ht="20.25" spans="1:9">
      <c r="A341" s="195"/>
      <c r="B341" s="195"/>
      <c r="C341" s="195"/>
      <c r="D341" s="195"/>
      <c r="E341" s="195"/>
      <c r="F341" s="195"/>
      <c r="G341" s="195"/>
      <c r="H341" s="195"/>
      <c r="I341" s="195"/>
    </row>
    <row r="342" ht="20.25" spans="1:9">
      <c r="A342" s="195"/>
      <c r="B342" s="195"/>
      <c r="C342" s="195"/>
      <c r="D342" s="195"/>
      <c r="E342" s="195"/>
      <c r="F342" s="195"/>
      <c r="G342" s="195"/>
      <c r="H342" s="195"/>
      <c r="I342" s="195"/>
    </row>
    <row r="343" ht="20.25" spans="1:9">
      <c r="A343" s="195"/>
      <c r="B343" s="195"/>
      <c r="C343" s="195"/>
      <c r="D343" s="195"/>
      <c r="E343" s="195"/>
      <c r="F343" s="195"/>
      <c r="G343" s="195"/>
      <c r="H343" s="195"/>
      <c r="I343" s="195"/>
    </row>
    <row r="344" ht="20.25" spans="1:9">
      <c r="A344" s="195"/>
      <c r="B344" s="195"/>
      <c r="C344" s="195"/>
      <c r="D344" s="195"/>
      <c r="E344" s="195"/>
      <c r="F344" s="195"/>
      <c r="G344" s="195"/>
      <c r="H344" s="195"/>
      <c r="I344" s="195"/>
    </row>
    <row r="345" ht="20.25" spans="1:9">
      <c r="A345" s="195"/>
      <c r="B345" s="195"/>
      <c r="C345" s="195"/>
      <c r="D345" s="195"/>
      <c r="E345" s="195"/>
      <c r="F345" s="195"/>
      <c r="G345" s="195"/>
      <c r="H345" s="195"/>
      <c r="I345" s="195"/>
    </row>
    <row r="346" ht="20.25" spans="1:9">
      <c r="A346" s="195"/>
      <c r="B346" s="195"/>
      <c r="C346" s="195"/>
      <c r="D346" s="195"/>
      <c r="E346" s="195"/>
      <c r="F346" s="195"/>
      <c r="G346" s="195"/>
      <c r="H346" s="195"/>
      <c r="I346" s="195"/>
    </row>
    <row r="347" ht="20.25" spans="1:9">
      <c r="A347" s="195"/>
      <c r="B347" s="195"/>
      <c r="C347" s="195"/>
      <c r="D347" s="195"/>
      <c r="E347" s="195"/>
      <c r="F347" s="195"/>
      <c r="G347" s="195"/>
      <c r="H347" s="195"/>
      <c r="I347" s="195"/>
    </row>
    <row r="348" ht="20.25" spans="1:9">
      <c r="A348" s="195"/>
      <c r="B348" s="195"/>
      <c r="C348" s="195"/>
      <c r="D348" s="195"/>
      <c r="E348" s="195"/>
      <c r="F348" s="195"/>
      <c r="G348" s="195"/>
      <c r="H348" s="195"/>
      <c r="I348" s="195"/>
    </row>
    <row r="349" ht="20.25" spans="1:9">
      <c r="A349" s="195"/>
      <c r="B349" s="195"/>
      <c r="C349" s="195"/>
      <c r="D349" s="195"/>
      <c r="E349" s="195"/>
      <c r="F349" s="195"/>
      <c r="G349" s="195"/>
      <c r="H349" s="195"/>
      <c r="I349" s="195"/>
    </row>
    <row r="350" ht="20.25" spans="1:9">
      <c r="A350" s="195"/>
      <c r="B350" s="195"/>
      <c r="C350" s="195"/>
      <c r="D350" s="195"/>
      <c r="E350" s="195"/>
      <c r="F350" s="195"/>
      <c r="G350" s="195"/>
      <c r="H350" s="195"/>
      <c r="I350" s="195"/>
    </row>
    <row r="351" ht="20.25" spans="1:9">
      <c r="A351" s="195"/>
      <c r="B351" s="195"/>
      <c r="C351" s="195"/>
      <c r="D351" s="195"/>
      <c r="E351" s="195"/>
      <c r="F351" s="195"/>
      <c r="G351" s="195"/>
      <c r="H351" s="195"/>
      <c r="I351" s="195"/>
    </row>
    <row r="352" ht="20.25" spans="1:9">
      <c r="A352" s="195"/>
      <c r="B352" s="195"/>
      <c r="C352" s="195"/>
      <c r="D352" s="195"/>
      <c r="E352" s="195"/>
      <c r="F352" s="195"/>
      <c r="G352" s="195"/>
      <c r="H352" s="195"/>
      <c r="I352" s="195"/>
    </row>
    <row r="353" ht="20.25" spans="1:9">
      <c r="A353" s="195"/>
      <c r="B353" s="195"/>
      <c r="C353" s="195"/>
      <c r="D353" s="195"/>
      <c r="E353" s="195"/>
      <c r="F353" s="195"/>
      <c r="G353" s="195"/>
      <c r="H353" s="195"/>
      <c r="I353" s="195"/>
    </row>
    <row r="354" ht="20.25" spans="1:9">
      <c r="A354" s="195"/>
      <c r="B354" s="195"/>
      <c r="C354" s="195"/>
      <c r="D354" s="195"/>
      <c r="E354" s="195"/>
      <c r="F354" s="195"/>
      <c r="G354" s="195"/>
      <c r="H354" s="195"/>
      <c r="I354" s="195"/>
    </row>
    <row r="355" ht="20.25" spans="1:9">
      <c r="A355" s="195"/>
      <c r="B355" s="195"/>
      <c r="C355" s="195"/>
      <c r="D355" s="195"/>
      <c r="E355" s="195"/>
      <c r="F355" s="195"/>
      <c r="G355" s="195"/>
      <c r="H355" s="195"/>
      <c r="I355" s="195"/>
    </row>
    <row r="356" ht="20.25" spans="1:9">
      <c r="A356" s="195"/>
      <c r="B356" s="195"/>
      <c r="C356" s="195"/>
      <c r="D356" s="195"/>
      <c r="E356" s="195"/>
      <c r="F356" s="195"/>
      <c r="G356" s="195"/>
      <c r="H356" s="195"/>
      <c r="I356" s="195"/>
    </row>
    <row r="357" ht="20.25" spans="1:9">
      <c r="A357" s="195"/>
      <c r="B357" s="195"/>
      <c r="C357" s="195"/>
      <c r="D357" s="195"/>
      <c r="E357" s="195"/>
      <c r="F357" s="195"/>
      <c r="G357" s="195"/>
      <c r="H357" s="195"/>
      <c r="I357" s="195"/>
    </row>
    <row r="358" ht="20.25" spans="1:9">
      <c r="A358" s="195"/>
      <c r="B358" s="195"/>
      <c r="C358" s="195"/>
      <c r="D358" s="195"/>
      <c r="E358" s="195"/>
      <c r="F358" s="195"/>
      <c r="G358" s="195"/>
      <c r="H358" s="195"/>
      <c r="I358" s="195"/>
    </row>
    <row r="359" ht="20.25" spans="1:9">
      <c r="A359" s="195"/>
      <c r="B359" s="195"/>
      <c r="C359" s="195"/>
      <c r="D359" s="195"/>
      <c r="E359" s="195"/>
      <c r="F359" s="195"/>
      <c r="G359" s="195"/>
      <c r="H359" s="195"/>
      <c r="I359" s="195"/>
    </row>
    <row r="360" ht="20.25" spans="1:9">
      <c r="A360" s="195"/>
      <c r="B360" s="195"/>
      <c r="C360" s="195"/>
      <c r="D360" s="195"/>
      <c r="E360" s="195"/>
      <c r="F360" s="195"/>
      <c r="G360" s="195"/>
      <c r="H360" s="195"/>
      <c r="I360" s="195"/>
    </row>
    <row r="361" ht="20.25" spans="1:9">
      <c r="A361" s="195"/>
      <c r="B361" s="195"/>
      <c r="C361" s="195"/>
      <c r="D361" s="195"/>
      <c r="E361" s="195"/>
      <c r="F361" s="195"/>
      <c r="G361" s="195"/>
      <c r="H361" s="195"/>
      <c r="I361" s="195"/>
    </row>
    <row r="362" ht="20.25" spans="1:9">
      <c r="A362" s="195"/>
      <c r="B362" s="195"/>
      <c r="C362" s="195"/>
      <c r="D362" s="195"/>
      <c r="E362" s="195"/>
      <c r="F362" s="195"/>
      <c r="G362" s="195"/>
      <c r="H362" s="195"/>
      <c r="I362" s="195"/>
    </row>
    <row r="363" ht="20.25" spans="1:9">
      <c r="A363" s="195"/>
      <c r="B363" s="195"/>
      <c r="C363" s="195"/>
      <c r="D363" s="195"/>
      <c r="E363" s="195"/>
      <c r="F363" s="195"/>
      <c r="G363" s="195"/>
      <c r="H363" s="195"/>
      <c r="I363" s="195"/>
    </row>
    <row r="364" ht="20.25" spans="1:9">
      <c r="A364" s="195"/>
      <c r="B364" s="195"/>
      <c r="C364" s="195"/>
      <c r="D364" s="195"/>
      <c r="E364" s="195"/>
      <c r="F364" s="195"/>
      <c r="G364" s="195"/>
      <c r="H364" s="195"/>
      <c r="I364" s="195"/>
    </row>
    <row r="365" ht="20.25" spans="1:9">
      <c r="A365" s="195"/>
      <c r="B365" s="195"/>
      <c r="C365" s="195"/>
      <c r="D365" s="195"/>
      <c r="E365" s="195"/>
      <c r="F365" s="195"/>
      <c r="G365" s="195"/>
      <c r="H365" s="195"/>
      <c r="I365" s="195"/>
    </row>
    <row r="366" ht="20.25" spans="1:9">
      <c r="A366" s="195"/>
      <c r="B366" s="195"/>
      <c r="C366" s="195"/>
      <c r="D366" s="195"/>
      <c r="E366" s="195"/>
      <c r="F366" s="195"/>
      <c r="G366" s="195"/>
      <c r="H366" s="195"/>
      <c r="I366" s="195"/>
    </row>
    <row r="367" ht="20.25" spans="1:9">
      <c r="A367" s="195"/>
      <c r="B367" s="195"/>
      <c r="C367" s="195"/>
      <c r="D367" s="195"/>
      <c r="E367" s="195"/>
      <c r="F367" s="195"/>
      <c r="G367" s="195"/>
      <c r="H367" s="195"/>
      <c r="I367" s="195"/>
    </row>
    <row r="368" ht="20.25" spans="1:9">
      <c r="A368" s="195"/>
      <c r="B368" s="195"/>
      <c r="C368" s="195"/>
      <c r="D368" s="195"/>
      <c r="E368" s="195"/>
      <c r="F368" s="195"/>
      <c r="G368" s="195"/>
      <c r="H368" s="195"/>
      <c r="I368" s="195"/>
    </row>
    <row r="369" ht="20.25" spans="1:9">
      <c r="A369" s="195"/>
      <c r="B369" s="195"/>
      <c r="C369" s="195"/>
      <c r="D369" s="195"/>
      <c r="E369" s="195"/>
      <c r="F369" s="195"/>
      <c r="G369" s="195"/>
      <c r="H369" s="195"/>
      <c r="I369" s="195"/>
    </row>
    <row r="370" ht="20.25" spans="1:9">
      <c r="A370" s="195"/>
      <c r="B370" s="195"/>
      <c r="C370" s="195"/>
      <c r="D370" s="195"/>
      <c r="E370" s="195"/>
      <c r="F370" s="195"/>
      <c r="G370" s="195"/>
      <c r="H370" s="195"/>
      <c r="I370" s="195"/>
    </row>
    <row r="371" ht="20.25" spans="1:9">
      <c r="A371" s="195"/>
      <c r="B371" s="195"/>
      <c r="C371" s="195"/>
      <c r="D371" s="195"/>
      <c r="E371" s="195"/>
      <c r="F371" s="195"/>
      <c r="G371" s="195"/>
      <c r="H371" s="195"/>
      <c r="I371" s="195"/>
    </row>
    <row r="372" ht="20.25" spans="1:9">
      <c r="A372" s="195"/>
      <c r="B372" s="195"/>
      <c r="C372" s="195"/>
      <c r="D372" s="195"/>
      <c r="E372" s="195"/>
      <c r="F372" s="195"/>
      <c r="G372" s="195"/>
      <c r="H372" s="195"/>
      <c r="I372" s="195"/>
    </row>
    <row r="373" ht="20.25" spans="1:9">
      <c r="A373" s="195"/>
      <c r="B373" s="195"/>
      <c r="C373" s="195"/>
      <c r="D373" s="195"/>
      <c r="E373" s="195"/>
      <c r="F373" s="195"/>
      <c r="G373" s="195"/>
      <c r="H373" s="195"/>
      <c r="I373" s="195"/>
    </row>
    <row r="374" ht="20.25" spans="1:9">
      <c r="A374" s="195"/>
      <c r="B374" s="195"/>
      <c r="C374" s="195"/>
      <c r="D374" s="195"/>
      <c r="E374" s="195"/>
      <c r="F374" s="195"/>
      <c r="G374" s="195"/>
      <c r="H374" s="195"/>
      <c r="I374" s="195"/>
    </row>
    <row r="375" ht="20.25" spans="1:9">
      <c r="A375" s="195"/>
      <c r="B375" s="195"/>
      <c r="C375" s="195"/>
      <c r="D375" s="195"/>
      <c r="E375" s="195"/>
      <c r="F375" s="195"/>
      <c r="G375" s="195"/>
      <c r="H375" s="195"/>
      <c r="I375" s="195"/>
    </row>
    <row r="376" ht="20.25" spans="1:9">
      <c r="A376" s="195"/>
      <c r="B376" s="195"/>
      <c r="C376" s="195"/>
      <c r="D376" s="195"/>
      <c r="E376" s="195"/>
      <c r="F376" s="195"/>
      <c r="G376" s="195"/>
      <c r="H376" s="195"/>
      <c r="I376" s="195"/>
    </row>
    <row r="377" ht="20.25" spans="1:9">
      <c r="A377" s="195"/>
      <c r="B377" s="195"/>
      <c r="C377" s="195"/>
      <c r="D377" s="195"/>
      <c r="E377" s="195"/>
      <c r="F377" s="195"/>
      <c r="G377" s="195"/>
      <c r="H377" s="195"/>
      <c r="I377" s="195"/>
    </row>
    <row r="378" ht="20.25" spans="1:9">
      <c r="A378" s="195"/>
      <c r="B378" s="195"/>
      <c r="C378" s="195"/>
      <c r="D378" s="195"/>
      <c r="E378" s="195"/>
      <c r="F378" s="195"/>
      <c r="G378" s="195"/>
      <c r="H378" s="195"/>
      <c r="I378" s="195"/>
    </row>
    <row r="379" ht="20.25" spans="1:9">
      <c r="A379" s="195"/>
      <c r="B379" s="195"/>
      <c r="C379" s="195"/>
      <c r="D379" s="195"/>
      <c r="E379" s="195"/>
      <c r="F379" s="195"/>
      <c r="G379" s="195"/>
      <c r="H379" s="195"/>
      <c r="I379" s="195"/>
    </row>
    <row r="380" ht="20.25" spans="1:9">
      <c r="A380" s="195"/>
      <c r="B380" s="195"/>
      <c r="C380" s="195"/>
      <c r="D380" s="195"/>
      <c r="E380" s="195"/>
      <c r="F380" s="195"/>
      <c r="G380" s="195"/>
      <c r="H380" s="195"/>
      <c r="I380" s="195"/>
    </row>
    <row r="381" ht="20.25" spans="1:9">
      <c r="A381" s="195"/>
      <c r="B381" s="195"/>
      <c r="C381" s="195"/>
      <c r="D381" s="195"/>
      <c r="E381" s="195"/>
      <c r="F381" s="195"/>
      <c r="G381" s="195"/>
      <c r="H381" s="195"/>
      <c r="I381" s="195"/>
    </row>
    <row r="382" ht="20.25" spans="1:9">
      <c r="A382" s="195"/>
      <c r="B382" s="195"/>
      <c r="C382" s="195"/>
      <c r="D382" s="195"/>
      <c r="E382" s="195"/>
      <c r="F382" s="195"/>
      <c r="G382" s="195"/>
      <c r="H382" s="195"/>
      <c r="I382" s="195"/>
    </row>
    <row r="383" ht="20.25" spans="1:9">
      <c r="A383" s="195"/>
      <c r="B383" s="195"/>
      <c r="C383" s="195"/>
      <c r="D383" s="195"/>
      <c r="E383" s="195"/>
      <c r="F383" s="195"/>
      <c r="G383" s="195"/>
      <c r="H383" s="195"/>
      <c r="I383" s="195"/>
    </row>
    <row r="384" ht="20.25" spans="1:9">
      <c r="A384" s="195"/>
      <c r="B384" s="195"/>
      <c r="C384" s="195"/>
      <c r="D384" s="195"/>
      <c r="E384" s="195"/>
      <c r="F384" s="195"/>
      <c r="G384" s="195"/>
      <c r="H384" s="195"/>
      <c r="I384" s="195"/>
    </row>
    <row r="385" ht="20.25" spans="1:9">
      <c r="A385" s="195"/>
      <c r="B385" s="195"/>
      <c r="C385" s="195"/>
      <c r="D385" s="195"/>
      <c r="E385" s="195"/>
      <c r="F385" s="195"/>
      <c r="G385" s="195"/>
      <c r="H385" s="195"/>
      <c r="I385" s="195"/>
    </row>
    <row r="386" ht="20.25" spans="1:9">
      <c r="A386" s="195"/>
      <c r="B386" s="195"/>
      <c r="C386" s="195"/>
      <c r="D386" s="195"/>
      <c r="E386" s="195"/>
      <c r="F386" s="195"/>
      <c r="G386" s="195"/>
      <c r="H386" s="195"/>
      <c r="I386" s="195"/>
    </row>
    <row r="387" ht="20.25" spans="1:9">
      <c r="A387" s="195"/>
      <c r="B387" s="195"/>
      <c r="C387" s="195"/>
      <c r="D387" s="195"/>
      <c r="E387" s="195"/>
      <c r="F387" s="195"/>
      <c r="G387" s="195"/>
      <c r="H387" s="195"/>
      <c r="I387" s="195"/>
    </row>
    <row r="388" ht="20.25" spans="1:9">
      <c r="A388" s="195"/>
      <c r="B388" s="195"/>
      <c r="C388" s="195"/>
      <c r="D388" s="195"/>
      <c r="E388" s="195"/>
      <c r="F388" s="195"/>
      <c r="G388" s="195"/>
      <c r="H388" s="195"/>
      <c r="I388" s="195"/>
    </row>
    <row r="389" ht="20.25" spans="1:9">
      <c r="A389" s="195"/>
      <c r="B389" s="195"/>
      <c r="C389" s="195"/>
      <c r="D389" s="195"/>
      <c r="E389" s="195"/>
      <c r="F389" s="195"/>
      <c r="G389" s="195"/>
      <c r="H389" s="195"/>
      <c r="I389" s="195"/>
    </row>
    <row r="390" ht="20.25" spans="1:9">
      <c r="A390" s="195"/>
      <c r="B390" s="195"/>
      <c r="C390" s="195"/>
      <c r="D390" s="195"/>
      <c r="E390" s="195"/>
      <c r="F390" s="195"/>
      <c r="G390" s="195"/>
      <c r="H390" s="195"/>
      <c r="I390" s="195"/>
    </row>
    <row r="391" ht="20.25" spans="1:9">
      <c r="A391" s="195"/>
      <c r="B391" s="195"/>
      <c r="C391" s="195"/>
      <c r="D391" s="195"/>
      <c r="E391" s="195"/>
      <c r="F391" s="195"/>
      <c r="G391" s="195"/>
      <c r="H391" s="195"/>
      <c r="I391" s="195"/>
    </row>
    <row r="392" ht="20.25" spans="1:9">
      <c r="A392" s="195"/>
      <c r="B392" s="195"/>
      <c r="C392" s="195"/>
      <c r="D392" s="195"/>
      <c r="E392" s="195"/>
      <c r="F392" s="195"/>
      <c r="G392" s="195"/>
      <c r="H392" s="195"/>
      <c r="I392" s="195"/>
    </row>
    <row r="393" ht="20.25" spans="1:9">
      <c r="A393" s="195"/>
      <c r="B393" s="195"/>
      <c r="C393" s="195"/>
      <c r="D393" s="195"/>
      <c r="E393" s="195"/>
      <c r="F393" s="195"/>
      <c r="G393" s="195"/>
      <c r="H393" s="195"/>
      <c r="I393" s="195"/>
    </row>
    <row r="394" ht="20.25" spans="1:9">
      <c r="A394" s="195"/>
      <c r="B394" s="195"/>
      <c r="C394" s="195"/>
      <c r="D394" s="195"/>
      <c r="E394" s="195"/>
      <c r="F394" s="195"/>
      <c r="G394" s="195"/>
      <c r="H394" s="195"/>
      <c r="I394" s="195"/>
    </row>
    <row r="395" ht="20.25" spans="1:9">
      <c r="A395" s="195"/>
      <c r="B395" s="195"/>
      <c r="C395" s="195"/>
      <c r="D395" s="195"/>
      <c r="E395" s="195"/>
      <c r="F395" s="195"/>
      <c r="G395" s="195"/>
      <c r="H395" s="195"/>
      <c r="I395" s="195"/>
    </row>
    <row r="396" ht="20.25" spans="1:9">
      <c r="A396" s="195"/>
      <c r="B396" s="195"/>
      <c r="C396" s="195"/>
      <c r="D396" s="195"/>
      <c r="E396" s="195"/>
      <c r="F396" s="195"/>
      <c r="G396" s="195"/>
      <c r="H396" s="195"/>
      <c r="I396" s="195"/>
    </row>
    <row r="397" ht="20.25" spans="1:9">
      <c r="A397" s="195"/>
      <c r="B397" s="195"/>
      <c r="C397" s="195"/>
      <c r="D397" s="195"/>
      <c r="E397" s="195"/>
      <c r="F397" s="195"/>
      <c r="G397" s="195"/>
      <c r="H397" s="195"/>
      <c r="I397" s="195"/>
    </row>
    <row r="398" ht="20.25" spans="1:9">
      <c r="A398" s="195"/>
      <c r="B398" s="195"/>
      <c r="C398" s="195"/>
      <c r="D398" s="195"/>
      <c r="E398" s="195"/>
      <c r="F398" s="195"/>
      <c r="G398" s="195"/>
      <c r="H398" s="195"/>
      <c r="I398" s="195"/>
    </row>
    <row r="399" ht="20.25" spans="1:9">
      <c r="A399" s="195"/>
      <c r="B399" s="195"/>
      <c r="C399" s="195"/>
      <c r="D399" s="195"/>
      <c r="E399" s="195"/>
      <c r="F399" s="195"/>
      <c r="G399" s="195"/>
      <c r="H399" s="195"/>
      <c r="I399" s="195"/>
    </row>
    <row r="400" ht="20.25" spans="1:9">
      <c r="A400" s="195"/>
      <c r="B400" s="195"/>
      <c r="C400" s="195"/>
      <c r="D400" s="195"/>
      <c r="E400" s="195"/>
      <c r="F400" s="195"/>
      <c r="G400" s="195"/>
      <c r="H400" s="195"/>
      <c r="I400" s="195"/>
    </row>
    <row r="401" ht="20.25" spans="1:9">
      <c r="A401" s="195"/>
      <c r="B401" s="195"/>
      <c r="C401" s="195"/>
      <c r="D401" s="195"/>
      <c r="E401" s="195"/>
      <c r="F401" s="195"/>
      <c r="G401" s="195"/>
      <c r="H401" s="195"/>
      <c r="I401" s="195"/>
    </row>
    <row r="402" ht="20.25" spans="1:9">
      <c r="A402" s="195"/>
      <c r="B402" s="195"/>
      <c r="C402" s="195"/>
      <c r="D402" s="195"/>
      <c r="E402" s="195"/>
      <c r="F402" s="195"/>
      <c r="G402" s="195"/>
      <c r="H402" s="195"/>
      <c r="I402" s="195"/>
    </row>
    <row r="403" ht="20.25" spans="1:9">
      <c r="A403" s="195"/>
      <c r="B403" s="195"/>
      <c r="C403" s="195"/>
      <c r="D403" s="195"/>
      <c r="E403" s="195"/>
      <c r="F403" s="195"/>
      <c r="G403" s="195"/>
      <c r="H403" s="195"/>
      <c r="I403" s="195"/>
    </row>
    <row r="404" ht="20.25" spans="1:9">
      <c r="A404" s="195"/>
      <c r="B404" s="195"/>
      <c r="C404" s="195"/>
      <c r="D404" s="195"/>
      <c r="E404" s="195"/>
      <c r="F404" s="195"/>
      <c r="G404" s="195"/>
      <c r="H404" s="195"/>
      <c r="I404" s="195"/>
    </row>
    <row r="405" ht="20.25" spans="1:9">
      <c r="A405" s="195"/>
      <c r="B405" s="195"/>
      <c r="C405" s="195"/>
      <c r="D405" s="195"/>
      <c r="E405" s="195"/>
      <c r="F405" s="195"/>
      <c r="G405" s="195"/>
      <c r="H405" s="195"/>
      <c r="I405" s="195"/>
    </row>
    <row r="406" ht="20.25" spans="1:9">
      <c r="A406" s="195"/>
      <c r="B406" s="195"/>
      <c r="C406" s="195"/>
      <c r="D406" s="195"/>
      <c r="E406" s="195"/>
      <c r="F406" s="195"/>
      <c r="G406" s="195"/>
      <c r="H406" s="195"/>
      <c r="I406" s="195"/>
    </row>
    <row r="407" ht="20.25" spans="1:9">
      <c r="A407" s="195"/>
      <c r="B407" s="195"/>
      <c r="C407" s="195"/>
      <c r="D407" s="195"/>
      <c r="E407" s="195"/>
      <c r="F407" s="195"/>
      <c r="G407" s="195"/>
      <c r="H407" s="195"/>
      <c r="I407" s="195"/>
    </row>
    <row r="408" ht="20.25" spans="1:9">
      <c r="A408" s="195"/>
      <c r="B408" s="195"/>
      <c r="C408" s="195"/>
      <c r="D408" s="195"/>
      <c r="E408" s="195"/>
      <c r="F408" s="195"/>
      <c r="G408" s="195"/>
      <c r="H408" s="195"/>
      <c r="I408" s="195"/>
    </row>
    <row r="409" ht="20.25" spans="1:9">
      <c r="A409" s="195"/>
      <c r="B409" s="195"/>
      <c r="C409" s="195"/>
      <c r="D409" s="195"/>
      <c r="E409" s="195"/>
      <c r="F409" s="195"/>
      <c r="G409" s="195"/>
      <c r="H409" s="195"/>
      <c r="I409" s="195"/>
    </row>
    <row r="410" ht="20.25" spans="1:9">
      <c r="A410" s="195"/>
      <c r="B410" s="195"/>
      <c r="C410" s="195"/>
      <c r="D410" s="195"/>
      <c r="E410" s="195"/>
      <c r="F410" s="195"/>
      <c r="G410" s="195"/>
      <c r="H410" s="195"/>
      <c r="I410" s="195"/>
    </row>
    <row r="411" ht="20.25" spans="1:9">
      <c r="A411" s="195"/>
      <c r="B411" s="195"/>
      <c r="C411" s="195"/>
      <c r="D411" s="195"/>
      <c r="E411" s="195"/>
      <c r="F411" s="195"/>
      <c r="G411" s="195"/>
      <c r="H411" s="195"/>
      <c r="I411" s="195"/>
    </row>
    <row r="412" ht="20.25" spans="1:9">
      <c r="A412" s="195"/>
      <c r="B412" s="195"/>
      <c r="C412" s="195"/>
      <c r="D412" s="195"/>
      <c r="E412" s="195"/>
      <c r="F412" s="195"/>
      <c r="G412" s="195"/>
      <c r="H412" s="195"/>
      <c r="I412" s="195"/>
    </row>
    <row r="413" ht="20.25" spans="1:9">
      <c r="A413" s="195"/>
      <c r="B413" s="195"/>
      <c r="C413" s="195"/>
      <c r="D413" s="195"/>
      <c r="E413" s="195"/>
      <c r="F413" s="195"/>
      <c r="G413" s="195"/>
      <c r="H413" s="195"/>
      <c r="I413" s="195"/>
    </row>
    <row r="414" ht="20.25" spans="1:9">
      <c r="A414" s="195"/>
      <c r="B414" s="195"/>
      <c r="C414" s="195"/>
      <c r="D414" s="195"/>
      <c r="E414" s="195"/>
      <c r="F414" s="195"/>
      <c r="G414" s="195"/>
      <c r="H414" s="195"/>
      <c r="I414" s="195"/>
    </row>
    <row r="415" ht="20.25" spans="1:9">
      <c r="A415" s="195"/>
      <c r="B415" s="195"/>
      <c r="C415" s="195"/>
      <c r="D415" s="195"/>
      <c r="E415" s="195"/>
      <c r="F415" s="195"/>
      <c r="G415" s="195"/>
      <c r="H415" s="195"/>
      <c r="I415" s="195"/>
    </row>
    <row r="416" ht="20.25" spans="1:9">
      <c r="A416" s="195"/>
      <c r="B416" s="195"/>
      <c r="C416" s="195"/>
      <c r="D416" s="195"/>
      <c r="E416" s="195"/>
      <c r="F416" s="195"/>
      <c r="G416" s="195"/>
      <c r="H416" s="195"/>
      <c r="I416" s="195"/>
    </row>
    <row r="417" ht="20.25" spans="1:9">
      <c r="A417" s="195"/>
      <c r="B417" s="195"/>
      <c r="C417" s="195"/>
      <c r="D417" s="195"/>
      <c r="E417" s="195"/>
      <c r="F417" s="195"/>
      <c r="G417" s="195"/>
      <c r="H417" s="195"/>
      <c r="I417" s="195"/>
    </row>
    <row r="418" ht="20.25" spans="1:9">
      <c r="A418" s="195"/>
      <c r="B418" s="195"/>
      <c r="C418" s="195"/>
      <c r="D418" s="195"/>
      <c r="E418" s="195"/>
      <c r="F418" s="195"/>
      <c r="G418" s="195"/>
      <c r="H418" s="195"/>
      <c r="I418" s="195"/>
    </row>
    <row r="419" ht="20.25" spans="1:9">
      <c r="A419" s="195"/>
      <c r="B419" s="195"/>
      <c r="C419" s="195"/>
      <c r="D419" s="195"/>
      <c r="E419" s="195"/>
      <c r="F419" s="195"/>
      <c r="G419" s="195"/>
      <c r="H419" s="195"/>
      <c r="I419" s="195"/>
    </row>
    <row r="420" ht="20.25" spans="1:9">
      <c r="A420" s="195"/>
      <c r="B420" s="195"/>
      <c r="C420" s="195"/>
      <c r="D420" s="195"/>
      <c r="E420" s="195"/>
      <c r="F420" s="195"/>
      <c r="G420" s="195"/>
      <c r="H420" s="195"/>
      <c r="I420" s="195"/>
    </row>
    <row r="421" ht="20.25" spans="1:9">
      <c r="A421" s="195"/>
      <c r="B421" s="195"/>
      <c r="C421" s="195"/>
      <c r="D421" s="195"/>
      <c r="E421" s="195"/>
      <c r="F421" s="195"/>
      <c r="G421" s="195"/>
      <c r="H421" s="195"/>
      <c r="I421" s="195"/>
    </row>
    <row r="422" ht="20.25" spans="1:9">
      <c r="A422" s="195"/>
      <c r="B422" s="195"/>
      <c r="C422" s="195"/>
      <c r="D422" s="195"/>
      <c r="E422" s="195"/>
      <c r="F422" s="195"/>
      <c r="G422" s="195"/>
      <c r="H422" s="195"/>
      <c r="I422" s="195"/>
    </row>
    <row r="423" ht="20.25" spans="1:9">
      <c r="A423" s="195"/>
      <c r="B423" s="195"/>
      <c r="C423" s="195"/>
      <c r="D423" s="195"/>
      <c r="E423" s="195"/>
      <c r="F423" s="195"/>
      <c r="G423" s="195"/>
      <c r="H423" s="195"/>
      <c r="I423" s="195"/>
    </row>
    <row r="424" ht="20.25" spans="1:9">
      <c r="A424" s="195"/>
      <c r="B424" s="195"/>
      <c r="C424" s="195"/>
      <c r="D424" s="195"/>
      <c r="E424" s="195"/>
      <c r="F424" s="195"/>
      <c r="G424" s="195"/>
      <c r="H424" s="195"/>
      <c r="I424" s="195"/>
    </row>
    <row r="425" ht="20.25" spans="1:9">
      <c r="A425" s="195"/>
      <c r="B425" s="195"/>
      <c r="C425" s="195"/>
      <c r="D425" s="195"/>
      <c r="E425" s="195"/>
      <c r="F425" s="195"/>
      <c r="G425" s="195"/>
      <c r="H425" s="195"/>
      <c r="I425" s="195"/>
    </row>
    <row r="426" ht="20.25" spans="1:9">
      <c r="A426" s="195"/>
      <c r="B426" s="195"/>
      <c r="C426" s="195"/>
      <c r="D426" s="195"/>
      <c r="E426" s="195"/>
      <c r="F426" s="195"/>
      <c r="G426" s="195"/>
      <c r="H426" s="195"/>
      <c r="I426" s="195"/>
    </row>
    <row r="427" ht="20.25" spans="1:9">
      <c r="A427" s="195"/>
      <c r="B427" s="195"/>
      <c r="C427" s="195"/>
      <c r="D427" s="195"/>
      <c r="E427" s="195"/>
      <c r="F427" s="195"/>
      <c r="G427" s="195"/>
      <c r="H427" s="195"/>
      <c r="I427" s="195"/>
    </row>
    <row r="428" ht="20.25" spans="1:9">
      <c r="A428" s="195"/>
      <c r="B428" s="195"/>
      <c r="C428" s="195"/>
      <c r="D428" s="195"/>
      <c r="E428" s="195"/>
      <c r="F428" s="195"/>
      <c r="G428" s="195"/>
      <c r="H428" s="195"/>
      <c r="I428" s="195"/>
    </row>
    <row r="429" ht="20.25" spans="1:9">
      <c r="A429" s="195"/>
      <c r="B429" s="195"/>
      <c r="C429" s="195"/>
      <c r="D429" s="195"/>
      <c r="E429" s="195"/>
      <c r="F429" s="195"/>
      <c r="G429" s="195"/>
      <c r="H429" s="195"/>
      <c r="I429" s="195"/>
    </row>
    <row r="430" ht="20.25" spans="1:9">
      <c r="A430" s="195"/>
      <c r="B430" s="195"/>
      <c r="C430" s="195"/>
      <c r="D430" s="195"/>
      <c r="E430" s="195"/>
      <c r="F430" s="195"/>
      <c r="G430" s="195"/>
      <c r="H430" s="195"/>
      <c r="I430" s="195"/>
    </row>
    <row r="431" ht="20.25" spans="1:9">
      <c r="A431" s="195"/>
      <c r="B431" s="195"/>
      <c r="C431" s="195"/>
      <c r="D431" s="195"/>
      <c r="E431" s="195"/>
      <c r="F431" s="195"/>
      <c r="G431" s="195"/>
      <c r="H431" s="195"/>
      <c r="I431" s="195"/>
    </row>
    <row r="432" ht="20.25" spans="1:9">
      <c r="A432" s="195"/>
      <c r="B432" s="195"/>
      <c r="C432" s="195"/>
      <c r="D432" s="195"/>
      <c r="E432" s="195"/>
      <c r="F432" s="195"/>
      <c r="G432" s="195"/>
      <c r="H432" s="195"/>
      <c r="I432" s="195"/>
    </row>
    <row r="433" ht="20.25" spans="1:9">
      <c r="A433" s="195"/>
      <c r="B433" s="195"/>
      <c r="C433" s="195"/>
      <c r="D433" s="195"/>
      <c r="E433" s="195"/>
      <c r="F433" s="195"/>
      <c r="G433" s="195"/>
      <c r="H433" s="195"/>
      <c r="I433" s="195"/>
    </row>
    <row r="434" ht="20.25" spans="1:9">
      <c r="A434" s="195"/>
      <c r="B434" s="195"/>
      <c r="C434" s="195"/>
      <c r="D434" s="195"/>
      <c r="E434" s="195"/>
      <c r="F434" s="195"/>
      <c r="G434" s="195"/>
      <c r="H434" s="195"/>
      <c r="I434" s="195"/>
    </row>
    <row r="435" ht="20.25" spans="1:9">
      <c r="A435" s="195"/>
      <c r="B435" s="195"/>
      <c r="C435" s="195"/>
      <c r="D435" s="195"/>
      <c r="E435" s="195"/>
      <c r="F435" s="195"/>
      <c r="G435" s="195"/>
      <c r="H435" s="195"/>
      <c r="I435" s="195"/>
    </row>
    <row r="436" ht="20.25" spans="1:9">
      <c r="A436" s="195"/>
      <c r="B436" s="195"/>
      <c r="C436" s="195"/>
      <c r="D436" s="195"/>
      <c r="E436" s="195"/>
      <c r="F436" s="195"/>
      <c r="G436" s="195"/>
      <c r="H436" s="195"/>
      <c r="I436" s="195"/>
    </row>
    <row r="437" ht="20.25" spans="1:9">
      <c r="A437" s="195"/>
      <c r="B437" s="195"/>
      <c r="C437" s="195"/>
      <c r="D437" s="195"/>
      <c r="E437" s="195"/>
      <c r="F437" s="195"/>
      <c r="G437" s="195"/>
      <c r="H437" s="195"/>
      <c r="I437" s="195"/>
    </row>
    <row r="438" ht="20.25" spans="1:9">
      <c r="A438" s="195"/>
      <c r="B438" s="195"/>
      <c r="C438" s="195"/>
      <c r="D438" s="195"/>
      <c r="E438" s="195"/>
      <c r="F438" s="195"/>
      <c r="G438" s="195"/>
      <c r="H438" s="195"/>
      <c r="I438" s="195"/>
    </row>
    <row r="439" ht="20.25" spans="1:9">
      <c r="A439" s="195"/>
      <c r="B439" s="195"/>
      <c r="C439" s="195"/>
      <c r="D439" s="195"/>
      <c r="E439" s="195"/>
      <c r="F439" s="195"/>
      <c r="G439" s="195"/>
      <c r="H439" s="195"/>
      <c r="I439" s="195"/>
    </row>
    <row r="440" ht="20.25" spans="1:9">
      <c r="A440" s="195"/>
      <c r="B440" s="195"/>
      <c r="C440" s="195"/>
      <c r="D440" s="195"/>
      <c r="E440" s="195"/>
      <c r="F440" s="195"/>
      <c r="G440" s="195"/>
      <c r="H440" s="195"/>
      <c r="I440" s="195"/>
    </row>
    <row r="441" ht="20.25" spans="1:9">
      <c r="A441" s="195"/>
      <c r="B441" s="195"/>
      <c r="C441" s="195"/>
      <c r="D441" s="195"/>
      <c r="E441" s="195"/>
      <c r="F441" s="195"/>
      <c r="G441" s="195"/>
      <c r="H441" s="195"/>
      <c r="I441" s="195"/>
    </row>
    <row r="442" ht="20.25" spans="1:9">
      <c r="A442" s="195"/>
      <c r="B442" s="195"/>
      <c r="C442" s="195"/>
      <c r="D442" s="195"/>
      <c r="E442" s="195"/>
      <c r="F442" s="195"/>
      <c r="G442" s="195"/>
      <c r="H442" s="195"/>
      <c r="I442" s="195"/>
    </row>
    <row r="443" ht="20.25" spans="1:9">
      <c r="A443" s="195"/>
      <c r="B443" s="195"/>
      <c r="C443" s="195"/>
      <c r="D443" s="195"/>
      <c r="E443" s="195"/>
      <c r="F443" s="195"/>
      <c r="G443" s="195"/>
      <c r="H443" s="195"/>
      <c r="I443" s="195"/>
    </row>
    <row r="444" ht="20.25" spans="1:9">
      <c r="A444" s="195"/>
      <c r="B444" s="195"/>
      <c r="C444" s="195"/>
      <c r="D444" s="195"/>
      <c r="E444" s="195"/>
      <c r="F444" s="195"/>
      <c r="G444" s="195"/>
      <c r="H444" s="195"/>
      <c r="I444" s="195"/>
    </row>
    <row r="445" ht="20.25" spans="1:9">
      <c r="A445" s="195"/>
      <c r="B445" s="195"/>
      <c r="C445" s="195"/>
      <c r="D445" s="195"/>
      <c r="E445" s="195"/>
      <c r="F445" s="195"/>
      <c r="G445" s="195"/>
      <c r="H445" s="195"/>
      <c r="I445" s="195"/>
    </row>
    <row r="446" ht="20.25" spans="1:9">
      <c r="A446" s="195"/>
      <c r="B446" s="195"/>
      <c r="C446" s="195"/>
      <c r="D446" s="195"/>
      <c r="E446" s="195"/>
      <c r="F446" s="195"/>
      <c r="G446" s="195"/>
      <c r="H446" s="195"/>
      <c r="I446" s="195"/>
    </row>
    <row r="447" ht="20.25" spans="1:9">
      <c r="A447" s="195"/>
      <c r="B447" s="195"/>
      <c r="C447" s="195"/>
      <c r="D447" s="195"/>
      <c r="E447" s="195"/>
      <c r="F447" s="195"/>
      <c r="G447" s="195"/>
      <c r="H447" s="195"/>
      <c r="I447" s="195"/>
    </row>
    <row r="448" ht="20.25" spans="1:9">
      <c r="A448" s="195"/>
      <c r="B448" s="195"/>
      <c r="C448" s="195"/>
      <c r="D448" s="195"/>
      <c r="E448" s="195"/>
      <c r="F448" s="195"/>
      <c r="G448" s="195"/>
      <c r="H448" s="195"/>
      <c r="I448" s="195"/>
    </row>
    <row r="449" ht="20.25" spans="1:9">
      <c r="A449" s="195"/>
      <c r="B449" s="195"/>
      <c r="C449" s="195"/>
      <c r="D449" s="195"/>
      <c r="E449" s="195"/>
      <c r="F449" s="195"/>
      <c r="G449" s="195"/>
      <c r="H449" s="195"/>
      <c r="I449" s="195"/>
    </row>
    <row r="450" ht="20.25" spans="1:9">
      <c r="A450" s="195"/>
      <c r="B450" s="195"/>
      <c r="C450" s="195"/>
      <c r="D450" s="195"/>
      <c r="E450" s="195"/>
      <c r="F450" s="195"/>
      <c r="G450" s="195"/>
      <c r="H450" s="195"/>
      <c r="I450" s="195"/>
    </row>
    <row r="451" ht="20.25" spans="1:9">
      <c r="A451" s="195"/>
      <c r="B451" s="195"/>
      <c r="C451" s="195"/>
      <c r="D451" s="195"/>
      <c r="E451" s="195"/>
      <c r="F451" s="195"/>
      <c r="G451" s="195"/>
      <c r="H451" s="195"/>
      <c r="I451" s="195"/>
    </row>
    <row r="452" ht="20.25" spans="1:9">
      <c r="A452" s="195"/>
      <c r="B452" s="195"/>
      <c r="C452" s="195"/>
      <c r="D452" s="195"/>
      <c r="E452" s="195"/>
      <c r="F452" s="195"/>
      <c r="G452" s="195"/>
      <c r="H452" s="195"/>
      <c r="I452" s="195"/>
    </row>
    <row r="453" ht="20.25" spans="1:9">
      <c r="A453" s="195"/>
      <c r="B453" s="195"/>
      <c r="C453" s="195"/>
      <c r="D453" s="195"/>
      <c r="E453" s="195"/>
      <c r="F453" s="195"/>
      <c r="G453" s="195"/>
      <c r="H453" s="195"/>
      <c r="I453" s="195"/>
    </row>
    <row r="454" ht="20.25" spans="1:9">
      <c r="A454" s="195"/>
      <c r="B454" s="195"/>
      <c r="C454" s="195"/>
      <c r="D454" s="195"/>
      <c r="E454" s="195"/>
      <c r="F454" s="195"/>
      <c r="G454" s="195"/>
      <c r="H454" s="195"/>
      <c r="I454" s="195"/>
    </row>
    <row r="455" ht="20.25" spans="1:9">
      <c r="A455" s="195"/>
      <c r="B455" s="195"/>
      <c r="C455" s="195"/>
      <c r="D455" s="195"/>
      <c r="E455" s="195"/>
      <c r="F455" s="195"/>
      <c r="G455" s="195"/>
      <c r="H455" s="195"/>
      <c r="I455" s="195"/>
    </row>
    <row r="456" ht="20.25" spans="1:9">
      <c r="A456" s="195"/>
      <c r="B456" s="195"/>
      <c r="C456" s="195"/>
      <c r="D456" s="195"/>
      <c r="E456" s="195"/>
      <c r="F456" s="195"/>
      <c r="G456" s="195"/>
      <c r="H456" s="195"/>
      <c r="I456" s="195"/>
    </row>
    <row r="457" ht="20.25" spans="1:9">
      <c r="A457" s="195"/>
      <c r="B457" s="195"/>
      <c r="C457" s="195"/>
      <c r="D457" s="195"/>
      <c r="E457" s="195"/>
      <c r="F457" s="195"/>
      <c r="G457" s="195"/>
      <c r="H457" s="195"/>
      <c r="I457" s="195"/>
    </row>
    <row r="458" ht="20.25" spans="1:9">
      <c r="A458" s="195"/>
      <c r="B458" s="195"/>
      <c r="C458" s="195"/>
      <c r="D458" s="195"/>
      <c r="E458" s="195"/>
      <c r="F458" s="195"/>
      <c r="G458" s="195"/>
      <c r="H458" s="195"/>
      <c r="I458" s="195"/>
    </row>
    <row r="459" ht="20.25" spans="1:9">
      <c r="A459" s="195"/>
      <c r="B459" s="195"/>
      <c r="C459" s="195"/>
      <c r="D459" s="195"/>
      <c r="E459" s="195"/>
      <c r="F459" s="195"/>
      <c r="G459" s="195"/>
      <c r="H459" s="195"/>
      <c r="I459" s="195"/>
    </row>
    <row r="460" ht="20.25" spans="1:9">
      <c r="A460" s="195"/>
      <c r="B460" s="195"/>
      <c r="C460" s="195"/>
      <c r="D460" s="195"/>
      <c r="E460" s="195"/>
      <c r="F460" s="195"/>
      <c r="G460" s="195"/>
      <c r="H460" s="195"/>
      <c r="I460" s="195"/>
    </row>
    <row r="461" ht="20.25" spans="1:9">
      <c r="A461" s="195"/>
      <c r="B461" s="195"/>
      <c r="C461" s="195"/>
      <c r="D461" s="195"/>
      <c r="E461" s="195"/>
      <c r="F461" s="195"/>
      <c r="G461" s="195"/>
      <c r="H461" s="195"/>
      <c r="I461" s="195"/>
    </row>
    <row r="462" ht="20.25" spans="1:9">
      <c r="A462" s="195"/>
      <c r="B462" s="195"/>
      <c r="C462" s="195"/>
      <c r="D462" s="195"/>
      <c r="E462" s="195"/>
      <c r="F462" s="195"/>
      <c r="G462" s="195"/>
      <c r="H462" s="195"/>
      <c r="I462" s="195"/>
    </row>
    <row r="463" ht="20.25" spans="1:9">
      <c r="A463" s="195"/>
      <c r="B463" s="195"/>
      <c r="C463" s="195"/>
      <c r="D463" s="195"/>
      <c r="E463" s="195"/>
      <c r="F463" s="195"/>
      <c r="G463" s="195"/>
      <c r="H463" s="195"/>
      <c r="I463" s="195"/>
    </row>
    <row r="464" ht="20.25" spans="1:9">
      <c r="A464" s="195"/>
      <c r="B464" s="195"/>
      <c r="C464" s="195"/>
      <c r="D464" s="195"/>
      <c r="E464" s="195"/>
      <c r="F464" s="195"/>
      <c r="G464" s="195"/>
      <c r="H464" s="195"/>
      <c r="I464" s="195"/>
    </row>
    <row r="465" ht="20.25" spans="1:9">
      <c r="A465" s="195"/>
      <c r="B465" s="195"/>
      <c r="C465" s="195"/>
      <c r="D465" s="195"/>
      <c r="E465" s="195"/>
      <c r="F465" s="195"/>
      <c r="G465" s="195"/>
      <c r="H465" s="195"/>
      <c r="I465" s="195"/>
    </row>
    <row r="466" ht="20.25" spans="1:9">
      <c r="A466" s="195"/>
      <c r="B466" s="195"/>
      <c r="C466" s="195"/>
      <c r="D466" s="195"/>
      <c r="E466" s="195"/>
      <c r="F466" s="195"/>
      <c r="G466" s="195"/>
      <c r="H466" s="195"/>
      <c r="I466" s="195"/>
    </row>
    <row r="467" ht="20.25" spans="1:9">
      <c r="A467" s="195"/>
      <c r="B467" s="195"/>
      <c r="C467" s="195"/>
      <c r="D467" s="195"/>
      <c r="E467" s="195"/>
      <c r="F467" s="195"/>
      <c r="G467" s="195"/>
      <c r="H467" s="195"/>
      <c r="I467" s="195"/>
    </row>
    <row r="468" ht="20.25" spans="1:9">
      <c r="A468" s="195"/>
      <c r="B468" s="195"/>
      <c r="C468" s="195"/>
      <c r="D468" s="195"/>
      <c r="E468" s="195"/>
      <c r="F468" s="195"/>
      <c r="G468" s="195"/>
      <c r="H468" s="195"/>
      <c r="I468" s="195"/>
    </row>
    <row r="469" ht="20.25" spans="1:9">
      <c r="A469" s="195"/>
      <c r="B469" s="195"/>
      <c r="C469" s="195"/>
      <c r="D469" s="195"/>
      <c r="E469" s="195"/>
      <c r="F469" s="195"/>
      <c r="G469" s="195"/>
      <c r="H469" s="195"/>
      <c r="I469" s="195"/>
    </row>
    <row r="470" ht="20.25" spans="1:9">
      <c r="A470" s="195"/>
      <c r="B470" s="195"/>
      <c r="C470" s="195"/>
      <c r="D470" s="195"/>
      <c r="E470" s="195"/>
      <c r="F470" s="195"/>
      <c r="G470" s="195"/>
      <c r="H470" s="195"/>
      <c r="I470" s="195"/>
    </row>
    <row r="471" ht="20.25" spans="1:9">
      <c r="A471" s="195"/>
      <c r="B471" s="195"/>
      <c r="C471" s="195"/>
      <c r="D471" s="195"/>
      <c r="E471" s="195"/>
      <c r="F471" s="195"/>
      <c r="G471" s="195"/>
      <c r="H471" s="195"/>
      <c r="I471" s="195"/>
    </row>
    <row r="472" ht="20.25" spans="1:9">
      <c r="A472" s="195"/>
      <c r="B472" s="195"/>
      <c r="C472" s="195"/>
      <c r="D472" s="195"/>
      <c r="E472" s="195"/>
      <c r="F472" s="195"/>
      <c r="G472" s="195"/>
      <c r="H472" s="195"/>
      <c r="I472" s="195"/>
    </row>
    <row r="473" ht="20.25" spans="1:9">
      <c r="A473" s="195"/>
      <c r="B473" s="195"/>
      <c r="C473" s="195"/>
      <c r="D473" s="195"/>
      <c r="E473" s="195"/>
      <c r="F473" s="195"/>
      <c r="G473" s="195"/>
      <c r="H473" s="195"/>
      <c r="I473" s="195"/>
    </row>
    <row r="474" ht="20.25" spans="1:9">
      <c r="A474" s="195"/>
      <c r="B474" s="195"/>
      <c r="C474" s="195"/>
      <c r="D474" s="195"/>
      <c r="E474" s="195"/>
      <c r="F474" s="195"/>
      <c r="G474" s="195"/>
      <c r="H474" s="195"/>
      <c r="I474" s="195"/>
    </row>
    <row r="475" ht="20.25" spans="1:9">
      <c r="A475" s="195"/>
      <c r="B475" s="195"/>
      <c r="C475" s="195"/>
      <c r="D475" s="195"/>
      <c r="E475" s="195"/>
      <c r="F475" s="195"/>
      <c r="G475" s="195"/>
      <c r="H475" s="195"/>
      <c r="I475" s="195"/>
    </row>
    <row r="476" ht="20.25" spans="1:9">
      <c r="A476" s="195"/>
      <c r="B476" s="195"/>
      <c r="C476" s="195"/>
      <c r="D476" s="195"/>
      <c r="E476" s="195"/>
      <c r="F476" s="195"/>
      <c r="G476" s="195"/>
      <c r="H476" s="195"/>
      <c r="I476" s="195"/>
    </row>
    <row r="477" ht="20.25" spans="1:9">
      <c r="A477" s="195"/>
      <c r="B477" s="195"/>
      <c r="C477" s="195"/>
      <c r="D477" s="195"/>
      <c r="E477" s="195"/>
      <c r="F477" s="195"/>
      <c r="G477" s="195"/>
      <c r="H477" s="195"/>
      <c r="I477" s="195"/>
    </row>
    <row r="478" ht="20.25" spans="1:9">
      <c r="A478" s="195"/>
      <c r="B478" s="195"/>
      <c r="C478" s="195"/>
      <c r="D478" s="195"/>
      <c r="E478" s="195"/>
      <c r="F478" s="195"/>
      <c r="G478" s="195"/>
      <c r="H478" s="195"/>
      <c r="I478" s="195"/>
    </row>
    <row r="479" ht="20.25" spans="1:9">
      <c r="A479" s="195"/>
      <c r="B479" s="195"/>
      <c r="C479" s="195"/>
      <c r="D479" s="195"/>
      <c r="E479" s="195"/>
      <c r="F479" s="195"/>
      <c r="G479" s="195"/>
      <c r="H479" s="195"/>
      <c r="I479" s="195"/>
    </row>
    <row r="480" ht="20.25" spans="1:9">
      <c r="A480" s="195"/>
      <c r="B480" s="195"/>
      <c r="C480" s="195"/>
      <c r="D480" s="195"/>
      <c r="E480" s="195"/>
      <c r="F480" s="195"/>
      <c r="G480" s="195"/>
      <c r="H480" s="195"/>
      <c r="I480" s="195"/>
    </row>
    <row r="481" ht="20.25" spans="1:9">
      <c r="A481" s="195"/>
      <c r="B481" s="195"/>
      <c r="C481" s="195"/>
      <c r="D481" s="195"/>
      <c r="E481" s="195"/>
      <c r="F481" s="195"/>
      <c r="G481" s="195"/>
      <c r="H481" s="195"/>
      <c r="I481" s="195"/>
    </row>
    <row r="482" ht="20.25" spans="1:9">
      <c r="A482" s="195"/>
      <c r="B482" s="195"/>
      <c r="C482" s="195"/>
      <c r="D482" s="195"/>
      <c r="E482" s="195"/>
      <c r="F482" s="195"/>
      <c r="G482" s="195"/>
      <c r="H482" s="195"/>
      <c r="I482" s="195"/>
    </row>
    <row r="483" ht="20.25" spans="1:9">
      <c r="A483" s="195"/>
      <c r="B483" s="195"/>
      <c r="C483" s="195"/>
      <c r="D483" s="195"/>
      <c r="E483" s="195"/>
      <c r="F483" s="195"/>
      <c r="G483" s="195"/>
      <c r="H483" s="195"/>
      <c r="I483" s="195"/>
    </row>
    <row r="484" ht="20.25" spans="1:9">
      <c r="A484" s="195"/>
      <c r="B484" s="195"/>
      <c r="C484" s="195"/>
      <c r="D484" s="195"/>
      <c r="E484" s="195"/>
      <c r="F484" s="195"/>
      <c r="G484" s="195"/>
      <c r="H484" s="195"/>
      <c r="I484" s="195"/>
    </row>
    <row r="485" ht="20.25" spans="1:9">
      <c r="A485" s="195"/>
      <c r="B485" s="195"/>
      <c r="C485" s="195"/>
      <c r="D485" s="195"/>
      <c r="E485" s="195"/>
      <c r="F485" s="195"/>
      <c r="G485" s="195"/>
      <c r="H485" s="195"/>
      <c r="I485" s="195"/>
    </row>
    <row r="486" ht="20.25" spans="1:9">
      <c r="A486" s="195"/>
      <c r="B486" s="195"/>
      <c r="C486" s="195"/>
      <c r="D486" s="195"/>
      <c r="E486" s="195"/>
      <c r="F486" s="195"/>
      <c r="G486" s="195"/>
      <c r="H486" s="195"/>
      <c r="I486" s="195"/>
    </row>
    <row r="487" ht="20.25" spans="1:9">
      <c r="A487" s="195"/>
      <c r="B487" s="195"/>
      <c r="C487" s="195"/>
      <c r="D487" s="195"/>
      <c r="E487" s="195"/>
      <c r="F487" s="195"/>
      <c r="G487" s="195"/>
      <c r="H487" s="195"/>
      <c r="I487" s="195"/>
    </row>
    <row r="488" ht="20.25" spans="1:9">
      <c r="A488" s="195"/>
      <c r="B488" s="195"/>
      <c r="C488" s="195"/>
      <c r="D488" s="195"/>
      <c r="E488" s="195"/>
      <c r="F488" s="195"/>
      <c r="G488" s="195"/>
      <c r="H488" s="195"/>
      <c r="I488" s="195"/>
    </row>
    <row r="489" ht="20.25" spans="1:9">
      <c r="A489" s="195"/>
      <c r="B489" s="195"/>
      <c r="C489" s="195"/>
      <c r="D489" s="195"/>
      <c r="E489" s="195"/>
      <c r="F489" s="195"/>
      <c r="G489" s="195"/>
      <c r="H489" s="195"/>
      <c r="I489" s="195"/>
    </row>
    <row r="490" ht="20.25" spans="1:9">
      <c r="A490" s="195"/>
      <c r="B490" s="195"/>
      <c r="C490" s="195"/>
      <c r="D490" s="195"/>
      <c r="E490" s="195"/>
      <c r="F490" s="195"/>
      <c r="G490" s="195"/>
      <c r="H490" s="195"/>
      <c r="I490" s="195"/>
    </row>
    <row r="491" ht="20.25" spans="1:9">
      <c r="A491" s="195"/>
      <c r="B491" s="195"/>
      <c r="C491" s="195"/>
      <c r="D491" s="195"/>
      <c r="E491" s="195"/>
      <c r="F491" s="195"/>
      <c r="G491" s="195"/>
      <c r="H491" s="195"/>
      <c r="I491" s="195"/>
    </row>
    <row r="492" ht="20.25" spans="1:9">
      <c r="A492" s="195"/>
      <c r="B492" s="195"/>
      <c r="C492" s="195"/>
      <c r="D492" s="195"/>
      <c r="E492" s="195"/>
      <c r="F492" s="195"/>
      <c r="G492" s="195"/>
      <c r="H492" s="195"/>
      <c r="I492" s="195"/>
    </row>
    <row r="493" ht="20.25" spans="1:9">
      <c r="A493" s="195"/>
      <c r="B493" s="195"/>
      <c r="C493" s="195"/>
      <c r="D493" s="195"/>
      <c r="E493" s="195"/>
      <c r="F493" s="195"/>
      <c r="G493" s="195"/>
      <c r="H493" s="195"/>
      <c r="I493" s="195"/>
    </row>
    <row r="494" ht="20.25" spans="1:9">
      <c r="A494" s="195"/>
      <c r="B494" s="195"/>
      <c r="C494" s="195"/>
      <c r="D494" s="195"/>
      <c r="E494" s="195"/>
      <c r="F494" s="195"/>
      <c r="G494" s="195"/>
      <c r="H494" s="195"/>
      <c r="I494" s="195"/>
    </row>
    <row r="495" ht="20.25" spans="1:9">
      <c r="A495" s="195"/>
      <c r="B495" s="195"/>
      <c r="C495" s="195"/>
      <c r="D495" s="195"/>
      <c r="E495" s="195"/>
      <c r="F495" s="195"/>
      <c r="G495" s="195"/>
      <c r="H495" s="195"/>
      <c r="I495" s="195"/>
    </row>
    <row r="496" ht="20.25" spans="1:9">
      <c r="A496" s="195"/>
      <c r="B496" s="195"/>
      <c r="C496" s="195"/>
      <c r="D496" s="195"/>
      <c r="E496" s="195"/>
      <c r="F496" s="195"/>
      <c r="G496" s="195"/>
      <c r="H496" s="195"/>
      <c r="I496" s="195"/>
    </row>
    <row r="497" ht="20.25" spans="1:9">
      <c r="A497" s="195"/>
      <c r="B497" s="195"/>
      <c r="C497" s="195"/>
      <c r="D497" s="195"/>
      <c r="E497" s="195"/>
      <c r="F497" s="195"/>
      <c r="G497" s="195"/>
      <c r="H497" s="195"/>
      <c r="I497" s="195"/>
    </row>
    <row r="498" ht="20.25" spans="1:9">
      <c r="A498" s="195"/>
      <c r="B498" s="195"/>
      <c r="C498" s="195"/>
      <c r="D498" s="195"/>
      <c r="E498" s="195"/>
      <c r="F498" s="195"/>
      <c r="G498" s="195"/>
      <c r="H498" s="195"/>
      <c r="I498" s="195"/>
    </row>
    <row r="499" ht="20.25" spans="1:9">
      <c r="A499" s="195"/>
      <c r="B499" s="195"/>
      <c r="C499" s="195"/>
      <c r="D499" s="195"/>
      <c r="E499" s="195"/>
      <c r="F499" s="195"/>
      <c r="G499" s="195"/>
      <c r="H499" s="195"/>
      <c r="I499" s="195"/>
    </row>
    <row r="500" ht="20.25" spans="1:9">
      <c r="A500" s="195"/>
      <c r="B500" s="195"/>
      <c r="C500" s="195"/>
      <c r="D500" s="195"/>
      <c r="E500" s="195"/>
      <c r="F500" s="195"/>
      <c r="G500" s="195"/>
      <c r="H500" s="195"/>
      <c r="I500" s="195"/>
    </row>
    <row r="501" ht="20.25" spans="1:9">
      <c r="A501" s="195"/>
      <c r="B501" s="195"/>
      <c r="C501" s="195"/>
      <c r="D501" s="195"/>
      <c r="E501" s="195"/>
      <c r="F501" s="195"/>
      <c r="G501" s="195"/>
      <c r="H501" s="195"/>
      <c r="I501" s="195"/>
    </row>
    <row r="502" ht="20.25" spans="1:9">
      <c r="A502" s="195"/>
      <c r="B502" s="195"/>
      <c r="C502" s="195"/>
      <c r="D502" s="195"/>
      <c r="E502" s="195"/>
      <c r="F502" s="195"/>
      <c r="G502" s="195"/>
      <c r="H502" s="195"/>
      <c r="I502" s="195"/>
    </row>
    <row r="503" ht="20.25" spans="1:9">
      <c r="A503" s="195"/>
      <c r="B503" s="195"/>
      <c r="C503" s="195"/>
      <c r="D503" s="195"/>
      <c r="E503" s="195"/>
      <c r="F503" s="195"/>
      <c r="G503" s="195"/>
      <c r="H503" s="195"/>
      <c r="I503" s="195"/>
    </row>
    <row r="504" ht="20.25" spans="1:9">
      <c r="A504" s="195"/>
      <c r="B504" s="195"/>
      <c r="C504" s="195"/>
      <c r="D504" s="195"/>
      <c r="E504" s="195"/>
      <c r="F504" s="195"/>
      <c r="G504" s="195"/>
      <c r="H504" s="195"/>
      <c r="I504" s="195"/>
    </row>
    <row r="505" ht="20.25" spans="1:9">
      <c r="A505" s="195"/>
      <c r="B505" s="195"/>
      <c r="C505" s="195"/>
      <c r="D505" s="195"/>
      <c r="E505" s="195"/>
      <c r="F505" s="195"/>
      <c r="G505" s="195"/>
      <c r="H505" s="195"/>
      <c r="I505" s="195"/>
    </row>
    <row r="506" ht="20.25" spans="1:9">
      <c r="A506" s="195"/>
      <c r="B506" s="195"/>
      <c r="C506" s="195"/>
      <c r="D506" s="195"/>
      <c r="E506" s="195"/>
      <c r="F506" s="195"/>
      <c r="G506" s="195"/>
      <c r="H506" s="195"/>
      <c r="I506" s="195"/>
    </row>
    <row r="507" ht="20.25" spans="1:9">
      <c r="A507" s="195"/>
      <c r="B507" s="195"/>
      <c r="C507" s="195"/>
      <c r="D507" s="195"/>
      <c r="E507" s="195"/>
      <c r="F507" s="195"/>
      <c r="G507" s="195"/>
      <c r="H507" s="195"/>
      <c r="I507" s="195"/>
    </row>
    <row r="508" ht="20.25" spans="1:9">
      <c r="A508" s="195"/>
      <c r="B508" s="195"/>
      <c r="C508" s="195"/>
      <c r="D508" s="195"/>
      <c r="E508" s="195"/>
      <c r="F508" s="195"/>
      <c r="G508" s="195"/>
      <c r="H508" s="195"/>
      <c r="I508" s="195"/>
    </row>
    <row r="509" ht="20.25" spans="1:9">
      <c r="A509" s="195"/>
      <c r="B509" s="195"/>
      <c r="C509" s="195"/>
      <c r="D509" s="195"/>
      <c r="E509" s="195"/>
      <c r="F509" s="195"/>
      <c r="G509" s="195"/>
      <c r="H509" s="195"/>
      <c r="I509" s="195"/>
    </row>
    <row r="510" ht="20.25" spans="1:9">
      <c r="A510" s="195"/>
      <c r="B510" s="195"/>
      <c r="C510" s="195"/>
      <c r="D510" s="195"/>
      <c r="E510" s="195"/>
      <c r="F510" s="195"/>
      <c r="G510" s="195"/>
      <c r="H510" s="195"/>
      <c r="I510" s="195"/>
    </row>
    <row r="511" ht="20.25" spans="1:9">
      <c r="A511" s="195"/>
      <c r="B511" s="195"/>
      <c r="C511" s="195"/>
      <c r="D511" s="195"/>
      <c r="E511" s="195"/>
      <c r="F511" s="195"/>
      <c r="G511" s="195"/>
      <c r="H511" s="195"/>
      <c r="I511" s="195"/>
    </row>
    <row r="512" ht="20.25" spans="1:9">
      <c r="A512" s="195"/>
      <c r="B512" s="195"/>
      <c r="C512" s="195"/>
      <c r="D512" s="195"/>
      <c r="E512" s="195"/>
      <c r="F512" s="195"/>
      <c r="G512" s="195"/>
      <c r="H512" s="195"/>
      <c r="I512" s="195"/>
    </row>
    <row r="513" ht="20.25" spans="1:9">
      <c r="A513" s="195"/>
      <c r="B513" s="195"/>
      <c r="C513" s="195"/>
      <c r="D513" s="195"/>
      <c r="E513" s="195"/>
      <c r="F513" s="195"/>
      <c r="G513" s="195"/>
      <c r="H513" s="195"/>
      <c r="I513" s="195"/>
    </row>
    <row r="514" ht="20.25" spans="1:9">
      <c r="A514" s="195"/>
      <c r="B514" s="195"/>
      <c r="C514" s="195"/>
      <c r="D514" s="195"/>
      <c r="E514" s="195"/>
      <c r="F514" s="195"/>
      <c r="G514" s="195"/>
      <c r="H514" s="195"/>
      <c r="I514" s="195"/>
    </row>
    <row r="515" ht="20.25" spans="1:9">
      <c r="A515" s="195"/>
      <c r="B515" s="195"/>
      <c r="C515" s="195"/>
      <c r="D515" s="195"/>
      <c r="E515" s="195"/>
      <c r="F515" s="195"/>
      <c r="G515" s="195"/>
      <c r="H515" s="195"/>
      <c r="I515" s="195"/>
    </row>
    <row r="516" ht="20.25" spans="1:9">
      <c r="A516" s="195"/>
      <c r="B516" s="195"/>
      <c r="C516" s="195"/>
      <c r="D516" s="195"/>
      <c r="E516" s="195"/>
      <c r="F516" s="195"/>
      <c r="G516" s="195"/>
      <c r="H516" s="195"/>
      <c r="I516" s="195"/>
    </row>
    <row r="517" ht="20.25" spans="1:9">
      <c r="A517" s="195"/>
      <c r="B517" s="195"/>
      <c r="C517" s="195"/>
      <c r="D517" s="195"/>
      <c r="E517" s="195"/>
      <c r="F517" s="195"/>
      <c r="G517" s="195"/>
      <c r="H517" s="195"/>
      <c r="I517" s="195"/>
    </row>
    <row r="518" ht="20.25" spans="1:9">
      <c r="A518" s="195"/>
      <c r="B518" s="195"/>
      <c r="C518" s="195"/>
      <c r="D518" s="195"/>
      <c r="E518" s="195"/>
      <c r="F518" s="195"/>
      <c r="G518" s="195"/>
      <c r="H518" s="195"/>
      <c r="I518" s="195"/>
    </row>
    <row r="519" ht="20.25" spans="1:9">
      <c r="A519" s="195"/>
      <c r="B519" s="195"/>
      <c r="C519" s="195"/>
      <c r="D519" s="195"/>
      <c r="E519" s="195"/>
      <c r="F519" s="195"/>
      <c r="G519" s="195"/>
      <c r="H519" s="195"/>
      <c r="I519" s="195"/>
    </row>
    <row r="520" ht="20.25" spans="1:9">
      <c r="A520" s="195"/>
      <c r="B520" s="195"/>
      <c r="C520" s="195"/>
      <c r="D520" s="195"/>
      <c r="E520" s="195"/>
      <c r="F520" s="195"/>
      <c r="G520" s="195"/>
      <c r="H520" s="195"/>
      <c r="I520" s="195"/>
    </row>
    <row r="521" ht="20.25" spans="1:9">
      <c r="A521" s="195"/>
      <c r="B521" s="195"/>
      <c r="C521" s="195"/>
      <c r="D521" s="195"/>
      <c r="E521" s="195"/>
      <c r="F521" s="195"/>
      <c r="G521" s="195"/>
      <c r="H521" s="195"/>
      <c r="I521" s="195"/>
    </row>
    <row r="522" ht="20.25" spans="1:9">
      <c r="A522" s="195"/>
      <c r="B522" s="195"/>
      <c r="C522" s="195"/>
      <c r="D522" s="195"/>
      <c r="E522" s="195"/>
      <c r="F522" s="195"/>
      <c r="G522" s="195"/>
      <c r="H522" s="195"/>
      <c r="I522" s="195"/>
    </row>
    <row r="523" ht="20.25" spans="1:9">
      <c r="A523" s="195"/>
      <c r="B523" s="195"/>
      <c r="C523" s="195"/>
      <c r="D523" s="195"/>
      <c r="E523" s="195"/>
      <c r="F523" s="195"/>
      <c r="G523" s="195"/>
      <c r="H523" s="195"/>
      <c r="I523" s="195"/>
    </row>
    <row r="524" ht="20.25" spans="1:9">
      <c r="A524" s="195"/>
      <c r="B524" s="195"/>
      <c r="C524" s="195"/>
      <c r="D524" s="195"/>
      <c r="E524" s="195"/>
      <c r="F524" s="195"/>
      <c r="G524" s="195"/>
      <c r="H524" s="195"/>
      <c r="I524" s="195"/>
    </row>
    <row r="525" ht="20.25" spans="1:9">
      <c r="A525" s="195"/>
      <c r="B525" s="195"/>
      <c r="C525" s="195"/>
      <c r="D525" s="195"/>
      <c r="E525" s="195"/>
      <c r="F525" s="195"/>
      <c r="G525" s="195"/>
      <c r="H525" s="195"/>
      <c r="I525" s="195"/>
    </row>
    <row r="526" ht="20.25" spans="1:9">
      <c r="A526" s="195"/>
      <c r="B526" s="195"/>
      <c r="C526" s="195"/>
      <c r="D526" s="195"/>
      <c r="E526" s="195"/>
      <c r="F526" s="195"/>
      <c r="G526" s="195"/>
      <c r="H526" s="195"/>
      <c r="I526" s="195"/>
    </row>
    <row r="527" ht="20.25" spans="1:9">
      <c r="A527" s="195"/>
      <c r="B527" s="195"/>
      <c r="C527" s="195"/>
      <c r="D527" s="195"/>
      <c r="E527" s="195"/>
      <c r="F527" s="195"/>
      <c r="G527" s="195"/>
      <c r="H527" s="195"/>
      <c r="I527" s="195"/>
    </row>
    <row r="528" ht="20.25" spans="1:9">
      <c r="A528" s="195"/>
      <c r="B528" s="195"/>
      <c r="C528" s="195"/>
      <c r="D528" s="195"/>
      <c r="E528" s="195"/>
      <c r="F528" s="195"/>
      <c r="G528" s="195"/>
      <c r="H528" s="195"/>
      <c r="I528" s="195"/>
    </row>
    <row r="529" ht="20.25" spans="1:9">
      <c r="A529" s="195"/>
      <c r="B529" s="195"/>
      <c r="C529" s="195"/>
      <c r="D529" s="195"/>
      <c r="E529" s="195"/>
      <c r="F529" s="195"/>
      <c r="G529" s="195"/>
      <c r="H529" s="195"/>
      <c r="I529" s="195"/>
    </row>
    <row r="530" ht="20.25" spans="1:9">
      <c r="A530" s="195"/>
      <c r="B530" s="195"/>
      <c r="C530" s="195"/>
      <c r="D530" s="195"/>
      <c r="E530" s="195"/>
      <c r="F530" s="195"/>
      <c r="G530" s="195"/>
      <c r="H530" s="195"/>
      <c r="I530" s="195"/>
    </row>
    <row r="531" ht="20.25" spans="1:9">
      <c r="A531" s="195"/>
      <c r="B531" s="195"/>
      <c r="C531" s="195"/>
      <c r="D531" s="195"/>
      <c r="E531" s="195"/>
      <c r="F531" s="195"/>
      <c r="G531" s="195"/>
      <c r="H531" s="195"/>
      <c r="I531" s="195"/>
    </row>
    <row r="532" ht="20.25" spans="1:9">
      <c r="A532" s="195"/>
      <c r="B532" s="195"/>
      <c r="C532" s="195"/>
      <c r="D532" s="195"/>
      <c r="E532" s="195"/>
      <c r="F532" s="195"/>
      <c r="G532" s="195"/>
      <c r="H532" s="195"/>
      <c r="I532" s="195"/>
    </row>
    <row r="533" ht="20.25" spans="1:9">
      <c r="A533" s="195"/>
      <c r="B533" s="195"/>
      <c r="C533" s="195"/>
      <c r="D533" s="195"/>
      <c r="E533" s="195"/>
      <c r="F533" s="195"/>
      <c r="G533" s="195"/>
      <c r="H533" s="195"/>
      <c r="I533" s="195"/>
    </row>
    <row r="534" ht="20.25" spans="1:9">
      <c r="A534" s="195"/>
      <c r="B534" s="195"/>
      <c r="C534" s="195"/>
      <c r="D534" s="195"/>
      <c r="E534" s="195"/>
      <c r="F534" s="195"/>
      <c r="G534" s="195"/>
      <c r="H534" s="195"/>
      <c r="I534" s="195"/>
    </row>
    <row r="535" ht="20.25" spans="1:9">
      <c r="A535" s="195"/>
      <c r="B535" s="195"/>
      <c r="C535" s="195"/>
      <c r="D535" s="195"/>
      <c r="E535" s="195"/>
      <c r="F535" s="195"/>
      <c r="G535" s="195"/>
      <c r="H535" s="195"/>
      <c r="I535" s="195"/>
    </row>
    <row r="536" ht="20.25" spans="1:9">
      <c r="A536" s="195"/>
      <c r="B536" s="195"/>
      <c r="C536" s="195"/>
      <c r="D536" s="195"/>
      <c r="E536" s="195"/>
      <c r="F536" s="195"/>
      <c r="G536" s="195"/>
      <c r="H536" s="195"/>
      <c r="I536" s="195"/>
    </row>
    <row r="537" ht="20.25" spans="1:9">
      <c r="A537" s="195"/>
      <c r="B537" s="195"/>
      <c r="C537" s="195"/>
      <c r="D537" s="195"/>
      <c r="E537" s="195"/>
      <c r="F537" s="195"/>
      <c r="G537" s="195"/>
      <c r="H537" s="195"/>
      <c r="I537" s="195"/>
    </row>
    <row r="538" ht="20.25" spans="1:9">
      <c r="A538" s="195"/>
      <c r="B538" s="195"/>
      <c r="C538" s="195"/>
      <c r="D538" s="195"/>
      <c r="E538" s="195"/>
      <c r="F538" s="195"/>
      <c r="G538" s="195"/>
      <c r="H538" s="195"/>
      <c r="I538" s="195"/>
    </row>
    <row r="539" ht="20.25" spans="1:9">
      <c r="A539" s="195"/>
      <c r="B539" s="195"/>
      <c r="C539" s="195"/>
      <c r="D539" s="195"/>
      <c r="E539" s="195"/>
      <c r="F539" s="195"/>
      <c r="G539" s="195"/>
      <c r="H539" s="195"/>
      <c r="I539" s="195"/>
    </row>
    <row r="540" ht="20.25" spans="1:9">
      <c r="A540" s="195"/>
      <c r="B540" s="195"/>
      <c r="C540" s="195"/>
      <c r="D540" s="195"/>
      <c r="E540" s="195"/>
      <c r="F540" s="195"/>
      <c r="G540" s="195"/>
      <c r="H540" s="195"/>
      <c r="I540" s="195"/>
    </row>
    <row r="541" ht="20.25" spans="1:9">
      <c r="A541" s="195"/>
      <c r="B541" s="195"/>
      <c r="C541" s="195"/>
      <c r="D541" s="195"/>
      <c r="E541" s="195"/>
      <c r="F541" s="195"/>
      <c r="G541" s="195"/>
      <c r="H541" s="195"/>
      <c r="I541" s="195"/>
    </row>
    <row r="542" ht="20.25" spans="1:9">
      <c r="A542" s="195"/>
      <c r="B542" s="195"/>
      <c r="C542" s="195"/>
      <c r="D542" s="195"/>
      <c r="E542" s="195"/>
      <c r="F542" s="195"/>
      <c r="G542" s="195"/>
      <c r="H542" s="195"/>
      <c r="I542" s="195"/>
    </row>
    <row r="543" ht="20.25" spans="1:9">
      <c r="A543" s="195"/>
      <c r="B543" s="195"/>
      <c r="C543" s="195"/>
      <c r="D543" s="195"/>
      <c r="E543" s="195"/>
      <c r="F543" s="195"/>
      <c r="G543" s="195"/>
      <c r="H543" s="195"/>
      <c r="I543" s="195"/>
    </row>
    <row r="544" ht="20.25" spans="1:9">
      <c r="A544" s="195"/>
      <c r="B544" s="195"/>
      <c r="C544" s="195"/>
      <c r="D544" s="195"/>
      <c r="E544" s="195"/>
      <c r="F544" s="195"/>
      <c r="G544" s="195"/>
      <c r="H544" s="195"/>
      <c r="I544" s="195"/>
    </row>
    <row r="545" ht="20.25" spans="1:9">
      <c r="A545" s="195"/>
      <c r="B545" s="195"/>
      <c r="C545" s="195"/>
      <c r="D545" s="195"/>
      <c r="E545" s="195"/>
      <c r="F545" s="195"/>
      <c r="G545" s="195"/>
      <c r="H545" s="195"/>
      <c r="I545" s="195"/>
    </row>
    <row r="546" ht="20.25" spans="1:9">
      <c r="A546" s="195"/>
      <c r="B546" s="195"/>
      <c r="C546" s="195"/>
      <c r="D546" s="195"/>
      <c r="E546" s="195"/>
      <c r="F546" s="195"/>
      <c r="G546" s="195"/>
      <c r="H546" s="195"/>
      <c r="I546" s="195"/>
    </row>
    <row r="547" ht="20.25" spans="1:9">
      <c r="A547" s="195"/>
      <c r="B547" s="195"/>
      <c r="C547" s="195"/>
      <c r="D547" s="195"/>
      <c r="E547" s="195"/>
      <c r="F547" s="195"/>
      <c r="G547" s="195"/>
      <c r="H547" s="195"/>
      <c r="I547" s="195"/>
    </row>
    <row r="548" ht="20.25" spans="1:9">
      <c r="A548" s="195"/>
      <c r="B548" s="195"/>
      <c r="C548" s="195"/>
      <c r="D548" s="195"/>
      <c r="E548" s="195"/>
      <c r="F548" s="195"/>
      <c r="G548" s="195"/>
      <c r="H548" s="195"/>
      <c r="I548" s="195"/>
    </row>
    <row r="549" ht="20.25" spans="1:9">
      <c r="A549" s="195"/>
      <c r="B549" s="195"/>
      <c r="C549" s="195"/>
      <c r="D549" s="195"/>
      <c r="E549" s="195"/>
      <c r="F549" s="195"/>
      <c r="G549" s="195"/>
      <c r="H549" s="195"/>
      <c r="I549" s="195"/>
    </row>
    <row r="550" ht="20.25" spans="1:9">
      <c r="A550" s="195"/>
      <c r="B550" s="195"/>
      <c r="C550" s="195"/>
      <c r="D550" s="195"/>
      <c r="E550" s="195"/>
      <c r="F550" s="195"/>
      <c r="G550" s="195"/>
      <c r="H550" s="195"/>
      <c r="I550" s="195"/>
    </row>
    <row r="551" ht="20.25" spans="1:9">
      <c r="A551" s="195"/>
      <c r="B551" s="195"/>
      <c r="C551" s="195"/>
      <c r="D551" s="195"/>
      <c r="E551" s="195"/>
      <c r="F551" s="195"/>
      <c r="G551" s="195"/>
      <c r="H551" s="195"/>
      <c r="I551" s="195"/>
    </row>
    <row r="552" ht="20.25" spans="1:9">
      <c r="A552" s="195"/>
      <c r="B552" s="195"/>
      <c r="C552" s="195"/>
      <c r="D552" s="195"/>
      <c r="E552" s="195"/>
      <c r="F552" s="195"/>
      <c r="G552" s="195"/>
      <c r="H552" s="195"/>
      <c r="I552" s="195"/>
    </row>
    <row r="553" ht="20.25" spans="1:9">
      <c r="A553" s="195"/>
      <c r="B553" s="195"/>
      <c r="C553" s="195"/>
      <c r="D553" s="195"/>
      <c r="E553" s="195"/>
      <c r="F553" s="195"/>
      <c r="G553" s="195"/>
      <c r="H553" s="195"/>
      <c r="I553" s="195"/>
    </row>
    <row r="554" ht="20.25" spans="1:9">
      <c r="A554" s="195"/>
      <c r="B554" s="195"/>
      <c r="C554" s="195"/>
      <c r="D554" s="195"/>
      <c r="E554" s="195"/>
      <c r="F554" s="195"/>
      <c r="G554" s="195"/>
      <c r="H554" s="195"/>
      <c r="I554" s="195"/>
    </row>
    <row r="555" ht="20.25" spans="1:9">
      <c r="A555" s="195"/>
      <c r="B555" s="195"/>
      <c r="C555" s="195"/>
      <c r="D555" s="195"/>
      <c r="E555" s="195"/>
      <c r="F555" s="195"/>
      <c r="G555" s="195"/>
      <c r="H555" s="195"/>
      <c r="I555" s="195"/>
    </row>
    <row r="556" ht="20.25" spans="1:9">
      <c r="A556" s="195"/>
      <c r="B556" s="195"/>
      <c r="C556" s="195"/>
      <c r="D556" s="195"/>
      <c r="E556" s="195"/>
      <c r="F556" s="195"/>
      <c r="G556" s="195"/>
      <c r="H556" s="195"/>
      <c r="I556" s="195"/>
    </row>
    <row r="557" ht="20.25" spans="1:9">
      <c r="A557" s="195"/>
      <c r="B557" s="195"/>
      <c r="C557" s="195"/>
      <c r="D557" s="195"/>
      <c r="E557" s="195"/>
      <c r="F557" s="195"/>
      <c r="G557" s="195"/>
      <c r="H557" s="195"/>
      <c r="I557" s="195"/>
    </row>
    <row r="558" ht="20.25" spans="1:9">
      <c r="A558" s="195"/>
      <c r="B558" s="195"/>
      <c r="C558" s="195"/>
      <c r="D558" s="195"/>
      <c r="E558" s="195"/>
      <c r="F558" s="195"/>
      <c r="G558" s="195"/>
      <c r="H558" s="195"/>
      <c r="I558" s="195"/>
    </row>
    <row r="559" ht="20.25" spans="1:9">
      <c r="A559" s="195"/>
      <c r="B559" s="195"/>
      <c r="C559" s="195"/>
      <c r="D559" s="195"/>
      <c r="E559" s="195"/>
      <c r="F559" s="195"/>
      <c r="G559" s="195"/>
      <c r="H559" s="195"/>
      <c r="I559" s="195"/>
    </row>
    <row r="560" ht="20.25" spans="1:9">
      <c r="A560" s="195"/>
      <c r="B560" s="195"/>
      <c r="C560" s="195"/>
      <c r="D560" s="195"/>
      <c r="E560" s="195"/>
      <c r="F560" s="195"/>
      <c r="G560" s="195"/>
      <c r="H560" s="195"/>
      <c r="I560" s="195"/>
    </row>
    <row r="561" ht="20.25" spans="1:9">
      <c r="A561" s="195"/>
      <c r="B561" s="195"/>
      <c r="C561" s="195"/>
      <c r="D561" s="195"/>
      <c r="E561" s="195"/>
      <c r="F561" s="195"/>
      <c r="G561" s="195"/>
      <c r="H561" s="195"/>
      <c r="I561" s="195"/>
    </row>
    <row r="562" ht="20.25" spans="1:9">
      <c r="A562" s="195"/>
      <c r="B562" s="195"/>
      <c r="C562" s="195"/>
      <c r="D562" s="195"/>
      <c r="E562" s="195"/>
      <c r="F562" s="195"/>
      <c r="G562" s="195"/>
      <c r="H562" s="195"/>
      <c r="I562" s="195"/>
    </row>
    <row r="563" ht="20.25" spans="1:9">
      <c r="A563" s="195"/>
      <c r="B563" s="195"/>
      <c r="C563" s="195"/>
      <c r="D563" s="195"/>
      <c r="E563" s="195"/>
      <c r="F563" s="195"/>
      <c r="G563" s="195"/>
      <c r="H563" s="195"/>
      <c r="I563" s="195"/>
    </row>
    <row r="564" ht="20.25" spans="1:9">
      <c r="A564" s="195"/>
      <c r="B564" s="195"/>
      <c r="C564" s="195"/>
      <c r="D564" s="195"/>
      <c r="E564" s="195"/>
      <c r="F564" s="195"/>
      <c r="G564" s="195"/>
      <c r="H564" s="195"/>
      <c r="I564" s="195"/>
    </row>
    <row r="565" ht="20.25" spans="1:9">
      <c r="A565" s="195"/>
      <c r="B565" s="195"/>
      <c r="C565" s="195"/>
      <c r="D565" s="195"/>
      <c r="E565" s="195"/>
      <c r="F565" s="195"/>
      <c r="G565" s="195"/>
      <c r="H565" s="195"/>
      <c r="I565" s="195"/>
    </row>
    <row r="566" ht="20.25" spans="1:9">
      <c r="A566" s="195"/>
      <c r="B566" s="195"/>
      <c r="C566" s="195"/>
      <c r="D566" s="195"/>
      <c r="E566" s="195"/>
      <c r="F566" s="195"/>
      <c r="G566" s="195"/>
      <c r="H566" s="195"/>
      <c r="I566" s="195"/>
    </row>
    <row r="567" ht="20.25" spans="1:9">
      <c r="A567" s="195"/>
      <c r="B567" s="195"/>
      <c r="C567" s="195"/>
      <c r="D567" s="195"/>
      <c r="E567" s="195"/>
      <c r="F567" s="195"/>
      <c r="G567" s="195"/>
      <c r="H567" s="195"/>
      <c r="I567" s="195"/>
    </row>
    <row r="568" ht="20.25" spans="1:9">
      <c r="A568" s="195"/>
      <c r="B568" s="195"/>
      <c r="C568" s="195"/>
      <c r="D568" s="195"/>
      <c r="E568" s="195"/>
      <c r="F568" s="195"/>
      <c r="G568" s="195"/>
      <c r="H568" s="195"/>
      <c r="I568" s="195"/>
    </row>
    <row r="569" ht="20.25" spans="1:9">
      <c r="A569" s="195"/>
      <c r="B569" s="195"/>
      <c r="C569" s="195"/>
      <c r="D569" s="195"/>
      <c r="E569" s="195"/>
      <c r="F569" s="195"/>
      <c r="G569" s="195"/>
      <c r="H569" s="195"/>
      <c r="I569" s="195"/>
    </row>
    <row r="570" ht="20.25" spans="1:9">
      <c r="A570" s="195"/>
      <c r="B570" s="195"/>
      <c r="C570" s="195"/>
      <c r="D570" s="195"/>
      <c r="E570" s="195"/>
      <c r="F570" s="195"/>
      <c r="G570" s="195"/>
      <c r="H570" s="195"/>
      <c r="I570" s="195"/>
    </row>
    <row r="571" ht="20.25" spans="1:9">
      <c r="A571" s="195"/>
      <c r="B571" s="195"/>
      <c r="C571" s="195"/>
      <c r="D571" s="195"/>
      <c r="E571" s="195"/>
      <c r="F571" s="195"/>
      <c r="G571" s="195"/>
      <c r="H571" s="195"/>
      <c r="I571" s="195"/>
    </row>
    <row r="572" ht="20.25" spans="1:9">
      <c r="A572" s="195"/>
      <c r="B572" s="195"/>
      <c r="C572" s="195"/>
      <c r="D572" s="195"/>
      <c r="E572" s="195"/>
      <c r="F572" s="195"/>
      <c r="G572" s="195"/>
      <c r="H572" s="195"/>
      <c r="I572" s="195"/>
    </row>
    <row r="573" ht="20.25" spans="1:9">
      <c r="A573" s="195"/>
      <c r="B573" s="195"/>
      <c r="C573" s="195"/>
      <c r="D573" s="195"/>
      <c r="E573" s="195"/>
      <c r="F573" s="195"/>
      <c r="G573" s="195"/>
      <c r="H573" s="195"/>
      <c r="I573" s="195"/>
    </row>
    <row r="574" ht="20.25" spans="1:9">
      <c r="A574" s="195"/>
      <c r="B574" s="195"/>
      <c r="C574" s="195"/>
      <c r="D574" s="195"/>
      <c r="E574" s="195"/>
      <c r="F574" s="195"/>
      <c r="G574" s="195"/>
      <c r="H574" s="195"/>
      <c r="I574" s="195"/>
    </row>
    <row r="575" ht="20.25" spans="1:9">
      <c r="A575" s="195"/>
      <c r="B575" s="195"/>
      <c r="C575" s="195"/>
      <c r="D575" s="195"/>
      <c r="E575" s="195"/>
      <c r="F575" s="195"/>
      <c r="G575" s="195"/>
      <c r="H575" s="195"/>
      <c r="I575" s="195"/>
    </row>
    <row r="576" ht="20.25" spans="1:9">
      <c r="A576" s="195"/>
      <c r="B576" s="195"/>
      <c r="C576" s="195"/>
      <c r="D576" s="195"/>
      <c r="E576" s="195"/>
      <c r="F576" s="195"/>
      <c r="G576" s="195"/>
      <c r="H576" s="195"/>
      <c r="I576" s="195"/>
    </row>
    <row r="577" ht="20.25" spans="1:9">
      <c r="A577" s="195"/>
      <c r="B577" s="195"/>
      <c r="C577" s="195"/>
      <c r="D577" s="195"/>
      <c r="E577" s="195"/>
      <c r="F577" s="195"/>
      <c r="G577" s="195"/>
      <c r="H577" s="195"/>
      <c r="I577" s="195"/>
    </row>
    <row r="578" ht="20.25" spans="1:9">
      <c r="A578" s="195"/>
      <c r="B578" s="195"/>
      <c r="C578" s="195"/>
      <c r="D578" s="195"/>
      <c r="E578" s="195"/>
      <c r="F578" s="195"/>
      <c r="G578" s="195"/>
      <c r="H578" s="195"/>
      <c r="I578" s="195"/>
    </row>
    <row r="579" ht="20.25" spans="1:9">
      <c r="A579" s="195"/>
      <c r="B579" s="195"/>
      <c r="C579" s="195"/>
      <c r="D579" s="195"/>
      <c r="E579" s="195"/>
      <c r="F579" s="195"/>
      <c r="G579" s="195"/>
      <c r="H579" s="195"/>
      <c r="I579" s="195"/>
    </row>
    <row r="580" ht="20.25" spans="1:9">
      <c r="A580" s="195"/>
      <c r="B580" s="195"/>
      <c r="C580" s="195"/>
      <c r="D580" s="195"/>
      <c r="E580" s="195"/>
      <c r="F580" s="195"/>
      <c r="G580" s="195"/>
      <c r="H580" s="195"/>
      <c r="I580" s="195"/>
    </row>
    <row r="581" ht="20.25" spans="1:9">
      <c r="A581" s="195"/>
      <c r="B581" s="195"/>
      <c r="C581" s="195"/>
      <c r="D581" s="195"/>
      <c r="E581" s="195"/>
      <c r="F581" s="195"/>
      <c r="G581" s="195"/>
      <c r="H581" s="195"/>
      <c r="I581" s="195"/>
    </row>
    <row r="582" ht="20.25" spans="1:9">
      <c r="A582" s="195"/>
      <c r="B582" s="195"/>
      <c r="C582" s="195"/>
      <c r="D582" s="195"/>
      <c r="E582" s="195"/>
      <c r="F582" s="195"/>
      <c r="G582" s="195"/>
      <c r="H582" s="195"/>
      <c r="I582" s="195"/>
    </row>
    <row r="583" ht="20.25" spans="1:9">
      <c r="A583" s="195"/>
      <c r="B583" s="195"/>
      <c r="C583" s="195"/>
      <c r="D583" s="195"/>
      <c r="E583" s="195"/>
      <c r="F583" s="195"/>
      <c r="G583" s="195"/>
      <c r="H583" s="195"/>
      <c r="I583" s="195"/>
    </row>
    <row r="584" ht="20.25" spans="1:9">
      <c r="A584" s="195"/>
      <c r="B584" s="195"/>
      <c r="C584" s="195"/>
      <c r="D584" s="195"/>
      <c r="E584" s="195"/>
      <c r="F584" s="195"/>
      <c r="G584" s="195"/>
      <c r="H584" s="195"/>
      <c r="I584" s="195"/>
    </row>
    <row r="585" ht="20.25" spans="1:9">
      <c r="A585" s="195"/>
      <c r="B585" s="195"/>
      <c r="C585" s="195"/>
      <c r="D585" s="195"/>
      <c r="E585" s="195"/>
      <c r="F585" s="195"/>
      <c r="G585" s="195"/>
      <c r="H585" s="195"/>
      <c r="I585" s="195"/>
    </row>
    <row r="586" ht="20.25" spans="1:9">
      <c r="A586" s="195"/>
      <c r="B586" s="195"/>
      <c r="C586" s="195"/>
      <c r="D586" s="195"/>
      <c r="E586" s="195"/>
      <c r="F586" s="195"/>
      <c r="G586" s="195"/>
      <c r="H586" s="195"/>
      <c r="I586" s="195"/>
    </row>
    <row r="587" ht="20.25" spans="1:9">
      <c r="A587" s="195"/>
      <c r="B587" s="195"/>
      <c r="C587" s="195"/>
      <c r="D587" s="195"/>
      <c r="E587" s="195"/>
      <c r="F587" s="195"/>
      <c r="G587" s="195"/>
      <c r="H587" s="195"/>
      <c r="I587" s="195"/>
    </row>
    <row r="588" ht="20.25" spans="1:9">
      <c r="A588" s="195"/>
      <c r="B588" s="195"/>
      <c r="C588" s="195"/>
      <c r="D588" s="195"/>
      <c r="E588" s="195"/>
      <c r="F588" s="195"/>
      <c r="G588" s="195"/>
      <c r="H588" s="195"/>
      <c r="I588" s="195"/>
    </row>
    <row r="589" ht="20.25" spans="1:9">
      <c r="A589" s="195"/>
      <c r="B589" s="195"/>
      <c r="C589" s="195"/>
      <c r="D589" s="195"/>
      <c r="E589" s="195"/>
      <c r="F589" s="195"/>
      <c r="G589" s="195"/>
      <c r="H589" s="195"/>
      <c r="I589" s="195"/>
    </row>
    <row r="590" ht="20.25" spans="1:9">
      <c r="A590" s="195"/>
      <c r="B590" s="195"/>
      <c r="C590" s="195"/>
      <c r="D590" s="195"/>
      <c r="E590" s="195"/>
      <c r="F590" s="195"/>
      <c r="G590" s="195"/>
      <c r="H590" s="195"/>
      <c r="I590" s="195"/>
    </row>
    <row r="591" ht="20.25" spans="1:9">
      <c r="A591" s="195"/>
      <c r="B591" s="195"/>
      <c r="C591" s="195"/>
      <c r="D591" s="195"/>
      <c r="E591" s="195"/>
      <c r="F591" s="195"/>
      <c r="G591" s="195"/>
      <c r="H591" s="195"/>
      <c r="I591" s="195"/>
    </row>
    <row r="592" ht="20.25" spans="1:9">
      <c r="A592" s="195"/>
      <c r="B592" s="195"/>
      <c r="C592" s="195"/>
      <c r="D592" s="195"/>
      <c r="E592" s="195"/>
      <c r="F592" s="195"/>
      <c r="G592" s="195"/>
      <c r="H592" s="195"/>
      <c r="I592" s="195"/>
    </row>
    <row r="593" ht="20.25" spans="1:9">
      <c r="A593" s="195"/>
      <c r="B593" s="195"/>
      <c r="C593" s="195"/>
      <c r="D593" s="195"/>
      <c r="E593" s="195"/>
      <c r="F593" s="195"/>
      <c r="G593" s="195"/>
      <c r="H593" s="195"/>
      <c r="I593" s="195"/>
    </row>
    <row r="594" ht="20.25" spans="1:9">
      <c r="A594" s="195"/>
      <c r="B594" s="195"/>
      <c r="C594" s="195"/>
      <c r="D594" s="195"/>
      <c r="E594" s="195"/>
      <c r="F594" s="195"/>
      <c r="G594" s="195"/>
      <c r="H594" s="195"/>
      <c r="I594" s="195"/>
    </row>
    <row r="595" ht="20.25" spans="1:9">
      <c r="A595" s="195"/>
      <c r="B595" s="195"/>
      <c r="C595" s="195"/>
      <c r="D595" s="195"/>
      <c r="E595" s="195"/>
      <c r="F595" s="195"/>
      <c r="G595" s="195"/>
      <c r="H595" s="195"/>
      <c r="I595" s="195"/>
    </row>
    <row r="596" ht="20.25" spans="1:9">
      <c r="A596" s="195"/>
      <c r="B596" s="195"/>
      <c r="C596" s="195"/>
      <c r="D596" s="195"/>
      <c r="E596" s="195"/>
      <c r="F596" s="195"/>
      <c r="G596" s="195"/>
      <c r="H596" s="195"/>
      <c r="I596" s="195"/>
    </row>
    <row r="597" ht="20.25" spans="1:9">
      <c r="A597" s="195"/>
      <c r="B597" s="195"/>
      <c r="C597" s="195"/>
      <c r="D597" s="195"/>
      <c r="E597" s="195"/>
      <c r="F597" s="195"/>
      <c r="G597" s="195"/>
      <c r="H597" s="195"/>
      <c r="I597" s="195"/>
    </row>
    <row r="598" ht="20.25" spans="1:9">
      <c r="A598" s="195"/>
      <c r="B598" s="195"/>
      <c r="C598" s="195"/>
      <c r="D598" s="195"/>
      <c r="E598" s="195"/>
      <c r="F598" s="195"/>
      <c r="G598" s="195"/>
      <c r="H598" s="195"/>
      <c r="I598" s="195"/>
    </row>
    <row r="599" ht="20.25" spans="1:9">
      <c r="A599" s="195"/>
      <c r="B599" s="195"/>
      <c r="C599" s="195"/>
      <c r="D599" s="195"/>
      <c r="E599" s="195"/>
      <c r="F599" s="195"/>
      <c r="G599" s="195"/>
      <c r="H599" s="195"/>
      <c r="I599" s="195"/>
    </row>
    <row r="600" ht="20.25" spans="1:9">
      <c r="A600" s="195"/>
      <c r="B600" s="195"/>
      <c r="C600" s="195"/>
      <c r="D600" s="195"/>
      <c r="E600" s="195"/>
      <c r="F600" s="195"/>
      <c r="G600" s="195"/>
      <c r="H600" s="195"/>
      <c r="I600" s="195"/>
    </row>
    <row r="601" ht="20.25" spans="1:9">
      <c r="A601" s="195"/>
      <c r="B601" s="195"/>
      <c r="C601" s="195"/>
      <c r="D601" s="195"/>
      <c r="E601" s="195"/>
      <c r="F601" s="195"/>
      <c r="G601" s="195"/>
      <c r="H601" s="195"/>
      <c r="I601" s="195"/>
    </row>
    <row r="602" ht="20.25" spans="1:9">
      <c r="A602" s="195"/>
      <c r="B602" s="195"/>
      <c r="C602" s="195"/>
      <c r="D602" s="195"/>
      <c r="E602" s="195"/>
      <c r="F602" s="195"/>
      <c r="G602" s="195"/>
      <c r="H602" s="195"/>
      <c r="I602" s="195"/>
    </row>
    <row r="603" ht="20.25" spans="1:9">
      <c r="A603" s="195"/>
      <c r="B603" s="195"/>
      <c r="C603" s="195"/>
      <c r="D603" s="195"/>
      <c r="E603" s="195"/>
      <c r="F603" s="195"/>
      <c r="G603" s="195"/>
      <c r="H603" s="195"/>
      <c r="I603" s="195"/>
    </row>
    <row r="604" ht="20.25" spans="1:9">
      <c r="A604" s="195"/>
      <c r="B604" s="195"/>
      <c r="C604" s="195"/>
      <c r="D604" s="195"/>
      <c r="E604" s="195"/>
      <c r="F604" s="195"/>
      <c r="G604" s="195"/>
      <c r="H604" s="195"/>
      <c r="I604" s="195"/>
    </row>
    <row r="605" ht="20.25" spans="1:9">
      <c r="A605" s="195"/>
      <c r="B605" s="195"/>
      <c r="C605" s="195"/>
      <c r="D605" s="195"/>
      <c r="E605" s="195"/>
      <c r="F605" s="195"/>
      <c r="G605" s="195"/>
      <c r="H605" s="195"/>
      <c r="I605" s="195"/>
    </row>
    <row r="606" ht="20.25" spans="1:9">
      <c r="A606" s="195"/>
      <c r="B606" s="195"/>
      <c r="C606" s="195"/>
      <c r="D606" s="195"/>
      <c r="E606" s="195"/>
      <c r="F606" s="195"/>
      <c r="G606" s="195"/>
      <c r="H606" s="195"/>
      <c r="I606" s="195"/>
    </row>
    <row r="607" ht="20.25" spans="1:9">
      <c r="A607" s="195"/>
      <c r="B607" s="195"/>
      <c r="C607" s="195"/>
      <c r="D607" s="195"/>
      <c r="E607" s="195"/>
      <c r="F607" s="195"/>
      <c r="G607" s="195"/>
      <c r="H607" s="195"/>
      <c r="I607" s="195"/>
    </row>
    <row r="608" ht="20.25" spans="1:9">
      <c r="A608" s="195"/>
      <c r="B608" s="195"/>
      <c r="C608" s="195"/>
      <c r="D608" s="195"/>
      <c r="E608" s="195"/>
      <c r="F608" s="195"/>
      <c r="G608" s="195"/>
      <c r="H608" s="195"/>
      <c r="I608" s="195"/>
    </row>
    <row r="609" ht="20.25" spans="1:9">
      <c r="A609" s="195"/>
      <c r="B609" s="195"/>
      <c r="C609" s="195"/>
      <c r="D609" s="195"/>
      <c r="E609" s="195"/>
      <c r="F609" s="195"/>
      <c r="G609" s="195"/>
      <c r="H609" s="195"/>
      <c r="I609" s="195"/>
    </row>
    <row r="610" ht="20.25" spans="1:9">
      <c r="A610" s="195"/>
      <c r="B610" s="195"/>
      <c r="C610" s="195"/>
      <c r="D610" s="195"/>
      <c r="E610" s="195"/>
      <c r="F610" s="195"/>
      <c r="G610" s="195"/>
      <c r="H610" s="195"/>
      <c r="I610" s="195"/>
    </row>
    <row r="611" ht="20.25" spans="1:9">
      <c r="A611" s="195"/>
      <c r="B611" s="195"/>
      <c r="C611" s="195"/>
      <c r="D611" s="195"/>
      <c r="E611" s="195"/>
      <c r="F611" s="195"/>
      <c r="G611" s="195"/>
      <c r="H611" s="195"/>
      <c r="I611" s="195"/>
    </row>
    <row r="612" ht="20.25" spans="1:9">
      <c r="A612" s="195"/>
      <c r="B612" s="195"/>
      <c r="C612" s="195"/>
      <c r="D612" s="195"/>
      <c r="E612" s="195"/>
      <c r="F612" s="195"/>
      <c r="G612" s="195"/>
      <c r="H612" s="195"/>
      <c r="I612" s="195"/>
    </row>
    <row r="613" ht="20.25" spans="1:9">
      <c r="A613" s="195"/>
      <c r="B613" s="195"/>
      <c r="C613" s="195"/>
      <c r="D613" s="195"/>
      <c r="E613" s="195"/>
      <c r="F613" s="195"/>
      <c r="G613" s="195"/>
      <c r="H613" s="195"/>
      <c r="I613" s="195"/>
    </row>
    <row r="614" ht="20.25" spans="1:9">
      <c r="A614" s="195"/>
      <c r="B614" s="195"/>
      <c r="C614" s="195"/>
      <c r="D614" s="195"/>
      <c r="E614" s="195"/>
      <c r="F614" s="195"/>
      <c r="G614" s="195"/>
      <c r="H614" s="195"/>
      <c r="I614" s="195"/>
    </row>
    <row r="615" ht="20.25" spans="1:9">
      <c r="A615" s="195"/>
      <c r="B615" s="195"/>
      <c r="C615" s="195"/>
      <c r="D615" s="195"/>
      <c r="E615" s="195"/>
      <c r="F615" s="195"/>
      <c r="G615" s="195"/>
      <c r="H615" s="195"/>
      <c r="I615" s="195"/>
    </row>
    <row r="616" ht="20.25" spans="1:9">
      <c r="A616" s="195"/>
      <c r="B616" s="195"/>
      <c r="C616" s="195"/>
      <c r="D616" s="195"/>
      <c r="E616" s="195"/>
      <c r="F616" s="195"/>
      <c r="G616" s="195"/>
      <c r="H616" s="195"/>
      <c r="I616" s="195"/>
    </row>
    <row r="617" ht="20.25" spans="1:9">
      <c r="A617" s="195"/>
      <c r="B617" s="195"/>
      <c r="C617" s="195"/>
      <c r="D617" s="195"/>
      <c r="E617" s="195"/>
      <c r="F617" s="195"/>
      <c r="G617" s="195"/>
      <c r="H617" s="195"/>
      <c r="I617" s="195"/>
    </row>
    <row r="618" ht="20.25" spans="1:9">
      <c r="A618" s="195"/>
      <c r="B618" s="195"/>
      <c r="C618" s="195"/>
      <c r="D618" s="195"/>
      <c r="E618" s="195"/>
      <c r="F618" s="195"/>
      <c r="G618" s="195"/>
      <c r="H618" s="195"/>
      <c r="I618" s="195"/>
    </row>
    <row r="619" ht="20.25" spans="1:9">
      <c r="A619" s="195"/>
      <c r="B619" s="195"/>
      <c r="C619" s="195"/>
      <c r="D619" s="195"/>
      <c r="E619" s="195"/>
      <c r="F619" s="195"/>
      <c r="G619" s="195"/>
      <c r="H619" s="195"/>
      <c r="I619" s="195"/>
    </row>
    <row r="620" ht="20.25" spans="1:9">
      <c r="A620" s="195"/>
      <c r="B620" s="195"/>
      <c r="C620" s="195"/>
      <c r="D620" s="195"/>
      <c r="E620" s="195"/>
      <c r="F620" s="195"/>
      <c r="G620" s="195"/>
      <c r="H620" s="195"/>
      <c r="I620" s="195"/>
    </row>
    <row r="621" ht="20.25" spans="1:9">
      <c r="A621" s="195"/>
      <c r="B621" s="195"/>
      <c r="C621" s="195"/>
      <c r="D621" s="195"/>
      <c r="E621" s="195"/>
      <c r="F621" s="195"/>
      <c r="G621" s="195"/>
      <c r="H621" s="195"/>
      <c r="I621" s="195"/>
    </row>
    <row r="622" ht="20.25" spans="1:9">
      <c r="A622" s="195"/>
      <c r="B622" s="195"/>
      <c r="C622" s="195"/>
      <c r="D622" s="195"/>
      <c r="E622" s="195"/>
      <c r="F622" s="195"/>
      <c r="G622" s="195"/>
      <c r="H622" s="195"/>
      <c r="I622" s="195"/>
    </row>
    <row r="623" ht="20.25" spans="1:9">
      <c r="A623" s="195"/>
      <c r="B623" s="195"/>
      <c r="C623" s="195"/>
      <c r="D623" s="195"/>
      <c r="E623" s="195"/>
      <c r="F623" s="195"/>
      <c r="G623" s="195"/>
      <c r="H623" s="195"/>
      <c r="I623" s="195"/>
    </row>
    <row r="624" ht="20.25" spans="1:9">
      <c r="A624" s="195"/>
      <c r="B624" s="195"/>
      <c r="C624" s="195"/>
      <c r="D624" s="195"/>
      <c r="E624" s="195"/>
      <c r="F624" s="195"/>
      <c r="G624" s="195"/>
      <c r="H624" s="195"/>
      <c r="I624" s="195"/>
    </row>
    <row r="625" ht="20.25" spans="1:9">
      <c r="A625" s="195"/>
      <c r="B625" s="195"/>
      <c r="C625" s="195"/>
      <c r="D625" s="195"/>
      <c r="E625" s="195"/>
      <c r="F625" s="195"/>
      <c r="G625" s="195"/>
      <c r="H625" s="195"/>
      <c r="I625" s="195"/>
    </row>
    <row r="626" ht="20.25" spans="1:9">
      <c r="A626" s="195"/>
      <c r="B626" s="195"/>
      <c r="C626" s="195"/>
      <c r="D626" s="195"/>
      <c r="E626" s="195"/>
      <c r="F626" s="195"/>
      <c r="G626" s="195"/>
      <c r="H626" s="195"/>
      <c r="I626" s="195"/>
    </row>
    <row r="627" ht="20.25" spans="1:9">
      <c r="A627" s="195"/>
      <c r="B627" s="195"/>
      <c r="C627" s="195"/>
      <c r="D627" s="195"/>
      <c r="E627" s="195"/>
      <c r="F627" s="195"/>
      <c r="G627" s="195"/>
      <c r="H627" s="195"/>
      <c r="I627" s="195"/>
    </row>
    <row r="628" ht="20.25" spans="1:9">
      <c r="A628" s="195"/>
      <c r="B628" s="195"/>
      <c r="C628" s="195"/>
      <c r="D628" s="195"/>
      <c r="E628" s="195"/>
      <c r="F628" s="195"/>
      <c r="G628" s="195"/>
      <c r="H628" s="195"/>
      <c r="I628" s="195"/>
    </row>
    <row r="629" ht="20.25" spans="1:9">
      <c r="A629" s="195"/>
      <c r="B629" s="195"/>
      <c r="C629" s="195"/>
      <c r="D629" s="195"/>
      <c r="E629" s="195"/>
      <c r="F629" s="195"/>
      <c r="G629" s="195"/>
      <c r="H629" s="195"/>
      <c r="I629" s="195"/>
    </row>
    <row r="630" ht="20.25" spans="1:9">
      <c r="A630" s="195"/>
      <c r="B630" s="195"/>
      <c r="C630" s="195"/>
      <c r="D630" s="195"/>
      <c r="E630" s="195"/>
      <c r="F630" s="195"/>
      <c r="G630" s="195"/>
      <c r="H630" s="195"/>
      <c r="I630" s="195"/>
    </row>
    <row r="631" ht="20.25" spans="1:9">
      <c r="A631" s="195"/>
      <c r="B631" s="195"/>
      <c r="C631" s="195"/>
      <c r="D631" s="195"/>
      <c r="E631" s="195"/>
      <c r="F631" s="195"/>
      <c r="G631" s="195"/>
      <c r="H631" s="195"/>
      <c r="I631" s="195"/>
    </row>
    <row r="632" ht="20.25" spans="1:9">
      <c r="A632" s="195"/>
      <c r="B632" s="195"/>
      <c r="C632" s="195"/>
      <c r="D632" s="195"/>
      <c r="E632" s="195"/>
      <c r="F632" s="195"/>
      <c r="G632" s="195"/>
      <c r="H632" s="195"/>
      <c r="I632" s="195"/>
    </row>
    <row r="633" ht="20.25" spans="1:9">
      <c r="A633" s="195"/>
      <c r="B633" s="195"/>
      <c r="C633" s="195"/>
      <c r="D633" s="195"/>
      <c r="E633" s="195"/>
      <c r="F633" s="195"/>
      <c r="G633" s="195"/>
      <c r="H633" s="195"/>
      <c r="I633" s="195"/>
    </row>
    <row r="634" ht="20.25" spans="1:9">
      <c r="A634" s="195"/>
      <c r="B634" s="195"/>
      <c r="C634" s="195"/>
      <c r="D634" s="195"/>
      <c r="E634" s="195"/>
      <c r="F634" s="195"/>
      <c r="G634" s="195"/>
      <c r="H634" s="195"/>
      <c r="I634" s="195"/>
    </row>
    <row r="635" ht="20.25" spans="1:9">
      <c r="A635" s="195"/>
      <c r="B635" s="195"/>
      <c r="C635" s="195"/>
      <c r="D635" s="195"/>
      <c r="E635" s="195"/>
      <c r="F635" s="195"/>
      <c r="G635" s="195"/>
      <c r="H635" s="195"/>
      <c r="I635" s="195"/>
    </row>
    <row r="636" ht="20.25" spans="1:9">
      <c r="A636" s="195"/>
      <c r="B636" s="195"/>
      <c r="C636" s="195"/>
      <c r="D636" s="195"/>
      <c r="E636" s="195"/>
      <c r="F636" s="195"/>
      <c r="G636" s="195"/>
      <c r="H636" s="195"/>
      <c r="I636" s="195"/>
    </row>
    <row r="637" ht="20.25" spans="1:9">
      <c r="A637" s="195"/>
      <c r="B637" s="195"/>
      <c r="C637" s="195"/>
      <c r="D637" s="195"/>
      <c r="E637" s="195"/>
      <c r="F637" s="195"/>
      <c r="G637" s="195"/>
      <c r="H637" s="195"/>
      <c r="I637" s="195"/>
    </row>
    <row r="638" ht="20.25" spans="1:9">
      <c r="A638" s="195"/>
      <c r="B638" s="195"/>
      <c r="C638" s="195"/>
      <c r="D638" s="195"/>
      <c r="E638" s="195"/>
      <c r="F638" s="195"/>
      <c r="G638" s="195"/>
      <c r="H638" s="195"/>
      <c r="I638" s="195"/>
    </row>
    <row r="639" ht="20.25" spans="1:9">
      <c r="A639" s="195"/>
      <c r="B639" s="195"/>
      <c r="C639" s="195"/>
      <c r="D639" s="195"/>
      <c r="E639" s="195"/>
      <c r="F639" s="195"/>
      <c r="G639" s="195"/>
      <c r="H639" s="195"/>
      <c r="I639" s="195"/>
    </row>
    <row r="640" ht="20.25" spans="1:9">
      <c r="A640" s="195"/>
      <c r="B640" s="195"/>
      <c r="C640" s="195"/>
      <c r="D640" s="195"/>
      <c r="E640" s="195"/>
      <c r="F640" s="195"/>
      <c r="G640" s="195"/>
      <c r="H640" s="195"/>
      <c r="I640" s="195"/>
    </row>
    <row r="641" ht="20.25" spans="1:9">
      <c r="A641" s="195"/>
      <c r="B641" s="195"/>
      <c r="C641" s="195"/>
      <c r="D641" s="195"/>
      <c r="E641" s="195"/>
      <c r="F641" s="195"/>
      <c r="G641" s="195"/>
      <c r="H641" s="195"/>
      <c r="I641" s="195"/>
    </row>
    <row r="642" ht="20.25" spans="1:9">
      <c r="A642" s="195"/>
      <c r="B642" s="195"/>
      <c r="C642" s="195"/>
      <c r="D642" s="195"/>
      <c r="E642" s="195"/>
      <c r="F642" s="195"/>
      <c r="G642" s="195"/>
      <c r="H642" s="195"/>
      <c r="I642" s="195"/>
    </row>
    <row r="643" ht="20.25" spans="1:9">
      <c r="A643" s="195"/>
      <c r="B643" s="195"/>
      <c r="C643" s="195"/>
      <c r="D643" s="195"/>
      <c r="E643" s="195"/>
      <c r="F643" s="195"/>
      <c r="G643" s="195"/>
      <c r="H643" s="195"/>
      <c r="I643" s="195"/>
    </row>
    <row r="644" ht="20.25" spans="1:9">
      <c r="A644" s="195"/>
      <c r="B644" s="195"/>
      <c r="C644" s="195"/>
      <c r="D644" s="195"/>
      <c r="E644" s="195"/>
      <c r="F644" s="195"/>
      <c r="G644" s="195"/>
      <c r="H644" s="195"/>
      <c r="I644" s="195"/>
    </row>
    <row r="645" ht="20.25" spans="1:9">
      <c r="A645" s="195"/>
      <c r="B645" s="195"/>
      <c r="C645" s="195"/>
      <c r="D645" s="195"/>
      <c r="E645" s="195"/>
      <c r="F645" s="195"/>
      <c r="G645" s="195"/>
      <c r="H645" s="195"/>
      <c r="I645" s="195"/>
    </row>
    <row r="646" ht="20.25" spans="1:9">
      <c r="A646" s="195"/>
      <c r="B646" s="195"/>
      <c r="C646" s="195"/>
      <c r="D646" s="195"/>
      <c r="E646" s="195"/>
      <c r="F646" s="195"/>
      <c r="G646" s="195"/>
      <c r="H646" s="195"/>
      <c r="I646" s="195"/>
    </row>
    <row r="647" ht="20.25" spans="1:9">
      <c r="A647" s="195"/>
      <c r="B647" s="195"/>
      <c r="C647" s="195"/>
      <c r="D647" s="195"/>
      <c r="E647" s="195"/>
      <c r="F647" s="195"/>
      <c r="G647" s="195"/>
      <c r="H647" s="195"/>
      <c r="I647" s="195"/>
    </row>
    <row r="648" ht="20.25" spans="1:9">
      <c r="A648" s="195"/>
      <c r="B648" s="195"/>
      <c r="C648" s="195"/>
      <c r="D648" s="195"/>
      <c r="E648" s="195"/>
      <c r="F648" s="195"/>
      <c r="G648" s="195"/>
      <c r="H648" s="195"/>
      <c r="I648" s="195"/>
    </row>
    <row r="649" ht="20.25" spans="1:9">
      <c r="A649" s="195"/>
      <c r="B649" s="195"/>
      <c r="C649" s="195"/>
      <c r="D649" s="195"/>
      <c r="E649" s="195"/>
      <c r="F649" s="195"/>
      <c r="G649" s="195"/>
      <c r="H649" s="195"/>
      <c r="I649" s="195"/>
    </row>
    <row r="650" ht="20.25" spans="1:9">
      <c r="A650" s="195"/>
      <c r="B650" s="195"/>
      <c r="C650" s="195"/>
      <c r="D650" s="195"/>
      <c r="E650" s="195"/>
      <c r="F650" s="195"/>
      <c r="G650" s="195"/>
      <c r="H650" s="195"/>
      <c r="I650" s="195"/>
    </row>
    <row r="651" ht="20.25" spans="1:9">
      <c r="A651" s="195"/>
      <c r="B651" s="195"/>
      <c r="C651" s="195"/>
      <c r="D651" s="195"/>
      <c r="E651" s="195"/>
      <c r="F651" s="195"/>
      <c r="G651" s="195"/>
      <c r="H651" s="195"/>
      <c r="I651" s="195"/>
    </row>
    <row r="652" ht="20.25" spans="1:9">
      <c r="A652" s="195"/>
      <c r="B652" s="195"/>
      <c r="C652" s="195"/>
      <c r="D652" s="195"/>
      <c r="E652" s="195"/>
      <c r="F652" s="195"/>
      <c r="G652" s="195"/>
      <c r="H652" s="195"/>
      <c r="I652" s="195"/>
    </row>
    <row r="653" ht="20.25" spans="1:9">
      <c r="A653" s="195"/>
      <c r="B653" s="195"/>
      <c r="C653" s="195"/>
      <c r="D653" s="195"/>
      <c r="E653" s="195"/>
      <c r="F653" s="195"/>
      <c r="G653" s="195"/>
      <c r="H653" s="195"/>
      <c r="I653" s="195"/>
    </row>
    <row r="654" ht="20.25" spans="1:9">
      <c r="A654" s="195"/>
      <c r="B654" s="195"/>
      <c r="C654" s="195"/>
      <c r="D654" s="195"/>
      <c r="E654" s="195"/>
      <c r="F654" s="195"/>
      <c r="G654" s="195"/>
      <c r="H654" s="195"/>
      <c r="I654" s="195"/>
    </row>
    <row r="655" ht="20.25" spans="1:9">
      <c r="A655" s="195"/>
      <c r="B655" s="195"/>
      <c r="C655" s="195"/>
      <c r="D655" s="195"/>
      <c r="E655" s="195"/>
      <c r="F655" s="195"/>
      <c r="G655" s="195"/>
      <c r="H655" s="195"/>
      <c r="I655" s="195"/>
    </row>
    <row r="656" ht="20.25" spans="1:9">
      <c r="A656" s="195"/>
      <c r="B656" s="195"/>
      <c r="C656" s="195"/>
      <c r="D656" s="195"/>
      <c r="E656" s="195"/>
      <c r="F656" s="195"/>
      <c r="G656" s="195"/>
      <c r="H656" s="195"/>
      <c r="I656" s="195"/>
    </row>
    <row r="657" ht="20.25" spans="1:9">
      <c r="A657" s="195"/>
      <c r="B657" s="195"/>
      <c r="C657" s="195"/>
      <c r="D657" s="195"/>
      <c r="E657" s="195"/>
      <c r="F657" s="195"/>
      <c r="G657" s="195"/>
      <c r="H657" s="195"/>
      <c r="I657" s="195"/>
    </row>
    <row r="658" ht="20.25" spans="1:9">
      <c r="A658" s="195"/>
      <c r="B658" s="195"/>
      <c r="C658" s="195"/>
      <c r="D658" s="195"/>
      <c r="E658" s="195"/>
      <c r="F658" s="195"/>
      <c r="G658" s="195"/>
      <c r="H658" s="195"/>
      <c r="I658" s="195"/>
    </row>
    <row r="659" ht="20.25" spans="1:9">
      <c r="A659" s="195"/>
      <c r="B659" s="195"/>
      <c r="C659" s="195"/>
      <c r="D659" s="195"/>
      <c r="E659" s="195"/>
      <c r="F659" s="195"/>
      <c r="G659" s="195"/>
      <c r="H659" s="195"/>
      <c r="I659" s="195"/>
    </row>
    <row r="660" ht="20.25" spans="1:9">
      <c r="A660" s="195"/>
      <c r="B660" s="195"/>
      <c r="C660" s="195"/>
      <c r="D660" s="195"/>
      <c r="E660" s="195"/>
      <c r="F660" s="195"/>
      <c r="G660" s="195"/>
      <c r="H660" s="195"/>
      <c r="I660" s="195"/>
    </row>
    <row r="661" ht="20.25" spans="1:9">
      <c r="A661" s="195"/>
      <c r="B661" s="195"/>
      <c r="C661" s="195"/>
      <c r="D661" s="195"/>
      <c r="E661" s="195"/>
      <c r="F661" s="195"/>
      <c r="G661" s="195"/>
      <c r="H661" s="195"/>
      <c r="I661" s="195"/>
    </row>
    <row r="662" ht="20.25" spans="1:9">
      <c r="A662" s="195"/>
      <c r="B662" s="195"/>
      <c r="C662" s="195"/>
      <c r="D662" s="195"/>
      <c r="E662" s="195"/>
      <c r="F662" s="195"/>
      <c r="G662" s="195"/>
      <c r="H662" s="195"/>
      <c r="I662" s="195"/>
    </row>
    <row r="663" ht="20.25" spans="1:9">
      <c r="A663" s="195"/>
      <c r="B663" s="195"/>
      <c r="C663" s="195"/>
      <c r="D663" s="195"/>
      <c r="E663" s="195"/>
      <c r="F663" s="195"/>
      <c r="G663" s="195"/>
      <c r="H663" s="195"/>
      <c r="I663" s="195"/>
    </row>
    <row r="664" ht="20.25" spans="1:9">
      <c r="A664" s="195"/>
      <c r="B664" s="195"/>
      <c r="C664" s="195"/>
      <c r="D664" s="195"/>
      <c r="E664" s="195"/>
      <c r="F664" s="195"/>
      <c r="G664" s="195"/>
      <c r="H664" s="195"/>
      <c r="I664" s="195"/>
    </row>
    <row r="665" ht="20.25" spans="1:9">
      <c r="A665" s="195"/>
      <c r="B665" s="195"/>
      <c r="C665" s="195"/>
      <c r="D665" s="195"/>
      <c r="E665" s="195"/>
      <c r="F665" s="195"/>
      <c r="G665" s="195"/>
      <c r="H665" s="195"/>
      <c r="I665" s="195"/>
    </row>
    <row r="666" ht="20.25" spans="1:9">
      <c r="A666" s="195"/>
      <c r="B666" s="195"/>
      <c r="C666" s="195"/>
      <c r="D666" s="195"/>
      <c r="E666" s="195"/>
      <c r="F666" s="195"/>
      <c r="G666" s="195"/>
      <c r="H666" s="195"/>
      <c r="I666" s="195"/>
    </row>
    <row r="667" ht="20.25" spans="1:9">
      <c r="A667" s="195"/>
      <c r="B667" s="195"/>
      <c r="C667" s="195"/>
      <c r="D667" s="195"/>
      <c r="E667" s="195"/>
      <c r="F667" s="195"/>
      <c r="G667" s="195"/>
      <c r="H667" s="195"/>
      <c r="I667" s="195"/>
    </row>
    <row r="668" ht="20.25" spans="1:9">
      <c r="A668" s="195"/>
      <c r="B668" s="195"/>
      <c r="C668" s="195"/>
      <c r="D668" s="195"/>
      <c r="E668" s="195"/>
      <c r="F668" s="195"/>
      <c r="G668" s="195"/>
      <c r="H668" s="195"/>
      <c r="I668" s="195"/>
    </row>
    <row r="669" ht="20.25" spans="1:9">
      <c r="A669" s="195"/>
      <c r="B669" s="195"/>
      <c r="C669" s="195"/>
      <c r="D669" s="195"/>
      <c r="E669" s="195"/>
      <c r="F669" s="195"/>
      <c r="G669" s="195"/>
      <c r="H669" s="195"/>
      <c r="I669" s="195"/>
    </row>
    <row r="670" ht="20.25" spans="1:9">
      <c r="A670" s="195"/>
      <c r="B670" s="195"/>
      <c r="C670" s="195"/>
      <c r="D670" s="195"/>
      <c r="E670" s="195"/>
      <c r="F670" s="195"/>
      <c r="G670" s="195"/>
      <c r="H670" s="195"/>
      <c r="I670" s="195"/>
    </row>
    <row r="671" ht="20.25" spans="1:9">
      <c r="A671" s="195"/>
      <c r="B671" s="195"/>
      <c r="C671" s="195"/>
      <c r="D671" s="195"/>
      <c r="E671" s="195"/>
      <c r="F671" s="195"/>
      <c r="G671" s="195"/>
      <c r="H671" s="195"/>
      <c r="I671" s="195"/>
    </row>
    <row r="672" ht="20.25" spans="1:9">
      <c r="A672" s="195"/>
      <c r="B672" s="195"/>
      <c r="C672" s="195"/>
      <c r="D672" s="195"/>
      <c r="E672" s="195"/>
      <c r="F672" s="195"/>
      <c r="G672" s="195"/>
      <c r="H672" s="195"/>
      <c r="I672" s="195"/>
    </row>
    <row r="673" ht="20.25" spans="1:9">
      <c r="A673" s="195"/>
      <c r="B673" s="195"/>
      <c r="C673" s="195"/>
      <c r="D673" s="195"/>
      <c r="E673" s="195"/>
      <c r="F673" s="195"/>
      <c r="G673" s="195"/>
      <c r="H673" s="195"/>
      <c r="I673" s="195"/>
    </row>
    <row r="674" ht="20.25" spans="1:9">
      <c r="A674" s="195"/>
      <c r="B674" s="195"/>
      <c r="C674" s="195"/>
      <c r="D674" s="195"/>
      <c r="E674" s="195"/>
      <c r="F674" s="195"/>
      <c r="G674" s="195"/>
      <c r="H674" s="195"/>
      <c r="I674" s="195"/>
    </row>
    <row r="675" ht="20.25" spans="1:9">
      <c r="A675" s="195"/>
      <c r="B675" s="195"/>
      <c r="C675" s="195"/>
      <c r="D675" s="195"/>
      <c r="E675" s="195"/>
      <c r="F675" s="195"/>
      <c r="G675" s="195"/>
      <c r="H675" s="195"/>
      <c r="I675" s="195"/>
    </row>
    <row r="676" ht="20.25" spans="1:9">
      <c r="A676" s="195"/>
      <c r="B676" s="195"/>
      <c r="C676" s="195"/>
      <c r="D676" s="195"/>
      <c r="E676" s="195"/>
      <c r="F676" s="195"/>
      <c r="G676" s="195"/>
      <c r="H676" s="195"/>
      <c r="I676" s="195"/>
    </row>
    <row r="677" ht="20.25" spans="1:9">
      <c r="A677" s="195"/>
      <c r="B677" s="195"/>
      <c r="C677" s="195"/>
      <c r="D677" s="195"/>
      <c r="E677" s="195"/>
      <c r="F677" s="195"/>
      <c r="G677" s="195"/>
      <c r="H677" s="195"/>
      <c r="I677" s="195"/>
    </row>
    <row r="678" ht="20.25" spans="1:9">
      <c r="A678" s="195"/>
      <c r="B678" s="195"/>
      <c r="C678" s="195"/>
      <c r="D678" s="195"/>
      <c r="E678" s="195"/>
      <c r="F678" s="195"/>
      <c r="G678" s="195"/>
      <c r="H678" s="195"/>
      <c r="I678" s="195"/>
    </row>
    <row r="679" ht="20.25" spans="1:9">
      <c r="A679" s="195"/>
      <c r="B679" s="195"/>
      <c r="C679" s="195"/>
      <c r="D679" s="195"/>
      <c r="E679" s="195"/>
      <c r="F679" s="195"/>
      <c r="G679" s="195"/>
      <c r="H679" s="195"/>
      <c r="I679" s="195"/>
    </row>
    <row r="680" ht="20.25" spans="1:9">
      <c r="A680" s="195"/>
      <c r="B680" s="195"/>
      <c r="C680" s="195"/>
      <c r="D680" s="195"/>
      <c r="E680" s="195"/>
      <c r="F680" s="195"/>
      <c r="G680" s="195"/>
      <c r="H680" s="195"/>
      <c r="I680" s="195"/>
    </row>
    <row r="681" ht="20.25" spans="1:9">
      <c r="A681" s="195"/>
      <c r="B681" s="195"/>
      <c r="C681" s="195"/>
      <c r="D681" s="195"/>
      <c r="E681" s="195"/>
      <c r="F681" s="195"/>
      <c r="G681" s="195"/>
      <c r="H681" s="195"/>
      <c r="I681" s="195"/>
    </row>
    <row r="682" ht="20.25" spans="1:9">
      <c r="A682" s="195"/>
      <c r="B682" s="195"/>
      <c r="C682" s="195"/>
      <c r="D682" s="195"/>
      <c r="E682" s="195"/>
      <c r="F682" s="195"/>
      <c r="G682" s="195"/>
      <c r="H682" s="195"/>
      <c r="I682" s="195"/>
    </row>
    <row r="683" ht="20.25" spans="1:9">
      <c r="A683" s="195"/>
      <c r="B683" s="195"/>
      <c r="C683" s="195"/>
      <c r="D683" s="195"/>
      <c r="E683" s="195"/>
      <c r="F683" s="195"/>
      <c r="G683" s="195"/>
      <c r="H683" s="195"/>
      <c r="I683" s="195"/>
    </row>
    <row r="684" ht="20.25" spans="1:9">
      <c r="A684" s="195"/>
      <c r="B684" s="195"/>
      <c r="C684" s="195"/>
      <c r="D684" s="195"/>
      <c r="E684" s="195"/>
      <c r="F684" s="195"/>
      <c r="G684" s="195"/>
      <c r="H684" s="195"/>
      <c r="I684" s="195"/>
    </row>
    <row r="685" ht="20.25" spans="1:9">
      <c r="A685" s="195"/>
      <c r="B685" s="195"/>
      <c r="C685" s="195"/>
      <c r="D685" s="195"/>
      <c r="E685" s="195"/>
      <c r="F685" s="195"/>
      <c r="G685" s="195"/>
      <c r="H685" s="195"/>
      <c r="I685" s="195"/>
    </row>
    <row r="686" ht="20.25" spans="1:9">
      <c r="A686" s="195"/>
      <c r="B686" s="195"/>
      <c r="C686" s="195"/>
      <c r="D686" s="195"/>
      <c r="E686" s="195"/>
      <c r="F686" s="195"/>
      <c r="G686" s="195"/>
      <c r="H686" s="195"/>
      <c r="I686" s="195"/>
    </row>
    <row r="687" ht="20.25" spans="1:9">
      <c r="A687" s="195"/>
      <c r="B687" s="195"/>
      <c r="C687" s="195"/>
      <c r="D687" s="195"/>
      <c r="E687" s="195"/>
      <c r="F687" s="195"/>
      <c r="G687" s="195"/>
      <c r="H687" s="195"/>
      <c r="I687" s="195"/>
    </row>
    <row r="688" ht="20.25" spans="1:9">
      <c r="A688" s="195"/>
      <c r="B688" s="195"/>
      <c r="C688" s="195"/>
      <c r="D688" s="195"/>
      <c r="E688" s="195"/>
      <c r="F688" s="195"/>
      <c r="G688" s="195"/>
      <c r="H688" s="195"/>
      <c r="I688" s="195"/>
    </row>
    <row r="689" ht="20.25" spans="1:9">
      <c r="A689" s="195"/>
      <c r="B689" s="195"/>
      <c r="C689" s="195"/>
      <c r="D689" s="195"/>
      <c r="E689" s="195"/>
      <c r="F689" s="195"/>
      <c r="G689" s="195"/>
      <c r="H689" s="195"/>
      <c r="I689" s="195"/>
    </row>
    <row r="690" ht="20.25" spans="1:9">
      <c r="A690" s="195"/>
      <c r="B690" s="195"/>
      <c r="C690" s="195"/>
      <c r="D690" s="195"/>
      <c r="E690" s="195"/>
      <c r="F690" s="195"/>
      <c r="G690" s="195"/>
      <c r="H690" s="195"/>
      <c r="I690" s="195"/>
    </row>
    <row r="691" ht="20.25" spans="1:9">
      <c r="A691" s="195"/>
      <c r="B691" s="195"/>
      <c r="C691" s="195"/>
      <c r="D691" s="195"/>
      <c r="E691" s="195"/>
      <c r="F691" s="195"/>
      <c r="G691" s="195"/>
      <c r="H691" s="195"/>
      <c r="I691" s="195"/>
    </row>
    <row r="692" ht="20.25" spans="1:9">
      <c r="A692" s="195"/>
      <c r="B692" s="195"/>
      <c r="C692" s="195"/>
      <c r="D692" s="195"/>
      <c r="E692" s="195"/>
      <c r="F692" s="195"/>
      <c r="G692" s="195"/>
      <c r="H692" s="195"/>
      <c r="I692" s="195"/>
    </row>
    <row r="693" ht="20.25" spans="1:9">
      <c r="A693" s="195"/>
      <c r="B693" s="195"/>
      <c r="C693" s="195"/>
      <c r="D693" s="195"/>
      <c r="E693" s="195"/>
      <c r="F693" s="195"/>
      <c r="G693" s="195"/>
      <c r="H693" s="195"/>
      <c r="I693" s="195"/>
    </row>
    <row r="694" ht="20.25" spans="1:9">
      <c r="A694" s="195"/>
      <c r="B694" s="195"/>
      <c r="C694" s="195"/>
      <c r="D694" s="195"/>
      <c r="E694" s="195"/>
      <c r="F694" s="195"/>
      <c r="G694" s="195"/>
      <c r="H694" s="195"/>
      <c r="I694" s="195"/>
    </row>
    <row r="695" ht="20.25" spans="1:9">
      <c r="A695" s="195"/>
      <c r="B695" s="195"/>
      <c r="C695" s="195"/>
      <c r="D695" s="195"/>
      <c r="E695" s="195"/>
      <c r="F695" s="195"/>
      <c r="G695" s="195"/>
      <c r="H695" s="195"/>
      <c r="I695" s="195"/>
    </row>
    <row r="696" ht="20.25" spans="1:9">
      <c r="A696" s="195"/>
      <c r="B696" s="195"/>
      <c r="C696" s="195"/>
      <c r="D696" s="195"/>
      <c r="E696" s="195"/>
      <c r="F696" s="195"/>
      <c r="G696" s="195"/>
      <c r="H696" s="195"/>
      <c r="I696" s="195"/>
    </row>
    <row r="697" ht="20.25" spans="1:9">
      <c r="A697" s="195"/>
      <c r="B697" s="195"/>
      <c r="C697" s="195"/>
      <c r="D697" s="195"/>
      <c r="E697" s="195"/>
      <c r="F697" s="195"/>
      <c r="G697" s="195"/>
      <c r="H697" s="195"/>
      <c r="I697" s="195"/>
    </row>
    <row r="698" ht="20.25" spans="1:9">
      <c r="A698" s="195"/>
      <c r="B698" s="195"/>
      <c r="C698" s="195"/>
      <c r="D698" s="195"/>
      <c r="E698" s="195"/>
      <c r="F698" s="195"/>
      <c r="G698" s="195"/>
      <c r="H698" s="195"/>
      <c r="I698" s="195"/>
    </row>
    <row r="699" ht="20.25" spans="1:9">
      <c r="A699" s="195"/>
      <c r="B699" s="195"/>
      <c r="C699" s="195"/>
      <c r="D699" s="195"/>
      <c r="E699" s="195"/>
      <c r="F699" s="195"/>
      <c r="G699" s="195"/>
      <c r="H699" s="195"/>
      <c r="I699" s="195"/>
    </row>
    <row r="700" ht="20.25" spans="1:9">
      <c r="A700" s="195"/>
      <c r="B700" s="195"/>
      <c r="C700" s="195"/>
      <c r="D700" s="195"/>
      <c r="E700" s="195"/>
      <c r="F700" s="195"/>
      <c r="G700" s="195"/>
      <c r="H700" s="195"/>
      <c r="I700" s="195"/>
    </row>
    <row r="701" ht="20.25" spans="1:9">
      <c r="A701" s="195"/>
      <c r="B701" s="195"/>
      <c r="C701" s="195"/>
      <c r="D701" s="195"/>
      <c r="E701" s="195"/>
      <c r="F701" s="195"/>
      <c r="G701" s="195"/>
      <c r="H701" s="195"/>
      <c r="I701" s="195"/>
    </row>
    <row r="702" ht="20.25" spans="1:9">
      <c r="A702" s="195"/>
      <c r="B702" s="195"/>
      <c r="C702" s="195"/>
      <c r="D702" s="195"/>
      <c r="E702" s="195"/>
      <c r="F702" s="195"/>
      <c r="G702" s="195"/>
      <c r="H702" s="195"/>
      <c r="I702" s="195"/>
    </row>
    <row r="703" ht="20.25" spans="1:9">
      <c r="A703" s="195"/>
      <c r="B703" s="195"/>
      <c r="C703" s="195"/>
      <c r="D703" s="195"/>
      <c r="E703" s="195"/>
      <c r="F703" s="195"/>
      <c r="G703" s="195"/>
      <c r="H703" s="195"/>
      <c r="I703" s="195"/>
    </row>
    <row r="704" ht="20.25" spans="1:9">
      <c r="A704" s="195"/>
      <c r="B704" s="195"/>
      <c r="C704" s="195"/>
      <c r="D704" s="195"/>
      <c r="E704" s="195"/>
      <c r="F704" s="195"/>
      <c r="G704" s="195"/>
      <c r="H704" s="195"/>
      <c r="I704" s="195"/>
    </row>
    <row r="705" ht="20.25" spans="1:9">
      <c r="A705" s="195"/>
      <c r="B705" s="195"/>
      <c r="C705" s="195"/>
      <c r="D705" s="195"/>
      <c r="E705" s="195"/>
      <c r="F705" s="195"/>
      <c r="G705" s="195"/>
      <c r="H705" s="195"/>
      <c r="I705" s="195"/>
    </row>
    <row r="706" ht="20.25" spans="1:9">
      <c r="A706" s="195"/>
      <c r="B706" s="195"/>
      <c r="C706" s="195"/>
      <c r="D706" s="195"/>
      <c r="E706" s="195"/>
      <c r="F706" s="195"/>
      <c r="G706" s="195"/>
      <c r="H706" s="195"/>
      <c r="I706" s="195"/>
    </row>
    <row r="707" ht="20.25" spans="1:9">
      <c r="A707" s="195"/>
      <c r="B707" s="195"/>
      <c r="C707" s="195"/>
      <c r="D707" s="195"/>
      <c r="E707" s="195"/>
      <c r="F707" s="195"/>
      <c r="G707" s="195"/>
      <c r="H707" s="195"/>
      <c r="I707" s="195"/>
    </row>
    <row r="708" ht="20.25" spans="1:9">
      <c r="A708" s="195"/>
      <c r="B708" s="195"/>
      <c r="C708" s="195"/>
      <c r="D708" s="195"/>
      <c r="E708" s="195"/>
      <c r="F708" s="195"/>
      <c r="G708" s="195"/>
      <c r="H708" s="195"/>
      <c r="I708" s="195"/>
    </row>
    <row r="709" ht="20.25" spans="1:9">
      <c r="A709" s="195"/>
      <c r="B709" s="195"/>
      <c r="C709" s="195"/>
      <c r="D709" s="195"/>
      <c r="E709" s="195"/>
      <c r="F709" s="195"/>
      <c r="G709" s="195"/>
      <c r="H709" s="195"/>
      <c r="I709" s="195"/>
    </row>
    <row r="710" ht="20.25" spans="1:9">
      <c r="A710" s="195"/>
      <c r="B710" s="195"/>
      <c r="C710" s="195"/>
      <c r="D710" s="195"/>
      <c r="E710" s="195"/>
      <c r="F710" s="195"/>
      <c r="G710" s="195"/>
      <c r="H710" s="195"/>
      <c r="I710" s="195"/>
    </row>
    <row r="711" ht="20.25" spans="1:9">
      <c r="A711" s="195"/>
      <c r="B711" s="195"/>
      <c r="C711" s="195"/>
      <c r="D711" s="195"/>
      <c r="E711" s="195"/>
      <c r="F711" s="195"/>
      <c r="G711" s="195"/>
      <c r="H711" s="195"/>
      <c r="I711" s="195"/>
    </row>
    <row r="712" ht="20.25" spans="1:9">
      <c r="A712" s="195"/>
      <c r="B712" s="195"/>
      <c r="C712" s="195"/>
      <c r="D712" s="195"/>
      <c r="E712" s="195"/>
      <c r="F712" s="195"/>
      <c r="G712" s="195"/>
      <c r="H712" s="195"/>
      <c r="I712" s="195"/>
    </row>
    <row r="713" ht="20.25" spans="1:9">
      <c r="A713" s="195"/>
      <c r="B713" s="195"/>
      <c r="C713" s="195"/>
      <c r="D713" s="195"/>
      <c r="E713" s="195"/>
      <c r="F713" s="195"/>
      <c r="G713" s="195"/>
      <c r="H713" s="195"/>
      <c r="I713" s="195"/>
    </row>
    <row r="714" ht="20.25" spans="1:9">
      <c r="A714" s="195"/>
      <c r="B714" s="195"/>
      <c r="C714" s="195"/>
      <c r="D714" s="195"/>
      <c r="E714" s="195"/>
      <c r="F714" s="195"/>
      <c r="G714" s="195"/>
      <c r="H714" s="195"/>
      <c r="I714" s="195"/>
    </row>
    <row r="715" ht="20.25" spans="1:9">
      <c r="A715" s="195"/>
      <c r="B715" s="195"/>
      <c r="C715" s="195"/>
      <c r="D715" s="195"/>
      <c r="E715" s="195"/>
      <c r="F715" s="195"/>
      <c r="G715" s="195"/>
      <c r="H715" s="195"/>
      <c r="I715" s="195"/>
    </row>
    <row r="716" ht="20.25" spans="1:9">
      <c r="A716" s="195"/>
      <c r="B716" s="195"/>
      <c r="C716" s="195"/>
      <c r="D716" s="195"/>
      <c r="E716" s="195"/>
      <c r="F716" s="195"/>
      <c r="G716" s="195"/>
      <c r="H716" s="195"/>
      <c r="I716" s="195"/>
    </row>
    <row r="717" ht="20.25" spans="1:9">
      <c r="A717" s="195"/>
      <c r="B717" s="195"/>
      <c r="C717" s="195"/>
      <c r="D717" s="195"/>
      <c r="E717" s="195"/>
      <c r="F717" s="195"/>
      <c r="G717" s="195"/>
      <c r="H717" s="195"/>
      <c r="I717" s="195"/>
    </row>
    <row r="718" ht="20.25" spans="1:9">
      <c r="A718" s="195"/>
      <c r="B718" s="195"/>
      <c r="C718" s="195"/>
      <c r="D718" s="195"/>
      <c r="E718" s="195"/>
      <c r="F718" s="195"/>
      <c r="G718" s="195"/>
      <c r="H718" s="195"/>
      <c r="I718" s="195"/>
    </row>
    <row r="719" ht="20.25" spans="1:9">
      <c r="A719" s="195"/>
      <c r="B719" s="195"/>
      <c r="C719" s="195"/>
      <c r="D719" s="195"/>
      <c r="E719" s="195"/>
      <c r="F719" s="195"/>
      <c r="G719" s="195"/>
      <c r="H719" s="195"/>
      <c r="I719" s="195"/>
    </row>
    <row r="720" ht="20.25" spans="1:9">
      <c r="A720" s="195"/>
      <c r="B720" s="195"/>
      <c r="C720" s="195"/>
      <c r="D720" s="195"/>
      <c r="E720" s="195"/>
      <c r="F720" s="195"/>
      <c r="G720" s="195"/>
      <c r="H720" s="195"/>
      <c r="I720" s="195"/>
    </row>
    <row r="721" ht="20.25" spans="1:9">
      <c r="A721" s="195"/>
      <c r="B721" s="195"/>
      <c r="C721" s="195"/>
      <c r="D721" s="195"/>
      <c r="E721" s="195"/>
      <c r="F721" s="195"/>
      <c r="G721" s="195"/>
      <c r="H721" s="195"/>
      <c r="I721" s="195"/>
    </row>
    <row r="722" ht="20.25" spans="1:9">
      <c r="A722" s="195"/>
      <c r="B722" s="195"/>
      <c r="C722" s="195"/>
      <c r="D722" s="195"/>
      <c r="E722" s="195"/>
      <c r="F722" s="195"/>
      <c r="G722" s="195"/>
      <c r="H722" s="195"/>
      <c r="I722" s="195"/>
    </row>
    <row r="723" ht="20.25" spans="1:9">
      <c r="A723" s="195"/>
      <c r="B723" s="195"/>
      <c r="C723" s="195"/>
      <c r="D723" s="195"/>
      <c r="E723" s="195"/>
      <c r="F723" s="195"/>
      <c r="G723" s="195"/>
      <c r="H723" s="195"/>
      <c r="I723" s="195"/>
    </row>
    <row r="724" ht="20.25" spans="1:9">
      <c r="A724" s="195"/>
      <c r="B724" s="195"/>
      <c r="C724" s="195"/>
      <c r="D724" s="195"/>
      <c r="E724" s="195"/>
      <c r="F724" s="195"/>
      <c r="G724" s="195"/>
      <c r="H724" s="195"/>
      <c r="I724" s="195"/>
    </row>
    <row r="725" ht="20.25" spans="1:9">
      <c r="A725" s="195"/>
      <c r="B725" s="195"/>
      <c r="C725" s="195"/>
      <c r="D725" s="195"/>
      <c r="E725" s="195"/>
      <c r="F725" s="195"/>
      <c r="G725" s="195"/>
      <c r="H725" s="195"/>
      <c r="I725" s="195"/>
    </row>
    <row r="726" ht="20.25" spans="1:9">
      <c r="A726" s="195"/>
      <c r="B726" s="195"/>
      <c r="C726" s="195"/>
      <c r="D726" s="195"/>
      <c r="E726" s="195"/>
      <c r="F726" s="195"/>
      <c r="G726" s="195"/>
      <c r="H726" s="195"/>
      <c r="I726" s="195"/>
    </row>
    <row r="727" ht="20.25" spans="1:9">
      <c r="A727" s="195"/>
      <c r="B727" s="195"/>
      <c r="C727" s="195"/>
      <c r="D727" s="195"/>
      <c r="E727" s="195"/>
      <c r="F727" s="195"/>
      <c r="G727" s="195"/>
      <c r="H727" s="195"/>
      <c r="I727" s="195"/>
    </row>
    <row r="728" ht="20.25" spans="1:9">
      <c r="A728" s="195"/>
      <c r="B728" s="195"/>
      <c r="C728" s="195"/>
      <c r="D728" s="195"/>
      <c r="E728" s="195"/>
      <c r="F728" s="195"/>
      <c r="G728" s="195"/>
      <c r="H728" s="195"/>
      <c r="I728" s="195"/>
    </row>
    <row r="729" ht="20.25" spans="1:9">
      <c r="A729" s="195"/>
      <c r="B729" s="195"/>
      <c r="C729" s="195"/>
      <c r="D729" s="195"/>
      <c r="E729" s="195"/>
      <c r="F729" s="195"/>
      <c r="G729" s="195"/>
      <c r="H729" s="195"/>
      <c r="I729" s="195"/>
    </row>
    <row r="730" ht="20.25" spans="1:9">
      <c r="A730" s="195"/>
      <c r="B730" s="195"/>
      <c r="C730" s="195"/>
      <c r="D730" s="195"/>
      <c r="E730" s="195"/>
      <c r="F730" s="195"/>
      <c r="G730" s="195"/>
      <c r="H730" s="195"/>
      <c r="I730" s="195"/>
    </row>
    <row r="731" ht="20.25" spans="1:9">
      <c r="A731" s="195"/>
      <c r="B731" s="195"/>
      <c r="C731" s="195"/>
      <c r="D731" s="195"/>
      <c r="E731" s="195"/>
      <c r="F731" s="195"/>
      <c r="G731" s="195"/>
      <c r="H731" s="195"/>
      <c r="I731" s="195"/>
    </row>
    <row r="732" ht="20.25" spans="1:9">
      <c r="A732" s="195"/>
      <c r="B732" s="195"/>
      <c r="C732" s="195"/>
      <c r="D732" s="195"/>
      <c r="E732" s="195"/>
      <c r="F732" s="195"/>
      <c r="G732" s="195"/>
      <c r="H732" s="195"/>
      <c r="I732" s="195"/>
    </row>
    <row r="733" ht="20.25" spans="1:9">
      <c r="A733" s="195"/>
      <c r="B733" s="195"/>
      <c r="C733" s="195"/>
      <c r="D733" s="195"/>
      <c r="E733" s="195"/>
      <c r="F733" s="195"/>
      <c r="G733" s="195"/>
      <c r="H733" s="195"/>
      <c r="I733" s="195"/>
    </row>
    <row r="734" ht="20.25" spans="1:9">
      <c r="A734" s="195"/>
      <c r="B734" s="195"/>
      <c r="C734" s="195"/>
      <c r="D734" s="195"/>
      <c r="E734" s="195"/>
      <c r="F734" s="195"/>
      <c r="G734" s="195"/>
      <c r="H734" s="195"/>
      <c r="I734" s="195"/>
    </row>
    <row r="735" ht="20.25" spans="1:9">
      <c r="A735" s="195"/>
      <c r="B735" s="195"/>
      <c r="C735" s="195"/>
      <c r="D735" s="195"/>
      <c r="E735" s="195"/>
      <c r="F735" s="195"/>
      <c r="G735" s="195"/>
      <c r="H735" s="195"/>
      <c r="I735" s="195"/>
    </row>
    <row r="736" ht="20.25" spans="1:9">
      <c r="A736" s="195"/>
      <c r="B736" s="195"/>
      <c r="C736" s="195"/>
      <c r="D736" s="195"/>
      <c r="E736" s="195"/>
      <c r="F736" s="195"/>
      <c r="G736" s="195"/>
      <c r="H736" s="195"/>
      <c r="I736" s="195"/>
    </row>
    <row r="737" ht="20.25" spans="1:9">
      <c r="A737" s="195"/>
      <c r="B737" s="195"/>
      <c r="C737" s="195"/>
      <c r="D737" s="195"/>
      <c r="E737" s="195"/>
      <c r="F737" s="195"/>
      <c r="G737" s="195"/>
      <c r="H737" s="195"/>
      <c r="I737" s="195"/>
    </row>
    <row r="738" ht="20.25" spans="1:9">
      <c r="A738" s="195"/>
      <c r="B738" s="195"/>
      <c r="C738" s="195"/>
      <c r="D738" s="195"/>
      <c r="E738" s="195"/>
      <c r="F738" s="195"/>
      <c r="G738" s="195"/>
      <c r="H738" s="195"/>
      <c r="I738" s="195"/>
    </row>
    <row r="739" ht="20.25" spans="1:9">
      <c r="A739" s="195"/>
      <c r="B739" s="195"/>
      <c r="C739" s="195"/>
      <c r="D739" s="195"/>
      <c r="E739" s="195"/>
      <c r="F739" s="195"/>
      <c r="G739" s="195"/>
      <c r="H739" s="195"/>
      <c r="I739" s="195"/>
    </row>
    <row r="740" ht="20.25" spans="1:9">
      <c r="A740" s="195"/>
      <c r="B740" s="195"/>
      <c r="C740" s="195"/>
      <c r="D740" s="195"/>
      <c r="E740" s="195"/>
      <c r="F740" s="195"/>
      <c r="G740" s="195"/>
      <c r="H740" s="195"/>
      <c r="I740" s="195"/>
    </row>
    <row r="741" ht="20.25" spans="1:9">
      <c r="A741" s="195"/>
      <c r="B741" s="195"/>
      <c r="C741" s="195"/>
      <c r="D741" s="195"/>
      <c r="E741" s="195"/>
      <c r="F741" s="195"/>
      <c r="G741" s="195"/>
      <c r="H741" s="195"/>
      <c r="I741" s="195"/>
    </row>
    <row r="742" ht="20.25" spans="1:9">
      <c r="A742" s="195"/>
      <c r="B742" s="195"/>
      <c r="C742" s="195"/>
      <c r="D742" s="195"/>
      <c r="E742" s="195"/>
      <c r="F742" s="195"/>
      <c r="G742" s="195"/>
      <c r="H742" s="195"/>
      <c r="I742" s="195"/>
    </row>
    <row r="743" ht="20.25" spans="1:9">
      <c r="A743" s="195"/>
      <c r="B743" s="195"/>
      <c r="C743" s="195"/>
      <c r="D743" s="195"/>
      <c r="E743" s="195"/>
      <c r="F743" s="195"/>
      <c r="G743" s="195"/>
      <c r="H743" s="195"/>
      <c r="I743" s="195"/>
    </row>
    <row r="744" ht="20.25" spans="1:9">
      <c r="A744" s="195"/>
      <c r="B744" s="195"/>
      <c r="C744" s="195"/>
      <c r="D744" s="195"/>
      <c r="E744" s="195"/>
      <c r="F744" s="195"/>
      <c r="G744" s="195"/>
      <c r="H744" s="195"/>
      <c r="I744" s="195"/>
    </row>
    <row r="745" ht="20.25" spans="1:9">
      <c r="A745" s="195"/>
      <c r="B745" s="195"/>
      <c r="C745" s="195"/>
      <c r="D745" s="195"/>
      <c r="E745" s="195"/>
      <c r="F745" s="195"/>
      <c r="G745" s="195"/>
      <c r="H745" s="195"/>
      <c r="I745" s="195"/>
    </row>
    <row r="746" ht="20.25" spans="1:9">
      <c r="A746" s="195"/>
      <c r="B746" s="195"/>
      <c r="C746" s="195"/>
      <c r="D746" s="195"/>
      <c r="E746" s="195"/>
      <c r="F746" s="195"/>
      <c r="G746" s="195"/>
      <c r="H746" s="195"/>
      <c r="I746" s="195"/>
    </row>
    <row r="747" ht="20.25" spans="1:9">
      <c r="A747" s="195"/>
      <c r="B747" s="195"/>
      <c r="C747" s="195"/>
      <c r="D747" s="195"/>
      <c r="E747" s="195"/>
      <c r="F747" s="195"/>
      <c r="G747" s="195"/>
      <c r="H747" s="195"/>
      <c r="I747" s="195"/>
    </row>
    <row r="748" ht="20.25" spans="1:9">
      <c r="A748" s="195"/>
      <c r="B748" s="195"/>
      <c r="C748" s="195"/>
      <c r="D748" s="195"/>
      <c r="E748" s="195"/>
      <c r="F748" s="195"/>
      <c r="G748" s="195"/>
      <c r="H748" s="195"/>
      <c r="I748" s="195"/>
    </row>
    <row r="749" ht="20.25" spans="1:9">
      <c r="A749" s="195"/>
      <c r="B749" s="195"/>
      <c r="C749" s="195"/>
      <c r="D749" s="195"/>
      <c r="E749" s="195"/>
      <c r="F749" s="195"/>
      <c r="G749" s="195"/>
      <c r="H749" s="195"/>
      <c r="I749" s="195"/>
    </row>
    <row r="750" ht="20.25" spans="1:9">
      <c r="A750" s="195"/>
      <c r="B750" s="195"/>
      <c r="C750" s="195"/>
      <c r="D750" s="195"/>
      <c r="E750" s="195"/>
      <c r="F750" s="195"/>
      <c r="G750" s="195"/>
      <c r="H750" s="195"/>
      <c r="I750" s="195"/>
    </row>
    <row r="751" ht="20.25" spans="1:9">
      <c r="A751" s="195"/>
      <c r="B751" s="195"/>
      <c r="C751" s="195"/>
      <c r="D751" s="195"/>
      <c r="E751" s="195"/>
      <c r="F751" s="195"/>
      <c r="G751" s="195"/>
      <c r="H751" s="195"/>
      <c r="I751" s="195"/>
    </row>
    <row r="752" ht="20.25" spans="1:9">
      <c r="A752" s="195"/>
      <c r="B752" s="195"/>
      <c r="C752" s="195"/>
      <c r="D752" s="195"/>
      <c r="E752" s="195"/>
      <c r="F752" s="195"/>
      <c r="G752" s="195"/>
      <c r="H752" s="195"/>
      <c r="I752" s="195"/>
    </row>
    <row r="753" ht="20.25" spans="1:9">
      <c r="A753" s="195"/>
      <c r="B753" s="195"/>
      <c r="C753" s="195"/>
      <c r="D753" s="195"/>
      <c r="E753" s="195"/>
      <c r="F753" s="195"/>
      <c r="G753" s="195"/>
      <c r="H753" s="195"/>
      <c r="I753" s="195"/>
    </row>
    <row r="754" ht="20.25" spans="1:9">
      <c r="A754" s="195"/>
      <c r="B754" s="195"/>
      <c r="C754" s="195"/>
      <c r="D754" s="195"/>
      <c r="E754" s="195"/>
      <c r="F754" s="195"/>
      <c r="G754" s="195"/>
      <c r="H754" s="195"/>
      <c r="I754" s="195"/>
    </row>
    <row r="755" ht="20.25" spans="1:9">
      <c r="A755" s="195"/>
      <c r="B755" s="195"/>
      <c r="C755" s="195"/>
      <c r="D755" s="195"/>
      <c r="E755" s="195"/>
      <c r="F755" s="195"/>
      <c r="G755" s="195"/>
      <c r="H755" s="195"/>
      <c r="I755" s="195"/>
    </row>
    <row r="756" ht="20.25" spans="1:9">
      <c r="A756" s="195"/>
      <c r="B756" s="195"/>
      <c r="C756" s="195"/>
      <c r="D756" s="195"/>
      <c r="E756" s="195"/>
      <c r="F756" s="195"/>
      <c r="G756" s="195"/>
      <c r="H756" s="195"/>
      <c r="I756" s="195"/>
    </row>
    <row r="757" ht="20.25" spans="1:9">
      <c r="A757" s="195"/>
      <c r="B757" s="195"/>
      <c r="C757" s="195"/>
      <c r="D757" s="195"/>
      <c r="E757" s="195"/>
      <c r="F757" s="195"/>
      <c r="G757" s="195"/>
      <c r="H757" s="195"/>
      <c r="I757" s="195"/>
    </row>
    <row r="758" ht="20.25" spans="1:9">
      <c r="A758" s="195"/>
      <c r="B758" s="195"/>
      <c r="C758" s="195"/>
      <c r="D758" s="195"/>
      <c r="E758" s="195"/>
      <c r="F758" s="195"/>
      <c r="G758" s="195"/>
      <c r="H758" s="195"/>
      <c r="I758" s="195"/>
    </row>
    <row r="759" ht="20.25" spans="1:9">
      <c r="A759" s="195"/>
      <c r="B759" s="195"/>
      <c r="C759" s="195"/>
      <c r="D759" s="195"/>
      <c r="E759" s="195"/>
      <c r="F759" s="195"/>
      <c r="G759" s="195"/>
      <c r="H759" s="195"/>
      <c r="I759" s="195"/>
    </row>
    <row r="760" ht="20.25" spans="1:9">
      <c r="A760" s="195"/>
      <c r="B760" s="195"/>
      <c r="C760" s="195"/>
      <c r="D760" s="195"/>
      <c r="E760" s="195"/>
      <c r="F760" s="195"/>
      <c r="G760" s="195"/>
      <c r="H760" s="195"/>
      <c r="I760" s="195"/>
    </row>
    <row r="761" ht="20.25" spans="1:9">
      <c r="A761" s="195"/>
      <c r="B761" s="195"/>
      <c r="C761" s="195"/>
      <c r="D761" s="195"/>
      <c r="E761" s="195"/>
      <c r="F761" s="195"/>
      <c r="G761" s="195"/>
      <c r="H761" s="195"/>
      <c r="I761" s="195"/>
    </row>
    <row r="762" ht="20.25" spans="1:9">
      <c r="A762" s="195"/>
      <c r="B762" s="195"/>
      <c r="C762" s="195"/>
      <c r="D762" s="195"/>
      <c r="E762" s="195"/>
      <c r="F762" s="195"/>
      <c r="G762" s="195"/>
      <c r="H762" s="195"/>
      <c r="I762" s="195"/>
    </row>
    <row r="763" ht="20.25" spans="1:9">
      <c r="A763" s="195"/>
      <c r="B763" s="195"/>
      <c r="C763" s="195"/>
      <c r="D763" s="195"/>
      <c r="E763" s="195"/>
      <c r="F763" s="195"/>
      <c r="G763" s="195"/>
      <c r="H763" s="195"/>
      <c r="I763" s="195"/>
    </row>
    <row r="764" ht="20.25" spans="1:9">
      <c r="A764" s="195"/>
      <c r="B764" s="195"/>
      <c r="C764" s="195"/>
      <c r="D764" s="195"/>
      <c r="E764" s="195"/>
      <c r="F764" s="195"/>
      <c r="G764" s="195"/>
      <c r="H764" s="195"/>
      <c r="I764" s="195"/>
    </row>
    <row r="765" ht="20.25" spans="1:9">
      <c r="A765" s="195"/>
      <c r="B765" s="195"/>
      <c r="C765" s="195"/>
      <c r="D765" s="195"/>
      <c r="E765" s="195"/>
      <c r="F765" s="195"/>
      <c r="G765" s="195"/>
      <c r="H765" s="195"/>
      <c r="I765" s="195"/>
    </row>
    <row r="766" ht="20.25" spans="1:9">
      <c r="A766" s="195"/>
      <c r="B766" s="195"/>
      <c r="C766" s="195"/>
      <c r="D766" s="195"/>
      <c r="E766" s="195"/>
      <c r="F766" s="195"/>
      <c r="G766" s="195"/>
      <c r="H766" s="195"/>
      <c r="I766" s="195"/>
    </row>
    <row r="767" ht="20.25" spans="1:9">
      <c r="A767" s="195"/>
      <c r="B767" s="195"/>
      <c r="C767" s="195"/>
      <c r="D767" s="195"/>
      <c r="E767" s="195"/>
      <c r="F767" s="195"/>
      <c r="G767" s="195"/>
      <c r="H767" s="195"/>
      <c r="I767" s="195"/>
    </row>
    <row r="768" ht="20.25" spans="1:9">
      <c r="A768" s="195"/>
      <c r="B768" s="195"/>
      <c r="C768" s="195"/>
      <c r="D768" s="195"/>
      <c r="E768" s="195"/>
      <c r="F768" s="195"/>
      <c r="G768" s="195"/>
      <c r="H768" s="195"/>
      <c r="I768" s="195"/>
    </row>
    <row r="769" ht="20.25" spans="1:9">
      <c r="A769" s="195"/>
      <c r="B769" s="195"/>
      <c r="C769" s="195"/>
      <c r="D769" s="195"/>
      <c r="E769" s="195"/>
      <c r="F769" s="195"/>
      <c r="G769" s="195"/>
      <c r="H769" s="195"/>
      <c r="I769" s="195"/>
    </row>
    <row r="770" ht="20.25" spans="1:9">
      <c r="A770" s="195"/>
      <c r="B770" s="195"/>
      <c r="C770" s="195"/>
      <c r="D770" s="195"/>
      <c r="E770" s="195"/>
      <c r="F770" s="195"/>
      <c r="G770" s="195"/>
      <c r="H770" s="195"/>
      <c r="I770" s="195"/>
    </row>
    <row r="771" ht="20.25" spans="1:9">
      <c r="A771" s="195"/>
      <c r="B771" s="195"/>
      <c r="C771" s="195"/>
      <c r="D771" s="195"/>
      <c r="E771" s="195"/>
      <c r="F771" s="195"/>
      <c r="G771" s="195"/>
      <c r="H771" s="195"/>
      <c r="I771" s="195"/>
    </row>
    <row r="772" ht="20.25" spans="1:9">
      <c r="A772" s="195"/>
      <c r="B772" s="195"/>
      <c r="C772" s="195"/>
      <c r="D772" s="195"/>
      <c r="E772" s="195"/>
      <c r="F772" s="195"/>
      <c r="G772" s="195"/>
      <c r="H772" s="195"/>
      <c r="I772" s="195"/>
    </row>
    <row r="773" ht="20.25" spans="1:9">
      <c r="A773" s="195"/>
      <c r="B773" s="195"/>
      <c r="C773" s="195"/>
      <c r="D773" s="195"/>
      <c r="E773" s="195"/>
      <c r="F773" s="195"/>
      <c r="G773" s="195"/>
      <c r="H773" s="195"/>
      <c r="I773" s="195"/>
    </row>
    <row r="774" ht="20.25" spans="1:9">
      <c r="A774" s="195"/>
      <c r="B774" s="195"/>
      <c r="C774" s="195"/>
      <c r="D774" s="195"/>
      <c r="E774" s="195"/>
      <c r="F774" s="195"/>
      <c r="G774" s="195"/>
      <c r="H774" s="195"/>
      <c r="I774" s="195"/>
    </row>
    <row r="775" ht="20.25" spans="1:9">
      <c r="A775" s="195"/>
      <c r="B775" s="195"/>
      <c r="C775" s="195"/>
      <c r="D775" s="195"/>
      <c r="E775" s="195"/>
      <c r="F775" s="195"/>
      <c r="G775" s="195"/>
      <c r="H775" s="195"/>
      <c r="I775" s="195"/>
    </row>
    <row r="776" ht="20.25" spans="1:9">
      <c r="A776" s="195"/>
      <c r="B776" s="195"/>
      <c r="C776" s="195"/>
      <c r="D776" s="195"/>
      <c r="E776" s="195"/>
      <c r="F776" s="195"/>
      <c r="G776" s="195"/>
      <c r="H776" s="195"/>
      <c r="I776" s="195"/>
    </row>
    <row r="777" ht="20.25" spans="1:9">
      <c r="A777" s="195"/>
      <c r="B777" s="195"/>
      <c r="C777" s="195"/>
      <c r="D777" s="195"/>
      <c r="E777" s="195"/>
      <c r="F777" s="195"/>
      <c r="G777" s="195"/>
      <c r="H777" s="195"/>
      <c r="I777" s="195"/>
    </row>
    <row r="778" ht="20.25" spans="1:9">
      <c r="A778" s="195"/>
      <c r="B778" s="195"/>
      <c r="C778" s="195"/>
      <c r="D778" s="195"/>
      <c r="E778" s="195"/>
      <c r="F778" s="195"/>
      <c r="G778" s="195"/>
      <c r="H778" s="195"/>
      <c r="I778" s="195"/>
    </row>
    <row r="779" ht="20.25" spans="1:9">
      <c r="A779" s="195"/>
      <c r="B779" s="195"/>
      <c r="C779" s="195"/>
      <c r="D779" s="195"/>
      <c r="E779" s="195"/>
      <c r="F779" s="195"/>
      <c r="G779" s="195"/>
      <c r="H779" s="195"/>
      <c r="I779" s="195"/>
    </row>
    <row r="780" ht="20.25" spans="1:9">
      <c r="A780" s="195"/>
      <c r="B780" s="195"/>
      <c r="C780" s="195"/>
      <c r="D780" s="195"/>
      <c r="E780" s="195"/>
      <c r="F780" s="195"/>
      <c r="G780" s="195"/>
      <c r="H780" s="195"/>
      <c r="I780" s="195"/>
    </row>
    <row r="781" ht="20.25" spans="1:9">
      <c r="A781" s="195"/>
      <c r="B781" s="195"/>
      <c r="C781" s="195"/>
      <c r="D781" s="195"/>
      <c r="E781" s="195"/>
      <c r="F781" s="195"/>
      <c r="G781" s="195"/>
      <c r="H781" s="195"/>
      <c r="I781" s="195"/>
    </row>
    <row r="782" ht="20.25" spans="1:9">
      <c r="A782" s="195"/>
      <c r="B782" s="195"/>
      <c r="C782" s="195"/>
      <c r="D782" s="195"/>
      <c r="E782" s="195"/>
      <c r="F782" s="195"/>
      <c r="G782" s="195"/>
      <c r="H782" s="195"/>
      <c r="I782" s="195"/>
    </row>
    <row r="783" ht="20.25" spans="1:9">
      <c r="A783" s="195"/>
      <c r="B783" s="195"/>
      <c r="C783" s="195"/>
      <c r="D783" s="195"/>
      <c r="E783" s="195"/>
      <c r="F783" s="195"/>
      <c r="G783" s="195"/>
      <c r="H783" s="195"/>
      <c r="I783" s="195"/>
    </row>
    <row r="784" ht="20.25" spans="1:9">
      <c r="A784" s="195"/>
      <c r="B784" s="195"/>
      <c r="C784" s="195"/>
      <c r="D784" s="195"/>
      <c r="E784" s="195"/>
      <c r="F784" s="195"/>
      <c r="G784" s="195"/>
      <c r="H784" s="195"/>
      <c r="I784" s="195"/>
    </row>
    <row r="785" ht="20.25" spans="1:9">
      <c r="A785" s="195"/>
      <c r="B785" s="195"/>
      <c r="C785" s="195"/>
      <c r="D785" s="195"/>
      <c r="E785" s="195"/>
      <c r="F785" s="195"/>
      <c r="G785" s="195"/>
      <c r="H785" s="195"/>
      <c r="I785" s="195"/>
    </row>
    <row r="786" ht="20.25" spans="1:9">
      <c r="A786" s="195"/>
      <c r="B786" s="195"/>
      <c r="C786" s="195"/>
      <c r="D786" s="195"/>
      <c r="E786" s="195"/>
      <c r="F786" s="195"/>
      <c r="G786" s="195"/>
      <c r="H786" s="195"/>
      <c r="I786" s="195"/>
    </row>
    <row r="787" ht="20.25" spans="1:9">
      <c r="A787" s="195"/>
      <c r="B787" s="195"/>
      <c r="C787" s="195"/>
      <c r="D787" s="195"/>
      <c r="E787" s="195"/>
      <c r="F787" s="195"/>
      <c r="G787" s="195"/>
      <c r="H787" s="195"/>
      <c r="I787" s="195"/>
    </row>
    <row r="788" ht="20.25" spans="1:9">
      <c r="A788" s="195"/>
      <c r="B788" s="195"/>
      <c r="C788" s="195"/>
      <c r="D788" s="195"/>
      <c r="E788" s="195"/>
      <c r="F788" s="195"/>
      <c r="G788" s="195"/>
      <c r="H788" s="195"/>
      <c r="I788" s="195"/>
    </row>
    <row r="789" ht="20.25" spans="1:9">
      <c r="A789" s="195"/>
      <c r="B789" s="195"/>
      <c r="C789" s="195"/>
      <c r="D789" s="195"/>
      <c r="E789" s="195"/>
      <c r="F789" s="195"/>
      <c r="G789" s="195"/>
      <c r="H789" s="195"/>
      <c r="I789" s="195"/>
    </row>
    <row r="790" ht="20.25" spans="1:9">
      <c r="A790" s="195"/>
      <c r="B790" s="195"/>
      <c r="C790" s="195"/>
      <c r="D790" s="195"/>
      <c r="E790" s="195"/>
      <c r="F790" s="195"/>
      <c r="G790" s="195"/>
      <c r="H790" s="195"/>
      <c r="I790" s="195"/>
    </row>
    <row r="791" ht="20.25" spans="1:9">
      <c r="A791" s="195"/>
      <c r="B791" s="195"/>
      <c r="C791" s="195"/>
      <c r="D791" s="195"/>
      <c r="E791" s="195"/>
      <c r="F791" s="195"/>
      <c r="G791" s="195"/>
      <c r="H791" s="195"/>
      <c r="I791" s="195"/>
    </row>
    <row r="792" ht="20.25" spans="1:9">
      <c r="A792" s="195"/>
      <c r="B792" s="195"/>
      <c r="C792" s="195"/>
      <c r="D792" s="195"/>
      <c r="E792" s="195"/>
      <c r="F792" s="195"/>
      <c r="G792" s="195"/>
      <c r="H792" s="195"/>
      <c r="I792" s="195"/>
    </row>
    <row r="793" ht="20.25" spans="1:9">
      <c r="A793" s="195"/>
      <c r="B793" s="195"/>
      <c r="C793" s="195"/>
      <c r="D793" s="195"/>
      <c r="E793" s="195"/>
      <c r="F793" s="195"/>
      <c r="G793" s="195"/>
      <c r="H793" s="195"/>
      <c r="I793" s="195"/>
    </row>
    <row r="794" ht="20.25" spans="1:9">
      <c r="A794" s="195"/>
      <c r="B794" s="195"/>
      <c r="C794" s="195"/>
      <c r="D794" s="195"/>
      <c r="E794" s="195"/>
      <c r="F794" s="195"/>
      <c r="G794" s="195"/>
      <c r="H794" s="195"/>
      <c r="I794" s="195"/>
    </row>
    <row r="795" ht="20.25" spans="1:9">
      <c r="A795" s="195"/>
      <c r="B795" s="195"/>
      <c r="C795" s="195"/>
      <c r="D795" s="195"/>
      <c r="E795" s="195"/>
      <c r="F795" s="195"/>
      <c r="G795" s="195"/>
      <c r="H795" s="195"/>
      <c r="I795" s="195"/>
    </row>
    <row r="796" ht="20.25" spans="1:9">
      <c r="A796" s="195"/>
      <c r="B796" s="195"/>
      <c r="C796" s="195"/>
      <c r="D796" s="195"/>
      <c r="E796" s="195"/>
      <c r="F796" s="195"/>
      <c r="G796" s="195"/>
      <c r="H796" s="195"/>
      <c r="I796" s="195"/>
    </row>
    <row r="797" ht="20.25" spans="1:9">
      <c r="A797" s="195"/>
      <c r="B797" s="195"/>
      <c r="C797" s="195"/>
      <c r="D797" s="195"/>
      <c r="E797" s="195"/>
      <c r="F797" s="195"/>
      <c r="G797" s="195"/>
      <c r="H797" s="195"/>
      <c r="I797" s="195"/>
    </row>
    <row r="798" ht="20.25" spans="1:9">
      <c r="A798" s="195"/>
      <c r="B798" s="195"/>
      <c r="C798" s="195"/>
      <c r="D798" s="195"/>
      <c r="E798" s="195"/>
      <c r="F798" s="195"/>
      <c r="G798" s="195"/>
      <c r="H798" s="195"/>
      <c r="I798" s="195"/>
    </row>
    <row r="799" ht="20.25" spans="1:9">
      <c r="A799" s="195"/>
      <c r="B799" s="195"/>
      <c r="C799" s="195"/>
      <c r="D799" s="195"/>
      <c r="E799" s="195"/>
      <c r="F799" s="195"/>
      <c r="G799" s="195"/>
      <c r="H799" s="195"/>
      <c r="I799" s="195"/>
    </row>
    <row r="800" ht="20.25" spans="1:9">
      <c r="A800" s="195"/>
      <c r="B800" s="195"/>
      <c r="C800" s="195"/>
      <c r="D800" s="195"/>
      <c r="E800" s="195"/>
      <c r="F800" s="195"/>
      <c r="G800" s="195"/>
      <c r="H800" s="195"/>
      <c r="I800" s="195"/>
    </row>
    <row r="801" ht="20.25" spans="1:9">
      <c r="A801" s="195"/>
      <c r="B801" s="195"/>
      <c r="C801" s="195"/>
      <c r="D801" s="195"/>
      <c r="E801" s="195"/>
      <c r="F801" s="195"/>
      <c r="G801" s="195"/>
      <c r="H801" s="195"/>
      <c r="I801" s="195"/>
    </row>
    <row r="802" ht="20.25" spans="1:9">
      <c r="A802" s="195"/>
      <c r="B802" s="195"/>
      <c r="C802" s="195"/>
      <c r="D802" s="195"/>
      <c r="E802" s="195"/>
      <c r="F802" s="195"/>
      <c r="G802" s="195"/>
      <c r="H802" s="195"/>
      <c r="I802" s="195"/>
    </row>
    <row r="803" ht="20.25" spans="1:9">
      <c r="A803" s="195"/>
      <c r="B803" s="195"/>
      <c r="C803" s="195"/>
      <c r="D803" s="195"/>
      <c r="E803" s="195"/>
      <c r="F803" s="195"/>
      <c r="G803" s="195"/>
      <c r="H803" s="195"/>
      <c r="I803" s="195"/>
    </row>
    <row r="804" ht="20.25" spans="1:9">
      <c r="A804" s="195"/>
      <c r="B804" s="195"/>
      <c r="C804" s="195"/>
      <c r="D804" s="195"/>
      <c r="E804" s="195"/>
      <c r="F804" s="195"/>
      <c r="G804" s="195"/>
      <c r="H804" s="195"/>
      <c r="I804" s="195"/>
    </row>
    <row r="805" ht="20.25" spans="1:9">
      <c r="A805" s="195"/>
      <c r="B805" s="195"/>
      <c r="C805" s="195"/>
      <c r="D805" s="195"/>
      <c r="E805" s="195"/>
      <c r="F805" s="195"/>
      <c r="G805" s="195"/>
      <c r="H805" s="195"/>
      <c r="I805" s="195"/>
    </row>
    <row r="806" ht="20.25" spans="1:9">
      <c r="A806" s="195"/>
      <c r="B806" s="195"/>
      <c r="C806" s="195"/>
      <c r="D806" s="195"/>
      <c r="E806" s="195"/>
      <c r="F806" s="195"/>
      <c r="G806" s="195"/>
      <c r="H806" s="195"/>
      <c r="I806" s="195"/>
    </row>
    <row r="807" ht="20.25" spans="1:9">
      <c r="A807" s="195"/>
      <c r="B807" s="195"/>
      <c r="C807" s="195"/>
      <c r="D807" s="195"/>
      <c r="E807" s="195"/>
      <c r="F807" s="195"/>
      <c r="G807" s="195"/>
      <c r="H807" s="195"/>
      <c r="I807" s="195"/>
    </row>
    <row r="808" ht="20.25" spans="1:9">
      <c r="A808" s="195"/>
      <c r="B808" s="195"/>
      <c r="C808" s="195"/>
      <c r="D808" s="195"/>
      <c r="E808" s="195"/>
      <c r="F808" s="195"/>
      <c r="G808" s="195"/>
      <c r="H808" s="195"/>
      <c r="I808" s="195"/>
    </row>
    <row r="809" ht="20.25" spans="1:9">
      <c r="A809" s="195"/>
      <c r="B809" s="195"/>
      <c r="C809" s="195"/>
      <c r="D809" s="195"/>
      <c r="E809" s="195"/>
      <c r="F809" s="195"/>
      <c r="G809" s="195"/>
      <c r="H809" s="195"/>
      <c r="I809" s="195"/>
    </row>
    <row r="810" ht="20.25" spans="1:9">
      <c r="A810" s="195"/>
      <c r="B810" s="195"/>
      <c r="C810" s="195"/>
      <c r="D810" s="195"/>
      <c r="E810" s="195"/>
      <c r="F810" s="195"/>
      <c r="G810" s="195"/>
      <c r="H810" s="195"/>
      <c r="I810" s="195"/>
    </row>
    <row r="811" ht="20.25" spans="1:9">
      <c r="A811" s="195"/>
      <c r="B811" s="195"/>
      <c r="C811" s="195"/>
      <c r="D811" s="195"/>
      <c r="E811" s="195"/>
      <c r="F811" s="195"/>
      <c r="G811" s="195"/>
      <c r="H811" s="195"/>
      <c r="I811" s="195"/>
    </row>
    <row r="812" ht="20.25" spans="1:9">
      <c r="A812" s="195"/>
      <c r="B812" s="195"/>
      <c r="C812" s="195"/>
      <c r="D812" s="195"/>
      <c r="E812" s="195"/>
      <c r="F812" s="195"/>
      <c r="G812" s="195"/>
      <c r="H812" s="195"/>
      <c r="I812" s="195"/>
    </row>
    <row r="813" ht="20.25" spans="1:9">
      <c r="A813" s="195"/>
      <c r="B813" s="195"/>
      <c r="C813" s="195"/>
      <c r="D813" s="195"/>
      <c r="E813" s="195"/>
      <c r="F813" s="195"/>
      <c r="G813" s="195"/>
      <c r="H813" s="195"/>
      <c r="I813" s="195"/>
    </row>
    <row r="814" ht="20.25" spans="1:9">
      <c r="A814" s="195"/>
      <c r="B814" s="195"/>
      <c r="C814" s="195"/>
      <c r="D814" s="195"/>
      <c r="E814" s="195"/>
      <c r="F814" s="195"/>
      <c r="G814" s="195"/>
      <c r="H814" s="195"/>
      <c r="I814" s="195"/>
    </row>
    <row r="815" ht="20.25" spans="1:9">
      <c r="A815" s="195"/>
      <c r="B815" s="195"/>
      <c r="C815" s="195"/>
      <c r="D815" s="195"/>
      <c r="E815" s="195"/>
      <c r="F815" s="195"/>
      <c r="G815" s="195"/>
      <c r="H815" s="195"/>
      <c r="I815" s="195"/>
    </row>
    <row r="816" ht="20.25" spans="1:9">
      <c r="A816" s="195"/>
      <c r="B816" s="195"/>
      <c r="C816" s="195"/>
      <c r="D816" s="195"/>
      <c r="E816" s="195"/>
      <c r="F816" s="195"/>
      <c r="G816" s="195"/>
      <c r="H816" s="195"/>
      <c r="I816" s="195"/>
    </row>
    <row r="817" ht="20.25" spans="1:9">
      <c r="A817" s="195"/>
      <c r="B817" s="195"/>
      <c r="C817" s="195"/>
      <c r="D817" s="195"/>
      <c r="E817" s="195"/>
      <c r="F817" s="195"/>
      <c r="G817" s="195"/>
      <c r="H817" s="195"/>
      <c r="I817" s="195"/>
    </row>
    <row r="818" ht="20.25" spans="1:9">
      <c r="A818" s="195"/>
      <c r="B818" s="195"/>
      <c r="C818" s="195"/>
      <c r="D818" s="195"/>
      <c r="E818" s="195"/>
      <c r="F818" s="195"/>
      <c r="G818" s="195"/>
      <c r="H818" s="195"/>
      <c r="I818" s="195"/>
    </row>
    <row r="819" ht="20.25" spans="1:9">
      <c r="A819" s="195"/>
      <c r="B819" s="195"/>
      <c r="C819" s="195"/>
      <c r="D819" s="195"/>
      <c r="E819" s="195"/>
      <c r="F819" s="195"/>
      <c r="G819" s="195"/>
      <c r="H819" s="195"/>
      <c r="I819" s="195"/>
    </row>
    <row r="820" ht="20.25" spans="1:9">
      <c r="A820" s="195"/>
      <c r="B820" s="195"/>
      <c r="C820" s="195"/>
      <c r="D820" s="195"/>
      <c r="E820" s="195"/>
      <c r="F820" s="195"/>
      <c r="G820" s="195"/>
      <c r="H820" s="195"/>
      <c r="I820" s="195"/>
    </row>
    <row r="821" ht="20.25" spans="1:9">
      <c r="A821" s="195"/>
      <c r="B821" s="195"/>
      <c r="C821" s="195"/>
      <c r="D821" s="195"/>
      <c r="E821" s="195"/>
      <c r="F821" s="195"/>
      <c r="G821" s="195"/>
      <c r="H821" s="195"/>
      <c r="I821" s="195"/>
    </row>
    <row r="822" ht="20.25" spans="1:9">
      <c r="A822" s="195"/>
      <c r="B822" s="195"/>
      <c r="C822" s="195"/>
      <c r="D822" s="195"/>
      <c r="E822" s="195"/>
      <c r="F822" s="195"/>
      <c r="G822" s="195"/>
      <c r="H822" s="195"/>
      <c r="I822" s="195"/>
    </row>
    <row r="823" ht="20.25" spans="1:9">
      <c r="A823" s="195"/>
      <c r="B823" s="195"/>
      <c r="C823" s="195"/>
      <c r="D823" s="195"/>
      <c r="E823" s="195"/>
      <c r="F823" s="195"/>
      <c r="G823" s="195"/>
      <c r="H823" s="195"/>
      <c r="I823" s="195"/>
    </row>
    <row r="824" ht="20.25" spans="1:9">
      <c r="A824" s="195"/>
      <c r="B824" s="195"/>
      <c r="C824" s="195"/>
      <c r="D824" s="195"/>
      <c r="E824" s="195"/>
      <c r="F824" s="195"/>
      <c r="G824" s="195"/>
      <c r="H824" s="195"/>
      <c r="I824" s="195"/>
    </row>
    <row r="825" ht="20.25" spans="1:9">
      <c r="A825" s="195"/>
      <c r="B825" s="195"/>
      <c r="C825" s="195"/>
      <c r="D825" s="195"/>
      <c r="E825" s="195"/>
      <c r="F825" s="195"/>
      <c r="G825" s="195"/>
      <c r="H825" s="195"/>
      <c r="I825" s="195"/>
    </row>
    <row r="826" ht="20.25" spans="1:9">
      <c r="A826" s="195"/>
      <c r="B826" s="195"/>
      <c r="C826" s="195"/>
      <c r="D826" s="195"/>
      <c r="E826" s="195"/>
      <c r="F826" s="195"/>
      <c r="G826" s="195"/>
      <c r="H826" s="195"/>
      <c r="I826" s="195"/>
    </row>
    <row r="827" ht="20.25" spans="1:9">
      <c r="A827" s="195"/>
      <c r="B827" s="195"/>
      <c r="C827" s="195"/>
      <c r="D827" s="195"/>
      <c r="E827" s="195"/>
      <c r="F827" s="195"/>
      <c r="G827" s="195"/>
      <c r="H827" s="195"/>
      <c r="I827" s="195"/>
    </row>
    <row r="828" ht="20.25" spans="1:9">
      <c r="A828" s="195"/>
      <c r="B828" s="195"/>
      <c r="C828" s="195"/>
      <c r="D828" s="195"/>
      <c r="E828" s="195"/>
      <c r="F828" s="195"/>
      <c r="G828" s="195"/>
      <c r="H828" s="195"/>
      <c r="I828" s="195"/>
    </row>
    <row r="829" ht="20.25" spans="1:9">
      <c r="A829" s="195"/>
      <c r="B829" s="195"/>
      <c r="C829" s="195"/>
      <c r="D829" s="195"/>
      <c r="E829" s="195"/>
      <c r="F829" s="195"/>
      <c r="G829" s="195"/>
      <c r="H829" s="195"/>
      <c r="I829" s="195"/>
    </row>
    <row r="830" ht="20.25" spans="1:9">
      <c r="A830" s="195"/>
      <c r="B830" s="195"/>
      <c r="C830" s="195"/>
      <c r="D830" s="195"/>
      <c r="E830" s="195"/>
      <c r="F830" s="195"/>
      <c r="G830" s="195"/>
      <c r="H830" s="195"/>
      <c r="I830" s="195"/>
    </row>
    <row r="831" ht="20.25" spans="1:9">
      <c r="A831" s="195"/>
      <c r="B831" s="195"/>
      <c r="C831" s="195"/>
      <c r="D831" s="195"/>
      <c r="E831" s="195"/>
      <c r="F831" s="195"/>
      <c r="G831" s="195"/>
      <c r="H831" s="195"/>
      <c r="I831" s="195"/>
    </row>
    <row r="832" ht="20.25" spans="1:9">
      <c r="A832" s="195"/>
      <c r="B832" s="195"/>
      <c r="C832" s="195"/>
      <c r="D832" s="195"/>
      <c r="E832" s="195"/>
      <c r="F832" s="195"/>
      <c r="G832" s="195"/>
      <c r="H832" s="195"/>
      <c r="I832" s="195"/>
    </row>
    <row r="833" ht="20.25" spans="1:9">
      <c r="A833" s="195"/>
      <c r="B833" s="195"/>
      <c r="C833" s="195"/>
      <c r="D833" s="195"/>
      <c r="E833" s="195"/>
      <c r="F833" s="195"/>
      <c r="G833" s="195"/>
      <c r="H833" s="195"/>
      <c r="I833" s="195"/>
    </row>
    <row r="834" ht="20.25" spans="1:9">
      <c r="A834" s="195"/>
      <c r="B834" s="195"/>
      <c r="C834" s="195"/>
      <c r="D834" s="195"/>
      <c r="E834" s="195"/>
      <c r="F834" s="195"/>
      <c r="G834" s="195"/>
      <c r="H834" s="195"/>
      <c r="I834" s="195"/>
    </row>
    <row r="835" ht="20.25" spans="1:9">
      <c r="A835" s="195"/>
      <c r="B835" s="195"/>
      <c r="C835" s="195"/>
      <c r="D835" s="195"/>
      <c r="E835" s="195"/>
      <c r="F835" s="195"/>
      <c r="G835" s="195"/>
      <c r="H835" s="195"/>
      <c r="I835" s="195"/>
    </row>
    <row r="836" ht="20.25" spans="1:9">
      <c r="A836" s="195"/>
      <c r="B836" s="195"/>
      <c r="C836" s="195"/>
      <c r="D836" s="195"/>
      <c r="E836" s="195"/>
      <c r="F836" s="195"/>
      <c r="G836" s="195"/>
      <c r="H836" s="195"/>
      <c r="I836" s="195"/>
    </row>
    <row r="837" ht="20.25" spans="1:9">
      <c r="A837" s="195"/>
      <c r="B837" s="195"/>
      <c r="C837" s="195"/>
      <c r="D837" s="195"/>
      <c r="E837" s="195"/>
      <c r="F837" s="195"/>
      <c r="G837" s="195"/>
      <c r="H837" s="195"/>
      <c r="I837" s="195"/>
    </row>
    <row r="838" ht="20.25" spans="1:9">
      <c r="A838" s="195"/>
      <c r="B838" s="195"/>
      <c r="C838" s="195"/>
      <c r="D838" s="195"/>
      <c r="E838" s="195"/>
      <c r="F838" s="195"/>
      <c r="G838" s="195"/>
      <c r="H838" s="195"/>
      <c r="I838" s="195"/>
    </row>
    <row r="839" ht="20.25" spans="1:9">
      <c r="A839" s="195"/>
      <c r="B839" s="195"/>
      <c r="C839" s="195"/>
      <c r="D839" s="195"/>
      <c r="E839" s="195"/>
      <c r="F839" s="195"/>
      <c r="G839" s="195"/>
      <c r="H839" s="195"/>
      <c r="I839" s="195"/>
    </row>
    <row r="840" ht="20.25" spans="1:9">
      <c r="A840" s="195"/>
      <c r="B840" s="195"/>
      <c r="C840" s="195"/>
      <c r="D840" s="195"/>
      <c r="E840" s="195"/>
      <c r="F840" s="195"/>
      <c r="G840" s="195"/>
      <c r="H840" s="195"/>
      <c r="I840" s="195"/>
    </row>
    <row r="841" ht="20.25" spans="1:9">
      <c r="A841" s="195"/>
      <c r="B841" s="195"/>
      <c r="C841" s="195"/>
      <c r="D841" s="195"/>
      <c r="E841" s="195"/>
      <c r="F841" s="195"/>
      <c r="G841" s="195"/>
      <c r="H841" s="195"/>
      <c r="I841" s="195"/>
    </row>
    <row r="842" ht="20.25" spans="1:9">
      <c r="A842" s="195"/>
      <c r="B842" s="195"/>
      <c r="C842" s="195"/>
      <c r="D842" s="195"/>
      <c r="E842" s="195"/>
      <c r="F842" s="195"/>
      <c r="G842" s="195"/>
      <c r="H842" s="195"/>
      <c r="I842" s="195"/>
    </row>
    <row r="843" ht="20.25" spans="1:9">
      <c r="A843" s="195"/>
      <c r="B843" s="195"/>
      <c r="C843" s="195"/>
      <c r="D843" s="195"/>
      <c r="E843" s="195"/>
      <c r="F843" s="195"/>
      <c r="G843" s="195"/>
      <c r="H843" s="195"/>
      <c r="I843" s="195"/>
    </row>
    <row r="844" ht="20.25" spans="1:9">
      <c r="A844" s="195"/>
      <c r="B844" s="195"/>
      <c r="C844" s="195"/>
      <c r="D844" s="195"/>
      <c r="E844" s="195"/>
      <c r="F844" s="195"/>
      <c r="G844" s="195"/>
      <c r="H844" s="195"/>
      <c r="I844" s="195"/>
    </row>
    <row r="845" ht="20.25" spans="1:9">
      <c r="A845" s="195"/>
      <c r="B845" s="195"/>
      <c r="C845" s="195"/>
      <c r="D845" s="195"/>
      <c r="E845" s="195"/>
      <c r="F845" s="195"/>
      <c r="G845" s="195"/>
      <c r="H845" s="195"/>
      <c r="I845" s="195"/>
    </row>
    <row r="846" ht="20.25" spans="1:9">
      <c r="A846" s="195"/>
      <c r="B846" s="195"/>
      <c r="C846" s="195"/>
      <c r="D846" s="195"/>
      <c r="E846" s="195"/>
      <c r="F846" s="195"/>
      <c r="G846" s="195"/>
      <c r="H846" s="195"/>
      <c r="I846" s="195"/>
    </row>
    <row r="847" ht="20.25" spans="1:9">
      <c r="A847" s="195"/>
      <c r="B847" s="195"/>
      <c r="C847" s="195"/>
      <c r="D847" s="195"/>
      <c r="E847" s="195"/>
      <c r="F847" s="195"/>
      <c r="G847" s="195"/>
      <c r="H847" s="195"/>
      <c r="I847" s="195"/>
    </row>
    <row r="848" ht="20.25" spans="1:9">
      <c r="A848" s="195"/>
      <c r="B848" s="195"/>
      <c r="C848" s="195"/>
      <c r="D848" s="195"/>
      <c r="E848" s="195"/>
      <c r="F848" s="195"/>
      <c r="G848" s="195"/>
      <c r="H848" s="195"/>
      <c r="I848" s="195"/>
    </row>
    <row r="849" ht="20.25" spans="1:9">
      <c r="A849" s="195"/>
      <c r="B849" s="195"/>
      <c r="C849" s="195"/>
      <c r="D849" s="195"/>
      <c r="E849" s="195"/>
      <c r="F849" s="195"/>
      <c r="G849" s="195"/>
      <c r="H849" s="195"/>
      <c r="I849" s="195"/>
    </row>
    <row r="850" ht="20.25" spans="1:9">
      <c r="A850" s="195"/>
      <c r="B850" s="195"/>
      <c r="C850" s="195"/>
      <c r="D850" s="195"/>
      <c r="E850" s="195"/>
      <c r="F850" s="195"/>
      <c r="G850" s="195"/>
      <c r="H850" s="195"/>
      <c r="I850" s="195"/>
    </row>
    <row r="851" ht="20.25" spans="1:9">
      <c r="A851" s="195"/>
      <c r="B851" s="195"/>
      <c r="C851" s="195"/>
      <c r="D851" s="195"/>
      <c r="E851" s="195"/>
      <c r="F851" s="195"/>
      <c r="G851" s="195"/>
      <c r="H851" s="195"/>
      <c r="I851" s="195"/>
    </row>
    <row r="852" ht="20.25" spans="1:9">
      <c r="A852" s="195"/>
      <c r="B852" s="195"/>
      <c r="C852" s="195"/>
      <c r="D852" s="195"/>
      <c r="E852" s="195"/>
      <c r="F852" s="195"/>
      <c r="G852" s="195"/>
      <c r="H852" s="195"/>
      <c r="I852" s="195"/>
    </row>
    <row r="853" ht="20.25" spans="1:9">
      <c r="A853" s="195"/>
      <c r="B853" s="195"/>
      <c r="C853" s="195"/>
      <c r="D853" s="195"/>
      <c r="E853" s="195"/>
      <c r="F853" s="195"/>
      <c r="G853" s="195"/>
      <c r="H853" s="195"/>
      <c r="I853" s="195"/>
    </row>
    <row r="854" ht="20.25" spans="1:9">
      <c r="A854" s="195"/>
      <c r="B854" s="195"/>
      <c r="C854" s="195"/>
      <c r="D854" s="195"/>
      <c r="E854" s="195"/>
      <c r="F854" s="195"/>
      <c r="G854" s="195"/>
      <c r="H854" s="195"/>
      <c r="I854" s="195"/>
    </row>
    <row r="855" ht="20.25" spans="1:9">
      <c r="A855" s="195"/>
      <c r="B855" s="195"/>
      <c r="C855" s="195"/>
      <c r="D855" s="195"/>
      <c r="E855" s="195"/>
      <c r="F855" s="195"/>
      <c r="G855" s="195"/>
      <c r="H855" s="195"/>
      <c r="I855" s="195"/>
    </row>
    <row r="856" ht="20.25" spans="1:9">
      <c r="A856" s="195"/>
      <c r="B856" s="195"/>
      <c r="C856" s="195"/>
      <c r="D856" s="195"/>
      <c r="E856" s="195"/>
      <c r="F856" s="195"/>
      <c r="G856" s="195"/>
      <c r="H856" s="195"/>
      <c r="I856" s="195"/>
    </row>
    <row r="857" ht="20.25" spans="1:9">
      <c r="A857" s="195"/>
      <c r="B857" s="195"/>
      <c r="C857" s="195"/>
      <c r="D857" s="195"/>
      <c r="E857" s="195"/>
      <c r="F857" s="195"/>
      <c r="G857" s="195"/>
      <c r="H857" s="195"/>
      <c r="I857" s="195"/>
    </row>
    <row r="858" ht="20.25" spans="1:9">
      <c r="A858" s="195"/>
      <c r="B858" s="195"/>
      <c r="C858" s="195"/>
      <c r="D858" s="195"/>
      <c r="E858" s="195"/>
      <c r="F858" s="195"/>
      <c r="G858" s="195"/>
      <c r="H858" s="195"/>
      <c r="I858" s="195"/>
    </row>
    <row r="859" ht="20.25" spans="1:9">
      <c r="A859" s="195"/>
      <c r="B859" s="195"/>
      <c r="C859" s="195"/>
      <c r="D859" s="195"/>
      <c r="E859" s="195"/>
      <c r="F859" s="195"/>
      <c r="G859" s="195"/>
      <c r="H859" s="195"/>
      <c r="I859" s="195"/>
    </row>
    <row r="860" ht="20.25" spans="1:9">
      <c r="A860" s="195"/>
      <c r="B860" s="195"/>
      <c r="C860" s="195"/>
      <c r="D860" s="195"/>
      <c r="E860" s="195"/>
      <c r="F860" s="195"/>
      <c r="G860" s="195"/>
      <c r="H860" s="195"/>
      <c r="I860" s="195"/>
    </row>
    <row r="861" ht="20.25" spans="1:9">
      <c r="A861" s="195"/>
      <c r="B861" s="195"/>
      <c r="C861" s="195"/>
      <c r="D861" s="195"/>
      <c r="E861" s="195"/>
      <c r="F861" s="195"/>
      <c r="G861" s="195"/>
      <c r="H861" s="195"/>
      <c r="I861" s="195"/>
    </row>
    <row r="862" ht="20.25" spans="1:9">
      <c r="A862" s="195"/>
      <c r="B862" s="195"/>
      <c r="C862" s="195"/>
      <c r="D862" s="195"/>
      <c r="E862" s="195"/>
      <c r="F862" s="195"/>
      <c r="G862" s="195"/>
      <c r="H862" s="195"/>
      <c r="I862" s="195"/>
    </row>
    <row r="863" ht="20.25" spans="1:9">
      <c r="A863" s="195"/>
      <c r="B863" s="195"/>
      <c r="C863" s="195"/>
      <c r="D863" s="195"/>
      <c r="E863" s="195"/>
      <c r="F863" s="195"/>
      <c r="G863" s="195"/>
      <c r="H863" s="195"/>
      <c r="I863" s="195"/>
    </row>
    <row r="864" ht="20.25" spans="1:9">
      <c r="A864" s="195"/>
      <c r="B864" s="195"/>
      <c r="C864" s="195"/>
      <c r="D864" s="195"/>
      <c r="E864" s="195"/>
      <c r="F864" s="195"/>
      <c r="G864" s="195"/>
      <c r="H864" s="195"/>
      <c r="I864" s="195"/>
    </row>
    <row r="865" ht="20.25" spans="1:9">
      <c r="A865" s="195"/>
      <c r="B865" s="195"/>
      <c r="C865" s="195"/>
      <c r="D865" s="195"/>
      <c r="E865" s="195"/>
      <c r="F865" s="195"/>
      <c r="G865" s="195"/>
      <c r="H865" s="195"/>
      <c r="I865" s="195"/>
    </row>
    <row r="866" ht="20.25" spans="1:9">
      <c r="A866" s="195"/>
      <c r="B866" s="195"/>
      <c r="C866" s="195"/>
      <c r="D866" s="195"/>
      <c r="E866" s="195"/>
      <c r="F866" s="195"/>
      <c r="G866" s="195"/>
      <c r="H866" s="195"/>
      <c r="I866" s="195"/>
    </row>
    <row r="867" ht="20.25" spans="1:9">
      <c r="A867" s="195"/>
      <c r="B867" s="195"/>
      <c r="C867" s="195"/>
      <c r="D867" s="195"/>
      <c r="E867" s="195"/>
      <c r="F867" s="195"/>
      <c r="G867" s="195"/>
      <c r="H867" s="195"/>
      <c r="I867" s="195"/>
    </row>
    <row r="868" ht="20.25" spans="1:9">
      <c r="A868" s="195"/>
      <c r="B868" s="195"/>
      <c r="C868" s="195"/>
      <c r="D868" s="195"/>
      <c r="E868" s="195"/>
      <c r="F868" s="195"/>
      <c r="G868" s="195"/>
      <c r="H868" s="195"/>
      <c r="I868" s="195"/>
    </row>
    <row r="869" ht="20.25" spans="1:9">
      <c r="A869" s="195"/>
      <c r="B869" s="195"/>
      <c r="C869" s="195"/>
      <c r="D869" s="195"/>
      <c r="E869" s="195"/>
      <c r="F869" s="195"/>
      <c r="G869" s="195"/>
      <c r="H869" s="195"/>
      <c r="I869" s="195"/>
    </row>
    <row r="870" ht="20.25" spans="1:9">
      <c r="A870" s="195"/>
      <c r="B870" s="195"/>
      <c r="C870" s="195"/>
      <c r="D870" s="195"/>
      <c r="E870" s="195"/>
      <c r="F870" s="195"/>
      <c r="G870" s="195"/>
      <c r="H870" s="195"/>
      <c r="I870" s="195"/>
    </row>
    <row r="871" ht="20.25" spans="1:9">
      <c r="A871" s="195"/>
      <c r="B871" s="195"/>
      <c r="C871" s="195"/>
      <c r="D871" s="195"/>
      <c r="E871" s="195"/>
      <c r="F871" s="195"/>
      <c r="G871" s="195"/>
      <c r="H871" s="195"/>
      <c r="I871" s="195"/>
    </row>
    <row r="872" ht="20.25" spans="1:9">
      <c r="A872" s="195"/>
      <c r="B872" s="195"/>
      <c r="C872" s="195"/>
      <c r="D872" s="195"/>
      <c r="E872" s="195"/>
      <c r="F872" s="195"/>
      <c r="G872" s="195"/>
      <c r="H872" s="195"/>
      <c r="I872" s="195"/>
    </row>
    <row r="873" ht="20.25" spans="1:9">
      <c r="A873" s="195"/>
      <c r="B873" s="195"/>
      <c r="C873" s="195"/>
      <c r="D873" s="195"/>
      <c r="E873" s="195"/>
      <c r="F873" s="195"/>
      <c r="G873" s="195"/>
      <c r="H873" s="195"/>
      <c r="I873" s="195"/>
    </row>
    <row r="874" ht="20.25" spans="1:9">
      <c r="A874" s="195"/>
      <c r="B874" s="195"/>
      <c r="C874" s="195"/>
      <c r="D874" s="195"/>
      <c r="E874" s="195"/>
      <c r="F874" s="195"/>
      <c r="G874" s="195"/>
      <c r="H874" s="195"/>
      <c r="I874" s="195"/>
    </row>
    <row r="875" ht="20.25" spans="1:9">
      <c r="A875" s="195"/>
      <c r="B875" s="195"/>
      <c r="C875" s="195"/>
      <c r="D875" s="195"/>
      <c r="E875" s="195"/>
      <c r="F875" s="195"/>
      <c r="G875" s="195"/>
      <c r="H875" s="195"/>
      <c r="I875" s="195"/>
    </row>
    <row r="876" ht="20.25" spans="1:9">
      <c r="A876" s="195"/>
      <c r="B876" s="195"/>
      <c r="C876" s="195"/>
      <c r="D876" s="195"/>
      <c r="E876" s="195"/>
      <c r="F876" s="195"/>
      <c r="G876" s="195"/>
      <c r="H876" s="195"/>
      <c r="I876" s="195"/>
    </row>
    <row r="877" ht="20.25" spans="1:9">
      <c r="A877" s="195"/>
      <c r="B877" s="195"/>
      <c r="C877" s="195"/>
      <c r="D877" s="195"/>
      <c r="E877" s="195"/>
      <c r="F877" s="195"/>
      <c r="G877" s="195"/>
      <c r="H877" s="195"/>
      <c r="I877" s="195"/>
    </row>
    <row r="878" ht="20.25" spans="1:9">
      <c r="A878" s="195"/>
      <c r="B878" s="195"/>
      <c r="C878" s="195"/>
      <c r="D878" s="195"/>
      <c r="E878" s="195"/>
      <c r="F878" s="195"/>
      <c r="G878" s="195"/>
      <c r="H878" s="195"/>
      <c r="I878" s="195"/>
    </row>
    <row r="879" ht="20.25" spans="1:9">
      <c r="A879" s="195"/>
      <c r="B879" s="195"/>
      <c r="C879" s="195"/>
      <c r="D879" s="195"/>
      <c r="E879" s="195"/>
      <c r="F879" s="195"/>
      <c r="G879" s="195"/>
      <c r="H879" s="195"/>
      <c r="I879" s="195"/>
    </row>
    <row r="880" ht="20.25" spans="1:9">
      <c r="A880" s="195"/>
      <c r="B880" s="195"/>
      <c r="C880" s="195"/>
      <c r="D880" s="195"/>
      <c r="E880" s="195"/>
      <c r="F880" s="195"/>
      <c r="G880" s="195"/>
      <c r="H880" s="195"/>
      <c r="I880" s="195"/>
    </row>
    <row r="881" ht="20.25" spans="1:9">
      <c r="A881" s="195"/>
      <c r="B881" s="195"/>
      <c r="C881" s="195"/>
      <c r="D881" s="195"/>
      <c r="E881" s="195"/>
      <c r="F881" s="195"/>
      <c r="G881" s="195"/>
      <c r="H881" s="195"/>
      <c r="I881" s="195"/>
    </row>
    <row r="882" ht="20.25" spans="1:9">
      <c r="A882" s="195"/>
      <c r="B882" s="195"/>
      <c r="C882" s="195"/>
      <c r="D882" s="195"/>
      <c r="E882" s="195"/>
      <c r="F882" s="195"/>
      <c r="G882" s="195"/>
      <c r="H882" s="195"/>
      <c r="I882" s="195"/>
    </row>
    <row r="883" ht="20.25" spans="1:9">
      <c r="A883" s="195"/>
      <c r="B883" s="195"/>
      <c r="C883" s="195"/>
      <c r="D883" s="195"/>
      <c r="E883" s="195"/>
      <c r="F883" s="195"/>
      <c r="G883" s="195"/>
      <c r="H883" s="195"/>
      <c r="I883" s="195"/>
    </row>
    <row r="884" ht="20.25" spans="1:9">
      <c r="A884" s="195"/>
      <c r="B884" s="195"/>
      <c r="C884" s="195"/>
      <c r="D884" s="195"/>
      <c r="E884" s="195"/>
      <c r="F884" s="195"/>
      <c r="G884" s="195"/>
      <c r="H884" s="195"/>
      <c r="I884" s="195"/>
    </row>
    <row r="885" ht="20.25" spans="1:9">
      <c r="A885" s="195"/>
      <c r="B885" s="195"/>
      <c r="C885" s="195"/>
      <c r="D885" s="195"/>
      <c r="E885" s="195"/>
      <c r="F885" s="195"/>
      <c r="G885" s="195"/>
      <c r="H885" s="195"/>
      <c r="I885" s="195"/>
    </row>
    <row r="886" ht="20.25" spans="1:9">
      <c r="A886" s="195"/>
      <c r="B886" s="195"/>
      <c r="C886" s="195"/>
      <c r="D886" s="195"/>
      <c r="E886" s="195"/>
      <c r="F886" s="195"/>
      <c r="G886" s="195"/>
      <c r="H886" s="195"/>
      <c r="I886" s="195"/>
    </row>
    <row r="887" ht="20.25" spans="1:9">
      <c r="A887" s="195"/>
      <c r="B887" s="195"/>
      <c r="C887" s="195"/>
      <c r="D887" s="195"/>
      <c r="E887" s="195"/>
      <c r="F887" s="195"/>
      <c r="G887" s="195"/>
      <c r="H887" s="195"/>
      <c r="I887" s="195"/>
    </row>
    <row r="888" ht="20.25" spans="1:9">
      <c r="A888" s="195"/>
      <c r="B888" s="195"/>
      <c r="C888" s="195"/>
      <c r="D888" s="195"/>
      <c r="E888" s="195"/>
      <c r="F888" s="195"/>
      <c r="G888" s="195"/>
      <c r="H888" s="195"/>
      <c r="I888" s="195"/>
    </row>
    <row r="889" ht="20.25" spans="1:9">
      <c r="A889" s="195"/>
      <c r="B889" s="195"/>
      <c r="C889" s="195"/>
      <c r="D889" s="195"/>
      <c r="E889" s="195"/>
      <c r="F889" s="195"/>
      <c r="G889" s="195"/>
      <c r="H889" s="195"/>
      <c r="I889" s="195"/>
    </row>
    <row r="890" ht="20.25" spans="1:9">
      <c r="A890" s="195"/>
      <c r="B890" s="195"/>
      <c r="C890" s="195"/>
      <c r="D890" s="195"/>
      <c r="E890" s="195"/>
      <c r="F890" s="195"/>
      <c r="G890" s="195"/>
      <c r="H890" s="195"/>
      <c r="I890" s="195"/>
    </row>
    <row r="891" ht="20.25" spans="1:9">
      <c r="A891" s="195"/>
      <c r="B891" s="195"/>
      <c r="C891" s="195"/>
      <c r="D891" s="195"/>
      <c r="E891" s="195"/>
      <c r="F891" s="195"/>
      <c r="G891" s="195"/>
      <c r="H891" s="195"/>
      <c r="I891" s="195"/>
    </row>
    <row r="892" ht="20.25" spans="1:9">
      <c r="A892" s="195"/>
      <c r="B892" s="195"/>
      <c r="C892" s="195"/>
      <c r="D892" s="195"/>
      <c r="E892" s="195"/>
      <c r="F892" s="195"/>
      <c r="G892" s="195"/>
      <c r="H892" s="195"/>
      <c r="I892" s="195"/>
    </row>
    <row r="893" ht="20.25" spans="1:9">
      <c r="A893" s="195"/>
      <c r="B893" s="195"/>
      <c r="C893" s="195"/>
      <c r="D893" s="195"/>
      <c r="E893" s="195"/>
      <c r="F893" s="195"/>
      <c r="G893" s="195"/>
      <c r="H893" s="195"/>
      <c r="I893" s="195"/>
    </row>
    <row r="894" ht="20.25" spans="1:9">
      <c r="A894" s="195"/>
      <c r="B894" s="195"/>
      <c r="C894" s="195"/>
      <c r="D894" s="195"/>
      <c r="E894" s="195"/>
      <c r="F894" s="195"/>
      <c r="G894" s="195"/>
      <c r="H894" s="195"/>
      <c r="I894" s="195"/>
    </row>
    <row r="895" ht="20.25" spans="1:9">
      <c r="A895" s="195"/>
      <c r="B895" s="195"/>
      <c r="C895" s="195"/>
      <c r="D895" s="195"/>
      <c r="E895" s="195"/>
      <c r="F895" s="195"/>
      <c r="G895" s="195"/>
      <c r="H895" s="195"/>
      <c r="I895" s="195"/>
    </row>
    <row r="896" ht="20.25" spans="1:9">
      <c r="A896" s="195"/>
      <c r="B896" s="195"/>
      <c r="C896" s="195"/>
      <c r="D896" s="195"/>
      <c r="E896" s="195"/>
      <c r="F896" s="195"/>
      <c r="G896" s="195"/>
      <c r="H896" s="195"/>
      <c r="I896" s="195"/>
    </row>
    <row r="897" ht="20.25" spans="1:9">
      <c r="A897" s="195"/>
      <c r="B897" s="195"/>
      <c r="C897" s="195"/>
      <c r="D897" s="195"/>
      <c r="E897" s="195"/>
      <c r="F897" s="195"/>
      <c r="G897" s="195"/>
      <c r="H897" s="195"/>
      <c r="I897" s="195"/>
    </row>
    <row r="898" ht="20.25" spans="1:9">
      <c r="A898" s="195"/>
      <c r="B898" s="195"/>
      <c r="C898" s="195"/>
      <c r="D898" s="195"/>
      <c r="E898" s="195"/>
      <c r="F898" s="195"/>
      <c r="G898" s="195"/>
      <c r="H898" s="195"/>
      <c r="I898" s="195"/>
    </row>
    <row r="899" ht="20.25" spans="1:9">
      <c r="A899" s="195"/>
      <c r="B899" s="195"/>
      <c r="C899" s="195"/>
      <c r="D899" s="195"/>
      <c r="E899" s="195"/>
      <c r="F899" s="195"/>
      <c r="G899" s="195"/>
      <c r="H899" s="195"/>
      <c r="I899" s="195"/>
    </row>
    <row r="900" ht="20.25" spans="1:9">
      <c r="A900" s="195"/>
      <c r="B900" s="195"/>
      <c r="C900" s="195"/>
      <c r="D900" s="195"/>
      <c r="E900" s="195"/>
      <c r="F900" s="195"/>
      <c r="G900" s="195"/>
      <c r="H900" s="195"/>
      <c r="I900" s="195"/>
    </row>
    <row r="901" ht="20.25" spans="1:9">
      <c r="A901" s="195"/>
      <c r="B901" s="195"/>
      <c r="C901" s="195"/>
      <c r="D901" s="195"/>
      <c r="E901" s="195"/>
      <c r="F901" s="195"/>
      <c r="G901" s="195"/>
      <c r="H901" s="195"/>
      <c r="I901" s="195"/>
    </row>
    <row r="902" ht="20.25" spans="1:9">
      <c r="A902" s="195"/>
      <c r="B902" s="195"/>
      <c r="C902" s="195"/>
      <c r="D902" s="195"/>
      <c r="E902" s="195"/>
      <c r="F902" s="195"/>
      <c r="G902" s="195"/>
      <c r="H902" s="195"/>
      <c r="I902" s="195"/>
    </row>
    <row r="903" ht="20.25" spans="1:9">
      <c r="A903" s="195"/>
      <c r="B903" s="195"/>
      <c r="C903" s="195"/>
      <c r="D903" s="195"/>
      <c r="E903" s="195"/>
      <c r="F903" s="195"/>
      <c r="G903" s="195"/>
      <c r="H903" s="195"/>
      <c r="I903" s="195"/>
    </row>
    <row r="904" ht="20.25" spans="1:9">
      <c r="A904" s="195"/>
      <c r="B904" s="195"/>
      <c r="C904" s="195"/>
      <c r="D904" s="195"/>
      <c r="E904" s="195"/>
      <c r="F904" s="195"/>
      <c r="G904" s="195"/>
      <c r="H904" s="195"/>
      <c r="I904" s="195"/>
    </row>
    <row r="905" ht="20.25" spans="1:9">
      <c r="A905" s="195"/>
      <c r="B905" s="195"/>
      <c r="C905" s="195"/>
      <c r="D905" s="195"/>
      <c r="E905" s="195"/>
      <c r="F905" s="195"/>
      <c r="G905" s="195"/>
      <c r="H905" s="195"/>
      <c r="I905" s="195"/>
    </row>
    <row r="906" ht="20.25" spans="1:9">
      <c r="A906" s="195"/>
      <c r="B906" s="195"/>
      <c r="C906" s="195"/>
      <c r="D906" s="195"/>
      <c r="E906" s="195"/>
      <c r="F906" s="195"/>
      <c r="G906" s="195"/>
      <c r="H906" s="195"/>
      <c r="I906" s="195"/>
    </row>
    <row r="907" ht="20.25" spans="1:9">
      <c r="A907" s="195"/>
      <c r="B907" s="195"/>
      <c r="C907" s="195"/>
      <c r="D907" s="195"/>
      <c r="E907" s="195"/>
      <c r="F907" s="195"/>
      <c r="G907" s="195"/>
      <c r="H907" s="195"/>
      <c r="I907" s="195"/>
    </row>
    <row r="908" ht="20.25" spans="1:9">
      <c r="A908" s="195"/>
      <c r="B908" s="195"/>
      <c r="C908" s="195"/>
      <c r="D908" s="195"/>
      <c r="E908" s="195"/>
      <c r="F908" s="195"/>
      <c r="G908" s="195"/>
      <c r="H908" s="195"/>
      <c r="I908" s="195"/>
    </row>
    <row r="909" ht="20.25" spans="1:9">
      <c r="A909" s="195"/>
      <c r="B909" s="195"/>
      <c r="C909" s="195"/>
      <c r="D909" s="195"/>
      <c r="E909" s="195"/>
      <c r="F909" s="195"/>
      <c r="G909" s="195"/>
      <c r="H909" s="195"/>
      <c r="I909" s="195"/>
    </row>
    <row r="910" ht="20.25" spans="1:9">
      <c r="A910" s="195"/>
      <c r="B910" s="195"/>
      <c r="C910" s="195"/>
      <c r="D910" s="195"/>
      <c r="E910" s="195"/>
      <c r="F910" s="195"/>
      <c r="G910" s="195"/>
      <c r="H910" s="195"/>
      <c r="I910" s="195"/>
    </row>
    <row r="911" ht="20.25" spans="1:9">
      <c r="A911" s="195"/>
      <c r="B911" s="195"/>
      <c r="C911" s="195"/>
      <c r="D911" s="195"/>
      <c r="E911" s="195"/>
      <c r="F911" s="195"/>
      <c r="G911" s="195"/>
      <c r="H911" s="195"/>
      <c r="I911" s="195"/>
    </row>
    <row r="912" ht="20.25" spans="1:9">
      <c r="A912" s="195"/>
      <c r="B912" s="195"/>
      <c r="C912" s="195"/>
      <c r="D912" s="195"/>
      <c r="E912" s="195"/>
      <c r="F912" s="195"/>
      <c r="G912" s="195"/>
      <c r="H912" s="195"/>
      <c r="I912" s="195"/>
    </row>
    <row r="913" ht="20.25" spans="1:9">
      <c r="A913" s="195"/>
      <c r="B913" s="195"/>
      <c r="C913" s="195"/>
      <c r="D913" s="195"/>
      <c r="E913" s="195"/>
      <c r="F913" s="195"/>
      <c r="G913" s="195"/>
      <c r="H913" s="195"/>
      <c r="I913" s="195"/>
    </row>
    <row r="914" ht="20.25" spans="1:9">
      <c r="A914" s="195"/>
      <c r="B914" s="195"/>
      <c r="C914" s="195"/>
      <c r="D914" s="195"/>
      <c r="E914" s="195"/>
      <c r="F914" s="195"/>
      <c r="G914" s="195"/>
      <c r="H914" s="195"/>
      <c r="I914" s="195"/>
    </row>
    <row r="915" ht="20.25" spans="1:9">
      <c r="A915" s="195"/>
      <c r="B915" s="195"/>
      <c r="C915" s="195"/>
      <c r="D915" s="195"/>
      <c r="E915" s="195"/>
      <c r="F915" s="195"/>
      <c r="G915" s="195"/>
      <c r="H915" s="195"/>
      <c r="I915" s="195"/>
    </row>
    <row r="916" ht="20.25" spans="1:9">
      <c r="A916" s="195"/>
      <c r="B916" s="195"/>
      <c r="C916" s="195"/>
      <c r="D916" s="195"/>
      <c r="E916" s="195"/>
      <c r="F916" s="195"/>
      <c r="G916" s="195"/>
      <c r="H916" s="195"/>
      <c r="I916" s="195"/>
    </row>
    <row r="917" ht="20.25" spans="1:9">
      <c r="A917" s="195"/>
      <c r="B917" s="195"/>
      <c r="C917" s="195"/>
      <c r="D917" s="195"/>
      <c r="E917" s="195"/>
      <c r="F917" s="195"/>
      <c r="G917" s="195"/>
      <c r="H917" s="195"/>
      <c r="I917" s="195"/>
    </row>
    <row r="918" ht="20.25" spans="1:9">
      <c r="A918" s="195"/>
      <c r="B918" s="195"/>
      <c r="C918" s="195"/>
      <c r="D918" s="195"/>
      <c r="E918" s="195"/>
      <c r="F918" s="195"/>
      <c r="G918" s="195"/>
      <c r="H918" s="195"/>
      <c r="I918" s="195"/>
    </row>
    <row r="919" ht="20.25" spans="1:9">
      <c r="A919" s="195"/>
      <c r="B919" s="195"/>
      <c r="C919" s="195"/>
      <c r="D919" s="195"/>
      <c r="E919" s="195"/>
      <c r="F919" s="195"/>
      <c r="G919" s="195"/>
      <c r="H919" s="195"/>
      <c r="I919" s="195"/>
    </row>
    <row r="920" ht="20.25" spans="1:9">
      <c r="A920" s="195"/>
      <c r="B920" s="195"/>
      <c r="C920" s="195"/>
      <c r="D920" s="195"/>
      <c r="E920" s="195"/>
      <c r="F920" s="195"/>
      <c r="G920" s="195"/>
      <c r="H920" s="195"/>
      <c r="I920" s="195"/>
    </row>
    <row r="921" ht="20.25" spans="1:9">
      <c r="A921" s="195"/>
      <c r="B921" s="195"/>
      <c r="C921" s="195"/>
      <c r="D921" s="195"/>
      <c r="E921" s="195"/>
      <c r="F921" s="195"/>
      <c r="G921" s="195"/>
      <c r="H921" s="195"/>
      <c r="I921" s="195"/>
    </row>
    <row r="922" ht="20.25" spans="1:9">
      <c r="A922" s="195"/>
      <c r="B922" s="195"/>
      <c r="C922" s="195"/>
      <c r="D922" s="195"/>
      <c r="E922" s="195"/>
      <c r="F922" s="195"/>
      <c r="G922" s="195"/>
      <c r="H922" s="195"/>
      <c r="I922" s="195"/>
    </row>
    <row r="923" ht="20.25" spans="1:9">
      <c r="A923" s="195"/>
      <c r="B923" s="195"/>
      <c r="C923" s="195"/>
      <c r="D923" s="195"/>
      <c r="E923" s="195"/>
      <c r="F923" s="195"/>
      <c r="G923" s="195"/>
      <c r="H923" s="195"/>
      <c r="I923" s="195"/>
    </row>
    <row r="924" ht="20.25" spans="1:9">
      <c r="A924" s="195"/>
      <c r="B924" s="195"/>
      <c r="C924" s="195"/>
      <c r="D924" s="195"/>
      <c r="E924" s="195"/>
      <c r="F924" s="195"/>
      <c r="G924" s="195"/>
      <c r="H924" s="195"/>
      <c r="I924" s="195"/>
    </row>
    <row r="925" ht="20.25" spans="1:9">
      <c r="A925" s="195"/>
      <c r="B925" s="195"/>
      <c r="C925" s="195"/>
      <c r="D925" s="195"/>
      <c r="E925" s="195"/>
      <c r="F925" s="195"/>
      <c r="G925" s="195"/>
      <c r="H925" s="195"/>
      <c r="I925" s="195"/>
    </row>
    <row r="926" ht="20.25" spans="1:9">
      <c r="A926" s="195"/>
      <c r="B926" s="195"/>
      <c r="C926" s="195"/>
      <c r="D926" s="195"/>
      <c r="E926" s="195"/>
      <c r="F926" s="195"/>
      <c r="G926" s="195"/>
      <c r="H926" s="195"/>
      <c r="I926" s="195"/>
    </row>
    <row r="927" ht="20.25" spans="1:9">
      <c r="A927" s="195"/>
      <c r="B927" s="195"/>
      <c r="C927" s="195"/>
      <c r="D927" s="195"/>
      <c r="E927" s="195"/>
      <c r="F927" s="195"/>
      <c r="G927" s="195"/>
      <c r="H927" s="195"/>
      <c r="I927" s="195"/>
    </row>
    <row r="928" ht="20.25" spans="1:9">
      <c r="A928" s="195"/>
      <c r="B928" s="195"/>
      <c r="C928" s="195"/>
      <c r="D928" s="195"/>
      <c r="E928" s="195"/>
      <c r="F928" s="195"/>
      <c r="G928" s="195"/>
      <c r="H928" s="195"/>
      <c r="I928" s="195"/>
    </row>
    <row r="929" ht="20.25" spans="1:9">
      <c r="A929" s="195"/>
      <c r="B929" s="195"/>
      <c r="C929" s="195"/>
      <c r="D929" s="195"/>
      <c r="E929" s="195"/>
      <c r="F929" s="195"/>
      <c r="G929" s="195"/>
      <c r="H929" s="195"/>
      <c r="I929" s="195"/>
    </row>
    <row r="930" ht="20.25" spans="1:9">
      <c r="A930" s="195"/>
      <c r="B930" s="195"/>
      <c r="C930" s="195"/>
      <c r="D930" s="195"/>
      <c r="E930" s="195"/>
      <c r="F930" s="195"/>
      <c r="G930" s="195"/>
      <c r="H930" s="195"/>
      <c r="I930" s="195"/>
    </row>
    <row r="931" ht="20.25" spans="1:9">
      <c r="A931" s="195"/>
      <c r="B931" s="195"/>
      <c r="C931" s="195"/>
      <c r="D931" s="195"/>
      <c r="E931" s="195"/>
      <c r="F931" s="195"/>
      <c r="G931" s="195"/>
      <c r="H931" s="195"/>
      <c r="I931" s="195"/>
    </row>
    <row r="932" ht="20.25" spans="1:9">
      <c r="A932" s="195"/>
      <c r="B932" s="195"/>
      <c r="C932" s="195"/>
      <c r="D932" s="195"/>
      <c r="E932" s="195"/>
      <c r="F932" s="195"/>
      <c r="G932" s="195"/>
      <c r="H932" s="195"/>
      <c r="I932" s="195"/>
    </row>
    <row r="933" ht="20.25" spans="1:9">
      <c r="A933" s="195"/>
      <c r="B933" s="195"/>
      <c r="C933" s="195"/>
      <c r="D933" s="195"/>
      <c r="E933" s="195"/>
      <c r="F933" s="195"/>
      <c r="G933" s="195"/>
      <c r="H933" s="195"/>
      <c r="I933" s="195"/>
    </row>
    <row r="934" ht="20.25" spans="1:9">
      <c r="A934" s="195"/>
      <c r="B934" s="195"/>
      <c r="C934" s="195"/>
      <c r="D934" s="195"/>
      <c r="E934" s="195"/>
      <c r="F934" s="195"/>
      <c r="G934" s="195"/>
      <c r="H934" s="195"/>
      <c r="I934" s="195"/>
    </row>
    <row r="935" ht="20.25" spans="1:9">
      <c r="A935" s="195"/>
      <c r="B935" s="195"/>
      <c r="C935" s="195"/>
      <c r="D935" s="195"/>
      <c r="E935" s="195"/>
      <c r="F935" s="195"/>
      <c r="G935" s="195"/>
      <c r="H935" s="195"/>
      <c r="I935" s="195"/>
    </row>
    <row r="936" ht="20.25" spans="1:9">
      <c r="A936" s="195"/>
      <c r="B936" s="195"/>
      <c r="C936" s="195"/>
      <c r="D936" s="195"/>
      <c r="E936" s="195"/>
      <c r="F936" s="195"/>
      <c r="G936" s="195"/>
      <c r="H936" s="195"/>
      <c r="I936" s="195"/>
    </row>
    <row r="937" ht="20.25" spans="1:9">
      <c r="A937" s="195"/>
      <c r="B937" s="195"/>
      <c r="C937" s="195"/>
      <c r="D937" s="195"/>
      <c r="E937" s="195"/>
      <c r="F937" s="195"/>
      <c r="G937" s="195"/>
      <c r="H937" s="195"/>
      <c r="I937" s="195"/>
    </row>
    <row r="938" ht="20.25" spans="1:9">
      <c r="A938" s="195"/>
      <c r="B938" s="195"/>
      <c r="C938" s="195"/>
      <c r="D938" s="195"/>
      <c r="E938" s="195"/>
      <c r="F938" s="195"/>
      <c r="G938" s="195"/>
      <c r="H938" s="195"/>
      <c r="I938" s="195"/>
    </row>
    <row r="939" ht="20.25" spans="1:9">
      <c r="A939" s="195"/>
      <c r="B939" s="195"/>
      <c r="C939" s="195"/>
      <c r="D939" s="195"/>
      <c r="E939" s="195"/>
      <c r="F939" s="195"/>
      <c r="G939" s="195"/>
      <c r="H939" s="195"/>
      <c r="I939" s="195"/>
    </row>
    <row r="940" ht="20.25" spans="1:9">
      <c r="A940" s="195"/>
      <c r="B940" s="195"/>
      <c r="C940" s="195"/>
      <c r="D940" s="195"/>
      <c r="E940" s="195"/>
      <c r="F940" s="195"/>
      <c r="G940" s="195"/>
      <c r="H940" s="195"/>
      <c r="I940" s="195"/>
    </row>
    <row r="941" ht="20.25" spans="1:9">
      <c r="A941" s="195"/>
      <c r="B941" s="195"/>
      <c r="C941" s="195"/>
      <c r="D941" s="195"/>
      <c r="E941" s="195"/>
      <c r="F941" s="195"/>
      <c r="G941" s="195"/>
      <c r="H941" s="195"/>
      <c r="I941" s="195"/>
    </row>
    <row r="942" ht="20.25" spans="1:9">
      <c r="A942" s="195"/>
      <c r="B942" s="195"/>
      <c r="C942" s="195"/>
      <c r="D942" s="195"/>
      <c r="E942" s="195"/>
      <c r="F942" s="195"/>
      <c r="G942" s="195"/>
      <c r="H942" s="195"/>
      <c r="I942" s="195"/>
    </row>
    <row r="943" ht="20.25" spans="1:9">
      <c r="A943" s="195"/>
      <c r="B943" s="195"/>
      <c r="C943" s="195"/>
      <c r="D943" s="195"/>
      <c r="E943" s="195"/>
      <c r="F943" s="195"/>
      <c r="G943" s="195"/>
      <c r="H943" s="195"/>
      <c r="I943" s="195"/>
    </row>
    <row r="944" ht="20.25" spans="1:9">
      <c r="A944" s="195"/>
      <c r="B944" s="195"/>
      <c r="C944" s="195"/>
      <c r="D944" s="195"/>
      <c r="E944" s="195"/>
      <c r="F944" s="195"/>
      <c r="G944" s="195"/>
      <c r="H944" s="195"/>
      <c r="I944" s="195"/>
    </row>
    <row r="945" ht="20.25" spans="1:9">
      <c r="A945" s="195"/>
      <c r="B945" s="195"/>
      <c r="C945" s="195"/>
      <c r="D945" s="195"/>
      <c r="E945" s="195"/>
      <c r="F945" s="195"/>
      <c r="G945" s="195"/>
      <c r="H945" s="195"/>
      <c r="I945" s="195"/>
    </row>
    <row r="946" ht="20.25" spans="1:9">
      <c r="A946" s="195"/>
      <c r="B946" s="195"/>
      <c r="C946" s="195"/>
      <c r="D946" s="195"/>
      <c r="E946" s="195"/>
      <c r="F946" s="195"/>
      <c r="G946" s="195"/>
      <c r="H946" s="195"/>
      <c r="I946" s="195"/>
    </row>
    <row r="947" ht="20.25" spans="1:9">
      <c r="A947" s="195"/>
      <c r="B947" s="195"/>
      <c r="C947" s="195"/>
      <c r="D947" s="195"/>
      <c r="E947" s="195"/>
      <c r="F947" s="195"/>
      <c r="G947" s="195"/>
      <c r="H947" s="195"/>
      <c r="I947" s="195"/>
    </row>
    <row r="948" ht="20.25" spans="1:9">
      <c r="A948" s="195"/>
      <c r="B948" s="195"/>
      <c r="C948" s="195"/>
      <c r="D948" s="195"/>
      <c r="E948" s="195"/>
      <c r="F948" s="195"/>
      <c r="G948" s="195"/>
      <c r="H948" s="195"/>
      <c r="I948" s="195"/>
    </row>
    <row r="949" ht="20.25" spans="1:9">
      <c r="A949" s="195"/>
      <c r="B949" s="195"/>
      <c r="C949" s="195"/>
      <c r="D949" s="195"/>
      <c r="E949" s="195"/>
      <c r="F949" s="195"/>
      <c r="G949" s="195"/>
      <c r="H949" s="195"/>
      <c r="I949" s="195"/>
    </row>
    <row r="950" ht="20.25" spans="1:9">
      <c r="A950" s="195"/>
      <c r="B950" s="195"/>
      <c r="C950" s="195"/>
      <c r="D950" s="195"/>
      <c r="E950" s="195"/>
      <c r="F950" s="195"/>
      <c r="G950" s="195"/>
      <c r="H950" s="195"/>
      <c r="I950" s="195"/>
    </row>
    <row r="951" ht="20.25" spans="1:9">
      <c r="A951" s="195"/>
      <c r="B951" s="195"/>
      <c r="C951" s="195"/>
      <c r="D951" s="195"/>
      <c r="E951" s="195"/>
      <c r="F951" s="195"/>
      <c r="G951" s="195"/>
      <c r="H951" s="195"/>
      <c r="I951" s="19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4" customWidth="1"/>
    <col min="2" max="2" width="8.625" style="94" customWidth="1"/>
    <col min="3" max="3" width="3.5" style="94" customWidth="1"/>
    <col min="4" max="4" width="8.25" style="94" customWidth="1"/>
    <col min="5" max="5" width="11.625" style="94" customWidth="1"/>
    <col min="6" max="6" width="6" style="94" customWidth="1"/>
    <col min="7" max="7" width="5.625" style="94" customWidth="1"/>
    <col min="8" max="8" width="10.125" style="94" customWidth="1"/>
    <col min="9" max="9" width="13.375" style="94" customWidth="1"/>
    <col min="10" max="16384" width="9" style="94"/>
  </cols>
  <sheetData>
    <row r="1" spans="1:6">
      <c r="A1" s="95"/>
      <c r="B1" s="95"/>
      <c r="C1" s="95"/>
      <c r="D1" s="95"/>
      <c r="E1" s="95"/>
      <c r="F1" s="95"/>
    </row>
    <row r="2" spans="1:9">
      <c r="A2" s="96"/>
      <c r="B2" s="96"/>
      <c r="C2" s="96"/>
      <c r="D2" s="96"/>
      <c r="E2" s="95"/>
      <c r="F2" s="95"/>
      <c r="G2" s="97" t="s">
        <v>1274</v>
      </c>
      <c r="H2" s="97"/>
      <c r="I2" s="97"/>
    </row>
    <row r="3" ht="20.25" spans="1:11">
      <c r="A3" s="98" t="s">
        <v>1275</v>
      </c>
      <c r="B3" s="99"/>
      <c r="C3" s="99"/>
      <c r="D3" s="99"/>
      <c r="E3" s="99"/>
      <c r="F3" s="99"/>
      <c r="G3" s="99"/>
      <c r="H3" s="99"/>
      <c r="I3" s="99"/>
      <c r="K3" s="100" t="s">
        <v>1160</v>
      </c>
    </row>
    <row r="4" ht="18" customHeight="1" spans="1:9">
      <c r="A4" s="100" t="s">
        <v>1249</v>
      </c>
      <c r="B4" s="101" t="s">
        <v>1276</v>
      </c>
      <c r="C4" s="101"/>
      <c r="D4" s="101"/>
      <c r="E4" s="102" t="s">
        <v>1251</v>
      </c>
      <c r="F4" s="101">
        <f>下料单!C2</f>
        <v>0</v>
      </c>
      <c r="G4" s="101"/>
      <c r="H4" s="94" t="s">
        <v>1252</v>
      </c>
      <c r="I4" s="101" t="str">
        <f>SUM(F11:F36)&amp;"块"</f>
        <v>6块</v>
      </c>
    </row>
    <row r="5" ht="18" customHeight="1" spans="1:9">
      <c r="A5" s="94" t="s">
        <v>411</v>
      </c>
      <c r="B5" s="103">
        <f>下料单!J2</f>
        <v>0</v>
      </c>
      <c r="C5" s="103"/>
      <c r="D5" s="103"/>
      <c r="E5" s="102" t="s">
        <v>1253</v>
      </c>
      <c r="F5" s="104"/>
      <c r="G5" s="104"/>
      <c r="H5" s="94" t="s">
        <v>1254</v>
      </c>
      <c r="I5" s="145"/>
    </row>
    <row r="6" ht="18" customHeight="1" spans="1:9">
      <c r="A6" s="105" t="s">
        <v>1255</v>
      </c>
      <c r="B6" s="106" t="s">
        <v>1277</v>
      </c>
      <c r="C6" s="106"/>
      <c r="D6" s="106"/>
      <c r="E6" s="107" t="s">
        <v>1256</v>
      </c>
      <c r="F6" s="106">
        <v>61732701</v>
      </c>
      <c r="G6" s="106"/>
      <c r="H6" s="94" t="s">
        <v>1257</v>
      </c>
      <c r="I6" s="101">
        <v>61732702</v>
      </c>
    </row>
    <row r="7" ht="18" customHeight="1" spans="1:9">
      <c r="A7" s="108" t="s">
        <v>1258</v>
      </c>
      <c r="B7" s="109"/>
      <c r="C7" s="109"/>
      <c r="D7" s="109"/>
      <c r="E7" s="107" t="s">
        <v>1259</v>
      </c>
      <c r="F7" s="106">
        <v>80529723</v>
      </c>
      <c r="G7" s="106"/>
      <c r="H7" s="94" t="s">
        <v>1260</v>
      </c>
      <c r="I7" s="106">
        <v>80529723</v>
      </c>
    </row>
    <row r="8" ht="18" customHeight="1" spans="1:9">
      <c r="A8" s="105" t="s">
        <v>1261</v>
      </c>
      <c r="B8" s="106" t="s">
        <v>1278</v>
      </c>
      <c r="C8" s="106"/>
      <c r="D8" s="106"/>
      <c r="E8" s="106"/>
      <c r="F8" s="106"/>
      <c r="G8" s="106"/>
      <c r="H8" s="108" t="s">
        <v>1263</v>
      </c>
      <c r="I8" s="101" t="s">
        <v>1264</v>
      </c>
    </row>
    <row r="9" ht="15" customHeight="1" spans="1:9">
      <c r="A9" s="105"/>
      <c r="B9" s="106"/>
      <c r="C9" s="106"/>
      <c r="D9" s="106"/>
      <c r="E9" s="106"/>
      <c r="F9" s="106"/>
      <c r="G9" s="106"/>
      <c r="H9" s="110"/>
      <c r="I9" s="110"/>
    </row>
    <row r="10" ht="18" customHeight="1" spans="1:9">
      <c r="A10" s="111" t="s">
        <v>958</v>
      </c>
      <c r="B10" s="111" t="s">
        <v>764</v>
      </c>
      <c r="C10" s="111" t="s">
        <v>1265</v>
      </c>
      <c r="D10" s="111" t="s">
        <v>765</v>
      </c>
      <c r="E10" s="111" t="s">
        <v>1279</v>
      </c>
      <c r="F10" s="111" t="s">
        <v>90</v>
      </c>
      <c r="G10" s="111" t="s">
        <v>1266</v>
      </c>
      <c r="H10" s="111"/>
      <c r="I10" s="111" t="s">
        <v>30</v>
      </c>
    </row>
    <row r="11" ht="18" customHeight="1" spans="1:10">
      <c r="A11" s="112"/>
      <c r="B11" s="113"/>
      <c r="C11" s="111" t="s">
        <v>1265</v>
      </c>
      <c r="D11" s="113"/>
      <c r="E11" s="111"/>
      <c r="F11" s="111"/>
      <c r="G11" s="114"/>
      <c r="H11" s="115"/>
      <c r="I11" s="111"/>
      <c r="J11" s="94">
        <f t="shared" ref="J11:J36" si="0">B11*D11*F11/1000000</f>
        <v>0</v>
      </c>
    </row>
    <row r="12" ht="18" customHeight="1" spans="1:10">
      <c r="A12" s="112"/>
      <c r="B12" s="113"/>
      <c r="C12" s="111" t="s">
        <v>1265</v>
      </c>
      <c r="D12" s="113"/>
      <c r="E12" s="111"/>
      <c r="F12" s="111"/>
      <c r="G12" s="114"/>
      <c r="H12" s="115"/>
      <c r="I12" s="111"/>
      <c r="J12" s="94">
        <f t="shared" si="0"/>
        <v>0</v>
      </c>
    </row>
    <row r="13" ht="18" customHeight="1" spans="1:10">
      <c r="A13" s="112"/>
      <c r="B13" s="113"/>
      <c r="C13" s="111" t="s">
        <v>1265</v>
      </c>
      <c r="D13" s="113"/>
      <c r="E13" s="111"/>
      <c r="F13" s="116"/>
      <c r="G13" s="114"/>
      <c r="H13" s="115"/>
      <c r="I13" s="111"/>
      <c r="J13" s="94">
        <f t="shared" si="0"/>
        <v>0</v>
      </c>
    </row>
    <row r="14" ht="18" customHeight="1" spans="1:10">
      <c r="A14" s="112"/>
      <c r="B14" s="113"/>
      <c r="C14" s="111" t="s">
        <v>1265</v>
      </c>
      <c r="D14" s="113"/>
      <c r="E14" s="111"/>
      <c r="F14" s="111"/>
      <c r="G14" s="114"/>
      <c r="H14" s="115"/>
      <c r="I14" s="111"/>
      <c r="J14" s="94">
        <f t="shared" si="0"/>
        <v>0</v>
      </c>
    </row>
    <row r="15" ht="18" customHeight="1" spans="1:10">
      <c r="A15" s="112"/>
      <c r="B15" s="113"/>
      <c r="C15" s="111" t="s">
        <v>1265</v>
      </c>
      <c r="D15" s="113"/>
      <c r="E15" s="111"/>
      <c r="F15" s="111"/>
      <c r="G15" s="114"/>
      <c r="H15" s="115"/>
      <c r="I15" s="111"/>
      <c r="J15" s="94">
        <f t="shared" si="0"/>
        <v>0</v>
      </c>
    </row>
    <row r="16" ht="18" customHeight="1" spans="1:10">
      <c r="A16" s="112"/>
      <c r="B16" s="113"/>
      <c r="C16" s="111" t="s">
        <v>1265</v>
      </c>
      <c r="D16" s="113"/>
      <c r="E16" s="111"/>
      <c r="F16" s="111"/>
      <c r="G16" s="114"/>
      <c r="H16" s="115"/>
      <c r="I16" s="118"/>
      <c r="J16" s="94">
        <f t="shared" si="0"/>
        <v>0</v>
      </c>
    </row>
    <row r="17" ht="18" customHeight="1" spans="1:10">
      <c r="A17" s="112"/>
      <c r="B17" s="113"/>
      <c r="C17" s="111" t="s">
        <v>1265</v>
      </c>
      <c r="D17" s="113"/>
      <c r="E17" s="111"/>
      <c r="F17" s="111"/>
      <c r="G17" s="114"/>
      <c r="H17" s="115"/>
      <c r="I17" s="118"/>
      <c r="J17" s="94">
        <f t="shared" si="0"/>
        <v>0</v>
      </c>
    </row>
    <row r="18" ht="18" customHeight="1" spans="1:10">
      <c r="A18" s="112"/>
      <c r="B18" s="113"/>
      <c r="C18" s="111" t="s">
        <v>1265</v>
      </c>
      <c r="D18" s="113"/>
      <c r="E18" s="111"/>
      <c r="F18" s="111"/>
      <c r="G18" s="114"/>
      <c r="H18" s="115"/>
      <c r="I18" s="118"/>
      <c r="J18" s="94">
        <f t="shared" si="0"/>
        <v>0</v>
      </c>
    </row>
    <row r="19" ht="18" customHeight="1" spans="1:10">
      <c r="A19" s="117"/>
      <c r="B19" s="113"/>
      <c r="C19" s="111" t="s">
        <v>1265</v>
      </c>
      <c r="D19" s="113"/>
      <c r="E19" s="111"/>
      <c r="F19" s="111"/>
      <c r="G19" s="114"/>
      <c r="H19" s="115"/>
      <c r="I19" s="118"/>
      <c r="J19" s="94">
        <f t="shared" si="0"/>
        <v>0</v>
      </c>
    </row>
    <row r="20" ht="18" customHeight="1" spans="1:10">
      <c r="A20" s="112"/>
      <c r="B20" s="113"/>
      <c r="C20" s="111" t="s">
        <v>1265</v>
      </c>
      <c r="D20" s="113"/>
      <c r="E20" s="111"/>
      <c r="F20" s="111"/>
      <c r="G20" s="114"/>
      <c r="H20" s="115"/>
      <c r="I20" s="118"/>
      <c r="J20" s="94">
        <f t="shared" si="0"/>
        <v>0</v>
      </c>
    </row>
    <row r="21" ht="18" customHeight="1" spans="1:10">
      <c r="A21" s="112"/>
      <c r="B21" s="113"/>
      <c r="C21" s="111" t="s">
        <v>1265</v>
      </c>
      <c r="D21" s="113"/>
      <c r="E21" s="111"/>
      <c r="F21" s="111"/>
      <c r="G21" s="114"/>
      <c r="H21" s="115"/>
      <c r="I21" s="118"/>
      <c r="J21" s="94">
        <f t="shared" si="0"/>
        <v>0</v>
      </c>
    </row>
    <row r="22" ht="18" customHeight="1" spans="1:10">
      <c r="A22" s="112"/>
      <c r="B22" s="113"/>
      <c r="C22" s="111" t="s">
        <v>1265</v>
      </c>
      <c r="D22" s="113"/>
      <c r="E22" s="111"/>
      <c r="F22" s="111"/>
      <c r="G22" s="114"/>
      <c r="H22" s="115"/>
      <c r="I22" s="118"/>
      <c r="J22" s="94">
        <f t="shared" si="0"/>
        <v>0</v>
      </c>
    </row>
    <row r="23" ht="18" customHeight="1" spans="1:10">
      <c r="A23" s="112"/>
      <c r="B23" s="113"/>
      <c r="C23" s="111" t="s">
        <v>1265</v>
      </c>
      <c r="D23" s="113"/>
      <c r="E23" s="111"/>
      <c r="F23" s="111"/>
      <c r="G23" s="114"/>
      <c r="H23" s="115"/>
      <c r="I23" s="118"/>
      <c r="J23" s="94">
        <f t="shared" si="0"/>
        <v>0</v>
      </c>
    </row>
    <row r="24" ht="18" customHeight="1" spans="1:10">
      <c r="A24" s="112"/>
      <c r="B24" s="111"/>
      <c r="C24" s="111" t="s">
        <v>1265</v>
      </c>
      <c r="D24" s="113"/>
      <c r="E24" s="111"/>
      <c r="F24" s="111"/>
      <c r="G24" s="114"/>
      <c r="H24" s="115"/>
      <c r="I24" s="118"/>
      <c r="J24" s="94">
        <f t="shared" si="0"/>
        <v>0</v>
      </c>
    </row>
    <row r="25" ht="18" customHeight="1" spans="1:10">
      <c r="A25" s="112"/>
      <c r="B25" s="111"/>
      <c r="C25" s="111" t="s">
        <v>1265</v>
      </c>
      <c r="D25" s="113"/>
      <c r="E25" s="118"/>
      <c r="F25" s="111"/>
      <c r="G25" s="114"/>
      <c r="H25" s="115"/>
      <c r="I25" s="118"/>
      <c r="J25" s="94">
        <f t="shared" si="0"/>
        <v>0</v>
      </c>
    </row>
    <row r="26" ht="18" customHeight="1" spans="1:10">
      <c r="A26" s="119"/>
      <c r="B26" s="111"/>
      <c r="C26" s="111" t="s">
        <v>1265</v>
      </c>
      <c r="D26" s="111"/>
      <c r="E26" s="120"/>
      <c r="F26" s="111"/>
      <c r="G26" s="114"/>
      <c r="H26" s="115"/>
      <c r="I26" s="118"/>
      <c r="J26" s="94">
        <f t="shared" si="0"/>
        <v>0</v>
      </c>
    </row>
    <row r="27" ht="18" customHeight="1" spans="1:10">
      <c r="A27" s="119"/>
      <c r="B27" s="111"/>
      <c r="C27" s="111" t="s">
        <v>1265</v>
      </c>
      <c r="D27" s="111"/>
      <c r="E27" s="120"/>
      <c r="F27" s="111"/>
      <c r="G27" s="114"/>
      <c r="H27" s="115"/>
      <c r="I27" s="118"/>
      <c r="J27" s="94">
        <f t="shared" si="0"/>
        <v>0</v>
      </c>
    </row>
    <row r="28" ht="18" customHeight="1" spans="1:10">
      <c r="A28" s="119"/>
      <c r="B28" s="111"/>
      <c r="C28" s="111" t="s">
        <v>1265</v>
      </c>
      <c r="D28" s="111"/>
      <c r="E28" s="120"/>
      <c r="F28" s="111"/>
      <c r="G28" s="114"/>
      <c r="H28" s="115"/>
      <c r="I28" s="118"/>
      <c r="J28" s="94">
        <f t="shared" si="0"/>
        <v>0</v>
      </c>
    </row>
    <row r="29" ht="18" customHeight="1" spans="1:10">
      <c r="A29" s="119"/>
      <c r="B29" s="111"/>
      <c r="C29" s="111" t="s">
        <v>1265</v>
      </c>
      <c r="D29" s="111"/>
      <c r="E29" s="120"/>
      <c r="F29" s="111"/>
      <c r="G29" s="114"/>
      <c r="H29" s="115"/>
      <c r="I29" s="118"/>
      <c r="J29" s="94">
        <f t="shared" si="0"/>
        <v>0</v>
      </c>
    </row>
    <row r="30" ht="18" customHeight="1" spans="1:10">
      <c r="A30" s="121" t="s">
        <v>1267</v>
      </c>
      <c r="B30" s="122">
        <v>50</v>
      </c>
      <c r="C30" s="122" t="s">
        <v>1265</v>
      </c>
      <c r="D30" s="122">
        <v>720</v>
      </c>
      <c r="E30" s="123"/>
      <c r="F30" s="122"/>
      <c r="G30" s="124"/>
      <c r="H30" s="125"/>
      <c r="I30" s="118"/>
      <c r="J30" s="94">
        <f t="shared" si="0"/>
        <v>0</v>
      </c>
    </row>
    <row r="31" ht="18" customHeight="1" spans="1:10">
      <c r="A31" s="121" t="s">
        <v>1280</v>
      </c>
      <c r="B31" s="122">
        <v>50</v>
      </c>
      <c r="C31" s="122" t="s">
        <v>1265</v>
      </c>
      <c r="D31" s="122">
        <v>100</v>
      </c>
      <c r="E31" s="122"/>
      <c r="F31" s="122"/>
      <c r="G31" s="124"/>
      <c r="H31" s="125"/>
      <c r="I31" s="118"/>
      <c r="J31" s="94">
        <f t="shared" si="0"/>
        <v>0</v>
      </c>
    </row>
    <row r="32" ht="18" customHeight="1" spans="1:10">
      <c r="A32" s="121" t="s">
        <v>1173</v>
      </c>
      <c r="B32" s="122">
        <v>2400</v>
      </c>
      <c r="C32" s="122" t="s">
        <v>1265</v>
      </c>
      <c r="D32" s="122"/>
      <c r="E32" s="122"/>
      <c r="F32" s="122"/>
      <c r="G32" s="124" t="s">
        <v>1269</v>
      </c>
      <c r="H32" s="125"/>
      <c r="I32" s="118"/>
      <c r="J32" s="94">
        <f t="shared" si="0"/>
        <v>0</v>
      </c>
    </row>
    <row r="33" ht="18" customHeight="1" spans="1:10">
      <c r="A33" s="119" t="s">
        <v>492</v>
      </c>
      <c r="B33" s="111">
        <v>2400</v>
      </c>
      <c r="C33" s="111" t="s">
        <v>1265</v>
      </c>
      <c r="D33" s="111">
        <v>88</v>
      </c>
      <c r="E33" s="120"/>
      <c r="F33" s="111"/>
      <c r="G33" s="111"/>
      <c r="H33" s="113"/>
      <c r="I33" s="118"/>
      <c r="J33" s="94">
        <f t="shared" si="0"/>
        <v>0</v>
      </c>
    </row>
    <row r="34" ht="18" customHeight="1" spans="1:10">
      <c r="A34" s="126" t="s">
        <v>1281</v>
      </c>
      <c r="B34" s="127">
        <v>2400</v>
      </c>
      <c r="C34" s="127" t="s">
        <v>1265</v>
      </c>
      <c r="D34" s="127">
        <v>71</v>
      </c>
      <c r="E34" s="127"/>
      <c r="F34" s="127">
        <v>2</v>
      </c>
      <c r="G34" s="128" t="s">
        <v>1282</v>
      </c>
      <c r="H34" s="109"/>
      <c r="I34" s="146"/>
      <c r="J34" s="94">
        <f t="shared" si="0"/>
        <v>0.3408</v>
      </c>
    </row>
    <row r="35" ht="22.5" customHeight="1" spans="1:10">
      <c r="A35" s="129" t="s">
        <v>1283</v>
      </c>
      <c r="B35" s="127">
        <v>2400</v>
      </c>
      <c r="C35" s="127" t="s">
        <v>1265</v>
      </c>
      <c r="D35" s="127">
        <v>100</v>
      </c>
      <c r="E35" s="127"/>
      <c r="F35" s="127">
        <v>2</v>
      </c>
      <c r="G35" s="128" t="s">
        <v>1284</v>
      </c>
      <c r="H35" s="109"/>
      <c r="I35" s="146"/>
      <c r="J35" s="94">
        <f t="shared" si="0"/>
        <v>0.48</v>
      </c>
    </row>
    <row r="36" ht="18" customHeight="1" spans="1:10">
      <c r="A36" s="126" t="s">
        <v>1285</v>
      </c>
      <c r="B36" s="127">
        <v>2400</v>
      </c>
      <c r="C36" s="127" t="s">
        <v>1265</v>
      </c>
      <c r="D36" s="127">
        <v>83</v>
      </c>
      <c r="E36" s="130"/>
      <c r="F36" s="127">
        <v>2</v>
      </c>
      <c r="G36" s="128" t="s">
        <v>1286</v>
      </c>
      <c r="H36" s="109"/>
      <c r="I36" s="146"/>
      <c r="J36" s="94">
        <f t="shared" si="0"/>
        <v>0.3984</v>
      </c>
    </row>
    <row r="37" ht="20.1" customHeight="1" spans="1:9">
      <c r="A37" s="131" t="s">
        <v>1287</v>
      </c>
      <c r="B37" s="131"/>
      <c r="C37" s="131"/>
      <c r="D37" s="131"/>
      <c r="E37" s="131"/>
      <c r="F37" s="131"/>
      <c r="G37" s="131"/>
      <c r="H37" s="131"/>
      <c r="I37" s="131"/>
    </row>
    <row r="38" ht="20.1" hidden="1" customHeight="1" spans="1:9">
      <c r="A38" s="132"/>
      <c r="B38" s="133"/>
      <c r="C38" s="93"/>
      <c r="D38" s="93"/>
      <c r="E38" s="93"/>
      <c r="F38" s="134"/>
      <c r="G38" s="135"/>
      <c r="H38" s="134"/>
      <c r="I38" s="140"/>
    </row>
    <row r="39" s="93" customFormat="1" ht="20.1" customHeight="1" spans="1:9">
      <c r="A39" s="136" t="s">
        <v>204</v>
      </c>
      <c r="B39" s="134" t="s">
        <v>1045</v>
      </c>
      <c r="C39" s="134"/>
      <c r="D39" s="102"/>
      <c r="E39" s="95" t="s">
        <v>758</v>
      </c>
      <c r="F39" s="102"/>
      <c r="G39" s="102"/>
      <c r="H39" s="102" t="s">
        <v>1288</v>
      </c>
      <c r="I39" s="140"/>
    </row>
    <row r="40" ht="20.1" customHeight="1" spans="1:9">
      <c r="A40" s="137"/>
      <c r="B40" s="138"/>
      <c r="C40" s="138"/>
      <c r="D40" s="139"/>
      <c r="E40" s="140"/>
      <c r="F40" s="139"/>
      <c r="G40" s="141"/>
      <c r="H40" s="139"/>
      <c r="I40" s="142"/>
    </row>
    <row r="41" ht="20.1" customHeight="1" spans="1:9">
      <c r="A41" s="137"/>
      <c r="B41" s="139"/>
      <c r="C41" s="134"/>
      <c r="D41" s="139"/>
      <c r="E41" s="140"/>
      <c r="F41" s="139"/>
      <c r="G41" s="141"/>
      <c r="H41" s="139"/>
      <c r="I41" s="142"/>
    </row>
    <row r="42" ht="21.75" customHeight="1" spans="1:9">
      <c r="A42" s="137"/>
      <c r="B42" s="139"/>
      <c r="C42" s="134"/>
      <c r="D42" s="139"/>
      <c r="E42" s="140"/>
      <c r="F42" s="139"/>
      <c r="G42" s="141"/>
      <c r="H42" s="139"/>
      <c r="I42" s="142"/>
    </row>
    <row r="43" ht="21.75" customHeight="1" spans="1:9">
      <c r="A43" s="137"/>
      <c r="B43" s="139"/>
      <c r="C43" s="134"/>
      <c r="D43" s="139"/>
      <c r="E43" s="140"/>
      <c r="F43" s="139"/>
      <c r="G43" s="141"/>
      <c r="H43" s="139"/>
      <c r="I43" s="142"/>
    </row>
    <row r="44" ht="21.75" customHeight="1" spans="1:9">
      <c r="A44" s="137"/>
      <c r="B44" s="139"/>
      <c r="C44" s="134"/>
      <c r="D44" s="139"/>
      <c r="E44" s="140"/>
      <c r="F44" s="139"/>
      <c r="G44" s="141"/>
      <c r="H44" s="139"/>
      <c r="I44" s="142"/>
    </row>
    <row r="45" ht="21.75" customHeight="1" spans="1:9">
      <c r="A45" s="137"/>
      <c r="B45" s="139"/>
      <c r="C45" s="134"/>
      <c r="D45" s="139"/>
      <c r="E45" s="140"/>
      <c r="F45" s="139"/>
      <c r="G45" s="141"/>
      <c r="H45" s="139"/>
      <c r="I45" s="142"/>
    </row>
    <row r="46" ht="21.75" customHeight="1" spans="1:9">
      <c r="A46" s="137"/>
      <c r="B46" s="139"/>
      <c r="C46" s="139"/>
      <c r="D46" s="139"/>
      <c r="E46" s="142"/>
      <c r="F46" s="139"/>
      <c r="G46" s="141"/>
      <c r="H46" s="139"/>
      <c r="I46" s="142"/>
    </row>
    <row r="47" ht="20.25" spans="1:9">
      <c r="A47" s="143"/>
      <c r="B47" s="144"/>
      <c r="C47" s="143"/>
      <c r="E47" s="143"/>
      <c r="F47" s="143"/>
      <c r="G47" s="143"/>
      <c r="H47" s="143"/>
      <c r="I47" s="143"/>
    </row>
    <row r="48" ht="20.25" spans="1:9">
      <c r="A48" s="143"/>
      <c r="B48" s="143"/>
      <c r="C48" s="143"/>
      <c r="D48" s="143"/>
      <c r="E48" s="143"/>
      <c r="F48" s="143"/>
      <c r="G48" s="143"/>
      <c r="H48" s="143"/>
      <c r="I48" s="143"/>
    </row>
    <row r="49" ht="20.25" spans="1:9">
      <c r="A49" s="143"/>
      <c r="B49" s="143"/>
      <c r="C49" s="143"/>
      <c r="D49" s="143"/>
      <c r="E49" s="143"/>
      <c r="F49" s="143"/>
      <c r="G49" s="143"/>
      <c r="H49" s="143"/>
      <c r="I49" s="143"/>
    </row>
    <row r="50" ht="20.25" spans="1:9">
      <c r="A50" s="143"/>
      <c r="B50" s="143"/>
      <c r="C50" s="143"/>
      <c r="D50" s="143"/>
      <c r="E50" s="143"/>
      <c r="F50" s="143"/>
      <c r="G50" s="143"/>
      <c r="H50" s="143"/>
      <c r="I50" s="143"/>
    </row>
    <row r="51" ht="20.25" spans="1:9">
      <c r="A51" s="143"/>
      <c r="B51" s="143"/>
      <c r="C51" s="143"/>
      <c r="D51" s="143"/>
      <c r="E51" s="143"/>
      <c r="F51" s="143"/>
      <c r="G51" s="143"/>
      <c r="H51" s="143"/>
      <c r="I51" s="143"/>
    </row>
    <row r="52" ht="20.25" spans="1:9">
      <c r="A52" s="143"/>
      <c r="B52" s="143"/>
      <c r="C52" s="143"/>
      <c r="D52" s="143"/>
      <c r="E52" s="143"/>
      <c r="F52" s="143"/>
      <c r="G52" s="143"/>
      <c r="H52" s="143"/>
      <c r="I52" s="143"/>
    </row>
    <row r="53" ht="20.25" spans="1:9">
      <c r="A53" s="143"/>
      <c r="B53" s="143"/>
      <c r="C53" s="143"/>
      <c r="D53" s="143"/>
      <c r="E53" s="143"/>
      <c r="F53" s="143"/>
      <c r="G53" s="143"/>
      <c r="H53" s="143"/>
      <c r="I53" s="143"/>
    </row>
    <row r="54" ht="20.25" spans="1:9">
      <c r="A54" s="143"/>
      <c r="B54" s="143"/>
      <c r="C54" s="143"/>
      <c r="D54" s="143"/>
      <c r="E54" s="143"/>
      <c r="F54" s="143"/>
      <c r="G54" s="143"/>
      <c r="H54" s="143"/>
      <c r="I54" s="143"/>
    </row>
    <row r="55" ht="20.25" spans="1:9">
      <c r="A55" s="143"/>
      <c r="B55" s="143"/>
      <c r="C55" s="143"/>
      <c r="D55" s="143"/>
      <c r="E55" s="143"/>
      <c r="F55" s="143"/>
      <c r="G55" s="143"/>
      <c r="H55" s="143"/>
      <c r="I55" s="143"/>
    </row>
    <row r="56" ht="20.25" spans="1:9">
      <c r="A56" s="143"/>
      <c r="B56" s="143"/>
      <c r="C56" s="143"/>
      <c r="D56" s="143"/>
      <c r="E56" s="143"/>
      <c r="F56" s="143"/>
      <c r="G56" s="143"/>
      <c r="H56" s="143"/>
      <c r="I56" s="143"/>
    </row>
    <row r="57" ht="20.25" spans="1:9">
      <c r="A57" s="143"/>
      <c r="B57" s="143"/>
      <c r="C57" s="143"/>
      <c r="D57" s="143"/>
      <c r="E57" s="143"/>
      <c r="F57" s="143"/>
      <c r="G57" s="143"/>
      <c r="H57" s="143"/>
      <c r="I57" s="143"/>
    </row>
    <row r="58" ht="20.25" spans="1:9">
      <c r="A58" s="143"/>
      <c r="B58" s="143"/>
      <c r="C58" s="143"/>
      <c r="D58" s="143"/>
      <c r="E58" s="143"/>
      <c r="F58" s="143"/>
      <c r="G58" s="143"/>
      <c r="H58" s="143"/>
      <c r="I58" s="143"/>
    </row>
    <row r="59" ht="20.25" spans="1:9">
      <c r="A59" s="143"/>
      <c r="B59" s="143"/>
      <c r="C59" s="143"/>
      <c r="D59" s="143"/>
      <c r="E59" s="143"/>
      <c r="F59" s="143"/>
      <c r="G59" s="143"/>
      <c r="H59" s="143"/>
      <c r="I59" s="143"/>
    </row>
    <row r="60" ht="20.25" spans="1:9">
      <c r="A60" s="143"/>
      <c r="B60" s="143"/>
      <c r="C60" s="143"/>
      <c r="D60" s="143"/>
      <c r="E60" s="143"/>
      <c r="F60" s="143"/>
      <c r="G60" s="143"/>
      <c r="H60" s="143"/>
      <c r="I60" s="143"/>
    </row>
    <row r="61" ht="20.25" spans="1:9">
      <c r="A61" s="143"/>
      <c r="B61" s="143"/>
      <c r="C61" s="143"/>
      <c r="D61" s="143"/>
      <c r="E61" s="143"/>
      <c r="F61" s="143"/>
      <c r="G61" s="143"/>
      <c r="H61" s="143"/>
      <c r="I61" s="143"/>
    </row>
    <row r="62" ht="20.25" spans="1:9">
      <c r="A62" s="143"/>
      <c r="B62" s="143"/>
      <c r="C62" s="143"/>
      <c r="D62" s="143"/>
      <c r="E62" s="143"/>
      <c r="F62" s="143"/>
      <c r="G62" s="143"/>
      <c r="H62" s="143"/>
      <c r="I62" s="143"/>
    </row>
    <row r="63" ht="20.25" spans="1:9">
      <c r="A63" s="143"/>
      <c r="B63" s="143"/>
      <c r="C63" s="143"/>
      <c r="D63" s="143"/>
      <c r="E63" s="143"/>
      <c r="F63" s="143"/>
      <c r="G63" s="143"/>
      <c r="H63" s="143"/>
      <c r="I63" s="143"/>
    </row>
    <row r="64" ht="20.25" spans="1:9">
      <c r="A64" s="143"/>
      <c r="B64" s="143"/>
      <c r="C64" s="143"/>
      <c r="D64" s="143"/>
      <c r="E64" s="143"/>
      <c r="F64" s="143"/>
      <c r="G64" s="143"/>
      <c r="H64" s="143"/>
      <c r="I64" s="143"/>
    </row>
    <row r="65" ht="20.25" spans="1:9">
      <c r="A65" s="143"/>
      <c r="B65" s="143"/>
      <c r="C65" s="143"/>
      <c r="D65" s="143"/>
      <c r="E65" s="143"/>
      <c r="F65" s="143"/>
      <c r="G65" s="143"/>
      <c r="H65" s="143"/>
      <c r="I65" s="143"/>
    </row>
    <row r="66" ht="20.25" spans="1:9">
      <c r="A66" s="143"/>
      <c r="B66" s="143"/>
      <c r="C66" s="143"/>
      <c r="D66" s="143"/>
      <c r="E66" s="143"/>
      <c r="F66" s="143"/>
      <c r="G66" s="143"/>
      <c r="H66" s="143"/>
      <c r="I66" s="143"/>
    </row>
    <row r="67" ht="20.25" spans="1:9">
      <c r="A67" s="143"/>
      <c r="B67" s="143"/>
      <c r="C67" s="143"/>
      <c r="D67" s="143"/>
      <c r="E67" s="143"/>
      <c r="F67" s="143"/>
      <c r="G67" s="143"/>
      <c r="H67" s="143"/>
      <c r="I67" s="143"/>
    </row>
    <row r="68" ht="20.25" spans="1:9">
      <c r="A68" s="143"/>
      <c r="B68" s="143"/>
      <c r="C68" s="143"/>
      <c r="D68" s="143"/>
      <c r="E68" s="143"/>
      <c r="F68" s="143"/>
      <c r="G68" s="143"/>
      <c r="H68" s="143"/>
      <c r="I68" s="143"/>
    </row>
    <row r="69" ht="20.25" spans="1:9">
      <c r="A69" s="143"/>
      <c r="B69" s="143"/>
      <c r="C69" s="143"/>
      <c r="D69" s="143"/>
      <c r="E69" s="143"/>
      <c r="F69" s="143"/>
      <c r="G69" s="143"/>
      <c r="H69" s="143"/>
      <c r="I69" s="143"/>
    </row>
    <row r="70" ht="20.25" spans="1:9">
      <c r="A70" s="143"/>
      <c r="B70" s="143"/>
      <c r="C70" s="143"/>
      <c r="D70" s="143"/>
      <c r="E70" s="143"/>
      <c r="F70" s="143"/>
      <c r="G70" s="143"/>
      <c r="H70" s="143"/>
      <c r="I70" s="143"/>
    </row>
    <row r="71" ht="20.25" spans="1:9">
      <c r="A71" s="143"/>
      <c r="B71" s="143"/>
      <c r="C71" s="143"/>
      <c r="D71" s="143"/>
      <c r="E71" s="143"/>
      <c r="F71" s="143"/>
      <c r="G71" s="143"/>
      <c r="H71" s="143"/>
      <c r="I71" s="143"/>
    </row>
    <row r="72" ht="20.25" spans="1:9">
      <c r="A72" s="143"/>
      <c r="B72" s="143"/>
      <c r="C72" s="143"/>
      <c r="D72" s="143"/>
      <c r="E72" s="143"/>
      <c r="F72" s="143"/>
      <c r="G72" s="143"/>
      <c r="H72" s="143"/>
      <c r="I72" s="143"/>
    </row>
    <row r="73" ht="20.25" spans="1:9">
      <c r="A73" s="143"/>
      <c r="B73" s="143"/>
      <c r="C73" s="143"/>
      <c r="D73" s="143"/>
      <c r="E73" s="143"/>
      <c r="F73" s="143"/>
      <c r="G73" s="143"/>
      <c r="H73" s="143"/>
      <c r="I73" s="143"/>
    </row>
    <row r="74" ht="20.25" spans="1:9">
      <c r="A74" s="143"/>
      <c r="B74" s="143"/>
      <c r="C74" s="143"/>
      <c r="D74" s="143"/>
      <c r="E74" s="143"/>
      <c r="F74" s="143"/>
      <c r="G74" s="143"/>
      <c r="H74" s="143"/>
      <c r="I74" s="143"/>
    </row>
    <row r="75" ht="20.25" spans="1:9">
      <c r="A75" s="143"/>
      <c r="B75" s="143"/>
      <c r="C75" s="143"/>
      <c r="D75" s="143"/>
      <c r="E75" s="143"/>
      <c r="F75" s="143"/>
      <c r="G75" s="143"/>
      <c r="H75" s="143"/>
      <c r="I75" s="143"/>
    </row>
    <row r="76" ht="20.25" spans="1:9">
      <c r="A76" s="143"/>
      <c r="B76" s="143"/>
      <c r="C76" s="143"/>
      <c r="D76" s="143"/>
      <c r="E76" s="143"/>
      <c r="F76" s="143"/>
      <c r="G76" s="143"/>
      <c r="H76" s="143"/>
      <c r="I76" s="143"/>
    </row>
    <row r="77" ht="20.25" spans="1:9">
      <c r="A77" s="143"/>
      <c r="B77" s="143"/>
      <c r="C77" s="143"/>
      <c r="D77" s="143"/>
      <c r="E77" s="143"/>
      <c r="F77" s="143"/>
      <c r="G77" s="143"/>
      <c r="H77" s="143"/>
      <c r="I77" s="143"/>
    </row>
    <row r="78" ht="20.25" spans="1:9">
      <c r="A78" s="143"/>
      <c r="B78" s="143"/>
      <c r="C78" s="143"/>
      <c r="D78" s="143"/>
      <c r="E78" s="143"/>
      <c r="F78" s="143"/>
      <c r="G78" s="143"/>
      <c r="H78" s="143"/>
      <c r="I78" s="143"/>
    </row>
    <row r="79" ht="20.25" spans="1:9">
      <c r="A79" s="143"/>
      <c r="B79" s="143"/>
      <c r="C79" s="143"/>
      <c r="D79" s="143"/>
      <c r="E79" s="143"/>
      <c r="F79" s="143"/>
      <c r="G79" s="143"/>
      <c r="H79" s="143"/>
      <c r="I79" s="143"/>
    </row>
    <row r="80" ht="20.25" spans="1:9">
      <c r="A80" s="143"/>
      <c r="B80" s="143"/>
      <c r="C80" s="143"/>
      <c r="D80" s="143"/>
      <c r="E80" s="143"/>
      <c r="F80" s="143"/>
      <c r="G80" s="143"/>
      <c r="H80" s="143"/>
      <c r="I80" s="143"/>
    </row>
    <row r="81" ht="20.25" spans="1:9">
      <c r="A81" s="143"/>
      <c r="B81" s="143"/>
      <c r="C81" s="143"/>
      <c r="D81" s="143"/>
      <c r="E81" s="143"/>
      <c r="F81" s="143"/>
      <c r="G81" s="143"/>
      <c r="H81" s="143"/>
      <c r="I81" s="143"/>
    </row>
    <row r="82" ht="20.25" spans="1:9">
      <c r="A82" s="143"/>
      <c r="B82" s="143"/>
      <c r="C82" s="143"/>
      <c r="D82" s="143"/>
      <c r="E82" s="143"/>
      <c r="F82" s="143"/>
      <c r="G82" s="143"/>
      <c r="H82" s="143"/>
      <c r="I82" s="143"/>
    </row>
    <row r="83" ht="20.25" spans="1:9">
      <c r="A83" s="143"/>
      <c r="B83" s="143"/>
      <c r="C83" s="143"/>
      <c r="D83" s="143"/>
      <c r="E83" s="143"/>
      <c r="F83" s="143"/>
      <c r="G83" s="143"/>
      <c r="H83" s="143"/>
      <c r="I83" s="143"/>
    </row>
    <row r="84" ht="20.25" spans="1:9">
      <c r="A84" s="143"/>
      <c r="B84" s="143"/>
      <c r="C84" s="143"/>
      <c r="D84" s="143"/>
      <c r="E84" s="143"/>
      <c r="F84" s="143"/>
      <c r="G84" s="143"/>
      <c r="H84" s="143"/>
      <c r="I84" s="143"/>
    </row>
    <row r="85" ht="20.25" spans="1:9">
      <c r="A85" s="143"/>
      <c r="B85" s="143"/>
      <c r="C85" s="143"/>
      <c r="D85" s="143"/>
      <c r="E85" s="143"/>
      <c r="F85" s="143"/>
      <c r="G85" s="143"/>
      <c r="H85" s="143"/>
      <c r="I85" s="143"/>
    </row>
    <row r="86" ht="20.25" spans="1:9">
      <c r="A86" s="143"/>
      <c r="B86" s="143"/>
      <c r="C86" s="143"/>
      <c r="D86" s="143"/>
      <c r="E86" s="143"/>
      <c r="F86" s="143"/>
      <c r="G86" s="143"/>
      <c r="H86" s="143"/>
      <c r="I86" s="143"/>
    </row>
    <row r="87" ht="20.25" spans="1:9">
      <c r="A87" s="143"/>
      <c r="B87" s="143"/>
      <c r="C87" s="143"/>
      <c r="D87" s="143"/>
      <c r="E87" s="143"/>
      <c r="F87" s="143"/>
      <c r="G87" s="143"/>
      <c r="H87" s="143"/>
      <c r="I87" s="143"/>
    </row>
    <row r="88" ht="20.25" spans="1:9">
      <c r="A88" s="143"/>
      <c r="B88" s="143"/>
      <c r="C88" s="143"/>
      <c r="D88" s="143"/>
      <c r="E88" s="143"/>
      <c r="F88" s="143"/>
      <c r="G88" s="143"/>
      <c r="H88" s="143"/>
      <c r="I88" s="143"/>
    </row>
    <row r="89" ht="20.25" spans="1:9">
      <c r="A89" s="143"/>
      <c r="B89" s="143"/>
      <c r="C89" s="143"/>
      <c r="D89" s="143"/>
      <c r="E89" s="143"/>
      <c r="F89" s="143"/>
      <c r="G89" s="143"/>
      <c r="H89" s="143"/>
      <c r="I89" s="143"/>
    </row>
    <row r="90" ht="20.25" spans="1:9">
      <c r="A90" s="143"/>
      <c r="B90" s="143"/>
      <c r="C90" s="143"/>
      <c r="D90" s="143"/>
      <c r="E90" s="143"/>
      <c r="F90" s="143"/>
      <c r="G90" s="143"/>
      <c r="H90" s="143"/>
      <c r="I90" s="143"/>
    </row>
    <row r="91" ht="20.25" spans="1:9">
      <c r="A91" s="143"/>
      <c r="B91" s="143"/>
      <c r="C91" s="143"/>
      <c r="D91" s="143"/>
      <c r="E91" s="143"/>
      <c r="F91" s="143"/>
      <c r="G91" s="143"/>
      <c r="H91" s="143"/>
      <c r="I91" s="143"/>
    </row>
    <row r="92" ht="20.25" spans="1:9">
      <c r="A92" s="143"/>
      <c r="B92" s="143"/>
      <c r="C92" s="143"/>
      <c r="D92" s="143"/>
      <c r="E92" s="143"/>
      <c r="F92" s="143"/>
      <c r="G92" s="143"/>
      <c r="H92" s="143"/>
      <c r="I92" s="143"/>
    </row>
    <row r="93" ht="20.25" spans="1:9">
      <c r="A93" s="143"/>
      <c r="B93" s="143"/>
      <c r="C93" s="143"/>
      <c r="D93" s="143"/>
      <c r="E93" s="143"/>
      <c r="F93" s="143"/>
      <c r="G93" s="143"/>
      <c r="H93" s="143"/>
      <c r="I93" s="143"/>
    </row>
    <row r="94" ht="20.25" spans="1:9">
      <c r="A94" s="143"/>
      <c r="B94" s="143"/>
      <c r="C94" s="143"/>
      <c r="D94" s="143"/>
      <c r="E94" s="143"/>
      <c r="F94" s="143"/>
      <c r="G94" s="143"/>
      <c r="H94" s="143"/>
      <c r="I94" s="143"/>
    </row>
    <row r="95" ht="20.25" spans="1:9">
      <c r="A95" s="143"/>
      <c r="B95" s="143"/>
      <c r="C95" s="143"/>
      <c r="D95" s="143"/>
      <c r="E95" s="143"/>
      <c r="F95" s="143"/>
      <c r="G95" s="143"/>
      <c r="H95" s="143"/>
      <c r="I95" s="143"/>
    </row>
    <row r="96" ht="20.25" spans="1:9">
      <c r="A96" s="143"/>
      <c r="B96" s="143"/>
      <c r="C96" s="143"/>
      <c r="D96" s="143"/>
      <c r="E96" s="143"/>
      <c r="F96" s="143"/>
      <c r="G96" s="143"/>
      <c r="H96" s="143"/>
      <c r="I96" s="143"/>
    </row>
    <row r="97" ht="20.25" spans="1:9">
      <c r="A97" s="143"/>
      <c r="B97" s="143"/>
      <c r="C97" s="143"/>
      <c r="D97" s="143"/>
      <c r="E97" s="143"/>
      <c r="F97" s="143"/>
      <c r="G97" s="143"/>
      <c r="H97" s="143"/>
      <c r="I97" s="143"/>
    </row>
    <row r="98" ht="20.25" spans="1:9">
      <c r="A98" s="143"/>
      <c r="B98" s="143"/>
      <c r="C98" s="143"/>
      <c r="D98" s="143"/>
      <c r="E98" s="143"/>
      <c r="F98" s="143"/>
      <c r="G98" s="143"/>
      <c r="H98" s="143"/>
      <c r="I98" s="143"/>
    </row>
    <row r="99" ht="20.25" spans="1:9">
      <c r="A99" s="143"/>
      <c r="B99" s="143"/>
      <c r="C99" s="143"/>
      <c r="D99" s="143"/>
      <c r="E99" s="143"/>
      <c r="F99" s="143"/>
      <c r="G99" s="143"/>
      <c r="H99" s="143"/>
      <c r="I99" s="143"/>
    </row>
    <row r="100" ht="20.25" spans="1:9">
      <c r="A100" s="143"/>
      <c r="B100" s="143"/>
      <c r="C100" s="143"/>
      <c r="D100" s="143"/>
      <c r="E100" s="143"/>
      <c r="F100" s="143"/>
      <c r="G100" s="143"/>
      <c r="H100" s="143"/>
      <c r="I100" s="143"/>
    </row>
    <row r="101" ht="20.25" spans="1:9">
      <c r="A101" s="143"/>
      <c r="B101" s="143"/>
      <c r="C101" s="143"/>
      <c r="D101" s="143"/>
      <c r="E101" s="143"/>
      <c r="F101" s="143"/>
      <c r="G101" s="143"/>
      <c r="H101" s="143"/>
      <c r="I101" s="143"/>
    </row>
    <row r="102" ht="20.25" spans="1:9">
      <c r="A102" s="143"/>
      <c r="B102" s="143"/>
      <c r="C102" s="143"/>
      <c r="D102" s="143"/>
      <c r="E102" s="143"/>
      <c r="F102" s="143"/>
      <c r="G102" s="143"/>
      <c r="H102" s="143"/>
      <c r="I102" s="143"/>
    </row>
    <row r="103" ht="20.25" spans="1:9">
      <c r="A103" s="143"/>
      <c r="B103" s="143"/>
      <c r="C103" s="143"/>
      <c r="D103" s="143"/>
      <c r="E103" s="143"/>
      <c r="F103" s="143"/>
      <c r="G103" s="143"/>
      <c r="H103" s="143"/>
      <c r="I103" s="143"/>
    </row>
    <row r="104" ht="20.25" spans="1:9">
      <c r="A104" s="143"/>
      <c r="B104" s="143"/>
      <c r="C104" s="143"/>
      <c r="D104" s="143"/>
      <c r="E104" s="143"/>
      <c r="F104" s="143"/>
      <c r="G104" s="143"/>
      <c r="H104" s="143"/>
      <c r="I104" s="143"/>
    </row>
    <row r="105" ht="20.25" spans="1:9">
      <c r="A105" s="143"/>
      <c r="B105" s="143"/>
      <c r="C105" s="143"/>
      <c r="D105" s="143"/>
      <c r="E105" s="143"/>
      <c r="F105" s="143"/>
      <c r="G105" s="143"/>
      <c r="H105" s="143"/>
      <c r="I105" s="143"/>
    </row>
    <row r="106" ht="20.25" spans="1:9">
      <c r="A106" s="143"/>
      <c r="B106" s="143"/>
      <c r="C106" s="143"/>
      <c r="D106" s="143"/>
      <c r="E106" s="143"/>
      <c r="F106" s="143"/>
      <c r="G106" s="143"/>
      <c r="H106" s="143"/>
      <c r="I106" s="143"/>
    </row>
    <row r="107" ht="20.25" spans="1:9">
      <c r="A107" s="143"/>
      <c r="B107" s="143"/>
      <c r="C107" s="143"/>
      <c r="D107" s="143"/>
      <c r="E107" s="143"/>
      <c r="F107" s="143"/>
      <c r="G107" s="143"/>
      <c r="H107" s="143"/>
      <c r="I107" s="143"/>
    </row>
    <row r="108" ht="20.25" spans="1:9">
      <c r="A108" s="143"/>
      <c r="B108" s="143"/>
      <c r="C108" s="143"/>
      <c r="D108" s="143"/>
      <c r="E108" s="143"/>
      <c r="F108" s="143"/>
      <c r="G108" s="143"/>
      <c r="H108" s="143"/>
      <c r="I108" s="143"/>
    </row>
    <row r="109" ht="20.25" spans="1:9">
      <c r="A109" s="143"/>
      <c r="B109" s="143"/>
      <c r="C109" s="143"/>
      <c r="D109" s="143"/>
      <c r="E109" s="143"/>
      <c r="F109" s="143"/>
      <c r="G109" s="143"/>
      <c r="H109" s="143"/>
      <c r="I109" s="143"/>
    </row>
    <row r="110" ht="20.25" spans="1:9">
      <c r="A110" s="143"/>
      <c r="B110" s="143"/>
      <c r="C110" s="143"/>
      <c r="D110" s="143"/>
      <c r="E110" s="143"/>
      <c r="F110" s="143"/>
      <c r="G110" s="143"/>
      <c r="H110" s="143"/>
      <c r="I110" s="143"/>
    </row>
    <row r="111" ht="20.25" spans="1:9">
      <c r="A111" s="143"/>
      <c r="B111" s="143"/>
      <c r="C111" s="143"/>
      <c r="D111" s="143"/>
      <c r="E111" s="143"/>
      <c r="F111" s="143"/>
      <c r="G111" s="143"/>
      <c r="H111" s="143"/>
      <c r="I111" s="143"/>
    </row>
    <row r="112" ht="20.25" spans="1:9">
      <c r="A112" s="143"/>
      <c r="B112" s="143"/>
      <c r="C112" s="143"/>
      <c r="D112" s="143"/>
      <c r="E112" s="143"/>
      <c r="F112" s="143"/>
      <c r="G112" s="143"/>
      <c r="H112" s="143"/>
      <c r="I112" s="143"/>
    </row>
    <row r="113" ht="20.25" spans="1:9">
      <c r="A113" s="143"/>
      <c r="B113" s="143"/>
      <c r="C113" s="143"/>
      <c r="D113" s="143"/>
      <c r="E113" s="143"/>
      <c r="F113" s="143"/>
      <c r="G113" s="143"/>
      <c r="H113" s="143"/>
      <c r="I113" s="143"/>
    </row>
    <row r="114" ht="20.25" spans="1:9">
      <c r="A114" s="143"/>
      <c r="B114" s="143"/>
      <c r="C114" s="143"/>
      <c r="D114" s="143"/>
      <c r="E114" s="143"/>
      <c r="F114" s="143"/>
      <c r="G114" s="143"/>
      <c r="H114" s="143"/>
      <c r="I114" s="143"/>
    </row>
    <row r="115" ht="20.25" spans="1:9">
      <c r="A115" s="143"/>
      <c r="B115" s="143"/>
      <c r="C115" s="143"/>
      <c r="D115" s="143"/>
      <c r="E115" s="143"/>
      <c r="F115" s="143"/>
      <c r="G115" s="143"/>
      <c r="H115" s="143"/>
      <c r="I115" s="143"/>
    </row>
    <row r="116" ht="20.25" spans="1:9">
      <c r="A116" s="143"/>
      <c r="B116" s="143"/>
      <c r="C116" s="143"/>
      <c r="D116" s="143"/>
      <c r="E116" s="143"/>
      <c r="F116" s="143"/>
      <c r="G116" s="143"/>
      <c r="H116" s="143"/>
      <c r="I116" s="143"/>
    </row>
    <row r="117" ht="20.25" spans="1:9">
      <c r="A117" s="143"/>
      <c r="B117" s="143"/>
      <c r="C117" s="143"/>
      <c r="D117" s="143"/>
      <c r="E117" s="143"/>
      <c r="F117" s="143"/>
      <c r="G117" s="143"/>
      <c r="H117" s="143"/>
      <c r="I117" s="143"/>
    </row>
    <row r="118" ht="20.25" spans="1:9">
      <c r="A118" s="143"/>
      <c r="B118" s="143"/>
      <c r="C118" s="143"/>
      <c r="D118" s="143"/>
      <c r="E118" s="143"/>
      <c r="F118" s="143"/>
      <c r="G118" s="143"/>
      <c r="H118" s="143"/>
      <c r="I118" s="143"/>
    </row>
    <row r="119" ht="20.25" spans="1:9">
      <c r="A119" s="143"/>
      <c r="B119" s="143"/>
      <c r="C119" s="143"/>
      <c r="D119" s="143"/>
      <c r="E119" s="143"/>
      <c r="F119" s="143"/>
      <c r="G119" s="143"/>
      <c r="H119" s="143"/>
      <c r="I119" s="143"/>
    </row>
    <row r="120" ht="20.25" spans="1:9">
      <c r="A120" s="143"/>
      <c r="B120" s="143"/>
      <c r="C120" s="143"/>
      <c r="D120" s="143"/>
      <c r="E120" s="143"/>
      <c r="F120" s="143"/>
      <c r="G120" s="143"/>
      <c r="H120" s="143"/>
      <c r="I120" s="143"/>
    </row>
    <row r="121" ht="20.25" spans="1:9">
      <c r="A121" s="143"/>
      <c r="B121" s="143"/>
      <c r="C121" s="143"/>
      <c r="D121" s="143"/>
      <c r="E121" s="143"/>
      <c r="F121" s="143"/>
      <c r="G121" s="143"/>
      <c r="H121" s="143"/>
      <c r="I121" s="143"/>
    </row>
    <row r="122" ht="20.25" spans="1:9">
      <c r="A122" s="143"/>
      <c r="B122" s="143"/>
      <c r="C122" s="143"/>
      <c r="D122" s="143"/>
      <c r="E122" s="143"/>
      <c r="F122" s="143"/>
      <c r="G122" s="143"/>
      <c r="H122" s="143"/>
      <c r="I122" s="143"/>
    </row>
    <row r="123" ht="20.25" spans="1:9">
      <c r="A123" s="143"/>
      <c r="B123" s="143"/>
      <c r="C123" s="143"/>
      <c r="D123" s="143"/>
      <c r="E123" s="143"/>
      <c r="F123" s="143"/>
      <c r="G123" s="143"/>
      <c r="H123" s="143"/>
      <c r="I123" s="143"/>
    </row>
    <row r="124" ht="20.25" spans="1:9">
      <c r="A124" s="143"/>
      <c r="B124" s="143"/>
      <c r="C124" s="143"/>
      <c r="D124" s="143"/>
      <c r="E124" s="143"/>
      <c r="F124" s="143"/>
      <c r="G124" s="143"/>
      <c r="H124" s="143"/>
      <c r="I124" s="143"/>
    </row>
    <row r="125" ht="20.25" spans="1:9">
      <c r="A125" s="143"/>
      <c r="B125" s="143"/>
      <c r="C125" s="143"/>
      <c r="D125" s="143"/>
      <c r="E125" s="143"/>
      <c r="F125" s="143"/>
      <c r="G125" s="143"/>
      <c r="H125" s="143"/>
      <c r="I125" s="143"/>
    </row>
    <row r="126" ht="20.25" spans="1:9">
      <c r="A126" s="143"/>
      <c r="B126" s="143"/>
      <c r="C126" s="143"/>
      <c r="D126" s="143"/>
      <c r="E126" s="143"/>
      <c r="F126" s="143"/>
      <c r="G126" s="143"/>
      <c r="H126" s="143"/>
      <c r="I126" s="143"/>
    </row>
    <row r="127" ht="20.25" spans="1:9">
      <c r="A127" s="143"/>
      <c r="B127" s="143"/>
      <c r="C127" s="143"/>
      <c r="D127" s="143"/>
      <c r="E127" s="143"/>
      <c r="F127" s="143"/>
      <c r="G127" s="143"/>
      <c r="H127" s="143"/>
      <c r="I127" s="143"/>
    </row>
    <row r="128" ht="20.25" spans="1:9">
      <c r="A128" s="143"/>
      <c r="B128" s="143"/>
      <c r="C128" s="143"/>
      <c r="D128" s="143"/>
      <c r="E128" s="143"/>
      <c r="F128" s="143"/>
      <c r="G128" s="143"/>
      <c r="H128" s="143"/>
      <c r="I128" s="143"/>
    </row>
    <row r="129" ht="20.25" spans="1:9">
      <c r="A129" s="143"/>
      <c r="B129" s="143"/>
      <c r="C129" s="143"/>
      <c r="D129" s="143"/>
      <c r="E129" s="143"/>
      <c r="F129" s="143"/>
      <c r="G129" s="143"/>
      <c r="H129" s="143"/>
      <c r="I129" s="143"/>
    </row>
    <row r="130" ht="20.25" spans="1:9">
      <c r="A130" s="143"/>
      <c r="B130" s="143"/>
      <c r="C130" s="143"/>
      <c r="D130" s="143"/>
      <c r="E130" s="143"/>
      <c r="F130" s="143"/>
      <c r="G130" s="143"/>
      <c r="H130" s="143"/>
      <c r="I130" s="143"/>
    </row>
    <row r="131" ht="20.25" spans="1:9">
      <c r="A131" s="143"/>
      <c r="B131" s="143"/>
      <c r="C131" s="143"/>
      <c r="D131" s="143"/>
      <c r="E131" s="143"/>
      <c r="F131" s="143"/>
      <c r="G131" s="143"/>
      <c r="H131" s="143"/>
      <c r="I131" s="143"/>
    </row>
    <row r="132" ht="20.25" spans="1:9">
      <c r="A132" s="143"/>
      <c r="B132" s="143"/>
      <c r="C132" s="143"/>
      <c r="D132" s="143"/>
      <c r="E132" s="143"/>
      <c r="F132" s="143"/>
      <c r="G132" s="143"/>
      <c r="H132" s="143"/>
      <c r="I132" s="143"/>
    </row>
    <row r="133" ht="20.25" spans="1:9">
      <c r="A133" s="143"/>
      <c r="B133" s="143"/>
      <c r="C133" s="143"/>
      <c r="D133" s="143"/>
      <c r="E133" s="143"/>
      <c r="F133" s="143"/>
      <c r="G133" s="143"/>
      <c r="H133" s="143"/>
      <c r="I133" s="143"/>
    </row>
    <row r="134" ht="20.25" spans="1:9">
      <c r="A134" s="143"/>
      <c r="B134" s="143"/>
      <c r="C134" s="143"/>
      <c r="D134" s="143"/>
      <c r="E134" s="143"/>
      <c r="F134" s="143"/>
      <c r="G134" s="143"/>
      <c r="H134" s="143"/>
      <c r="I134" s="143"/>
    </row>
    <row r="135" ht="20.25" spans="1:9">
      <c r="A135" s="143"/>
      <c r="B135" s="143"/>
      <c r="C135" s="143"/>
      <c r="D135" s="143"/>
      <c r="E135" s="143"/>
      <c r="F135" s="143"/>
      <c r="G135" s="143"/>
      <c r="H135" s="143"/>
      <c r="I135" s="143"/>
    </row>
    <row r="136" ht="20.25" spans="1:9">
      <c r="A136" s="143"/>
      <c r="B136" s="143"/>
      <c r="C136" s="143"/>
      <c r="D136" s="143"/>
      <c r="E136" s="143"/>
      <c r="F136" s="143"/>
      <c r="G136" s="143"/>
      <c r="H136" s="143"/>
      <c r="I136" s="143"/>
    </row>
    <row r="137" ht="20.25" spans="1:9">
      <c r="A137" s="143"/>
      <c r="B137" s="143"/>
      <c r="C137" s="143"/>
      <c r="D137" s="143"/>
      <c r="E137" s="143"/>
      <c r="F137" s="143"/>
      <c r="G137" s="143"/>
      <c r="H137" s="143"/>
      <c r="I137" s="143"/>
    </row>
    <row r="138" ht="20.25" spans="1:9">
      <c r="A138" s="143"/>
      <c r="B138" s="143"/>
      <c r="C138" s="143"/>
      <c r="D138" s="143"/>
      <c r="E138" s="143"/>
      <c r="F138" s="143"/>
      <c r="G138" s="143"/>
      <c r="H138" s="143"/>
      <c r="I138" s="143"/>
    </row>
    <row r="139" ht="20.25" spans="1:9">
      <c r="A139" s="143"/>
      <c r="B139" s="143"/>
      <c r="C139" s="143"/>
      <c r="D139" s="143"/>
      <c r="E139" s="143"/>
      <c r="F139" s="143"/>
      <c r="G139" s="143"/>
      <c r="H139" s="143"/>
      <c r="I139" s="143"/>
    </row>
    <row r="140" ht="20.25" spans="1:9">
      <c r="A140" s="143"/>
      <c r="B140" s="143"/>
      <c r="C140" s="143"/>
      <c r="D140" s="143"/>
      <c r="E140" s="143"/>
      <c r="F140" s="143"/>
      <c r="G140" s="143"/>
      <c r="H140" s="143"/>
      <c r="I140" s="143"/>
    </row>
    <row r="141" ht="20.25" spans="1:9">
      <c r="A141" s="143"/>
      <c r="B141" s="143"/>
      <c r="C141" s="143"/>
      <c r="D141" s="143"/>
      <c r="E141" s="143"/>
      <c r="F141" s="143"/>
      <c r="G141" s="143"/>
      <c r="H141" s="143"/>
      <c r="I141" s="143"/>
    </row>
    <row r="142" ht="20.25" spans="1:9">
      <c r="A142" s="143"/>
      <c r="B142" s="143"/>
      <c r="C142" s="143"/>
      <c r="D142" s="143"/>
      <c r="E142" s="143"/>
      <c r="F142" s="143"/>
      <c r="G142" s="143"/>
      <c r="H142" s="143"/>
      <c r="I142" s="143"/>
    </row>
    <row r="143" ht="20.25" spans="1:9">
      <c r="A143" s="143"/>
      <c r="B143" s="143"/>
      <c r="C143" s="143"/>
      <c r="D143" s="143"/>
      <c r="E143" s="143"/>
      <c r="F143" s="143"/>
      <c r="G143" s="143"/>
      <c r="H143" s="143"/>
      <c r="I143" s="143"/>
    </row>
    <row r="144" ht="20.25" spans="1:9">
      <c r="A144" s="143"/>
      <c r="B144" s="143"/>
      <c r="C144" s="143"/>
      <c r="D144" s="143"/>
      <c r="E144" s="143"/>
      <c r="F144" s="143"/>
      <c r="G144" s="143"/>
      <c r="H144" s="143"/>
      <c r="I144" s="143"/>
    </row>
    <row r="145" ht="20.25" spans="1:9">
      <c r="A145" s="143"/>
      <c r="B145" s="143"/>
      <c r="C145" s="143"/>
      <c r="D145" s="143"/>
      <c r="E145" s="143"/>
      <c r="F145" s="143"/>
      <c r="G145" s="143"/>
      <c r="H145" s="143"/>
      <c r="I145" s="143"/>
    </row>
    <row r="146" ht="20.25" spans="1:9">
      <c r="A146" s="143"/>
      <c r="B146" s="143"/>
      <c r="C146" s="143"/>
      <c r="D146" s="143"/>
      <c r="E146" s="143"/>
      <c r="F146" s="143"/>
      <c r="G146" s="143"/>
      <c r="H146" s="143"/>
      <c r="I146" s="143"/>
    </row>
    <row r="147" ht="20.25" spans="1:9">
      <c r="A147" s="143"/>
      <c r="B147" s="143"/>
      <c r="C147" s="143"/>
      <c r="D147" s="143"/>
      <c r="E147" s="143"/>
      <c r="F147" s="143"/>
      <c r="G147" s="143"/>
      <c r="H147" s="143"/>
      <c r="I147" s="143"/>
    </row>
    <row r="148" ht="20.25" spans="1:9">
      <c r="A148" s="143"/>
      <c r="B148" s="143"/>
      <c r="C148" s="143"/>
      <c r="D148" s="143"/>
      <c r="E148" s="143"/>
      <c r="F148" s="143"/>
      <c r="G148" s="143"/>
      <c r="H148" s="143"/>
      <c r="I148" s="143"/>
    </row>
    <row r="149" ht="20.25" spans="1:9">
      <c r="A149" s="143"/>
      <c r="B149" s="143"/>
      <c r="C149" s="143"/>
      <c r="D149" s="143"/>
      <c r="E149" s="143"/>
      <c r="F149" s="143"/>
      <c r="G149" s="143"/>
      <c r="H149" s="143"/>
      <c r="I149" s="143"/>
    </row>
    <row r="150" ht="20.25" spans="1:9">
      <c r="A150" s="143"/>
      <c r="B150" s="143"/>
      <c r="C150" s="143"/>
      <c r="D150" s="143"/>
      <c r="E150" s="143"/>
      <c r="F150" s="143"/>
      <c r="G150" s="143"/>
      <c r="H150" s="143"/>
      <c r="I150" s="143"/>
    </row>
    <row r="151" ht="20.25" spans="1:9">
      <c r="A151" s="143"/>
      <c r="B151" s="143"/>
      <c r="C151" s="143"/>
      <c r="D151" s="143"/>
      <c r="E151" s="143"/>
      <c r="F151" s="143"/>
      <c r="G151" s="143"/>
      <c r="H151" s="143"/>
      <c r="I151" s="143"/>
    </row>
    <row r="152" ht="20.25" spans="1:9">
      <c r="A152" s="143"/>
      <c r="B152" s="143"/>
      <c r="C152" s="143"/>
      <c r="D152" s="143"/>
      <c r="E152" s="143"/>
      <c r="F152" s="143"/>
      <c r="G152" s="143"/>
      <c r="H152" s="143"/>
      <c r="I152" s="143"/>
    </row>
    <row r="153" ht="20.25" spans="1:9">
      <c r="A153" s="143"/>
      <c r="B153" s="143"/>
      <c r="C153" s="143"/>
      <c r="D153" s="143"/>
      <c r="E153" s="143"/>
      <c r="F153" s="143"/>
      <c r="G153" s="143"/>
      <c r="H153" s="143"/>
      <c r="I153" s="143"/>
    </row>
    <row r="154" ht="20.25" spans="1:9">
      <c r="A154" s="143"/>
      <c r="B154" s="143"/>
      <c r="C154" s="143"/>
      <c r="D154" s="143"/>
      <c r="E154" s="143"/>
      <c r="F154" s="143"/>
      <c r="G154" s="143"/>
      <c r="H154" s="143"/>
      <c r="I154" s="143"/>
    </row>
    <row r="155" ht="20.25" spans="1:9">
      <c r="A155" s="143"/>
      <c r="B155" s="143"/>
      <c r="C155" s="143"/>
      <c r="D155" s="143"/>
      <c r="E155" s="143"/>
      <c r="F155" s="143"/>
      <c r="G155" s="143"/>
      <c r="H155" s="143"/>
      <c r="I155" s="143"/>
    </row>
    <row r="156" ht="20.25" spans="1:9">
      <c r="A156" s="143"/>
      <c r="B156" s="143"/>
      <c r="C156" s="143"/>
      <c r="D156" s="143"/>
      <c r="E156" s="143"/>
      <c r="F156" s="143"/>
      <c r="G156" s="143"/>
      <c r="H156" s="143"/>
      <c r="I156" s="143"/>
    </row>
    <row r="157" ht="20.25" spans="1:9">
      <c r="A157" s="143"/>
      <c r="B157" s="143"/>
      <c r="C157" s="143"/>
      <c r="D157" s="143"/>
      <c r="E157" s="143"/>
      <c r="F157" s="143"/>
      <c r="G157" s="143"/>
      <c r="H157" s="143"/>
      <c r="I157" s="143"/>
    </row>
    <row r="158" ht="20.25" spans="1:9">
      <c r="A158" s="143"/>
      <c r="B158" s="143"/>
      <c r="C158" s="143"/>
      <c r="D158" s="143"/>
      <c r="E158" s="143"/>
      <c r="F158" s="143"/>
      <c r="G158" s="143"/>
      <c r="H158" s="143"/>
      <c r="I158" s="143"/>
    </row>
    <row r="159" ht="20.25" spans="1:9">
      <c r="A159" s="143"/>
      <c r="B159" s="143"/>
      <c r="C159" s="143"/>
      <c r="D159" s="143"/>
      <c r="E159" s="143"/>
      <c r="F159" s="143"/>
      <c r="G159" s="143"/>
      <c r="H159" s="143"/>
      <c r="I159" s="143"/>
    </row>
    <row r="160" ht="20.25" spans="1:9">
      <c r="A160" s="143"/>
      <c r="B160" s="143"/>
      <c r="C160" s="143"/>
      <c r="D160" s="143"/>
      <c r="E160" s="143"/>
      <c r="F160" s="143"/>
      <c r="G160" s="143"/>
      <c r="H160" s="143"/>
      <c r="I160" s="143"/>
    </row>
    <row r="161" ht="20.25" spans="1:9">
      <c r="A161" s="143"/>
      <c r="B161" s="143"/>
      <c r="C161" s="143"/>
      <c r="D161" s="143"/>
      <c r="E161" s="143"/>
      <c r="F161" s="143"/>
      <c r="G161" s="143"/>
      <c r="H161" s="143"/>
      <c r="I161" s="143"/>
    </row>
    <row r="162" ht="20.25" spans="1:9">
      <c r="A162" s="143"/>
      <c r="B162" s="143"/>
      <c r="C162" s="143"/>
      <c r="D162" s="143"/>
      <c r="E162" s="143"/>
      <c r="F162" s="143"/>
      <c r="G162" s="143"/>
      <c r="H162" s="143"/>
      <c r="I162" s="143"/>
    </row>
    <row r="163" ht="20.25" spans="1:9">
      <c r="A163" s="143"/>
      <c r="B163" s="143"/>
      <c r="C163" s="143"/>
      <c r="D163" s="143"/>
      <c r="E163" s="143"/>
      <c r="F163" s="143"/>
      <c r="G163" s="143"/>
      <c r="H163" s="143"/>
      <c r="I163" s="143"/>
    </row>
    <row r="164" ht="20.25" spans="1:9">
      <c r="A164" s="143"/>
      <c r="B164" s="143"/>
      <c r="C164" s="143"/>
      <c r="D164" s="143"/>
      <c r="E164" s="143"/>
      <c r="F164" s="143"/>
      <c r="G164" s="143"/>
      <c r="H164" s="143"/>
      <c r="I164" s="143"/>
    </row>
    <row r="165" ht="20.25" spans="1:9">
      <c r="A165" s="143"/>
      <c r="B165" s="143"/>
      <c r="C165" s="143"/>
      <c r="D165" s="143"/>
      <c r="E165" s="143"/>
      <c r="F165" s="143"/>
      <c r="G165" s="143"/>
      <c r="H165" s="143"/>
      <c r="I165" s="143"/>
    </row>
    <row r="166" ht="20.25" spans="1:9">
      <c r="A166" s="143"/>
      <c r="B166" s="143"/>
      <c r="C166" s="143"/>
      <c r="D166" s="143"/>
      <c r="E166" s="143"/>
      <c r="F166" s="143"/>
      <c r="G166" s="143"/>
      <c r="H166" s="143"/>
      <c r="I166" s="143"/>
    </row>
    <row r="167" ht="20.25" spans="1:9">
      <c r="A167" s="143"/>
      <c r="B167" s="143"/>
      <c r="C167" s="143"/>
      <c r="D167" s="143"/>
      <c r="E167" s="143"/>
      <c r="F167" s="143"/>
      <c r="G167" s="143"/>
      <c r="H167" s="143"/>
      <c r="I167" s="143"/>
    </row>
    <row r="168" ht="20.25" spans="1:9">
      <c r="A168" s="143"/>
      <c r="B168" s="143"/>
      <c r="C168" s="143"/>
      <c r="D168" s="143"/>
      <c r="E168" s="143"/>
      <c r="F168" s="143"/>
      <c r="G168" s="143"/>
      <c r="H168" s="143"/>
      <c r="I168" s="143"/>
    </row>
    <row r="169" ht="20.25" spans="1:9">
      <c r="A169" s="143"/>
      <c r="B169" s="143"/>
      <c r="C169" s="143"/>
      <c r="D169" s="143"/>
      <c r="E169" s="143"/>
      <c r="F169" s="143"/>
      <c r="G169" s="143"/>
      <c r="H169" s="143"/>
      <c r="I169" s="143"/>
    </row>
    <row r="170" ht="20.25" spans="1:9">
      <c r="A170" s="143"/>
      <c r="B170" s="143"/>
      <c r="C170" s="143"/>
      <c r="D170" s="143"/>
      <c r="E170" s="143"/>
      <c r="F170" s="143"/>
      <c r="G170" s="143"/>
      <c r="H170" s="143"/>
      <c r="I170" s="143"/>
    </row>
    <row r="171" ht="20.25" spans="1:9">
      <c r="A171" s="143"/>
      <c r="B171" s="143"/>
      <c r="C171" s="143"/>
      <c r="D171" s="143"/>
      <c r="E171" s="143"/>
      <c r="F171" s="143"/>
      <c r="G171" s="143"/>
      <c r="H171" s="143"/>
      <c r="I171" s="143"/>
    </row>
    <row r="172" ht="20.25" spans="1:9">
      <c r="A172" s="143"/>
      <c r="B172" s="143"/>
      <c r="C172" s="143"/>
      <c r="D172" s="143"/>
      <c r="E172" s="143"/>
      <c r="F172" s="143"/>
      <c r="G172" s="143"/>
      <c r="H172" s="143"/>
      <c r="I172" s="143"/>
    </row>
    <row r="173" ht="20.25" spans="1:9">
      <c r="A173" s="143"/>
      <c r="B173" s="143"/>
      <c r="C173" s="143"/>
      <c r="D173" s="143"/>
      <c r="E173" s="143"/>
      <c r="F173" s="143"/>
      <c r="G173" s="143"/>
      <c r="H173" s="143"/>
      <c r="I173" s="143"/>
    </row>
    <row r="174" ht="20.25" spans="1:9">
      <c r="A174" s="143"/>
      <c r="B174" s="143"/>
      <c r="C174" s="143"/>
      <c r="D174" s="143"/>
      <c r="E174" s="143"/>
      <c r="F174" s="143"/>
      <c r="G174" s="143"/>
      <c r="H174" s="143"/>
      <c r="I174" s="143"/>
    </row>
    <row r="175" ht="20.25" spans="1:9">
      <c r="A175" s="143"/>
      <c r="B175" s="143"/>
      <c r="C175" s="143"/>
      <c r="D175" s="143"/>
      <c r="E175" s="143"/>
      <c r="F175" s="143"/>
      <c r="G175" s="143"/>
      <c r="H175" s="143"/>
      <c r="I175" s="143"/>
    </row>
    <row r="176" ht="20.25" spans="1:9">
      <c r="A176" s="143"/>
      <c r="B176" s="143"/>
      <c r="C176" s="143"/>
      <c r="D176" s="143"/>
      <c r="E176" s="143"/>
      <c r="F176" s="143"/>
      <c r="G176" s="143"/>
      <c r="H176" s="143"/>
      <c r="I176" s="143"/>
    </row>
    <row r="177" ht="20.25" spans="1:9">
      <c r="A177" s="143"/>
      <c r="B177" s="143"/>
      <c r="C177" s="143"/>
      <c r="D177" s="143"/>
      <c r="E177" s="143"/>
      <c r="F177" s="143"/>
      <c r="G177" s="143"/>
      <c r="H177" s="143"/>
      <c r="I177" s="143"/>
    </row>
    <row r="178" ht="20.25" spans="1:9">
      <c r="A178" s="143"/>
      <c r="B178" s="143"/>
      <c r="C178" s="143"/>
      <c r="D178" s="143"/>
      <c r="E178" s="143"/>
      <c r="F178" s="143"/>
      <c r="G178" s="143"/>
      <c r="H178" s="143"/>
      <c r="I178" s="143"/>
    </row>
    <row r="179" ht="20.25" spans="1:9">
      <c r="A179" s="143"/>
      <c r="B179" s="143"/>
      <c r="C179" s="143"/>
      <c r="D179" s="143"/>
      <c r="E179" s="143"/>
      <c r="F179" s="143"/>
      <c r="G179" s="143"/>
      <c r="H179" s="143"/>
      <c r="I179" s="143"/>
    </row>
    <row r="180" ht="20.25" spans="1:9">
      <c r="A180" s="143"/>
      <c r="B180" s="143"/>
      <c r="C180" s="143"/>
      <c r="D180" s="143"/>
      <c r="E180" s="143"/>
      <c r="F180" s="143"/>
      <c r="G180" s="143"/>
      <c r="H180" s="143"/>
      <c r="I180" s="143"/>
    </row>
    <row r="181" ht="20.25" spans="1:9">
      <c r="A181" s="143"/>
      <c r="B181" s="143"/>
      <c r="C181" s="143"/>
      <c r="D181" s="143"/>
      <c r="E181" s="143"/>
      <c r="F181" s="143"/>
      <c r="G181" s="143"/>
      <c r="H181" s="143"/>
      <c r="I181" s="143"/>
    </row>
    <row r="182" ht="20.25" spans="1:9">
      <c r="A182" s="143"/>
      <c r="B182" s="143"/>
      <c r="C182" s="143"/>
      <c r="D182" s="143"/>
      <c r="E182" s="143"/>
      <c r="F182" s="143"/>
      <c r="G182" s="143"/>
      <c r="H182" s="143"/>
      <c r="I182" s="143"/>
    </row>
    <row r="183" ht="20.25" spans="1:9">
      <c r="A183" s="143"/>
      <c r="B183" s="143"/>
      <c r="C183" s="143"/>
      <c r="D183" s="143"/>
      <c r="E183" s="143"/>
      <c r="F183" s="143"/>
      <c r="G183" s="143"/>
      <c r="H183" s="143"/>
      <c r="I183" s="143"/>
    </row>
    <row r="184" ht="20.25" spans="1:9">
      <c r="A184" s="143"/>
      <c r="B184" s="143"/>
      <c r="C184" s="143"/>
      <c r="D184" s="143"/>
      <c r="E184" s="143"/>
      <c r="F184" s="143"/>
      <c r="G184" s="143"/>
      <c r="H184" s="143"/>
      <c r="I184" s="143"/>
    </row>
    <row r="185" ht="20.25" spans="1:9">
      <c r="A185" s="143"/>
      <c r="B185" s="143"/>
      <c r="C185" s="143"/>
      <c r="D185" s="143"/>
      <c r="E185" s="143"/>
      <c r="F185" s="143"/>
      <c r="G185" s="143"/>
      <c r="H185" s="143"/>
      <c r="I185" s="143"/>
    </row>
    <row r="186" ht="20.25" spans="1:9">
      <c r="A186" s="143"/>
      <c r="B186" s="143"/>
      <c r="C186" s="143"/>
      <c r="D186" s="143"/>
      <c r="E186" s="143"/>
      <c r="F186" s="143"/>
      <c r="G186" s="143"/>
      <c r="H186" s="143"/>
      <c r="I186" s="143"/>
    </row>
    <row r="187" ht="20.25" spans="1:9">
      <c r="A187" s="143"/>
      <c r="B187" s="143"/>
      <c r="C187" s="143"/>
      <c r="D187" s="143"/>
      <c r="E187" s="143"/>
      <c r="F187" s="143"/>
      <c r="G187" s="143"/>
      <c r="H187" s="143"/>
      <c r="I187" s="143"/>
    </row>
    <row r="188" ht="20.25" spans="1:9">
      <c r="A188" s="143"/>
      <c r="B188" s="143"/>
      <c r="C188" s="143"/>
      <c r="D188" s="143"/>
      <c r="E188" s="143"/>
      <c r="F188" s="143"/>
      <c r="G188" s="143"/>
      <c r="H188" s="143"/>
      <c r="I188" s="143"/>
    </row>
    <row r="189" ht="20.25" spans="1:9">
      <c r="A189" s="143"/>
      <c r="B189" s="143"/>
      <c r="C189" s="143"/>
      <c r="D189" s="143"/>
      <c r="E189" s="143"/>
      <c r="F189" s="143"/>
      <c r="G189" s="143"/>
      <c r="H189" s="143"/>
      <c r="I189" s="143"/>
    </row>
    <row r="190" ht="20.25" spans="1:9">
      <c r="A190" s="143"/>
      <c r="B190" s="143"/>
      <c r="C190" s="143"/>
      <c r="D190" s="143"/>
      <c r="E190" s="143"/>
      <c r="F190" s="143"/>
      <c r="G190" s="143"/>
      <c r="H190" s="143"/>
      <c r="I190" s="143"/>
    </row>
    <row r="191" ht="20.25" spans="1:9">
      <c r="A191" s="143"/>
      <c r="B191" s="143"/>
      <c r="C191" s="143"/>
      <c r="D191" s="143"/>
      <c r="E191" s="143"/>
      <c r="F191" s="143"/>
      <c r="G191" s="143"/>
      <c r="H191" s="143"/>
      <c r="I191" s="143"/>
    </row>
    <row r="192" ht="20.25" spans="1:9">
      <c r="A192" s="143"/>
      <c r="B192" s="143"/>
      <c r="C192" s="143"/>
      <c r="D192" s="143"/>
      <c r="E192" s="143"/>
      <c r="F192" s="143"/>
      <c r="G192" s="143"/>
      <c r="H192" s="143"/>
      <c r="I192" s="143"/>
    </row>
    <row r="193" ht="20.25" spans="1:9">
      <c r="A193" s="143"/>
      <c r="B193" s="143"/>
      <c r="C193" s="143"/>
      <c r="D193" s="143"/>
      <c r="E193" s="143"/>
      <c r="F193" s="143"/>
      <c r="G193" s="143"/>
      <c r="H193" s="143"/>
      <c r="I193" s="143"/>
    </row>
    <row r="194" ht="20.25" spans="1:9">
      <c r="A194" s="143"/>
      <c r="B194" s="143"/>
      <c r="C194" s="143"/>
      <c r="D194" s="143"/>
      <c r="E194" s="143"/>
      <c r="F194" s="143"/>
      <c r="G194" s="143"/>
      <c r="H194" s="143"/>
      <c r="I194" s="143"/>
    </row>
    <row r="195" ht="20.25" spans="1:9">
      <c r="A195" s="143"/>
      <c r="B195" s="143"/>
      <c r="C195" s="143"/>
      <c r="D195" s="143"/>
      <c r="E195" s="143"/>
      <c r="F195" s="143"/>
      <c r="G195" s="143"/>
      <c r="H195" s="143"/>
      <c r="I195" s="143"/>
    </row>
    <row r="196" ht="20.25" spans="1:9">
      <c r="A196" s="143"/>
      <c r="B196" s="143"/>
      <c r="C196" s="143"/>
      <c r="D196" s="143"/>
      <c r="E196" s="143"/>
      <c r="F196" s="143"/>
      <c r="G196" s="143"/>
      <c r="H196" s="143"/>
      <c r="I196" s="143"/>
    </row>
    <row r="197" ht="20.25" spans="1:9">
      <c r="A197" s="143"/>
      <c r="B197" s="143"/>
      <c r="C197" s="143"/>
      <c r="D197" s="143"/>
      <c r="E197" s="143"/>
      <c r="F197" s="143"/>
      <c r="G197" s="143"/>
      <c r="H197" s="143"/>
      <c r="I197" s="143"/>
    </row>
    <row r="198" ht="20.25" spans="1:9">
      <c r="A198" s="143"/>
      <c r="B198" s="143"/>
      <c r="C198" s="143"/>
      <c r="D198" s="143"/>
      <c r="E198" s="143"/>
      <c r="F198" s="143"/>
      <c r="G198" s="143"/>
      <c r="H198" s="143"/>
      <c r="I198" s="143"/>
    </row>
    <row r="199" ht="20.25" spans="1:9">
      <c r="A199" s="143"/>
      <c r="B199" s="143"/>
      <c r="C199" s="143"/>
      <c r="D199" s="143"/>
      <c r="E199" s="143"/>
      <c r="F199" s="143"/>
      <c r="G199" s="143"/>
      <c r="H199" s="143"/>
      <c r="I199" s="143"/>
    </row>
    <row r="200" ht="20.25" spans="1:9">
      <c r="A200" s="143"/>
      <c r="B200" s="143"/>
      <c r="C200" s="143"/>
      <c r="D200" s="143"/>
      <c r="E200" s="143"/>
      <c r="F200" s="143"/>
      <c r="G200" s="143"/>
      <c r="H200" s="143"/>
      <c r="I200" s="143"/>
    </row>
    <row r="201" ht="20.25" spans="1:9">
      <c r="A201" s="143"/>
      <c r="B201" s="143"/>
      <c r="C201" s="143"/>
      <c r="D201" s="143"/>
      <c r="E201" s="143"/>
      <c r="F201" s="143"/>
      <c r="G201" s="143"/>
      <c r="H201" s="143"/>
      <c r="I201" s="143"/>
    </row>
    <row r="202" ht="20.25" spans="1:9">
      <c r="A202" s="143"/>
      <c r="B202" s="143"/>
      <c r="C202" s="143"/>
      <c r="D202" s="143"/>
      <c r="E202" s="143"/>
      <c r="F202" s="143"/>
      <c r="G202" s="143"/>
      <c r="H202" s="143"/>
      <c r="I202" s="143"/>
    </row>
    <row r="203" ht="20.25" spans="1:9">
      <c r="A203" s="143"/>
      <c r="B203" s="143"/>
      <c r="C203" s="143"/>
      <c r="D203" s="143"/>
      <c r="E203" s="143"/>
      <c r="F203" s="143"/>
      <c r="G203" s="143"/>
      <c r="H203" s="143"/>
      <c r="I203" s="143"/>
    </row>
    <row r="204" ht="20.25" spans="1:9">
      <c r="A204" s="143"/>
      <c r="B204" s="143"/>
      <c r="C204" s="143"/>
      <c r="D204" s="143"/>
      <c r="E204" s="143"/>
      <c r="F204" s="143"/>
      <c r="G204" s="143"/>
      <c r="H204" s="143"/>
      <c r="I204" s="143"/>
    </row>
    <row r="205" ht="20.25" spans="1:9">
      <c r="A205" s="143"/>
      <c r="B205" s="143"/>
      <c r="C205" s="143"/>
      <c r="D205" s="143"/>
      <c r="E205" s="143"/>
      <c r="F205" s="143"/>
      <c r="G205" s="143"/>
      <c r="H205" s="143"/>
      <c r="I205" s="143"/>
    </row>
    <row r="206" ht="20.25" spans="1:9">
      <c r="A206" s="143"/>
      <c r="B206" s="143"/>
      <c r="C206" s="143"/>
      <c r="D206" s="143"/>
      <c r="E206" s="143"/>
      <c r="F206" s="143"/>
      <c r="G206" s="143"/>
      <c r="H206" s="143"/>
      <c r="I206" s="143"/>
    </row>
    <row r="207" ht="20.25" spans="1:9">
      <c r="A207" s="143"/>
      <c r="B207" s="143"/>
      <c r="C207" s="143"/>
      <c r="D207" s="143"/>
      <c r="E207" s="143"/>
      <c r="F207" s="143"/>
      <c r="G207" s="143"/>
      <c r="H207" s="143"/>
      <c r="I207" s="143"/>
    </row>
    <row r="208" ht="20.25" spans="1:9">
      <c r="A208" s="143"/>
      <c r="B208" s="143"/>
      <c r="C208" s="143"/>
      <c r="D208" s="143"/>
      <c r="E208" s="143"/>
      <c r="F208" s="143"/>
      <c r="G208" s="143"/>
      <c r="H208" s="143"/>
      <c r="I208" s="143"/>
    </row>
    <row r="209" ht="20.25" spans="1:9">
      <c r="A209" s="143"/>
      <c r="B209" s="143"/>
      <c r="C209" s="143"/>
      <c r="D209" s="143"/>
      <c r="E209" s="143"/>
      <c r="F209" s="143"/>
      <c r="G209" s="143"/>
      <c r="H209" s="143"/>
      <c r="I209" s="143"/>
    </row>
    <row r="210" ht="20.25" spans="1:9">
      <c r="A210" s="143"/>
      <c r="B210" s="143"/>
      <c r="C210" s="143"/>
      <c r="D210" s="143"/>
      <c r="E210" s="143"/>
      <c r="F210" s="143"/>
      <c r="G210" s="143"/>
      <c r="H210" s="143"/>
      <c r="I210" s="143"/>
    </row>
    <row r="211" ht="20.25" spans="1:9">
      <c r="A211" s="143"/>
      <c r="B211" s="143"/>
      <c r="C211" s="143"/>
      <c r="D211" s="143"/>
      <c r="E211" s="143"/>
      <c r="F211" s="143"/>
      <c r="G211" s="143"/>
      <c r="H211" s="143"/>
      <c r="I211" s="143"/>
    </row>
    <row r="212" ht="20.25" spans="1:9">
      <c r="A212" s="143"/>
      <c r="B212" s="143"/>
      <c r="C212" s="143"/>
      <c r="D212" s="143"/>
      <c r="E212" s="143"/>
      <c r="F212" s="143"/>
      <c r="G212" s="143"/>
      <c r="H212" s="143"/>
      <c r="I212" s="143"/>
    </row>
    <row r="213" ht="20.25" spans="1:9">
      <c r="A213" s="143"/>
      <c r="B213" s="143"/>
      <c r="C213" s="143"/>
      <c r="D213" s="143"/>
      <c r="E213" s="143"/>
      <c r="F213" s="143"/>
      <c r="G213" s="143"/>
      <c r="H213" s="143"/>
      <c r="I213" s="143"/>
    </row>
    <row r="214" ht="20.25" spans="1:9">
      <c r="A214" s="143"/>
      <c r="B214" s="143"/>
      <c r="C214" s="143"/>
      <c r="D214" s="143"/>
      <c r="E214" s="143"/>
      <c r="F214" s="143"/>
      <c r="G214" s="143"/>
      <c r="H214" s="143"/>
      <c r="I214" s="143"/>
    </row>
    <row r="215" ht="20.25" spans="1:9">
      <c r="A215" s="143"/>
      <c r="B215" s="143"/>
      <c r="C215" s="143"/>
      <c r="D215" s="143"/>
      <c r="E215" s="143"/>
      <c r="F215" s="143"/>
      <c r="G215" s="143"/>
      <c r="H215" s="143"/>
      <c r="I215" s="143"/>
    </row>
    <row r="216" ht="20.25" spans="1:9">
      <c r="A216" s="143"/>
      <c r="B216" s="143"/>
      <c r="C216" s="143"/>
      <c r="D216" s="143"/>
      <c r="E216" s="143"/>
      <c r="F216" s="143"/>
      <c r="G216" s="143"/>
      <c r="H216" s="143"/>
      <c r="I216" s="143"/>
    </row>
    <row r="217" ht="20.25" spans="1:9">
      <c r="A217" s="143"/>
      <c r="B217" s="143"/>
      <c r="C217" s="143"/>
      <c r="D217" s="143"/>
      <c r="E217" s="143"/>
      <c r="F217" s="143"/>
      <c r="G217" s="143"/>
      <c r="H217" s="143"/>
      <c r="I217" s="143"/>
    </row>
    <row r="218" ht="20.25" spans="1:9">
      <c r="A218" s="143"/>
      <c r="B218" s="143"/>
      <c r="C218" s="143"/>
      <c r="D218" s="143"/>
      <c r="E218" s="143"/>
      <c r="F218" s="143"/>
      <c r="G218" s="143"/>
      <c r="H218" s="143"/>
      <c r="I218" s="143"/>
    </row>
    <row r="219" ht="20.25" spans="1:9">
      <c r="A219" s="143"/>
      <c r="B219" s="143"/>
      <c r="C219" s="143"/>
      <c r="D219" s="143"/>
      <c r="E219" s="143"/>
      <c r="F219" s="143"/>
      <c r="G219" s="143"/>
      <c r="H219" s="143"/>
      <c r="I219" s="143"/>
    </row>
    <row r="220" ht="20.25" spans="1:9">
      <c r="A220" s="143"/>
      <c r="B220" s="143"/>
      <c r="C220" s="143"/>
      <c r="D220" s="143"/>
      <c r="E220" s="143"/>
      <c r="F220" s="143"/>
      <c r="G220" s="143"/>
      <c r="H220" s="143"/>
      <c r="I220" s="143"/>
    </row>
    <row r="221" ht="20.25" spans="1:9">
      <c r="A221" s="143"/>
      <c r="B221" s="143"/>
      <c r="C221" s="143"/>
      <c r="D221" s="143"/>
      <c r="E221" s="143"/>
      <c r="F221" s="143"/>
      <c r="G221" s="143"/>
      <c r="H221" s="143"/>
      <c r="I221" s="143"/>
    </row>
    <row r="222" ht="20.25" spans="1:9">
      <c r="A222" s="143"/>
      <c r="B222" s="143"/>
      <c r="C222" s="143"/>
      <c r="D222" s="143"/>
      <c r="E222" s="143"/>
      <c r="F222" s="143"/>
      <c r="G222" s="143"/>
      <c r="H222" s="143"/>
      <c r="I222" s="143"/>
    </row>
    <row r="223" ht="20.25" spans="1:9">
      <c r="A223" s="143"/>
      <c r="B223" s="143"/>
      <c r="C223" s="143"/>
      <c r="D223" s="143"/>
      <c r="E223" s="143"/>
      <c r="F223" s="143"/>
      <c r="G223" s="143"/>
      <c r="H223" s="143"/>
      <c r="I223" s="143"/>
    </row>
    <row r="224" ht="20.25" spans="1:9">
      <c r="A224" s="143"/>
      <c r="B224" s="143"/>
      <c r="C224" s="143"/>
      <c r="D224" s="143"/>
      <c r="E224" s="143"/>
      <c r="F224" s="143"/>
      <c r="G224" s="143"/>
      <c r="H224" s="143"/>
      <c r="I224" s="143"/>
    </row>
    <row r="225" ht="20.25" spans="1:9">
      <c r="A225" s="143"/>
      <c r="B225" s="143"/>
      <c r="C225" s="143"/>
      <c r="D225" s="143"/>
      <c r="E225" s="143"/>
      <c r="F225" s="143"/>
      <c r="G225" s="143"/>
      <c r="H225" s="143"/>
      <c r="I225" s="143"/>
    </row>
    <row r="226" ht="20.25" spans="1:9">
      <c r="A226" s="143"/>
      <c r="B226" s="143"/>
      <c r="C226" s="143"/>
      <c r="D226" s="143"/>
      <c r="E226" s="143"/>
      <c r="F226" s="143"/>
      <c r="G226" s="143"/>
      <c r="H226" s="143"/>
      <c r="I226" s="143"/>
    </row>
    <row r="227" ht="20.25" spans="1:9">
      <c r="A227" s="143"/>
      <c r="B227" s="143"/>
      <c r="C227" s="143"/>
      <c r="D227" s="143"/>
      <c r="E227" s="143"/>
      <c r="F227" s="143"/>
      <c r="G227" s="143"/>
      <c r="H227" s="143"/>
      <c r="I227" s="143"/>
    </row>
    <row r="228" ht="20.25" spans="1:9">
      <c r="A228" s="143"/>
      <c r="B228" s="143"/>
      <c r="C228" s="143"/>
      <c r="D228" s="143"/>
      <c r="E228" s="143"/>
      <c r="F228" s="143"/>
      <c r="G228" s="143"/>
      <c r="H228" s="143"/>
      <c r="I228" s="143"/>
    </row>
    <row r="229" ht="20.25" spans="1:9">
      <c r="A229" s="143"/>
      <c r="B229" s="143"/>
      <c r="C229" s="143"/>
      <c r="D229" s="143"/>
      <c r="E229" s="143"/>
      <c r="F229" s="143"/>
      <c r="G229" s="143"/>
      <c r="H229" s="143"/>
      <c r="I229" s="143"/>
    </row>
    <row r="230" ht="20.25" spans="1:9">
      <c r="A230" s="143"/>
      <c r="B230" s="143"/>
      <c r="C230" s="143"/>
      <c r="D230" s="143"/>
      <c r="E230" s="143"/>
      <c r="F230" s="143"/>
      <c r="G230" s="143"/>
      <c r="H230" s="143"/>
      <c r="I230" s="143"/>
    </row>
    <row r="231" ht="20.25" spans="1:9">
      <c r="A231" s="143"/>
      <c r="B231" s="143"/>
      <c r="C231" s="143"/>
      <c r="D231" s="143"/>
      <c r="E231" s="143"/>
      <c r="F231" s="143"/>
      <c r="G231" s="143"/>
      <c r="H231" s="143"/>
      <c r="I231" s="143"/>
    </row>
    <row r="232" ht="20.25" spans="1:9">
      <c r="A232" s="143"/>
      <c r="B232" s="143"/>
      <c r="C232" s="143"/>
      <c r="D232" s="143"/>
      <c r="E232" s="143"/>
      <c r="F232" s="143"/>
      <c r="G232" s="143"/>
      <c r="H232" s="143"/>
      <c r="I232" s="143"/>
    </row>
    <row r="233" ht="20.25" spans="1:9">
      <c r="A233" s="143"/>
      <c r="B233" s="143"/>
      <c r="C233" s="143"/>
      <c r="D233" s="143"/>
      <c r="E233" s="143"/>
      <c r="F233" s="143"/>
      <c r="G233" s="143"/>
      <c r="H233" s="143"/>
      <c r="I233" s="143"/>
    </row>
    <row r="234" ht="20.25" spans="1:9">
      <c r="A234" s="143"/>
      <c r="B234" s="143"/>
      <c r="C234" s="143"/>
      <c r="D234" s="143"/>
      <c r="E234" s="143"/>
      <c r="F234" s="143"/>
      <c r="G234" s="143"/>
      <c r="H234" s="143"/>
      <c r="I234" s="143"/>
    </row>
    <row r="235" ht="20.25" spans="1:9">
      <c r="A235" s="143"/>
      <c r="B235" s="143"/>
      <c r="C235" s="143"/>
      <c r="D235" s="143"/>
      <c r="E235" s="143"/>
      <c r="F235" s="143"/>
      <c r="G235" s="143"/>
      <c r="H235" s="143"/>
      <c r="I235" s="143"/>
    </row>
    <row r="236" ht="20.25" spans="1:9">
      <c r="A236" s="143"/>
      <c r="B236" s="143"/>
      <c r="C236" s="143"/>
      <c r="D236" s="143"/>
      <c r="E236" s="143"/>
      <c r="F236" s="143"/>
      <c r="G236" s="143"/>
      <c r="H236" s="143"/>
      <c r="I236" s="143"/>
    </row>
    <row r="237" ht="20.25" spans="1:9">
      <c r="A237" s="143"/>
      <c r="B237" s="143"/>
      <c r="C237" s="143"/>
      <c r="D237" s="143"/>
      <c r="E237" s="143"/>
      <c r="F237" s="143"/>
      <c r="G237" s="143"/>
      <c r="H237" s="143"/>
      <c r="I237" s="143"/>
    </row>
    <row r="238" ht="20.25" spans="1:9">
      <c r="A238" s="143"/>
      <c r="B238" s="143"/>
      <c r="C238" s="143"/>
      <c r="D238" s="143"/>
      <c r="E238" s="143"/>
      <c r="F238" s="143"/>
      <c r="G238" s="143"/>
      <c r="H238" s="143"/>
      <c r="I238" s="143"/>
    </row>
    <row r="239" ht="20.25" spans="1:9">
      <c r="A239" s="143"/>
      <c r="B239" s="143"/>
      <c r="C239" s="143"/>
      <c r="D239" s="143"/>
      <c r="E239" s="143"/>
      <c r="F239" s="143"/>
      <c r="G239" s="143"/>
      <c r="H239" s="143"/>
      <c r="I239" s="143"/>
    </row>
    <row r="240" ht="20.25" spans="1:9">
      <c r="A240" s="143"/>
      <c r="B240" s="143"/>
      <c r="C240" s="143"/>
      <c r="D240" s="143"/>
      <c r="E240" s="143"/>
      <c r="F240" s="143"/>
      <c r="G240" s="143"/>
      <c r="H240" s="143"/>
      <c r="I240" s="143"/>
    </row>
    <row r="241" ht="20.25" spans="1:9">
      <c r="A241" s="143"/>
      <c r="B241" s="143"/>
      <c r="C241" s="143"/>
      <c r="D241" s="143"/>
      <c r="E241" s="143"/>
      <c r="F241" s="143"/>
      <c r="G241" s="143"/>
      <c r="H241" s="143"/>
      <c r="I241" s="143"/>
    </row>
    <row r="242" ht="20.25" spans="1:9">
      <c r="A242" s="143"/>
      <c r="B242" s="143"/>
      <c r="C242" s="143"/>
      <c r="D242" s="143"/>
      <c r="E242" s="143"/>
      <c r="F242" s="143"/>
      <c r="G242" s="143"/>
      <c r="H242" s="143"/>
      <c r="I242" s="143"/>
    </row>
    <row r="243" ht="20.25" spans="1:9">
      <c r="A243" s="143"/>
      <c r="B243" s="143"/>
      <c r="C243" s="143"/>
      <c r="D243" s="143"/>
      <c r="E243" s="143"/>
      <c r="F243" s="143"/>
      <c r="G243" s="143"/>
      <c r="H243" s="143"/>
      <c r="I243" s="143"/>
    </row>
    <row r="244" ht="20.25" spans="1:9">
      <c r="A244" s="143"/>
      <c r="B244" s="143"/>
      <c r="C244" s="143"/>
      <c r="D244" s="143"/>
      <c r="E244" s="143"/>
      <c r="F244" s="143"/>
      <c r="G244" s="143"/>
      <c r="H244" s="143"/>
      <c r="I244" s="143"/>
    </row>
    <row r="245" ht="20.25" spans="1:9">
      <c r="A245" s="143"/>
      <c r="B245" s="143"/>
      <c r="C245" s="143"/>
      <c r="D245" s="143"/>
      <c r="E245" s="143"/>
      <c r="F245" s="143"/>
      <c r="G245" s="143"/>
      <c r="H245" s="143"/>
      <c r="I245" s="143"/>
    </row>
    <row r="246" ht="20.25" spans="1:9">
      <c r="A246" s="143"/>
      <c r="B246" s="143"/>
      <c r="C246" s="143"/>
      <c r="D246" s="143"/>
      <c r="E246" s="143"/>
      <c r="F246" s="143"/>
      <c r="G246" s="143"/>
      <c r="H246" s="143"/>
      <c r="I246" s="143"/>
    </row>
    <row r="247" ht="20.25" spans="1:9">
      <c r="A247" s="143"/>
      <c r="B247" s="143"/>
      <c r="C247" s="143"/>
      <c r="D247" s="143"/>
      <c r="E247" s="143"/>
      <c r="F247" s="143"/>
      <c r="G247" s="143"/>
      <c r="H247" s="143"/>
      <c r="I247" s="143"/>
    </row>
    <row r="248" ht="20.25" spans="1:9">
      <c r="A248" s="143"/>
      <c r="B248" s="143"/>
      <c r="C248" s="143"/>
      <c r="D248" s="143"/>
      <c r="E248" s="143"/>
      <c r="F248" s="143"/>
      <c r="G248" s="143"/>
      <c r="H248" s="143"/>
      <c r="I248" s="143"/>
    </row>
    <row r="249" ht="20.25" spans="1:9">
      <c r="A249" s="143"/>
      <c r="B249" s="143"/>
      <c r="C249" s="143"/>
      <c r="D249" s="143"/>
      <c r="E249" s="143"/>
      <c r="F249" s="143"/>
      <c r="G249" s="143"/>
      <c r="H249" s="143"/>
      <c r="I249" s="143"/>
    </row>
    <row r="250" ht="20.25" spans="1:9">
      <c r="A250" s="143"/>
      <c r="B250" s="143"/>
      <c r="C250" s="143"/>
      <c r="D250" s="143"/>
      <c r="E250" s="143"/>
      <c r="F250" s="143"/>
      <c r="G250" s="143"/>
      <c r="H250" s="143"/>
      <c r="I250" s="143"/>
    </row>
    <row r="251" ht="20.25" spans="1:9">
      <c r="A251" s="143"/>
      <c r="B251" s="143"/>
      <c r="C251" s="143"/>
      <c r="D251" s="143"/>
      <c r="E251" s="143"/>
      <c r="F251" s="143"/>
      <c r="G251" s="143"/>
      <c r="H251" s="143"/>
      <c r="I251" s="143"/>
    </row>
    <row r="252" ht="20.25" spans="1:9">
      <c r="A252" s="143"/>
      <c r="B252" s="143"/>
      <c r="C252" s="143"/>
      <c r="D252" s="143"/>
      <c r="E252" s="143"/>
      <c r="F252" s="143"/>
      <c r="G252" s="143"/>
      <c r="H252" s="143"/>
      <c r="I252" s="143"/>
    </row>
    <row r="253" ht="20.25" spans="1:9">
      <c r="A253" s="143"/>
      <c r="B253" s="143"/>
      <c r="C253" s="143"/>
      <c r="D253" s="143"/>
      <c r="E253" s="143"/>
      <c r="F253" s="143"/>
      <c r="G253" s="143"/>
      <c r="H253" s="143"/>
      <c r="I253" s="143"/>
    </row>
    <row r="254" ht="20.25" spans="1:9">
      <c r="A254" s="143"/>
      <c r="B254" s="143"/>
      <c r="C254" s="143"/>
      <c r="D254" s="143"/>
      <c r="E254" s="143"/>
      <c r="F254" s="143"/>
      <c r="G254" s="143"/>
      <c r="H254" s="143"/>
      <c r="I254" s="143"/>
    </row>
    <row r="255" ht="20.25" spans="1:9">
      <c r="A255" s="143"/>
      <c r="B255" s="143"/>
      <c r="C255" s="143"/>
      <c r="D255" s="143"/>
      <c r="E255" s="143"/>
      <c r="F255" s="143"/>
      <c r="G255" s="143"/>
      <c r="H255" s="143"/>
      <c r="I255" s="143"/>
    </row>
    <row r="256" ht="20.25" spans="1:9">
      <c r="A256" s="143"/>
      <c r="B256" s="143"/>
      <c r="C256" s="143"/>
      <c r="D256" s="143"/>
      <c r="E256" s="143"/>
      <c r="F256" s="143"/>
      <c r="G256" s="143"/>
      <c r="H256" s="143"/>
      <c r="I256" s="143"/>
    </row>
    <row r="257" ht="20.25" spans="1:9">
      <c r="A257" s="143"/>
      <c r="B257" s="143"/>
      <c r="C257" s="143"/>
      <c r="D257" s="143"/>
      <c r="E257" s="143"/>
      <c r="F257" s="143"/>
      <c r="G257" s="143"/>
      <c r="H257" s="143"/>
      <c r="I257" s="143"/>
    </row>
    <row r="258" ht="20.25" spans="1:9">
      <c r="A258" s="143"/>
      <c r="B258" s="143"/>
      <c r="C258" s="143"/>
      <c r="D258" s="143"/>
      <c r="E258" s="143"/>
      <c r="F258" s="143"/>
      <c r="G258" s="143"/>
      <c r="H258" s="143"/>
      <c r="I258" s="143"/>
    </row>
    <row r="259" ht="20.25" spans="1:9">
      <c r="A259" s="143"/>
      <c r="B259" s="143"/>
      <c r="C259" s="143"/>
      <c r="D259" s="143"/>
      <c r="E259" s="143"/>
      <c r="F259" s="143"/>
      <c r="G259" s="143"/>
      <c r="H259" s="143"/>
      <c r="I259" s="143"/>
    </row>
    <row r="260" ht="20.25" spans="1:9">
      <c r="A260" s="143"/>
      <c r="B260" s="143"/>
      <c r="C260" s="143"/>
      <c r="D260" s="143"/>
      <c r="E260" s="143"/>
      <c r="F260" s="143"/>
      <c r="G260" s="143"/>
      <c r="H260" s="143"/>
      <c r="I260" s="143"/>
    </row>
    <row r="261" ht="20.25" spans="1:9">
      <c r="A261" s="143"/>
      <c r="B261" s="143"/>
      <c r="C261" s="143"/>
      <c r="D261" s="143"/>
      <c r="E261" s="143"/>
      <c r="F261" s="143"/>
      <c r="G261" s="143"/>
      <c r="H261" s="143"/>
      <c r="I261" s="143"/>
    </row>
    <row r="262" ht="20.25" spans="1:9">
      <c r="A262" s="143"/>
      <c r="B262" s="143"/>
      <c r="C262" s="143"/>
      <c r="D262" s="143"/>
      <c r="E262" s="143"/>
      <c r="F262" s="143"/>
      <c r="G262" s="143"/>
      <c r="H262" s="143"/>
      <c r="I262" s="143"/>
    </row>
    <row r="263" ht="20.25" spans="1:9">
      <c r="A263" s="143"/>
      <c r="B263" s="143"/>
      <c r="C263" s="143"/>
      <c r="D263" s="143"/>
      <c r="E263" s="143"/>
      <c r="F263" s="143"/>
      <c r="G263" s="143"/>
      <c r="H263" s="143"/>
      <c r="I263" s="143"/>
    </row>
    <row r="264" ht="20.25" spans="1:9">
      <c r="A264" s="143"/>
      <c r="B264" s="143"/>
      <c r="C264" s="143"/>
      <c r="D264" s="143"/>
      <c r="E264" s="143"/>
      <c r="F264" s="143"/>
      <c r="G264" s="143"/>
      <c r="H264" s="143"/>
      <c r="I264" s="143"/>
    </row>
    <row r="265" ht="20.25" spans="1:9">
      <c r="A265" s="143"/>
      <c r="B265" s="143"/>
      <c r="C265" s="143"/>
      <c r="D265" s="143"/>
      <c r="E265" s="143"/>
      <c r="F265" s="143"/>
      <c r="G265" s="143"/>
      <c r="H265" s="143"/>
      <c r="I265" s="143"/>
    </row>
    <row r="266" ht="20.25" spans="1:9">
      <c r="A266" s="143"/>
      <c r="B266" s="143"/>
      <c r="C266" s="143"/>
      <c r="D266" s="143"/>
      <c r="E266" s="143"/>
      <c r="F266" s="143"/>
      <c r="G266" s="143"/>
      <c r="H266" s="143"/>
      <c r="I266" s="143"/>
    </row>
    <row r="267" ht="20.25" spans="1:9">
      <c r="A267" s="143"/>
      <c r="B267" s="143"/>
      <c r="C267" s="143"/>
      <c r="D267" s="143"/>
      <c r="E267" s="143"/>
      <c r="F267" s="143"/>
      <c r="G267" s="143"/>
      <c r="H267" s="143"/>
      <c r="I267" s="143"/>
    </row>
    <row r="268" ht="20.25" spans="1:9">
      <c r="A268" s="143"/>
      <c r="B268" s="143"/>
      <c r="C268" s="143"/>
      <c r="D268" s="143"/>
      <c r="E268" s="143"/>
      <c r="F268" s="143"/>
      <c r="G268" s="143"/>
      <c r="H268" s="143"/>
      <c r="I268" s="143"/>
    </row>
    <row r="269" ht="20.25" spans="1:9">
      <c r="A269" s="143"/>
      <c r="B269" s="143"/>
      <c r="C269" s="143"/>
      <c r="D269" s="143"/>
      <c r="E269" s="143"/>
      <c r="F269" s="143"/>
      <c r="G269" s="143"/>
      <c r="H269" s="143"/>
      <c r="I269" s="143"/>
    </row>
    <row r="270" ht="20.25" spans="1:9">
      <c r="A270" s="143"/>
      <c r="B270" s="143"/>
      <c r="C270" s="143"/>
      <c r="D270" s="143"/>
      <c r="E270" s="143"/>
      <c r="F270" s="143"/>
      <c r="G270" s="143"/>
      <c r="H270" s="143"/>
      <c r="I270" s="143"/>
    </row>
    <row r="271" ht="20.25" spans="1:9">
      <c r="A271" s="143"/>
      <c r="B271" s="143"/>
      <c r="C271" s="143"/>
      <c r="D271" s="143"/>
      <c r="E271" s="143"/>
      <c r="F271" s="143"/>
      <c r="G271" s="143"/>
      <c r="H271" s="143"/>
      <c r="I271" s="143"/>
    </row>
    <row r="272" ht="20.25" spans="1:9">
      <c r="A272" s="143"/>
      <c r="B272" s="143"/>
      <c r="C272" s="143"/>
      <c r="D272" s="143"/>
      <c r="E272" s="143"/>
      <c r="F272" s="143"/>
      <c r="G272" s="143"/>
      <c r="H272" s="143"/>
      <c r="I272" s="143"/>
    </row>
    <row r="273" ht="20.25" spans="1:9">
      <c r="A273" s="143"/>
      <c r="B273" s="143"/>
      <c r="C273" s="143"/>
      <c r="D273" s="143"/>
      <c r="E273" s="143"/>
      <c r="F273" s="143"/>
      <c r="G273" s="143"/>
      <c r="H273" s="143"/>
      <c r="I273" s="143"/>
    </row>
    <row r="274" ht="20.25" spans="1:9">
      <c r="A274" s="143"/>
      <c r="B274" s="143"/>
      <c r="C274" s="143"/>
      <c r="D274" s="143"/>
      <c r="E274" s="143"/>
      <c r="F274" s="143"/>
      <c r="G274" s="143"/>
      <c r="H274" s="143"/>
      <c r="I274" s="143"/>
    </row>
    <row r="275" ht="20.25" spans="1:9">
      <c r="A275" s="143"/>
      <c r="B275" s="143"/>
      <c r="C275" s="143"/>
      <c r="D275" s="143"/>
      <c r="E275" s="143"/>
      <c r="F275" s="143"/>
      <c r="G275" s="143"/>
      <c r="H275" s="143"/>
      <c r="I275" s="143"/>
    </row>
    <row r="276" ht="20.25" spans="1:9">
      <c r="A276" s="143"/>
      <c r="B276" s="143"/>
      <c r="C276" s="143"/>
      <c r="D276" s="143"/>
      <c r="E276" s="143"/>
      <c r="F276" s="143"/>
      <c r="G276" s="143"/>
      <c r="H276" s="143"/>
      <c r="I276" s="143"/>
    </row>
    <row r="277" ht="20.25" spans="1:9">
      <c r="A277" s="143"/>
      <c r="B277" s="143"/>
      <c r="C277" s="143"/>
      <c r="D277" s="143"/>
      <c r="E277" s="143"/>
      <c r="F277" s="143"/>
      <c r="G277" s="143"/>
      <c r="H277" s="143"/>
      <c r="I277" s="143"/>
    </row>
    <row r="278" ht="20.25" spans="1:9">
      <c r="A278" s="143"/>
      <c r="B278" s="143"/>
      <c r="C278" s="143"/>
      <c r="D278" s="143"/>
      <c r="E278" s="143"/>
      <c r="F278" s="143"/>
      <c r="G278" s="143"/>
      <c r="H278" s="143"/>
      <c r="I278" s="143"/>
    </row>
    <row r="279" ht="20.25" spans="1:9">
      <c r="A279" s="143"/>
      <c r="B279" s="143"/>
      <c r="C279" s="143"/>
      <c r="D279" s="143"/>
      <c r="E279" s="143"/>
      <c r="F279" s="143"/>
      <c r="G279" s="143"/>
      <c r="H279" s="143"/>
      <c r="I279" s="143"/>
    </row>
    <row r="280" ht="20.25" spans="1:9">
      <c r="A280" s="143"/>
      <c r="B280" s="143"/>
      <c r="C280" s="143"/>
      <c r="D280" s="143"/>
      <c r="E280" s="143"/>
      <c r="F280" s="143"/>
      <c r="G280" s="143"/>
      <c r="H280" s="143"/>
      <c r="I280" s="143"/>
    </row>
    <row r="281" ht="20.25" spans="1:9">
      <c r="A281" s="143"/>
      <c r="B281" s="143"/>
      <c r="C281" s="143"/>
      <c r="D281" s="143"/>
      <c r="E281" s="143"/>
      <c r="F281" s="143"/>
      <c r="G281" s="143"/>
      <c r="H281" s="143"/>
      <c r="I281" s="143"/>
    </row>
    <row r="282" ht="20.25" spans="1:9">
      <c r="A282" s="143"/>
      <c r="B282" s="143"/>
      <c r="C282" s="143"/>
      <c r="D282" s="143"/>
      <c r="E282" s="143"/>
      <c r="F282" s="143"/>
      <c r="G282" s="143"/>
      <c r="H282" s="143"/>
      <c r="I282" s="143"/>
    </row>
    <row r="283" ht="20.25" spans="1:9">
      <c r="A283" s="143"/>
      <c r="B283" s="143"/>
      <c r="C283" s="143"/>
      <c r="D283" s="143"/>
      <c r="E283" s="143"/>
      <c r="F283" s="143"/>
      <c r="G283" s="143"/>
      <c r="H283" s="143"/>
      <c r="I283" s="143"/>
    </row>
    <row r="284" ht="20.25" spans="1:9">
      <c r="A284" s="143"/>
      <c r="B284" s="143"/>
      <c r="C284" s="143"/>
      <c r="D284" s="143"/>
      <c r="E284" s="143"/>
      <c r="F284" s="143"/>
      <c r="G284" s="143"/>
      <c r="H284" s="143"/>
      <c r="I284" s="143"/>
    </row>
    <row r="285" ht="20.25" spans="1:9">
      <c r="A285" s="143"/>
      <c r="B285" s="143"/>
      <c r="C285" s="143"/>
      <c r="D285" s="143"/>
      <c r="E285" s="143"/>
      <c r="F285" s="143"/>
      <c r="G285" s="143"/>
      <c r="H285" s="143"/>
      <c r="I285" s="143"/>
    </row>
    <row r="286" ht="20.25" spans="1:9">
      <c r="A286" s="143"/>
      <c r="B286" s="143"/>
      <c r="C286" s="143"/>
      <c r="D286" s="143"/>
      <c r="E286" s="143"/>
      <c r="F286" s="143"/>
      <c r="G286" s="143"/>
      <c r="H286" s="143"/>
      <c r="I286" s="143"/>
    </row>
    <row r="287" ht="20.25" spans="1:9">
      <c r="A287" s="143"/>
      <c r="B287" s="143"/>
      <c r="C287" s="143"/>
      <c r="D287" s="143"/>
      <c r="E287" s="143"/>
      <c r="F287" s="143"/>
      <c r="G287" s="143"/>
      <c r="H287" s="143"/>
      <c r="I287" s="143"/>
    </row>
    <row r="288" ht="20.25" spans="1:9">
      <c r="A288" s="143"/>
      <c r="B288" s="143"/>
      <c r="C288" s="143"/>
      <c r="D288" s="143"/>
      <c r="E288" s="143"/>
      <c r="F288" s="143"/>
      <c r="G288" s="143"/>
      <c r="H288" s="143"/>
      <c r="I288" s="143"/>
    </row>
    <row r="289" ht="20.25" spans="1:9">
      <c r="A289" s="143"/>
      <c r="B289" s="143"/>
      <c r="C289" s="143"/>
      <c r="D289" s="143"/>
      <c r="E289" s="143"/>
      <c r="F289" s="143"/>
      <c r="G289" s="143"/>
      <c r="H289" s="143"/>
      <c r="I289" s="143"/>
    </row>
    <row r="290" ht="20.25" spans="1:9">
      <c r="A290" s="143"/>
      <c r="B290" s="143"/>
      <c r="C290" s="143"/>
      <c r="D290" s="143"/>
      <c r="E290" s="143"/>
      <c r="F290" s="143"/>
      <c r="G290" s="143"/>
      <c r="H290" s="143"/>
      <c r="I290" s="143"/>
    </row>
    <row r="291" ht="20.25" spans="1:9">
      <c r="A291" s="143"/>
      <c r="B291" s="143"/>
      <c r="C291" s="143"/>
      <c r="D291" s="143"/>
      <c r="E291" s="143"/>
      <c r="F291" s="143"/>
      <c r="G291" s="143"/>
      <c r="H291" s="143"/>
      <c r="I291" s="143"/>
    </row>
    <row r="292" ht="20.25" spans="1:9">
      <c r="A292" s="143"/>
      <c r="B292" s="143"/>
      <c r="C292" s="143"/>
      <c r="D292" s="143"/>
      <c r="E292" s="143"/>
      <c r="F292" s="143"/>
      <c r="G292" s="143"/>
      <c r="H292" s="143"/>
      <c r="I292" s="143"/>
    </row>
    <row r="293" ht="20.25" spans="1:9">
      <c r="A293" s="143"/>
      <c r="B293" s="143"/>
      <c r="C293" s="143"/>
      <c r="D293" s="143"/>
      <c r="E293" s="143"/>
      <c r="F293" s="143"/>
      <c r="G293" s="143"/>
      <c r="H293" s="143"/>
      <c r="I293" s="143"/>
    </row>
    <row r="294" ht="20.25" spans="1:9">
      <c r="A294" s="143"/>
      <c r="B294" s="143"/>
      <c r="C294" s="143"/>
      <c r="D294" s="143"/>
      <c r="E294" s="143"/>
      <c r="F294" s="143"/>
      <c r="G294" s="143"/>
      <c r="H294" s="143"/>
      <c r="I294" s="143"/>
    </row>
    <row r="295" ht="20.25" spans="1:9">
      <c r="A295" s="143"/>
      <c r="B295" s="143"/>
      <c r="C295" s="143"/>
      <c r="D295" s="143"/>
      <c r="E295" s="143"/>
      <c r="F295" s="143"/>
      <c r="G295" s="143"/>
      <c r="H295" s="143"/>
      <c r="I295" s="143"/>
    </row>
    <row r="296" ht="20.25" spans="1:9">
      <c r="A296" s="143"/>
      <c r="B296" s="143"/>
      <c r="C296" s="143"/>
      <c r="D296" s="143"/>
      <c r="E296" s="143"/>
      <c r="F296" s="143"/>
      <c r="G296" s="143"/>
      <c r="H296" s="143"/>
      <c r="I296" s="143"/>
    </row>
    <row r="297" ht="20.25" spans="1:9">
      <c r="A297" s="143"/>
      <c r="B297" s="143"/>
      <c r="C297" s="143"/>
      <c r="D297" s="143"/>
      <c r="E297" s="143"/>
      <c r="F297" s="143"/>
      <c r="G297" s="143"/>
      <c r="H297" s="143"/>
      <c r="I297" s="143"/>
    </row>
    <row r="298" ht="20.25" spans="1:9">
      <c r="A298" s="143"/>
      <c r="B298" s="143"/>
      <c r="C298" s="143"/>
      <c r="D298" s="143"/>
      <c r="E298" s="143"/>
      <c r="F298" s="143"/>
      <c r="G298" s="143"/>
      <c r="H298" s="143"/>
      <c r="I298" s="143"/>
    </row>
    <row r="299" ht="20.25" spans="1:9">
      <c r="A299" s="143"/>
      <c r="B299" s="143"/>
      <c r="C299" s="143"/>
      <c r="D299" s="143"/>
      <c r="E299" s="143"/>
      <c r="F299" s="143"/>
      <c r="G299" s="143"/>
      <c r="H299" s="143"/>
      <c r="I299" s="143"/>
    </row>
    <row r="300" ht="20.25" spans="1:9">
      <c r="A300" s="143"/>
      <c r="B300" s="143"/>
      <c r="C300" s="143"/>
      <c r="D300" s="143"/>
      <c r="E300" s="143"/>
      <c r="F300" s="143"/>
      <c r="G300" s="143"/>
      <c r="H300" s="143"/>
      <c r="I300" s="143"/>
    </row>
    <row r="301" ht="20.25" spans="1:9">
      <c r="A301" s="143"/>
      <c r="B301" s="143"/>
      <c r="C301" s="143"/>
      <c r="D301" s="143"/>
      <c r="E301" s="143"/>
      <c r="F301" s="143"/>
      <c r="G301" s="143"/>
      <c r="H301" s="143"/>
      <c r="I301" s="143"/>
    </row>
    <row r="302" ht="20.25" spans="1:9">
      <c r="A302" s="143"/>
      <c r="B302" s="143"/>
      <c r="C302" s="143"/>
      <c r="D302" s="143"/>
      <c r="E302" s="143"/>
      <c r="F302" s="143"/>
      <c r="G302" s="143"/>
      <c r="H302" s="143"/>
      <c r="I302" s="143"/>
    </row>
    <row r="303" ht="20.25" spans="1:9">
      <c r="A303" s="143"/>
      <c r="B303" s="143"/>
      <c r="C303" s="143"/>
      <c r="D303" s="143"/>
      <c r="E303" s="143"/>
      <c r="F303" s="143"/>
      <c r="G303" s="143"/>
      <c r="H303" s="143"/>
      <c r="I303" s="143"/>
    </row>
    <row r="304" ht="20.25" spans="1:9">
      <c r="A304" s="143"/>
      <c r="B304" s="143"/>
      <c r="C304" s="143"/>
      <c r="D304" s="143"/>
      <c r="E304" s="143"/>
      <c r="F304" s="143"/>
      <c r="G304" s="143"/>
      <c r="H304" s="143"/>
      <c r="I304" s="143"/>
    </row>
    <row r="305" ht="20.25" spans="1:9">
      <c r="A305" s="143"/>
      <c r="B305" s="143"/>
      <c r="C305" s="143"/>
      <c r="D305" s="143"/>
      <c r="E305" s="143"/>
      <c r="F305" s="143"/>
      <c r="G305" s="143"/>
      <c r="H305" s="143"/>
      <c r="I305" s="143"/>
    </row>
    <row r="306" ht="20.25" spans="1:9">
      <c r="A306" s="143"/>
      <c r="B306" s="143"/>
      <c r="C306" s="143"/>
      <c r="D306" s="143"/>
      <c r="E306" s="143"/>
      <c r="F306" s="143"/>
      <c r="G306" s="143"/>
      <c r="H306" s="143"/>
      <c r="I306" s="143"/>
    </row>
    <row r="307" ht="20.25" spans="1:9">
      <c r="A307" s="143"/>
      <c r="B307" s="143"/>
      <c r="C307" s="143"/>
      <c r="D307" s="143"/>
      <c r="E307" s="143"/>
      <c r="F307" s="143"/>
      <c r="G307" s="143"/>
      <c r="H307" s="143"/>
      <c r="I307" s="143"/>
    </row>
    <row r="308" ht="20.25" spans="1:9">
      <c r="A308" s="143"/>
      <c r="B308" s="143"/>
      <c r="C308" s="143"/>
      <c r="D308" s="143"/>
      <c r="E308" s="143"/>
      <c r="F308" s="143"/>
      <c r="G308" s="143"/>
      <c r="H308" s="143"/>
      <c r="I308" s="143"/>
    </row>
    <row r="309" ht="20.25" spans="1:9">
      <c r="A309" s="143"/>
      <c r="B309" s="143"/>
      <c r="C309" s="143"/>
      <c r="D309" s="143"/>
      <c r="E309" s="143"/>
      <c r="F309" s="143"/>
      <c r="G309" s="143"/>
      <c r="H309" s="143"/>
      <c r="I309" s="143"/>
    </row>
    <row r="310" ht="20.25" spans="1:9">
      <c r="A310" s="143"/>
      <c r="B310" s="143"/>
      <c r="C310" s="143"/>
      <c r="D310" s="143"/>
      <c r="E310" s="143"/>
      <c r="F310" s="143"/>
      <c r="G310" s="143"/>
      <c r="H310" s="143"/>
      <c r="I310" s="143"/>
    </row>
    <row r="311" ht="20.25" spans="1:9">
      <c r="A311" s="143"/>
      <c r="B311" s="143"/>
      <c r="C311" s="143"/>
      <c r="D311" s="143"/>
      <c r="E311" s="143"/>
      <c r="F311" s="143"/>
      <c r="G311" s="143"/>
      <c r="H311" s="143"/>
      <c r="I311" s="143"/>
    </row>
    <row r="312" ht="20.25" spans="1:9">
      <c r="A312" s="143"/>
      <c r="B312" s="143"/>
      <c r="C312" s="143"/>
      <c r="D312" s="143"/>
      <c r="E312" s="143"/>
      <c r="F312" s="143"/>
      <c r="G312" s="143"/>
      <c r="H312" s="143"/>
      <c r="I312" s="143"/>
    </row>
    <row r="313" ht="20.25" spans="1:9">
      <c r="A313" s="143"/>
      <c r="B313" s="143"/>
      <c r="C313" s="143"/>
      <c r="D313" s="143"/>
      <c r="E313" s="143"/>
      <c r="F313" s="143"/>
      <c r="G313" s="143"/>
      <c r="H313" s="143"/>
      <c r="I313" s="143"/>
    </row>
    <row r="314" ht="20.25" spans="1:9">
      <c r="A314" s="143"/>
      <c r="B314" s="143"/>
      <c r="C314" s="143"/>
      <c r="D314" s="143"/>
      <c r="E314" s="143"/>
      <c r="F314" s="143"/>
      <c r="G314" s="143"/>
      <c r="H314" s="143"/>
      <c r="I314" s="143"/>
    </row>
    <row r="315" ht="20.25" spans="1:9">
      <c r="A315" s="143"/>
      <c r="B315" s="143"/>
      <c r="C315" s="143"/>
      <c r="D315" s="143"/>
      <c r="E315" s="143"/>
      <c r="F315" s="143"/>
      <c r="G315" s="143"/>
      <c r="H315" s="143"/>
      <c r="I315" s="143"/>
    </row>
    <row r="316" ht="20.25" spans="1:9">
      <c r="A316" s="143"/>
      <c r="B316" s="143"/>
      <c r="C316" s="143"/>
      <c r="D316" s="143"/>
      <c r="E316" s="143"/>
      <c r="F316" s="143"/>
      <c r="G316" s="143"/>
      <c r="H316" s="143"/>
      <c r="I316" s="143"/>
    </row>
    <row r="317" ht="20.25" spans="1:9">
      <c r="A317" s="143"/>
      <c r="B317" s="143"/>
      <c r="C317" s="143"/>
      <c r="D317" s="143"/>
      <c r="E317" s="143"/>
      <c r="F317" s="143"/>
      <c r="G317" s="143"/>
      <c r="H317" s="143"/>
      <c r="I317" s="143"/>
    </row>
    <row r="318" ht="20.25" spans="1:9">
      <c r="A318" s="143"/>
      <c r="B318" s="143"/>
      <c r="C318" s="143"/>
      <c r="D318" s="143"/>
      <c r="E318" s="143"/>
      <c r="F318" s="143"/>
      <c r="G318" s="143"/>
      <c r="H318" s="143"/>
      <c r="I318" s="143"/>
    </row>
    <row r="319" ht="20.25" spans="1:9">
      <c r="A319" s="143"/>
      <c r="B319" s="143"/>
      <c r="C319" s="143"/>
      <c r="D319" s="143"/>
      <c r="E319" s="143"/>
      <c r="F319" s="143"/>
      <c r="G319" s="143"/>
      <c r="H319" s="143"/>
      <c r="I319" s="143"/>
    </row>
    <row r="320" ht="20.25" spans="1:9">
      <c r="A320" s="143"/>
      <c r="B320" s="143"/>
      <c r="C320" s="143"/>
      <c r="D320" s="143"/>
      <c r="E320" s="143"/>
      <c r="F320" s="143"/>
      <c r="G320" s="143"/>
      <c r="H320" s="143"/>
      <c r="I320" s="143"/>
    </row>
    <row r="321" ht="20.25" spans="1:9">
      <c r="A321" s="143"/>
      <c r="B321" s="143"/>
      <c r="C321" s="143"/>
      <c r="D321" s="143"/>
      <c r="E321" s="143"/>
      <c r="F321" s="143"/>
      <c r="G321" s="143"/>
      <c r="H321" s="143"/>
      <c r="I321" s="143"/>
    </row>
    <row r="322" ht="20.25" spans="1:9">
      <c r="A322" s="143"/>
      <c r="B322" s="143"/>
      <c r="C322" s="143"/>
      <c r="D322" s="143"/>
      <c r="E322" s="143"/>
      <c r="F322" s="143"/>
      <c r="G322" s="143"/>
      <c r="H322" s="143"/>
      <c r="I322" s="143"/>
    </row>
    <row r="323" ht="20.25" spans="1:9">
      <c r="A323" s="143"/>
      <c r="B323" s="143"/>
      <c r="C323" s="143"/>
      <c r="D323" s="143"/>
      <c r="E323" s="143"/>
      <c r="F323" s="143"/>
      <c r="G323" s="143"/>
      <c r="H323" s="143"/>
      <c r="I323" s="143"/>
    </row>
    <row r="324" ht="20.25" spans="1:9">
      <c r="A324" s="143"/>
      <c r="B324" s="143"/>
      <c r="C324" s="143"/>
      <c r="D324" s="143"/>
      <c r="E324" s="143"/>
      <c r="F324" s="143"/>
      <c r="G324" s="143"/>
      <c r="H324" s="143"/>
      <c r="I324" s="143"/>
    </row>
    <row r="325" ht="20.25" spans="1:9">
      <c r="A325" s="143"/>
      <c r="B325" s="143"/>
      <c r="C325" s="143"/>
      <c r="D325" s="143"/>
      <c r="E325" s="143"/>
      <c r="F325" s="143"/>
      <c r="G325" s="143"/>
      <c r="H325" s="143"/>
      <c r="I325" s="143"/>
    </row>
    <row r="326" ht="20.25" spans="1:9">
      <c r="A326" s="143"/>
      <c r="B326" s="143"/>
      <c r="C326" s="143"/>
      <c r="D326" s="143"/>
      <c r="E326" s="143"/>
      <c r="F326" s="143"/>
      <c r="G326" s="143"/>
      <c r="H326" s="143"/>
      <c r="I326" s="143"/>
    </row>
    <row r="327" ht="20.25" spans="1:9">
      <c r="A327" s="143"/>
      <c r="B327" s="143"/>
      <c r="C327" s="143"/>
      <c r="D327" s="143"/>
      <c r="E327" s="143"/>
      <c r="F327" s="143"/>
      <c r="G327" s="143"/>
      <c r="H327" s="143"/>
      <c r="I327" s="143"/>
    </row>
    <row r="328" ht="20.25" spans="1:9">
      <c r="A328" s="143"/>
      <c r="B328" s="143"/>
      <c r="C328" s="143"/>
      <c r="D328" s="143"/>
      <c r="E328" s="143"/>
      <c r="F328" s="143"/>
      <c r="G328" s="143"/>
      <c r="H328" s="143"/>
      <c r="I328" s="143"/>
    </row>
    <row r="329" ht="20.25" spans="1:9">
      <c r="A329" s="143"/>
      <c r="B329" s="143"/>
      <c r="C329" s="143"/>
      <c r="D329" s="143"/>
      <c r="E329" s="143"/>
      <c r="F329" s="143"/>
      <c r="G329" s="143"/>
      <c r="H329" s="143"/>
      <c r="I329" s="143"/>
    </row>
    <row r="330" ht="20.25" spans="1:9">
      <c r="A330" s="143"/>
      <c r="B330" s="143"/>
      <c r="C330" s="143"/>
      <c r="D330" s="143"/>
      <c r="E330" s="143"/>
      <c r="F330" s="143"/>
      <c r="G330" s="143"/>
      <c r="H330" s="143"/>
      <c r="I330" s="143"/>
    </row>
    <row r="331" ht="20.25" spans="1:9">
      <c r="A331" s="143"/>
      <c r="B331" s="143"/>
      <c r="C331" s="143"/>
      <c r="D331" s="143"/>
      <c r="E331" s="143"/>
      <c r="F331" s="143"/>
      <c r="G331" s="143"/>
      <c r="H331" s="143"/>
      <c r="I331" s="143"/>
    </row>
    <row r="332" ht="20.25" spans="1:9">
      <c r="A332" s="143"/>
      <c r="B332" s="143"/>
      <c r="C332" s="143"/>
      <c r="D332" s="143"/>
      <c r="E332" s="143"/>
      <c r="F332" s="143"/>
      <c r="G332" s="143"/>
      <c r="H332" s="143"/>
      <c r="I332" s="143"/>
    </row>
    <row r="333" ht="20.25" spans="1:9">
      <c r="A333" s="143"/>
      <c r="B333" s="143"/>
      <c r="C333" s="143"/>
      <c r="D333" s="143"/>
      <c r="E333" s="143"/>
      <c r="F333" s="143"/>
      <c r="G333" s="143"/>
      <c r="H333" s="143"/>
      <c r="I333" s="143"/>
    </row>
    <row r="334" ht="20.25" spans="1:9">
      <c r="A334" s="143"/>
      <c r="B334" s="143"/>
      <c r="C334" s="143"/>
      <c r="D334" s="143"/>
      <c r="E334" s="143"/>
      <c r="F334" s="143"/>
      <c r="G334" s="143"/>
      <c r="H334" s="143"/>
      <c r="I334" s="143"/>
    </row>
    <row r="335" ht="20.25" spans="1:9">
      <c r="A335" s="143"/>
      <c r="B335" s="143"/>
      <c r="C335" s="143"/>
      <c r="D335" s="143"/>
      <c r="E335" s="143"/>
      <c r="F335" s="143"/>
      <c r="G335" s="143"/>
      <c r="H335" s="143"/>
      <c r="I335" s="143"/>
    </row>
    <row r="336" ht="20.25" spans="1:9">
      <c r="A336" s="143"/>
      <c r="B336" s="143"/>
      <c r="C336" s="143"/>
      <c r="D336" s="143"/>
      <c r="E336" s="143"/>
      <c r="F336" s="143"/>
      <c r="G336" s="143"/>
      <c r="H336" s="143"/>
      <c r="I336" s="143"/>
    </row>
    <row r="337" ht="20.25" spans="1:9">
      <c r="A337" s="143"/>
      <c r="B337" s="143"/>
      <c r="C337" s="143"/>
      <c r="D337" s="143"/>
      <c r="E337" s="143"/>
      <c r="F337" s="143"/>
      <c r="G337" s="143"/>
      <c r="H337" s="143"/>
      <c r="I337" s="143"/>
    </row>
    <row r="338" ht="20.25" spans="1:9">
      <c r="A338" s="143"/>
      <c r="B338" s="143"/>
      <c r="C338" s="143"/>
      <c r="D338" s="143"/>
      <c r="E338" s="143"/>
      <c r="F338" s="143"/>
      <c r="G338" s="143"/>
      <c r="H338" s="143"/>
      <c r="I338" s="143"/>
    </row>
    <row r="339" ht="20.25" spans="1:9">
      <c r="A339" s="143"/>
      <c r="B339" s="143"/>
      <c r="C339" s="143"/>
      <c r="D339" s="143"/>
      <c r="E339" s="143"/>
      <c r="F339" s="143"/>
      <c r="G339" s="143"/>
      <c r="H339" s="143"/>
      <c r="I339" s="143"/>
    </row>
    <row r="340" ht="20.25" spans="1:9">
      <c r="A340" s="143"/>
      <c r="B340" s="143"/>
      <c r="C340" s="143"/>
      <c r="D340" s="143"/>
      <c r="E340" s="143"/>
      <c r="F340" s="143"/>
      <c r="G340" s="143"/>
      <c r="H340" s="143"/>
      <c r="I340" s="143"/>
    </row>
    <row r="341" ht="20.25" spans="1:9">
      <c r="A341" s="143"/>
      <c r="B341" s="143"/>
      <c r="C341" s="143"/>
      <c r="D341" s="143"/>
      <c r="E341" s="143"/>
      <c r="F341" s="143"/>
      <c r="G341" s="143"/>
      <c r="H341" s="143"/>
      <c r="I341" s="143"/>
    </row>
    <row r="342" ht="20.25" spans="1:9">
      <c r="A342" s="143"/>
      <c r="B342" s="143"/>
      <c r="C342" s="143"/>
      <c r="D342" s="143"/>
      <c r="E342" s="143"/>
      <c r="F342" s="143"/>
      <c r="G342" s="143"/>
      <c r="H342" s="143"/>
      <c r="I342" s="143"/>
    </row>
    <row r="343" ht="20.25" spans="1:9">
      <c r="A343" s="143"/>
      <c r="B343" s="143"/>
      <c r="C343" s="143"/>
      <c r="D343" s="143"/>
      <c r="E343" s="143"/>
      <c r="F343" s="143"/>
      <c r="G343" s="143"/>
      <c r="H343" s="143"/>
      <c r="I343" s="143"/>
    </row>
    <row r="344" ht="20.25" spans="1:9">
      <c r="A344" s="143"/>
      <c r="B344" s="143"/>
      <c r="C344" s="143"/>
      <c r="D344" s="143"/>
      <c r="E344" s="143"/>
      <c r="F344" s="143"/>
      <c r="G344" s="143"/>
      <c r="H344" s="143"/>
      <c r="I344" s="143"/>
    </row>
    <row r="345" ht="20.25" spans="1:9">
      <c r="A345" s="143"/>
      <c r="B345" s="143"/>
      <c r="C345" s="143"/>
      <c r="D345" s="143"/>
      <c r="E345" s="143"/>
      <c r="F345" s="143"/>
      <c r="G345" s="143"/>
      <c r="H345" s="143"/>
      <c r="I345" s="143"/>
    </row>
    <row r="346" ht="20.25" spans="1:9">
      <c r="A346" s="143"/>
      <c r="B346" s="143"/>
      <c r="C346" s="143"/>
      <c r="D346" s="143"/>
      <c r="E346" s="143"/>
      <c r="F346" s="143"/>
      <c r="G346" s="143"/>
      <c r="H346" s="143"/>
      <c r="I346" s="143"/>
    </row>
    <row r="347" ht="20.25" spans="1:9">
      <c r="A347" s="143"/>
      <c r="B347" s="143"/>
      <c r="C347" s="143"/>
      <c r="D347" s="143"/>
      <c r="E347" s="143"/>
      <c r="F347" s="143"/>
      <c r="G347" s="143"/>
      <c r="H347" s="143"/>
      <c r="I347" s="143"/>
    </row>
    <row r="348" ht="20.25" spans="1:9">
      <c r="A348" s="143"/>
      <c r="B348" s="143"/>
      <c r="C348" s="143"/>
      <c r="D348" s="143"/>
      <c r="E348" s="143"/>
      <c r="F348" s="143"/>
      <c r="G348" s="143"/>
      <c r="H348" s="143"/>
      <c r="I348" s="143"/>
    </row>
    <row r="349" ht="20.25" spans="1:9">
      <c r="A349" s="143"/>
      <c r="B349" s="143"/>
      <c r="C349" s="143"/>
      <c r="D349" s="143"/>
      <c r="E349" s="143"/>
      <c r="F349" s="143"/>
      <c r="G349" s="143"/>
      <c r="H349" s="143"/>
      <c r="I349" s="143"/>
    </row>
    <row r="350" ht="20.25" spans="1:9">
      <c r="A350" s="143"/>
      <c r="B350" s="143"/>
      <c r="C350" s="143"/>
      <c r="D350" s="143"/>
      <c r="E350" s="143"/>
      <c r="F350" s="143"/>
      <c r="G350" s="143"/>
      <c r="H350" s="143"/>
      <c r="I350" s="143"/>
    </row>
    <row r="351" ht="20.25" spans="1:9">
      <c r="A351" s="143"/>
      <c r="B351" s="143"/>
      <c r="C351" s="143"/>
      <c r="D351" s="143"/>
      <c r="E351" s="143"/>
      <c r="F351" s="143"/>
      <c r="G351" s="143"/>
      <c r="H351" s="143"/>
      <c r="I351" s="143"/>
    </row>
    <row r="352" ht="20.25" spans="1:9">
      <c r="A352" s="143"/>
      <c r="B352" s="143"/>
      <c r="C352" s="143"/>
      <c r="D352" s="143"/>
      <c r="E352" s="143"/>
      <c r="F352" s="143"/>
      <c r="G352" s="143"/>
      <c r="H352" s="143"/>
      <c r="I352" s="143"/>
    </row>
    <row r="353" ht="20.25" spans="1:9">
      <c r="A353" s="143"/>
      <c r="B353" s="143"/>
      <c r="C353" s="143"/>
      <c r="D353" s="143"/>
      <c r="E353" s="143"/>
      <c r="F353" s="143"/>
      <c r="G353" s="143"/>
      <c r="H353" s="143"/>
      <c r="I353" s="143"/>
    </row>
    <row r="354" ht="20.25" spans="1:9">
      <c r="A354" s="143"/>
      <c r="B354" s="143"/>
      <c r="C354" s="143"/>
      <c r="D354" s="143"/>
      <c r="E354" s="143"/>
      <c r="F354" s="143"/>
      <c r="G354" s="143"/>
      <c r="H354" s="143"/>
      <c r="I354" s="143"/>
    </row>
    <row r="355" ht="20.25" spans="1:9">
      <c r="A355" s="143"/>
      <c r="B355" s="143"/>
      <c r="C355" s="143"/>
      <c r="D355" s="143"/>
      <c r="E355" s="143"/>
      <c r="F355" s="143"/>
      <c r="G355" s="143"/>
      <c r="H355" s="143"/>
      <c r="I355" s="143"/>
    </row>
    <row r="356" ht="20.25" spans="1:9">
      <c r="A356" s="143"/>
      <c r="B356" s="143"/>
      <c r="C356" s="143"/>
      <c r="D356" s="143"/>
      <c r="E356" s="143"/>
      <c r="F356" s="143"/>
      <c r="G356" s="143"/>
      <c r="H356" s="143"/>
      <c r="I356" s="143"/>
    </row>
    <row r="357" ht="20.25" spans="1:9">
      <c r="A357" s="143"/>
      <c r="B357" s="143"/>
      <c r="C357" s="143"/>
      <c r="D357" s="143"/>
      <c r="E357" s="143"/>
      <c r="F357" s="143"/>
      <c r="G357" s="143"/>
      <c r="H357" s="143"/>
      <c r="I357" s="143"/>
    </row>
    <row r="358" ht="20.25" spans="1:9">
      <c r="A358" s="143"/>
      <c r="B358" s="143"/>
      <c r="C358" s="143"/>
      <c r="D358" s="143"/>
      <c r="E358" s="143"/>
      <c r="F358" s="143"/>
      <c r="G358" s="143"/>
      <c r="H358" s="143"/>
      <c r="I358" s="143"/>
    </row>
    <row r="359" ht="20.25" spans="1:9">
      <c r="A359" s="143"/>
      <c r="B359" s="143"/>
      <c r="C359" s="143"/>
      <c r="D359" s="143"/>
      <c r="E359" s="143"/>
      <c r="F359" s="143"/>
      <c r="G359" s="143"/>
      <c r="H359" s="143"/>
      <c r="I359" s="143"/>
    </row>
    <row r="360" ht="20.25" spans="1:9">
      <c r="A360" s="143"/>
      <c r="B360" s="143"/>
      <c r="C360" s="143"/>
      <c r="D360" s="143"/>
      <c r="E360" s="143"/>
      <c r="F360" s="143"/>
      <c r="G360" s="143"/>
      <c r="H360" s="143"/>
      <c r="I360" s="143"/>
    </row>
    <row r="361" ht="20.25" spans="1:9">
      <c r="A361" s="143"/>
      <c r="B361" s="143"/>
      <c r="C361" s="143"/>
      <c r="D361" s="143"/>
      <c r="E361" s="143"/>
      <c r="F361" s="143"/>
      <c r="G361" s="143"/>
      <c r="H361" s="143"/>
      <c r="I361" s="143"/>
    </row>
    <row r="362" ht="20.25" spans="1:9">
      <c r="A362" s="143"/>
      <c r="B362" s="143"/>
      <c r="C362" s="143"/>
      <c r="D362" s="143"/>
      <c r="E362" s="143"/>
      <c r="F362" s="143"/>
      <c r="G362" s="143"/>
      <c r="H362" s="143"/>
      <c r="I362" s="143"/>
    </row>
    <row r="363" ht="20.25" spans="1:9">
      <c r="A363" s="143"/>
      <c r="B363" s="143"/>
      <c r="C363" s="143"/>
      <c r="D363" s="143"/>
      <c r="E363" s="143"/>
      <c r="F363" s="143"/>
      <c r="G363" s="143"/>
      <c r="H363" s="143"/>
      <c r="I363" s="143"/>
    </row>
    <row r="364" ht="20.25" spans="1:9">
      <c r="A364" s="143"/>
      <c r="B364" s="143"/>
      <c r="C364" s="143"/>
      <c r="D364" s="143"/>
      <c r="E364" s="143"/>
      <c r="F364" s="143"/>
      <c r="G364" s="143"/>
      <c r="H364" s="143"/>
      <c r="I364" s="143"/>
    </row>
    <row r="365" ht="20.25" spans="1:9">
      <c r="A365" s="143"/>
      <c r="B365" s="143"/>
      <c r="C365" s="143"/>
      <c r="D365" s="143"/>
      <c r="E365" s="143"/>
      <c r="F365" s="143"/>
      <c r="G365" s="143"/>
      <c r="H365" s="143"/>
      <c r="I365" s="143"/>
    </row>
    <row r="366" ht="20.25" spans="1:9">
      <c r="A366" s="143"/>
      <c r="B366" s="143"/>
      <c r="C366" s="143"/>
      <c r="D366" s="143"/>
      <c r="E366" s="143"/>
      <c r="F366" s="143"/>
      <c r="G366" s="143"/>
      <c r="H366" s="143"/>
      <c r="I366" s="143"/>
    </row>
    <row r="367" ht="20.25" spans="1:9">
      <c r="A367" s="143"/>
      <c r="B367" s="143"/>
      <c r="C367" s="143"/>
      <c r="D367" s="143"/>
      <c r="E367" s="143"/>
      <c r="F367" s="143"/>
      <c r="G367" s="143"/>
      <c r="H367" s="143"/>
      <c r="I367" s="143"/>
    </row>
    <row r="368" ht="20.25" spans="1:9">
      <c r="A368" s="143"/>
      <c r="B368" s="143"/>
      <c r="C368" s="143"/>
      <c r="D368" s="143"/>
      <c r="E368" s="143"/>
      <c r="F368" s="143"/>
      <c r="G368" s="143"/>
      <c r="H368" s="143"/>
      <c r="I368" s="143"/>
    </row>
    <row r="369" ht="20.25" spans="1:9">
      <c r="A369" s="143"/>
      <c r="B369" s="143"/>
      <c r="C369" s="143"/>
      <c r="D369" s="143"/>
      <c r="E369" s="143"/>
      <c r="F369" s="143"/>
      <c r="G369" s="143"/>
      <c r="H369" s="143"/>
      <c r="I369" s="143"/>
    </row>
    <row r="370" ht="20.25" spans="1:9">
      <c r="A370" s="143"/>
      <c r="B370" s="143"/>
      <c r="C370" s="143"/>
      <c r="D370" s="143"/>
      <c r="E370" s="143"/>
      <c r="F370" s="143"/>
      <c r="G370" s="143"/>
      <c r="H370" s="143"/>
      <c r="I370" s="143"/>
    </row>
    <row r="371" ht="20.25" spans="1:9">
      <c r="A371" s="143"/>
      <c r="B371" s="143"/>
      <c r="C371" s="143"/>
      <c r="D371" s="143"/>
      <c r="E371" s="143"/>
      <c r="F371" s="143"/>
      <c r="G371" s="143"/>
      <c r="H371" s="143"/>
      <c r="I371" s="143"/>
    </row>
    <row r="372" ht="20.25" spans="1:9">
      <c r="A372" s="143"/>
      <c r="B372" s="143"/>
      <c r="C372" s="143"/>
      <c r="D372" s="143"/>
      <c r="E372" s="143"/>
      <c r="F372" s="143"/>
      <c r="G372" s="143"/>
      <c r="H372" s="143"/>
      <c r="I372" s="143"/>
    </row>
    <row r="373" ht="20.25" spans="1:9">
      <c r="A373" s="143"/>
      <c r="B373" s="143"/>
      <c r="C373" s="143"/>
      <c r="D373" s="143"/>
      <c r="E373" s="143"/>
      <c r="F373" s="143"/>
      <c r="G373" s="143"/>
      <c r="H373" s="143"/>
      <c r="I373" s="143"/>
    </row>
    <row r="374" ht="20.25" spans="1:9">
      <c r="A374" s="143"/>
      <c r="B374" s="143"/>
      <c r="C374" s="143"/>
      <c r="D374" s="143"/>
      <c r="E374" s="143"/>
      <c r="F374" s="143"/>
      <c r="G374" s="143"/>
      <c r="H374" s="143"/>
      <c r="I374" s="143"/>
    </row>
    <row r="375" ht="20.25" spans="1:9">
      <c r="A375" s="143"/>
      <c r="B375" s="143"/>
      <c r="C375" s="143"/>
      <c r="D375" s="143"/>
      <c r="E375" s="143"/>
      <c r="F375" s="143"/>
      <c r="G375" s="143"/>
      <c r="H375" s="143"/>
      <c r="I375" s="143"/>
    </row>
    <row r="376" ht="20.25" spans="1:9">
      <c r="A376" s="143"/>
      <c r="B376" s="143"/>
      <c r="C376" s="143"/>
      <c r="D376" s="143"/>
      <c r="E376" s="143"/>
      <c r="F376" s="143"/>
      <c r="G376" s="143"/>
      <c r="H376" s="143"/>
      <c r="I376" s="143"/>
    </row>
    <row r="377" ht="20.25" spans="1:9">
      <c r="A377" s="143"/>
      <c r="B377" s="143"/>
      <c r="C377" s="143"/>
      <c r="D377" s="143"/>
      <c r="E377" s="143"/>
      <c r="F377" s="143"/>
      <c r="G377" s="143"/>
      <c r="H377" s="143"/>
      <c r="I377" s="143"/>
    </row>
    <row r="378" ht="20.25" spans="1:9">
      <c r="A378" s="143"/>
      <c r="B378" s="143"/>
      <c r="C378" s="143"/>
      <c r="D378" s="143"/>
      <c r="E378" s="143"/>
      <c r="F378" s="143"/>
      <c r="G378" s="143"/>
      <c r="H378" s="143"/>
      <c r="I378" s="143"/>
    </row>
    <row r="379" ht="20.25" spans="1:9">
      <c r="A379" s="143"/>
      <c r="B379" s="143"/>
      <c r="C379" s="143"/>
      <c r="D379" s="143"/>
      <c r="E379" s="143"/>
      <c r="F379" s="143"/>
      <c r="G379" s="143"/>
      <c r="H379" s="143"/>
      <c r="I379" s="143"/>
    </row>
    <row r="380" ht="20.25" spans="1:9">
      <c r="A380" s="143"/>
      <c r="B380" s="143"/>
      <c r="C380" s="143"/>
      <c r="D380" s="143"/>
      <c r="E380" s="143"/>
      <c r="F380" s="143"/>
      <c r="G380" s="143"/>
      <c r="H380" s="143"/>
      <c r="I380" s="143"/>
    </row>
    <row r="381" ht="20.25" spans="1:9">
      <c r="A381" s="143"/>
      <c r="B381" s="143"/>
      <c r="C381" s="143"/>
      <c r="D381" s="143"/>
      <c r="E381" s="143"/>
      <c r="F381" s="143"/>
      <c r="G381" s="143"/>
      <c r="H381" s="143"/>
      <c r="I381" s="143"/>
    </row>
    <row r="382" ht="20.25" spans="1:9">
      <c r="A382" s="143"/>
      <c r="B382" s="143"/>
      <c r="C382" s="143"/>
      <c r="D382" s="143"/>
      <c r="E382" s="143"/>
      <c r="F382" s="143"/>
      <c r="G382" s="143"/>
      <c r="H382" s="143"/>
      <c r="I382" s="143"/>
    </row>
    <row r="383" ht="20.25" spans="1:9">
      <c r="A383" s="143"/>
      <c r="B383" s="143"/>
      <c r="C383" s="143"/>
      <c r="D383" s="143"/>
      <c r="E383" s="143"/>
      <c r="F383" s="143"/>
      <c r="G383" s="143"/>
      <c r="H383" s="143"/>
      <c r="I383" s="143"/>
    </row>
    <row r="384" ht="20.25" spans="1:9">
      <c r="A384" s="143"/>
      <c r="B384" s="143"/>
      <c r="C384" s="143"/>
      <c r="D384" s="143"/>
      <c r="E384" s="143"/>
      <c r="F384" s="143"/>
      <c r="G384" s="143"/>
      <c r="H384" s="143"/>
      <c r="I384" s="143"/>
    </row>
    <row r="385" ht="20.25" spans="1:9">
      <c r="A385" s="143"/>
      <c r="B385" s="143"/>
      <c r="C385" s="143"/>
      <c r="D385" s="143"/>
      <c r="E385" s="143"/>
      <c r="F385" s="143"/>
      <c r="G385" s="143"/>
      <c r="H385" s="143"/>
      <c r="I385" s="143"/>
    </row>
    <row r="386" ht="20.25" spans="1:9">
      <c r="A386" s="143"/>
      <c r="B386" s="143"/>
      <c r="C386" s="143"/>
      <c r="D386" s="143"/>
      <c r="E386" s="143"/>
      <c r="F386" s="143"/>
      <c r="G386" s="143"/>
      <c r="H386" s="143"/>
      <c r="I386" s="143"/>
    </row>
    <row r="387" ht="20.25" spans="1:9">
      <c r="A387" s="143"/>
      <c r="B387" s="143"/>
      <c r="C387" s="143"/>
      <c r="D387" s="143"/>
      <c r="E387" s="143"/>
      <c r="F387" s="143"/>
      <c r="G387" s="143"/>
      <c r="H387" s="143"/>
      <c r="I387" s="143"/>
    </row>
    <row r="388" ht="20.25" spans="1:9">
      <c r="A388" s="143"/>
      <c r="B388" s="143"/>
      <c r="C388" s="143"/>
      <c r="D388" s="143"/>
      <c r="E388" s="143"/>
      <c r="F388" s="143"/>
      <c r="G388" s="143"/>
      <c r="H388" s="143"/>
      <c r="I388" s="143"/>
    </row>
    <row r="389" ht="20.25" spans="1:9">
      <c r="A389" s="143"/>
      <c r="B389" s="143"/>
      <c r="C389" s="143"/>
      <c r="D389" s="143"/>
      <c r="E389" s="143"/>
      <c r="F389" s="143"/>
      <c r="G389" s="143"/>
      <c r="H389" s="143"/>
      <c r="I389" s="143"/>
    </row>
    <row r="390" ht="20.25" spans="1:9">
      <c r="A390" s="143"/>
      <c r="B390" s="143"/>
      <c r="C390" s="143"/>
      <c r="D390" s="143"/>
      <c r="E390" s="143"/>
      <c r="F390" s="143"/>
      <c r="G390" s="143"/>
      <c r="H390" s="143"/>
      <c r="I390" s="143"/>
    </row>
    <row r="391" ht="20.25" spans="1:9">
      <c r="A391" s="143"/>
      <c r="B391" s="143"/>
      <c r="C391" s="143"/>
      <c r="D391" s="143"/>
      <c r="E391" s="143"/>
      <c r="F391" s="143"/>
      <c r="G391" s="143"/>
      <c r="H391" s="143"/>
      <c r="I391" s="143"/>
    </row>
    <row r="392" ht="20.25" spans="1:9">
      <c r="A392" s="143"/>
      <c r="B392" s="143"/>
      <c r="C392" s="143"/>
      <c r="D392" s="143"/>
      <c r="E392" s="143"/>
      <c r="F392" s="143"/>
      <c r="G392" s="143"/>
      <c r="H392" s="143"/>
      <c r="I392" s="143"/>
    </row>
    <row r="393" ht="20.25" spans="1:9">
      <c r="A393" s="143"/>
      <c r="B393" s="143"/>
      <c r="C393" s="143"/>
      <c r="D393" s="143"/>
      <c r="E393" s="143"/>
      <c r="F393" s="143"/>
      <c r="G393" s="143"/>
      <c r="H393" s="143"/>
      <c r="I393" s="143"/>
    </row>
    <row r="394" ht="20.25" spans="1:9">
      <c r="A394" s="143"/>
      <c r="B394" s="143"/>
      <c r="C394" s="143"/>
      <c r="D394" s="143"/>
      <c r="E394" s="143"/>
      <c r="F394" s="143"/>
      <c r="G394" s="143"/>
      <c r="H394" s="143"/>
      <c r="I394" s="143"/>
    </row>
    <row r="395" ht="20.25" spans="1:9">
      <c r="A395" s="143"/>
      <c r="B395" s="143"/>
      <c r="C395" s="143"/>
      <c r="D395" s="143"/>
      <c r="E395" s="143"/>
      <c r="F395" s="143"/>
      <c r="G395" s="143"/>
      <c r="H395" s="143"/>
      <c r="I395" s="143"/>
    </row>
    <row r="396" ht="20.25" spans="1:9">
      <c r="A396" s="143"/>
      <c r="B396" s="143"/>
      <c r="C396" s="143"/>
      <c r="D396" s="143"/>
      <c r="E396" s="143"/>
      <c r="F396" s="143"/>
      <c r="G396" s="143"/>
      <c r="H396" s="143"/>
      <c r="I396" s="143"/>
    </row>
    <row r="397" ht="20.25" spans="1:9">
      <c r="A397" s="143"/>
      <c r="B397" s="143"/>
      <c r="C397" s="143"/>
      <c r="D397" s="143"/>
      <c r="E397" s="143"/>
      <c r="F397" s="143"/>
      <c r="G397" s="143"/>
      <c r="H397" s="143"/>
      <c r="I397" s="143"/>
    </row>
    <row r="398" ht="20.25" spans="1:9">
      <c r="A398" s="143"/>
      <c r="B398" s="143"/>
      <c r="C398" s="143"/>
      <c r="D398" s="143"/>
      <c r="E398" s="143"/>
      <c r="F398" s="143"/>
      <c r="G398" s="143"/>
      <c r="H398" s="143"/>
      <c r="I398" s="143"/>
    </row>
    <row r="399" ht="20.25" spans="1:9">
      <c r="A399" s="143"/>
      <c r="B399" s="143"/>
      <c r="C399" s="143"/>
      <c r="D399" s="143"/>
      <c r="E399" s="143"/>
      <c r="F399" s="143"/>
      <c r="G399" s="143"/>
      <c r="H399" s="143"/>
      <c r="I399" s="143"/>
    </row>
    <row r="400" ht="20.25" spans="1:9">
      <c r="A400" s="143"/>
      <c r="B400" s="143"/>
      <c r="C400" s="143"/>
      <c r="D400" s="143"/>
      <c r="E400" s="143"/>
      <c r="F400" s="143"/>
      <c r="G400" s="143"/>
      <c r="H400" s="143"/>
      <c r="I400" s="143"/>
    </row>
    <row r="401" ht="20.25" spans="1:9">
      <c r="A401" s="143"/>
      <c r="B401" s="143"/>
      <c r="C401" s="143"/>
      <c r="D401" s="143"/>
      <c r="E401" s="143"/>
      <c r="F401" s="143"/>
      <c r="G401" s="143"/>
      <c r="H401" s="143"/>
      <c r="I401" s="143"/>
    </row>
    <row r="402" ht="20.25" spans="1:9">
      <c r="A402" s="143"/>
      <c r="B402" s="143"/>
      <c r="C402" s="143"/>
      <c r="D402" s="143"/>
      <c r="E402" s="143"/>
      <c r="F402" s="143"/>
      <c r="G402" s="143"/>
      <c r="H402" s="143"/>
      <c r="I402" s="143"/>
    </row>
    <row r="403" ht="20.25" spans="1:9">
      <c r="A403" s="143"/>
      <c r="B403" s="143"/>
      <c r="C403" s="143"/>
      <c r="D403" s="143"/>
      <c r="E403" s="143"/>
      <c r="F403" s="143"/>
      <c r="G403" s="143"/>
      <c r="H403" s="143"/>
      <c r="I403" s="143"/>
    </row>
    <row r="404" ht="20.25" spans="1:9">
      <c r="A404" s="143"/>
      <c r="B404" s="143"/>
      <c r="C404" s="143"/>
      <c r="D404" s="143"/>
      <c r="E404" s="143"/>
      <c r="F404" s="143"/>
      <c r="G404" s="143"/>
      <c r="H404" s="143"/>
      <c r="I404" s="143"/>
    </row>
    <row r="405" ht="20.25" spans="1:9">
      <c r="A405" s="143"/>
      <c r="B405" s="143"/>
      <c r="C405" s="143"/>
      <c r="D405" s="143"/>
      <c r="E405" s="143"/>
      <c r="F405" s="143"/>
      <c r="G405" s="143"/>
      <c r="H405" s="143"/>
      <c r="I405" s="143"/>
    </row>
    <row r="406" ht="20.25" spans="1:9">
      <c r="A406" s="143"/>
      <c r="B406" s="143"/>
      <c r="C406" s="143"/>
      <c r="D406" s="143"/>
      <c r="E406" s="143"/>
      <c r="F406" s="143"/>
      <c r="G406" s="143"/>
      <c r="H406" s="143"/>
      <c r="I406" s="143"/>
    </row>
    <row r="407" ht="20.25" spans="1:9">
      <c r="A407" s="143"/>
      <c r="B407" s="143"/>
      <c r="C407" s="143"/>
      <c r="D407" s="143"/>
      <c r="E407" s="143"/>
      <c r="F407" s="143"/>
      <c r="G407" s="143"/>
      <c r="H407" s="143"/>
      <c r="I407" s="143"/>
    </row>
    <row r="408" ht="20.25" spans="1:9">
      <c r="A408" s="143"/>
      <c r="B408" s="143"/>
      <c r="C408" s="143"/>
      <c r="D408" s="143"/>
      <c r="E408" s="143"/>
      <c r="F408" s="143"/>
      <c r="G408" s="143"/>
      <c r="H408" s="143"/>
      <c r="I408" s="143"/>
    </row>
    <row r="409" ht="20.25" spans="1:9">
      <c r="A409" s="143"/>
      <c r="B409" s="143"/>
      <c r="C409" s="143"/>
      <c r="D409" s="143"/>
      <c r="E409" s="143"/>
      <c r="F409" s="143"/>
      <c r="G409" s="143"/>
      <c r="H409" s="143"/>
      <c r="I409" s="143"/>
    </row>
    <row r="410" ht="20.25" spans="1:9">
      <c r="A410" s="143"/>
      <c r="B410" s="143"/>
      <c r="C410" s="143"/>
      <c r="D410" s="143"/>
      <c r="E410" s="143"/>
      <c r="F410" s="143"/>
      <c r="G410" s="143"/>
      <c r="H410" s="143"/>
      <c r="I410" s="143"/>
    </row>
    <row r="411" ht="20.25" spans="1:9">
      <c r="A411" s="143"/>
      <c r="B411" s="143"/>
      <c r="C411" s="143"/>
      <c r="D411" s="143"/>
      <c r="E411" s="143"/>
      <c r="F411" s="143"/>
      <c r="G411" s="143"/>
      <c r="H411" s="143"/>
      <c r="I411" s="143"/>
    </row>
    <row r="412" ht="20.25" spans="1:9">
      <c r="A412" s="143"/>
      <c r="B412" s="143"/>
      <c r="C412" s="143"/>
      <c r="D412" s="143"/>
      <c r="E412" s="143"/>
      <c r="F412" s="143"/>
      <c r="G412" s="143"/>
      <c r="H412" s="143"/>
      <c r="I412" s="143"/>
    </row>
    <row r="413" ht="20.25" spans="1:9">
      <c r="A413" s="143"/>
      <c r="B413" s="143"/>
      <c r="C413" s="143"/>
      <c r="D413" s="143"/>
      <c r="E413" s="143"/>
      <c r="F413" s="143"/>
      <c r="G413" s="143"/>
      <c r="H413" s="143"/>
      <c r="I413" s="143"/>
    </row>
    <row r="414" ht="20.25" spans="1:9">
      <c r="A414" s="143"/>
      <c r="B414" s="143"/>
      <c r="C414" s="143"/>
      <c r="D414" s="143"/>
      <c r="E414" s="143"/>
      <c r="F414" s="143"/>
      <c r="G414" s="143"/>
      <c r="H414" s="143"/>
      <c r="I414" s="143"/>
    </row>
    <row r="415" ht="20.25" spans="1:9">
      <c r="A415" s="143"/>
      <c r="B415" s="143"/>
      <c r="C415" s="143"/>
      <c r="D415" s="143"/>
      <c r="E415" s="143"/>
      <c r="F415" s="143"/>
      <c r="G415" s="143"/>
      <c r="H415" s="143"/>
      <c r="I415" s="143"/>
    </row>
    <row r="416" ht="20.25" spans="1:9">
      <c r="A416" s="143"/>
      <c r="B416" s="143"/>
      <c r="C416" s="143"/>
      <c r="D416" s="143"/>
      <c r="E416" s="143"/>
      <c r="F416" s="143"/>
      <c r="G416" s="143"/>
      <c r="H416" s="143"/>
      <c r="I416" s="143"/>
    </row>
    <row r="417" ht="20.25" spans="1:9">
      <c r="A417" s="143"/>
      <c r="B417" s="143"/>
      <c r="C417" s="143"/>
      <c r="D417" s="143"/>
      <c r="E417" s="143"/>
      <c r="F417" s="143"/>
      <c r="G417" s="143"/>
      <c r="H417" s="143"/>
      <c r="I417" s="143"/>
    </row>
    <row r="418" ht="20.25" spans="1:9">
      <c r="A418" s="143"/>
      <c r="B418" s="143"/>
      <c r="C418" s="143"/>
      <c r="D418" s="143"/>
      <c r="E418" s="143"/>
      <c r="F418" s="143"/>
      <c r="G418" s="143"/>
      <c r="H418" s="143"/>
      <c r="I418" s="143"/>
    </row>
    <row r="419" ht="20.25" spans="1:9">
      <c r="A419" s="143"/>
      <c r="B419" s="143"/>
      <c r="C419" s="143"/>
      <c r="D419" s="143"/>
      <c r="E419" s="143"/>
      <c r="F419" s="143"/>
      <c r="G419" s="143"/>
      <c r="H419" s="143"/>
      <c r="I419" s="143"/>
    </row>
    <row r="420" ht="20.25" spans="1:9">
      <c r="A420" s="143"/>
      <c r="B420" s="143"/>
      <c r="C420" s="143"/>
      <c r="D420" s="143"/>
      <c r="E420" s="143"/>
      <c r="F420" s="143"/>
      <c r="G420" s="143"/>
      <c r="H420" s="143"/>
      <c r="I420" s="143"/>
    </row>
    <row r="421" ht="20.25" spans="1:9">
      <c r="A421" s="143"/>
      <c r="B421" s="143"/>
      <c r="C421" s="143"/>
      <c r="D421" s="143"/>
      <c r="E421" s="143"/>
      <c r="F421" s="143"/>
      <c r="G421" s="143"/>
      <c r="H421" s="143"/>
      <c r="I421" s="143"/>
    </row>
    <row r="422" ht="20.25" spans="1:9">
      <c r="A422" s="143"/>
      <c r="B422" s="143"/>
      <c r="C422" s="143"/>
      <c r="D422" s="143"/>
      <c r="E422" s="143"/>
      <c r="F422" s="143"/>
      <c r="G422" s="143"/>
      <c r="H422" s="143"/>
      <c r="I422" s="143"/>
    </row>
    <row r="423" ht="20.25" spans="1:9">
      <c r="A423" s="143"/>
      <c r="B423" s="143"/>
      <c r="C423" s="143"/>
      <c r="D423" s="143"/>
      <c r="E423" s="143"/>
      <c r="F423" s="143"/>
      <c r="G423" s="143"/>
      <c r="H423" s="143"/>
      <c r="I423" s="143"/>
    </row>
    <row r="424" ht="20.25" spans="1:9">
      <c r="A424" s="143"/>
      <c r="B424" s="143"/>
      <c r="C424" s="143"/>
      <c r="D424" s="143"/>
      <c r="E424" s="143"/>
      <c r="F424" s="143"/>
      <c r="G424" s="143"/>
      <c r="H424" s="143"/>
      <c r="I424" s="143"/>
    </row>
    <row r="425" ht="20.25" spans="1:9">
      <c r="A425" s="143"/>
      <c r="B425" s="143"/>
      <c r="C425" s="143"/>
      <c r="D425" s="143"/>
      <c r="E425" s="143"/>
      <c r="F425" s="143"/>
      <c r="G425" s="143"/>
      <c r="H425" s="143"/>
      <c r="I425" s="143"/>
    </row>
    <row r="426" ht="20.25" spans="1:9">
      <c r="A426" s="143"/>
      <c r="B426" s="143"/>
      <c r="C426" s="143"/>
      <c r="D426" s="143"/>
      <c r="E426" s="143"/>
      <c r="F426" s="143"/>
      <c r="G426" s="143"/>
      <c r="H426" s="143"/>
      <c r="I426" s="143"/>
    </row>
    <row r="427" ht="20.25" spans="1:9">
      <c r="A427" s="143"/>
      <c r="B427" s="143"/>
      <c r="C427" s="143"/>
      <c r="D427" s="143"/>
      <c r="E427" s="143"/>
      <c r="F427" s="143"/>
      <c r="G427" s="143"/>
      <c r="H427" s="143"/>
      <c r="I427" s="143"/>
    </row>
    <row r="428" ht="20.25" spans="1:9">
      <c r="A428" s="143"/>
      <c r="B428" s="143"/>
      <c r="C428" s="143"/>
      <c r="D428" s="143"/>
      <c r="E428" s="143"/>
      <c r="F428" s="143"/>
      <c r="G428" s="143"/>
      <c r="H428" s="143"/>
      <c r="I428" s="143"/>
    </row>
    <row r="429" ht="20.25" spans="1:9">
      <c r="A429" s="143"/>
      <c r="B429" s="143"/>
      <c r="C429" s="143"/>
      <c r="D429" s="143"/>
      <c r="E429" s="143"/>
      <c r="F429" s="143"/>
      <c r="G429" s="143"/>
      <c r="H429" s="143"/>
      <c r="I429" s="143"/>
    </row>
    <row r="430" ht="20.25" spans="1:9">
      <c r="A430" s="143"/>
      <c r="B430" s="143"/>
      <c r="C430" s="143"/>
      <c r="D430" s="143"/>
      <c r="E430" s="143"/>
      <c r="F430" s="143"/>
      <c r="G430" s="143"/>
      <c r="H430" s="143"/>
      <c r="I430" s="143"/>
    </row>
    <row r="431" ht="20.25" spans="1:9">
      <c r="A431" s="143"/>
      <c r="B431" s="143"/>
      <c r="C431" s="143"/>
      <c r="D431" s="143"/>
      <c r="E431" s="143"/>
      <c r="F431" s="143"/>
      <c r="G431" s="143"/>
      <c r="H431" s="143"/>
      <c r="I431" s="143"/>
    </row>
    <row r="432" ht="20.25" spans="1:9">
      <c r="A432" s="143"/>
      <c r="B432" s="143"/>
      <c r="C432" s="143"/>
      <c r="D432" s="143"/>
      <c r="E432" s="143"/>
      <c r="F432" s="143"/>
      <c r="G432" s="143"/>
      <c r="H432" s="143"/>
      <c r="I432" s="143"/>
    </row>
    <row r="433" ht="20.25" spans="1:9">
      <c r="A433" s="143"/>
      <c r="B433" s="143"/>
      <c r="C433" s="143"/>
      <c r="D433" s="143"/>
      <c r="E433" s="143"/>
      <c r="F433" s="143"/>
      <c r="G433" s="143"/>
      <c r="H433" s="143"/>
      <c r="I433" s="143"/>
    </row>
    <row r="434" ht="20.25" spans="1:9">
      <c r="A434" s="143"/>
      <c r="B434" s="143"/>
      <c r="C434" s="143"/>
      <c r="D434" s="143"/>
      <c r="E434" s="143"/>
      <c r="F434" s="143"/>
      <c r="G434" s="143"/>
      <c r="H434" s="143"/>
      <c r="I434" s="143"/>
    </row>
    <row r="435" ht="20.25" spans="1:9">
      <c r="A435" s="143"/>
      <c r="B435" s="143"/>
      <c r="C435" s="143"/>
      <c r="D435" s="143"/>
      <c r="E435" s="143"/>
      <c r="F435" s="143"/>
      <c r="G435" s="143"/>
      <c r="H435" s="143"/>
      <c r="I435" s="143"/>
    </row>
    <row r="436" ht="20.25" spans="1:9">
      <c r="A436" s="143"/>
      <c r="B436" s="143"/>
      <c r="C436" s="143"/>
      <c r="D436" s="143"/>
      <c r="E436" s="143"/>
      <c r="F436" s="143"/>
      <c r="G436" s="143"/>
      <c r="H436" s="143"/>
      <c r="I436" s="143"/>
    </row>
    <row r="437" ht="20.25" spans="1:9">
      <c r="A437" s="143"/>
      <c r="B437" s="143"/>
      <c r="C437" s="143"/>
      <c r="D437" s="143"/>
      <c r="E437" s="143"/>
      <c r="F437" s="143"/>
      <c r="G437" s="143"/>
      <c r="H437" s="143"/>
      <c r="I437" s="143"/>
    </row>
    <row r="438" ht="20.25" spans="1:9">
      <c r="A438" s="143"/>
      <c r="B438" s="143"/>
      <c r="C438" s="143"/>
      <c r="D438" s="143"/>
      <c r="E438" s="143"/>
      <c r="F438" s="143"/>
      <c r="G438" s="143"/>
      <c r="H438" s="143"/>
      <c r="I438" s="143"/>
    </row>
    <row r="439" ht="20.25" spans="1:9">
      <c r="A439" s="143"/>
      <c r="B439" s="143"/>
      <c r="C439" s="143"/>
      <c r="D439" s="143"/>
      <c r="E439" s="143"/>
      <c r="F439" s="143"/>
      <c r="G439" s="143"/>
      <c r="H439" s="143"/>
      <c r="I439" s="143"/>
    </row>
    <row r="440" ht="20.25" spans="1:9">
      <c r="A440" s="143"/>
      <c r="B440" s="143"/>
      <c r="C440" s="143"/>
      <c r="D440" s="143"/>
      <c r="E440" s="143"/>
      <c r="F440" s="143"/>
      <c r="G440" s="143"/>
      <c r="H440" s="143"/>
      <c r="I440" s="143"/>
    </row>
    <row r="441" ht="20.25" spans="1:9">
      <c r="A441" s="143"/>
      <c r="B441" s="143"/>
      <c r="C441" s="143"/>
      <c r="D441" s="143"/>
      <c r="E441" s="143"/>
      <c r="F441" s="143"/>
      <c r="G441" s="143"/>
      <c r="H441" s="143"/>
      <c r="I441" s="143"/>
    </row>
    <row r="442" ht="20.25" spans="1:9">
      <c r="A442" s="143"/>
      <c r="B442" s="143"/>
      <c r="C442" s="143"/>
      <c r="D442" s="143"/>
      <c r="E442" s="143"/>
      <c r="F442" s="143"/>
      <c r="G442" s="143"/>
      <c r="H442" s="143"/>
      <c r="I442" s="143"/>
    </row>
    <row r="443" ht="20.25" spans="1:9">
      <c r="A443" s="143"/>
      <c r="B443" s="143"/>
      <c r="C443" s="143"/>
      <c r="D443" s="143"/>
      <c r="E443" s="143"/>
      <c r="F443" s="143"/>
      <c r="G443" s="143"/>
      <c r="H443" s="143"/>
      <c r="I443" s="143"/>
    </row>
    <row r="444" ht="20.25" spans="1:9">
      <c r="A444" s="143"/>
      <c r="B444" s="143"/>
      <c r="C444" s="143"/>
      <c r="D444" s="143"/>
      <c r="E444" s="143"/>
      <c r="F444" s="143"/>
      <c r="G444" s="143"/>
      <c r="H444" s="143"/>
      <c r="I444" s="143"/>
    </row>
    <row r="445" ht="20.25" spans="1:9">
      <c r="A445" s="143"/>
      <c r="B445" s="143"/>
      <c r="C445" s="143"/>
      <c r="D445" s="143"/>
      <c r="E445" s="143"/>
      <c r="F445" s="143"/>
      <c r="G445" s="143"/>
      <c r="H445" s="143"/>
      <c r="I445" s="143"/>
    </row>
    <row r="446" ht="20.25" spans="1:9">
      <c r="A446" s="143"/>
      <c r="B446" s="143"/>
      <c r="C446" s="143"/>
      <c r="D446" s="143"/>
      <c r="E446" s="143"/>
      <c r="F446" s="143"/>
      <c r="G446" s="143"/>
      <c r="H446" s="143"/>
      <c r="I446" s="143"/>
    </row>
    <row r="447" ht="20.25" spans="1:9">
      <c r="A447" s="143"/>
      <c r="B447" s="143"/>
      <c r="C447" s="143"/>
      <c r="D447" s="143"/>
      <c r="E447" s="143"/>
      <c r="F447" s="143"/>
      <c r="G447" s="143"/>
      <c r="H447" s="143"/>
      <c r="I447" s="143"/>
    </row>
    <row r="448" ht="20.25" spans="1:9">
      <c r="A448" s="143"/>
      <c r="B448" s="143"/>
      <c r="C448" s="143"/>
      <c r="D448" s="143"/>
      <c r="E448" s="143"/>
      <c r="F448" s="143"/>
      <c r="G448" s="143"/>
      <c r="H448" s="143"/>
      <c r="I448" s="143"/>
    </row>
    <row r="449" ht="20.25" spans="1:9">
      <c r="A449" s="143"/>
      <c r="B449" s="143"/>
      <c r="C449" s="143"/>
      <c r="D449" s="143"/>
      <c r="E449" s="143"/>
      <c r="F449" s="143"/>
      <c r="G449" s="143"/>
      <c r="H449" s="143"/>
      <c r="I449" s="143"/>
    </row>
    <row r="450" ht="20.25" spans="1:9">
      <c r="A450" s="143"/>
      <c r="B450" s="143"/>
      <c r="C450" s="143"/>
      <c r="D450" s="143"/>
      <c r="E450" s="143"/>
      <c r="F450" s="143"/>
      <c r="G450" s="143"/>
      <c r="H450" s="143"/>
      <c r="I450" s="143"/>
    </row>
    <row r="451" ht="20.25" spans="1:9">
      <c r="A451" s="143"/>
      <c r="B451" s="143"/>
      <c r="C451" s="143"/>
      <c r="D451" s="143"/>
      <c r="E451" s="143"/>
      <c r="F451" s="143"/>
      <c r="G451" s="143"/>
      <c r="H451" s="143"/>
      <c r="I451" s="143"/>
    </row>
    <row r="452" ht="20.25" spans="1:9">
      <c r="A452" s="143"/>
      <c r="B452" s="143"/>
      <c r="C452" s="143"/>
      <c r="D452" s="143"/>
      <c r="E452" s="143"/>
      <c r="F452" s="143"/>
      <c r="G452" s="143"/>
      <c r="H452" s="143"/>
      <c r="I452" s="143"/>
    </row>
    <row r="453" ht="20.25" spans="1:9">
      <c r="A453" s="143"/>
      <c r="B453" s="143"/>
      <c r="C453" s="143"/>
      <c r="D453" s="143"/>
      <c r="E453" s="143"/>
      <c r="F453" s="143"/>
      <c r="G453" s="143"/>
      <c r="H453" s="143"/>
      <c r="I453" s="143"/>
    </row>
    <row r="454" ht="20.25" spans="1:9">
      <c r="A454" s="143"/>
      <c r="B454" s="143"/>
      <c r="C454" s="143"/>
      <c r="D454" s="143"/>
      <c r="E454" s="143"/>
      <c r="F454" s="143"/>
      <c r="G454" s="143"/>
      <c r="H454" s="143"/>
      <c r="I454" s="143"/>
    </row>
    <row r="455" ht="20.25" spans="1:9">
      <c r="A455" s="143"/>
      <c r="B455" s="143"/>
      <c r="C455" s="143"/>
      <c r="D455" s="143"/>
      <c r="E455" s="143"/>
      <c r="F455" s="143"/>
      <c r="G455" s="143"/>
      <c r="H455" s="143"/>
      <c r="I455" s="143"/>
    </row>
    <row r="456" ht="20.25" spans="1:9">
      <c r="A456" s="143"/>
      <c r="B456" s="143"/>
      <c r="C456" s="143"/>
      <c r="D456" s="143"/>
      <c r="E456" s="143"/>
      <c r="F456" s="143"/>
      <c r="G456" s="143"/>
      <c r="H456" s="143"/>
      <c r="I456" s="143"/>
    </row>
    <row r="457" ht="20.25" spans="1:9">
      <c r="A457" s="143"/>
      <c r="B457" s="143"/>
      <c r="C457" s="143"/>
      <c r="D457" s="143"/>
      <c r="E457" s="143"/>
      <c r="F457" s="143"/>
      <c r="G457" s="143"/>
      <c r="H457" s="143"/>
      <c r="I457" s="143"/>
    </row>
    <row r="458" ht="20.25" spans="1:9">
      <c r="A458" s="143"/>
      <c r="B458" s="143"/>
      <c r="C458" s="143"/>
      <c r="D458" s="143"/>
      <c r="E458" s="143"/>
      <c r="F458" s="143"/>
      <c r="G458" s="143"/>
      <c r="H458" s="143"/>
      <c r="I458" s="143"/>
    </row>
    <row r="459" ht="20.25" spans="1:9">
      <c r="A459" s="143"/>
      <c r="B459" s="143"/>
      <c r="C459" s="143"/>
      <c r="D459" s="143"/>
      <c r="E459" s="143"/>
      <c r="F459" s="143"/>
      <c r="G459" s="143"/>
      <c r="H459" s="143"/>
      <c r="I459" s="143"/>
    </row>
    <row r="460" ht="20.25" spans="1:9">
      <c r="A460" s="143"/>
      <c r="B460" s="143"/>
      <c r="C460" s="143"/>
      <c r="D460" s="143"/>
      <c r="E460" s="143"/>
      <c r="F460" s="143"/>
      <c r="G460" s="143"/>
      <c r="H460" s="143"/>
      <c r="I460" s="143"/>
    </row>
    <row r="461" ht="20.25" spans="1:9">
      <c r="A461" s="143"/>
      <c r="B461" s="143"/>
      <c r="C461" s="143"/>
      <c r="D461" s="143"/>
      <c r="E461" s="143"/>
      <c r="F461" s="143"/>
      <c r="G461" s="143"/>
      <c r="H461" s="143"/>
      <c r="I461" s="143"/>
    </row>
    <row r="462" ht="20.25" spans="1:9">
      <c r="A462" s="143"/>
      <c r="B462" s="143"/>
      <c r="C462" s="143"/>
      <c r="D462" s="143"/>
      <c r="E462" s="143"/>
      <c r="F462" s="143"/>
      <c r="G462" s="143"/>
      <c r="H462" s="143"/>
      <c r="I462" s="143"/>
    </row>
    <row r="463" ht="20.25" spans="1:9">
      <c r="A463" s="143"/>
      <c r="B463" s="143"/>
      <c r="C463" s="143"/>
      <c r="D463" s="143"/>
      <c r="E463" s="143"/>
      <c r="F463" s="143"/>
      <c r="G463" s="143"/>
      <c r="H463" s="143"/>
      <c r="I463" s="143"/>
    </row>
    <row r="464" ht="20.25" spans="1:9">
      <c r="A464" s="143"/>
      <c r="B464" s="143"/>
      <c r="C464" s="143"/>
      <c r="D464" s="143"/>
      <c r="E464" s="143"/>
      <c r="F464" s="143"/>
      <c r="G464" s="143"/>
      <c r="H464" s="143"/>
      <c r="I464" s="143"/>
    </row>
    <row r="465" ht="20.25" spans="1:9">
      <c r="A465" s="143"/>
      <c r="B465" s="143"/>
      <c r="C465" s="143"/>
      <c r="D465" s="143"/>
      <c r="E465" s="143"/>
      <c r="F465" s="143"/>
      <c r="G465" s="143"/>
      <c r="H465" s="143"/>
      <c r="I465" s="143"/>
    </row>
    <row r="466" ht="20.25" spans="1:9">
      <c r="A466" s="143"/>
      <c r="B466" s="143"/>
      <c r="C466" s="143"/>
      <c r="D466" s="143"/>
      <c r="E466" s="143"/>
      <c r="F466" s="143"/>
      <c r="G466" s="143"/>
      <c r="H466" s="143"/>
      <c r="I466" s="143"/>
    </row>
    <row r="467" ht="20.25" spans="1:9">
      <c r="A467" s="143"/>
      <c r="B467" s="143"/>
      <c r="C467" s="143"/>
      <c r="D467" s="143"/>
      <c r="E467" s="143"/>
      <c r="F467" s="143"/>
      <c r="G467" s="143"/>
      <c r="H467" s="143"/>
      <c r="I467" s="143"/>
    </row>
    <row r="468" ht="20.25" spans="1:9">
      <c r="A468" s="143"/>
      <c r="B468" s="143"/>
      <c r="C468" s="143"/>
      <c r="D468" s="143"/>
      <c r="E468" s="143"/>
      <c r="F468" s="143"/>
      <c r="G468" s="143"/>
      <c r="H468" s="143"/>
      <c r="I468" s="143"/>
    </row>
    <row r="469" ht="20.25" spans="1:9">
      <c r="A469" s="143"/>
      <c r="B469" s="143"/>
      <c r="C469" s="143"/>
      <c r="D469" s="143"/>
      <c r="E469" s="143"/>
      <c r="F469" s="143"/>
      <c r="G469" s="143"/>
      <c r="H469" s="143"/>
      <c r="I469" s="143"/>
    </row>
    <row r="470" ht="20.25" spans="1:9">
      <c r="A470" s="143"/>
      <c r="B470" s="143"/>
      <c r="C470" s="143"/>
      <c r="D470" s="143"/>
      <c r="E470" s="143"/>
      <c r="F470" s="143"/>
      <c r="G470" s="143"/>
      <c r="H470" s="143"/>
      <c r="I470" s="143"/>
    </row>
    <row r="471" ht="20.25" spans="1:9">
      <c r="A471" s="143"/>
      <c r="B471" s="143"/>
      <c r="C471" s="143"/>
      <c r="D471" s="143"/>
      <c r="E471" s="143"/>
      <c r="F471" s="143"/>
      <c r="G471" s="143"/>
      <c r="H471" s="143"/>
      <c r="I471" s="143"/>
    </row>
    <row r="472" ht="20.25" spans="1:9">
      <c r="A472" s="143"/>
      <c r="B472" s="143"/>
      <c r="C472" s="143"/>
      <c r="D472" s="143"/>
      <c r="E472" s="143"/>
      <c r="F472" s="143"/>
      <c r="G472" s="143"/>
      <c r="H472" s="143"/>
      <c r="I472" s="143"/>
    </row>
    <row r="473" ht="20.25" spans="1:9">
      <c r="A473" s="143"/>
      <c r="B473" s="143"/>
      <c r="C473" s="143"/>
      <c r="D473" s="143"/>
      <c r="E473" s="143"/>
      <c r="F473" s="143"/>
      <c r="G473" s="143"/>
      <c r="H473" s="143"/>
      <c r="I473" s="143"/>
    </row>
    <row r="474" ht="20.25" spans="1:9">
      <c r="A474" s="143"/>
      <c r="B474" s="143"/>
      <c r="C474" s="143"/>
      <c r="D474" s="143"/>
      <c r="E474" s="143"/>
      <c r="F474" s="143"/>
      <c r="G474" s="143"/>
      <c r="H474" s="143"/>
      <c r="I474" s="143"/>
    </row>
    <row r="475" ht="20.25" spans="1:9">
      <c r="A475" s="143"/>
      <c r="B475" s="143"/>
      <c r="C475" s="143"/>
      <c r="D475" s="143"/>
      <c r="E475" s="143"/>
      <c r="F475" s="143"/>
      <c r="G475" s="143"/>
      <c r="H475" s="143"/>
      <c r="I475" s="143"/>
    </row>
    <row r="476" ht="20.25" spans="1:9">
      <c r="A476" s="143"/>
      <c r="B476" s="143"/>
      <c r="C476" s="143"/>
      <c r="D476" s="143"/>
      <c r="E476" s="143"/>
      <c r="F476" s="143"/>
      <c r="G476" s="143"/>
      <c r="H476" s="143"/>
      <c r="I476" s="143"/>
    </row>
    <row r="477" ht="20.25" spans="1:9">
      <c r="A477" s="143"/>
      <c r="B477" s="143"/>
      <c r="C477" s="143"/>
      <c r="D477" s="143"/>
      <c r="E477" s="143"/>
      <c r="F477" s="143"/>
      <c r="G477" s="143"/>
      <c r="H477" s="143"/>
      <c r="I477" s="143"/>
    </row>
    <row r="478" ht="20.25" spans="1:9">
      <c r="A478" s="143"/>
      <c r="B478" s="143"/>
      <c r="C478" s="143"/>
      <c r="D478" s="143"/>
      <c r="E478" s="143"/>
      <c r="F478" s="143"/>
      <c r="G478" s="143"/>
      <c r="H478" s="143"/>
      <c r="I478" s="143"/>
    </row>
    <row r="479" ht="20.25" spans="1:9">
      <c r="A479" s="143"/>
      <c r="B479" s="143"/>
      <c r="C479" s="143"/>
      <c r="D479" s="143"/>
      <c r="E479" s="143"/>
      <c r="F479" s="143"/>
      <c r="G479" s="143"/>
      <c r="H479" s="143"/>
      <c r="I479" s="143"/>
    </row>
    <row r="480" ht="20.25" spans="1:9">
      <c r="A480" s="143"/>
      <c r="B480" s="143"/>
      <c r="C480" s="143"/>
      <c r="D480" s="143"/>
      <c r="E480" s="143"/>
      <c r="F480" s="143"/>
      <c r="G480" s="143"/>
      <c r="H480" s="143"/>
      <c r="I480" s="143"/>
    </row>
    <row r="481" ht="20.25" spans="1:9">
      <c r="A481" s="143"/>
      <c r="B481" s="143"/>
      <c r="C481" s="143"/>
      <c r="D481" s="143"/>
      <c r="E481" s="143"/>
      <c r="F481" s="143"/>
      <c r="G481" s="143"/>
      <c r="H481" s="143"/>
      <c r="I481" s="143"/>
    </row>
    <row r="482" ht="20.25" spans="1:9">
      <c r="A482" s="143"/>
      <c r="B482" s="143"/>
      <c r="C482" s="143"/>
      <c r="D482" s="143"/>
      <c r="E482" s="143"/>
      <c r="F482" s="143"/>
      <c r="G482" s="143"/>
      <c r="H482" s="143"/>
      <c r="I482" s="143"/>
    </row>
    <row r="483" ht="20.25" spans="1:9">
      <c r="A483" s="143"/>
      <c r="B483" s="143"/>
      <c r="C483" s="143"/>
      <c r="D483" s="143"/>
      <c r="E483" s="143"/>
      <c r="F483" s="143"/>
      <c r="G483" s="143"/>
      <c r="H483" s="143"/>
      <c r="I483" s="143"/>
    </row>
    <row r="484" ht="20.25" spans="1:9">
      <c r="A484" s="143"/>
      <c r="B484" s="143"/>
      <c r="C484" s="143"/>
      <c r="D484" s="143"/>
      <c r="E484" s="143"/>
      <c r="F484" s="143"/>
      <c r="G484" s="143"/>
      <c r="H484" s="143"/>
      <c r="I484" s="143"/>
    </row>
    <row r="485" ht="20.25" spans="1:9">
      <c r="A485" s="143"/>
      <c r="B485" s="143"/>
      <c r="C485" s="143"/>
      <c r="D485" s="143"/>
      <c r="E485" s="143"/>
      <c r="F485" s="143"/>
      <c r="G485" s="143"/>
      <c r="H485" s="143"/>
      <c r="I485" s="143"/>
    </row>
    <row r="486" ht="20.25" spans="1:9">
      <c r="A486" s="143"/>
      <c r="B486" s="143"/>
      <c r="C486" s="143"/>
      <c r="D486" s="143"/>
      <c r="E486" s="143"/>
      <c r="F486" s="143"/>
      <c r="G486" s="143"/>
      <c r="H486" s="143"/>
      <c r="I486" s="143"/>
    </row>
    <row r="487" ht="20.25" spans="1:9">
      <c r="A487" s="143"/>
      <c r="B487" s="143"/>
      <c r="C487" s="143"/>
      <c r="D487" s="143"/>
      <c r="E487" s="143"/>
      <c r="F487" s="143"/>
      <c r="G487" s="143"/>
      <c r="H487" s="143"/>
      <c r="I487" s="143"/>
    </row>
    <row r="488" ht="20.25" spans="1:9">
      <c r="A488" s="143"/>
      <c r="B488" s="143"/>
      <c r="C488" s="143"/>
      <c r="D488" s="143"/>
      <c r="E488" s="143"/>
      <c r="F488" s="143"/>
      <c r="G488" s="143"/>
      <c r="H488" s="143"/>
      <c r="I488" s="143"/>
    </row>
    <row r="489" ht="20.25" spans="1:9">
      <c r="A489" s="143"/>
      <c r="B489" s="143"/>
      <c r="C489" s="143"/>
      <c r="D489" s="143"/>
      <c r="E489" s="143"/>
      <c r="F489" s="143"/>
      <c r="G489" s="143"/>
      <c r="H489" s="143"/>
      <c r="I489" s="143"/>
    </row>
    <row r="490" ht="20.25" spans="1:9">
      <c r="A490" s="143"/>
      <c r="B490" s="143"/>
      <c r="C490" s="143"/>
      <c r="D490" s="143"/>
      <c r="E490" s="143"/>
      <c r="F490" s="143"/>
      <c r="G490" s="143"/>
      <c r="H490" s="143"/>
      <c r="I490" s="143"/>
    </row>
    <row r="491" ht="20.25" spans="1:9">
      <c r="A491" s="143"/>
      <c r="B491" s="143"/>
      <c r="C491" s="143"/>
      <c r="D491" s="143"/>
      <c r="E491" s="143"/>
      <c r="F491" s="143"/>
      <c r="G491" s="143"/>
      <c r="H491" s="143"/>
      <c r="I491" s="143"/>
    </row>
    <row r="492" ht="20.25" spans="1:9">
      <c r="A492" s="143"/>
      <c r="B492" s="143"/>
      <c r="C492" s="143"/>
      <c r="D492" s="143"/>
      <c r="E492" s="143"/>
      <c r="F492" s="143"/>
      <c r="G492" s="143"/>
      <c r="H492" s="143"/>
      <c r="I492" s="143"/>
    </row>
    <row r="493" ht="20.25" spans="1:9">
      <c r="A493" s="143"/>
      <c r="B493" s="143"/>
      <c r="C493" s="143"/>
      <c r="D493" s="143"/>
      <c r="E493" s="143"/>
      <c r="F493" s="143"/>
      <c r="G493" s="143"/>
      <c r="H493" s="143"/>
      <c r="I493" s="143"/>
    </row>
    <row r="494" ht="20.25" spans="1:9">
      <c r="A494" s="143"/>
      <c r="B494" s="143"/>
      <c r="C494" s="143"/>
      <c r="D494" s="143"/>
      <c r="E494" s="143"/>
      <c r="F494" s="143"/>
      <c r="G494" s="143"/>
      <c r="H494" s="143"/>
      <c r="I494" s="143"/>
    </row>
    <row r="495" ht="20.25" spans="1:9">
      <c r="A495" s="143"/>
      <c r="B495" s="143"/>
      <c r="C495" s="143"/>
      <c r="D495" s="143"/>
      <c r="E495" s="143"/>
      <c r="F495" s="143"/>
      <c r="G495" s="143"/>
      <c r="H495" s="143"/>
      <c r="I495" s="143"/>
    </row>
    <row r="496" ht="20.25" spans="1:9">
      <c r="A496" s="143"/>
      <c r="B496" s="143"/>
      <c r="C496" s="143"/>
      <c r="D496" s="143"/>
      <c r="E496" s="143"/>
      <c r="F496" s="143"/>
      <c r="G496" s="143"/>
      <c r="H496" s="143"/>
      <c r="I496" s="143"/>
    </row>
    <row r="497" ht="20.25" spans="1:9">
      <c r="A497" s="143"/>
      <c r="B497" s="143"/>
      <c r="C497" s="143"/>
      <c r="D497" s="143"/>
      <c r="E497" s="143"/>
      <c r="F497" s="143"/>
      <c r="G497" s="143"/>
      <c r="H497" s="143"/>
      <c r="I497" s="143"/>
    </row>
    <row r="498" ht="20.25" spans="1:9">
      <c r="A498" s="143"/>
      <c r="B498" s="143"/>
      <c r="C498" s="143"/>
      <c r="D498" s="143"/>
      <c r="E498" s="143"/>
      <c r="F498" s="143"/>
      <c r="G498" s="143"/>
      <c r="H498" s="143"/>
      <c r="I498" s="143"/>
    </row>
    <row r="499" ht="20.25" spans="1:9">
      <c r="A499" s="143"/>
      <c r="B499" s="143"/>
      <c r="C499" s="143"/>
      <c r="D499" s="143"/>
      <c r="E499" s="143"/>
      <c r="F499" s="143"/>
      <c r="G499" s="143"/>
      <c r="H499" s="143"/>
      <c r="I499" s="143"/>
    </row>
    <row r="500" ht="20.25" spans="1:9">
      <c r="A500" s="143"/>
      <c r="B500" s="143"/>
      <c r="C500" s="143"/>
      <c r="D500" s="143"/>
      <c r="E500" s="143"/>
      <c r="F500" s="143"/>
      <c r="G500" s="143"/>
      <c r="H500" s="143"/>
      <c r="I500" s="143"/>
    </row>
    <row r="501" ht="20.25" spans="1:9">
      <c r="A501" s="143"/>
      <c r="B501" s="143"/>
      <c r="C501" s="143"/>
      <c r="D501" s="143"/>
      <c r="E501" s="143"/>
      <c r="F501" s="143"/>
      <c r="G501" s="143"/>
      <c r="H501" s="143"/>
      <c r="I501" s="143"/>
    </row>
    <row r="502" ht="20.25" spans="1:9">
      <c r="A502" s="143"/>
      <c r="B502" s="143"/>
      <c r="C502" s="143"/>
      <c r="D502" s="143"/>
      <c r="E502" s="143"/>
      <c r="F502" s="143"/>
      <c r="G502" s="143"/>
      <c r="H502" s="143"/>
      <c r="I502" s="143"/>
    </row>
    <row r="503" ht="20.25" spans="1:9">
      <c r="A503" s="143"/>
      <c r="B503" s="143"/>
      <c r="C503" s="143"/>
      <c r="D503" s="143"/>
      <c r="E503" s="143"/>
      <c r="F503" s="143"/>
      <c r="G503" s="143"/>
      <c r="H503" s="143"/>
      <c r="I503" s="143"/>
    </row>
    <row r="504" ht="20.25" spans="1:9">
      <c r="A504" s="143"/>
      <c r="B504" s="143"/>
      <c r="C504" s="143"/>
      <c r="D504" s="143"/>
      <c r="E504" s="143"/>
      <c r="F504" s="143"/>
      <c r="G504" s="143"/>
      <c r="H504" s="143"/>
      <c r="I504" s="143"/>
    </row>
    <row r="505" ht="20.25" spans="1:9">
      <c r="A505" s="143"/>
      <c r="B505" s="143"/>
      <c r="C505" s="143"/>
      <c r="D505" s="143"/>
      <c r="E505" s="143"/>
      <c r="F505" s="143"/>
      <c r="G505" s="143"/>
      <c r="H505" s="143"/>
      <c r="I505" s="143"/>
    </row>
    <row r="506" ht="20.25" spans="1:9">
      <c r="A506" s="143"/>
      <c r="B506" s="143"/>
      <c r="C506" s="143"/>
      <c r="D506" s="143"/>
      <c r="E506" s="143"/>
      <c r="F506" s="143"/>
      <c r="G506" s="143"/>
      <c r="H506" s="143"/>
      <c r="I506" s="143"/>
    </row>
    <row r="507" ht="20.25" spans="1:9">
      <c r="A507" s="143"/>
      <c r="B507" s="143"/>
      <c r="C507" s="143"/>
      <c r="D507" s="143"/>
      <c r="E507" s="143"/>
      <c r="F507" s="143"/>
      <c r="G507" s="143"/>
      <c r="H507" s="143"/>
      <c r="I507" s="143"/>
    </row>
    <row r="508" ht="20.25" spans="1:9">
      <c r="A508" s="143"/>
      <c r="B508" s="143"/>
      <c r="C508" s="143"/>
      <c r="D508" s="143"/>
      <c r="E508" s="143"/>
      <c r="F508" s="143"/>
      <c r="G508" s="143"/>
      <c r="H508" s="143"/>
      <c r="I508" s="143"/>
    </row>
    <row r="509" ht="20.25" spans="1:9">
      <c r="A509" s="143"/>
      <c r="B509" s="143"/>
      <c r="C509" s="143"/>
      <c r="D509" s="143"/>
      <c r="E509" s="143"/>
      <c r="F509" s="143"/>
      <c r="G509" s="143"/>
      <c r="H509" s="143"/>
      <c r="I509" s="143"/>
    </row>
    <row r="510" ht="20.25" spans="1:9">
      <c r="A510" s="143"/>
      <c r="B510" s="143"/>
      <c r="C510" s="143"/>
      <c r="D510" s="143"/>
      <c r="E510" s="143"/>
      <c r="F510" s="143"/>
      <c r="G510" s="143"/>
      <c r="H510" s="143"/>
      <c r="I510" s="143"/>
    </row>
    <row r="511" ht="20.25" spans="1:9">
      <c r="A511" s="143"/>
      <c r="B511" s="143"/>
      <c r="C511" s="143"/>
      <c r="D511" s="143"/>
      <c r="E511" s="143"/>
      <c r="F511" s="143"/>
      <c r="G511" s="143"/>
      <c r="H511" s="143"/>
      <c r="I511" s="143"/>
    </row>
    <row r="512" ht="20.25" spans="1:9">
      <c r="A512" s="143"/>
      <c r="B512" s="143"/>
      <c r="C512" s="143"/>
      <c r="D512" s="143"/>
      <c r="E512" s="143"/>
      <c r="F512" s="143"/>
      <c r="G512" s="143"/>
      <c r="H512" s="143"/>
      <c r="I512" s="143"/>
    </row>
    <row r="513" ht="20.25" spans="1:9">
      <c r="A513" s="143"/>
      <c r="B513" s="143"/>
      <c r="C513" s="143"/>
      <c r="D513" s="143"/>
      <c r="E513" s="143"/>
      <c r="F513" s="143"/>
      <c r="G513" s="143"/>
      <c r="H513" s="143"/>
      <c r="I513" s="143"/>
    </row>
    <row r="514" ht="20.25" spans="1:9">
      <c r="A514" s="143"/>
      <c r="B514" s="143"/>
      <c r="C514" s="143"/>
      <c r="D514" s="143"/>
      <c r="E514" s="143"/>
      <c r="F514" s="143"/>
      <c r="G514" s="143"/>
      <c r="H514" s="143"/>
      <c r="I514" s="143"/>
    </row>
    <row r="515" ht="20.25" spans="1:9">
      <c r="A515" s="143"/>
      <c r="B515" s="143"/>
      <c r="C515" s="143"/>
      <c r="D515" s="143"/>
      <c r="E515" s="143"/>
      <c r="F515" s="143"/>
      <c r="G515" s="143"/>
      <c r="H515" s="143"/>
      <c r="I515" s="143"/>
    </row>
    <row r="516" ht="20.25" spans="1:9">
      <c r="A516" s="143"/>
      <c r="B516" s="143"/>
      <c r="C516" s="143"/>
      <c r="D516" s="143"/>
      <c r="E516" s="143"/>
      <c r="F516" s="143"/>
      <c r="G516" s="143"/>
      <c r="H516" s="143"/>
      <c r="I516" s="143"/>
    </row>
    <row r="517" ht="20.25" spans="1:9">
      <c r="A517" s="143"/>
      <c r="B517" s="143"/>
      <c r="C517" s="143"/>
      <c r="D517" s="143"/>
      <c r="E517" s="143"/>
      <c r="F517" s="143"/>
      <c r="G517" s="143"/>
      <c r="H517" s="143"/>
      <c r="I517" s="143"/>
    </row>
    <row r="518" ht="20.25" spans="1:9">
      <c r="A518" s="143"/>
      <c r="B518" s="143"/>
      <c r="C518" s="143"/>
      <c r="D518" s="143"/>
      <c r="E518" s="143"/>
      <c r="F518" s="143"/>
      <c r="G518" s="143"/>
      <c r="H518" s="143"/>
      <c r="I518" s="143"/>
    </row>
    <row r="519" ht="20.25" spans="1:9">
      <c r="A519" s="143"/>
      <c r="B519" s="143"/>
      <c r="C519" s="143"/>
      <c r="D519" s="143"/>
      <c r="E519" s="143"/>
      <c r="F519" s="143"/>
      <c r="G519" s="143"/>
      <c r="H519" s="143"/>
      <c r="I519" s="143"/>
    </row>
    <row r="520" ht="20.25" spans="1:9">
      <c r="A520" s="143"/>
      <c r="B520" s="143"/>
      <c r="C520" s="143"/>
      <c r="D520" s="143"/>
      <c r="E520" s="143"/>
      <c r="F520" s="143"/>
      <c r="G520" s="143"/>
      <c r="H520" s="143"/>
      <c r="I520" s="143"/>
    </row>
    <row r="521" ht="20.25" spans="1:9">
      <c r="A521" s="143"/>
      <c r="B521" s="143"/>
      <c r="C521" s="143"/>
      <c r="D521" s="143"/>
      <c r="E521" s="143"/>
      <c r="F521" s="143"/>
      <c r="G521" s="143"/>
      <c r="H521" s="143"/>
      <c r="I521" s="143"/>
    </row>
    <row r="522" ht="20.25" spans="1:9">
      <c r="A522" s="143"/>
      <c r="B522" s="143"/>
      <c r="C522" s="143"/>
      <c r="D522" s="143"/>
      <c r="E522" s="143"/>
      <c r="F522" s="143"/>
      <c r="G522" s="143"/>
      <c r="H522" s="143"/>
      <c r="I522" s="143"/>
    </row>
    <row r="523" ht="20.25" spans="1:9">
      <c r="A523" s="143"/>
      <c r="B523" s="143"/>
      <c r="C523" s="143"/>
      <c r="D523" s="143"/>
      <c r="E523" s="143"/>
      <c r="F523" s="143"/>
      <c r="G523" s="143"/>
      <c r="H523" s="143"/>
      <c r="I523" s="143"/>
    </row>
    <row r="524" ht="20.25" spans="1:9">
      <c r="A524" s="143"/>
      <c r="B524" s="143"/>
      <c r="C524" s="143"/>
      <c r="D524" s="143"/>
      <c r="E524" s="143"/>
      <c r="F524" s="143"/>
      <c r="G524" s="143"/>
      <c r="H524" s="143"/>
      <c r="I524" s="143"/>
    </row>
    <row r="525" ht="20.25" spans="1:9">
      <c r="A525" s="143"/>
      <c r="B525" s="143"/>
      <c r="C525" s="143"/>
      <c r="D525" s="143"/>
      <c r="E525" s="143"/>
      <c r="F525" s="143"/>
      <c r="G525" s="143"/>
      <c r="H525" s="143"/>
      <c r="I525" s="143"/>
    </row>
    <row r="526" ht="20.25" spans="1:9">
      <c r="A526" s="143"/>
      <c r="B526" s="143"/>
      <c r="C526" s="143"/>
      <c r="D526" s="143"/>
      <c r="E526" s="143"/>
      <c r="F526" s="143"/>
      <c r="G526" s="143"/>
      <c r="H526" s="143"/>
      <c r="I526" s="143"/>
    </row>
    <row r="527" ht="20.25" spans="1:9">
      <c r="A527" s="143"/>
      <c r="B527" s="143"/>
      <c r="C527" s="143"/>
      <c r="D527" s="143"/>
      <c r="E527" s="143"/>
      <c r="F527" s="143"/>
      <c r="G527" s="143"/>
      <c r="H527" s="143"/>
      <c r="I527" s="143"/>
    </row>
    <row r="528" ht="20.25" spans="1:9">
      <c r="A528" s="143"/>
      <c r="B528" s="143"/>
      <c r="C528" s="143"/>
      <c r="D528" s="143"/>
      <c r="E528" s="143"/>
      <c r="F528" s="143"/>
      <c r="G528" s="143"/>
      <c r="H528" s="143"/>
      <c r="I528" s="143"/>
    </row>
    <row r="529" ht="20.25" spans="1:9">
      <c r="A529" s="143"/>
      <c r="B529" s="143"/>
      <c r="C529" s="143"/>
      <c r="D529" s="143"/>
      <c r="E529" s="143"/>
      <c r="F529" s="143"/>
      <c r="G529" s="143"/>
      <c r="H529" s="143"/>
      <c r="I529" s="143"/>
    </row>
    <row r="530" ht="20.25" spans="1:9">
      <c r="A530" s="143"/>
      <c r="B530" s="143"/>
      <c r="C530" s="143"/>
      <c r="D530" s="143"/>
      <c r="E530" s="143"/>
      <c r="F530" s="143"/>
      <c r="G530" s="143"/>
      <c r="H530" s="143"/>
      <c r="I530" s="143"/>
    </row>
    <row r="531" ht="20.25" spans="1:9">
      <c r="A531" s="143"/>
      <c r="B531" s="143"/>
      <c r="C531" s="143"/>
      <c r="D531" s="143"/>
      <c r="E531" s="143"/>
      <c r="F531" s="143"/>
      <c r="G531" s="143"/>
      <c r="H531" s="143"/>
      <c r="I531" s="143"/>
    </row>
    <row r="532" ht="20.25" spans="1:9">
      <c r="A532" s="143"/>
      <c r="B532" s="143"/>
      <c r="C532" s="143"/>
      <c r="D532" s="143"/>
      <c r="E532" s="143"/>
      <c r="F532" s="143"/>
      <c r="G532" s="143"/>
      <c r="H532" s="143"/>
      <c r="I532" s="143"/>
    </row>
    <row r="533" ht="20.25" spans="1:9">
      <c r="A533" s="143"/>
      <c r="B533" s="143"/>
      <c r="C533" s="143"/>
      <c r="D533" s="143"/>
      <c r="E533" s="143"/>
      <c r="F533" s="143"/>
      <c r="G533" s="143"/>
      <c r="H533" s="143"/>
      <c r="I533" s="143"/>
    </row>
    <row r="534" ht="20.25" spans="1:9">
      <c r="A534" s="143"/>
      <c r="B534" s="143"/>
      <c r="C534" s="143"/>
      <c r="D534" s="143"/>
      <c r="E534" s="143"/>
      <c r="F534" s="143"/>
      <c r="G534" s="143"/>
      <c r="H534" s="143"/>
      <c r="I534" s="143"/>
    </row>
    <row r="535" ht="20.25" spans="1:9">
      <c r="A535" s="143"/>
      <c r="B535" s="143"/>
      <c r="C535" s="143"/>
      <c r="D535" s="143"/>
      <c r="E535" s="143"/>
      <c r="F535" s="143"/>
      <c r="G535" s="143"/>
      <c r="H535" s="143"/>
      <c r="I535" s="143"/>
    </row>
    <row r="536" ht="20.25" spans="1:9">
      <c r="A536" s="143"/>
      <c r="B536" s="143"/>
      <c r="C536" s="143"/>
      <c r="D536" s="143"/>
      <c r="E536" s="143"/>
      <c r="F536" s="143"/>
      <c r="G536" s="143"/>
      <c r="H536" s="143"/>
      <c r="I536" s="143"/>
    </row>
    <row r="537" ht="20.25" spans="1:9">
      <c r="A537" s="143"/>
      <c r="B537" s="143"/>
      <c r="C537" s="143"/>
      <c r="D537" s="143"/>
      <c r="E537" s="143"/>
      <c r="F537" s="143"/>
      <c r="G537" s="143"/>
      <c r="H537" s="143"/>
      <c r="I537" s="143"/>
    </row>
    <row r="538" ht="20.25" spans="1:9">
      <c r="A538" s="143"/>
      <c r="B538" s="143"/>
      <c r="C538" s="143"/>
      <c r="D538" s="143"/>
      <c r="E538" s="143"/>
      <c r="F538" s="143"/>
      <c r="G538" s="143"/>
      <c r="H538" s="143"/>
      <c r="I538" s="143"/>
    </row>
    <row r="539" ht="20.25" spans="1:9">
      <c r="A539" s="143"/>
      <c r="B539" s="143"/>
      <c r="C539" s="143"/>
      <c r="D539" s="143"/>
      <c r="E539" s="143"/>
      <c r="F539" s="143"/>
      <c r="G539" s="143"/>
      <c r="H539" s="143"/>
      <c r="I539" s="143"/>
    </row>
    <row r="540" ht="20.25" spans="1:9">
      <c r="A540" s="143"/>
      <c r="B540" s="143"/>
      <c r="C540" s="143"/>
      <c r="D540" s="143"/>
      <c r="E540" s="143"/>
      <c r="F540" s="143"/>
      <c r="G540" s="143"/>
      <c r="H540" s="143"/>
      <c r="I540" s="143"/>
    </row>
    <row r="541" ht="20.25" spans="1:9">
      <c r="A541" s="143"/>
      <c r="B541" s="143"/>
      <c r="C541" s="143"/>
      <c r="D541" s="143"/>
      <c r="E541" s="143"/>
      <c r="F541" s="143"/>
      <c r="G541" s="143"/>
      <c r="H541" s="143"/>
      <c r="I541" s="143"/>
    </row>
    <row r="542" ht="20.25" spans="1:9">
      <c r="A542" s="143"/>
      <c r="B542" s="143"/>
      <c r="C542" s="143"/>
      <c r="D542" s="143"/>
      <c r="E542" s="143"/>
      <c r="F542" s="143"/>
      <c r="G542" s="143"/>
      <c r="H542" s="143"/>
      <c r="I542" s="143"/>
    </row>
    <row r="543" ht="20.25" spans="1:9">
      <c r="A543" s="143"/>
      <c r="B543" s="143"/>
      <c r="C543" s="143"/>
      <c r="D543" s="143"/>
      <c r="E543" s="143"/>
      <c r="F543" s="143"/>
      <c r="G543" s="143"/>
      <c r="H543" s="143"/>
      <c r="I543" s="143"/>
    </row>
    <row r="544" ht="20.25" spans="1:9">
      <c r="A544" s="143"/>
      <c r="B544" s="143"/>
      <c r="C544" s="143"/>
      <c r="D544" s="143"/>
      <c r="E544" s="143"/>
      <c r="F544" s="143"/>
      <c r="G544" s="143"/>
      <c r="H544" s="143"/>
      <c r="I544" s="143"/>
    </row>
    <row r="545" ht="20.25" spans="1:9">
      <c r="A545" s="143"/>
      <c r="B545" s="143"/>
      <c r="C545" s="143"/>
      <c r="D545" s="143"/>
      <c r="E545" s="143"/>
      <c r="F545" s="143"/>
      <c r="G545" s="143"/>
      <c r="H545" s="143"/>
      <c r="I545" s="143"/>
    </row>
    <row r="546" ht="20.25" spans="1:9">
      <c r="A546" s="143"/>
      <c r="B546" s="143"/>
      <c r="C546" s="143"/>
      <c r="D546" s="143"/>
      <c r="E546" s="143"/>
      <c r="F546" s="143"/>
      <c r="G546" s="143"/>
      <c r="H546" s="143"/>
      <c r="I546" s="143"/>
    </row>
    <row r="547" ht="20.25" spans="1:9">
      <c r="A547" s="143"/>
      <c r="B547" s="143"/>
      <c r="C547" s="143"/>
      <c r="D547" s="143"/>
      <c r="E547" s="143"/>
      <c r="F547" s="143"/>
      <c r="G547" s="143"/>
      <c r="H547" s="143"/>
      <c r="I547" s="143"/>
    </row>
    <row r="548" ht="20.25" spans="1:9">
      <c r="A548" s="143"/>
      <c r="B548" s="143"/>
      <c r="C548" s="143"/>
      <c r="D548" s="143"/>
      <c r="E548" s="143"/>
      <c r="F548" s="143"/>
      <c r="G548" s="143"/>
      <c r="H548" s="143"/>
      <c r="I548" s="143"/>
    </row>
    <row r="549" ht="20.25" spans="1:9">
      <c r="A549" s="143"/>
      <c r="B549" s="143"/>
      <c r="C549" s="143"/>
      <c r="D549" s="143"/>
      <c r="E549" s="143"/>
      <c r="F549" s="143"/>
      <c r="G549" s="143"/>
      <c r="H549" s="143"/>
      <c r="I549" s="143"/>
    </row>
    <row r="550" ht="20.25" spans="1:9">
      <c r="A550" s="143"/>
      <c r="B550" s="143"/>
      <c r="C550" s="143"/>
      <c r="D550" s="143"/>
      <c r="E550" s="143"/>
      <c r="F550" s="143"/>
      <c r="G550" s="143"/>
      <c r="H550" s="143"/>
      <c r="I550" s="143"/>
    </row>
    <row r="551" ht="20.25" spans="1:9">
      <c r="A551" s="143"/>
      <c r="B551" s="143"/>
      <c r="C551" s="143"/>
      <c r="D551" s="143"/>
      <c r="E551" s="143"/>
      <c r="F551" s="143"/>
      <c r="G551" s="143"/>
      <c r="H551" s="143"/>
      <c r="I551" s="143"/>
    </row>
    <row r="552" ht="20.25" spans="1:9">
      <c r="A552" s="143"/>
      <c r="B552" s="143"/>
      <c r="C552" s="143"/>
      <c r="D552" s="143"/>
      <c r="E552" s="143"/>
      <c r="F552" s="143"/>
      <c r="G552" s="143"/>
      <c r="H552" s="143"/>
      <c r="I552" s="143"/>
    </row>
    <row r="553" ht="20.25" spans="1:9">
      <c r="A553" s="143"/>
      <c r="B553" s="143"/>
      <c r="C553" s="143"/>
      <c r="D553" s="143"/>
      <c r="E553" s="143"/>
      <c r="F553" s="143"/>
      <c r="G553" s="143"/>
      <c r="H553" s="143"/>
      <c r="I553" s="143"/>
    </row>
    <row r="554" ht="20.25" spans="1:9">
      <c r="A554" s="143"/>
      <c r="B554" s="143"/>
      <c r="C554" s="143"/>
      <c r="D554" s="143"/>
      <c r="E554" s="143"/>
      <c r="F554" s="143"/>
      <c r="G554" s="143"/>
      <c r="H554" s="143"/>
      <c r="I554" s="143"/>
    </row>
    <row r="555" ht="20.25" spans="1:9">
      <c r="A555" s="143"/>
      <c r="B555" s="143"/>
      <c r="C555" s="143"/>
      <c r="D555" s="143"/>
      <c r="E555" s="143"/>
      <c r="F555" s="143"/>
      <c r="G555" s="143"/>
      <c r="H555" s="143"/>
      <c r="I555" s="143"/>
    </row>
    <row r="556" ht="20.25" spans="1:9">
      <c r="A556" s="143"/>
      <c r="B556" s="143"/>
      <c r="C556" s="143"/>
      <c r="D556" s="143"/>
      <c r="E556" s="143"/>
      <c r="F556" s="143"/>
      <c r="G556" s="143"/>
      <c r="H556" s="143"/>
      <c r="I556" s="143"/>
    </row>
    <row r="557" ht="20.25" spans="1:9">
      <c r="A557" s="143"/>
      <c r="B557" s="143"/>
      <c r="C557" s="143"/>
      <c r="D557" s="143"/>
      <c r="E557" s="143"/>
      <c r="F557" s="143"/>
      <c r="G557" s="143"/>
      <c r="H557" s="143"/>
      <c r="I557" s="143"/>
    </row>
    <row r="558" ht="20.25" spans="1:9">
      <c r="A558" s="143"/>
      <c r="B558" s="143"/>
      <c r="C558" s="143"/>
      <c r="D558" s="143"/>
      <c r="E558" s="143"/>
      <c r="F558" s="143"/>
      <c r="G558" s="143"/>
      <c r="H558" s="143"/>
      <c r="I558" s="143"/>
    </row>
    <row r="559" ht="20.25" spans="1:9">
      <c r="A559" s="143"/>
      <c r="B559" s="143"/>
      <c r="C559" s="143"/>
      <c r="D559" s="143"/>
      <c r="E559" s="143"/>
      <c r="F559" s="143"/>
      <c r="G559" s="143"/>
      <c r="H559" s="143"/>
      <c r="I559" s="143"/>
    </row>
    <row r="560" ht="20.25" spans="1:9">
      <c r="A560" s="143"/>
      <c r="B560" s="143"/>
      <c r="C560" s="143"/>
      <c r="D560" s="143"/>
      <c r="E560" s="143"/>
      <c r="F560" s="143"/>
      <c r="G560" s="143"/>
      <c r="H560" s="143"/>
      <c r="I560" s="143"/>
    </row>
    <row r="561" ht="20.25" spans="1:9">
      <c r="A561" s="143"/>
      <c r="B561" s="143"/>
      <c r="C561" s="143"/>
      <c r="D561" s="143"/>
      <c r="E561" s="143"/>
      <c r="F561" s="143"/>
      <c r="G561" s="143"/>
      <c r="H561" s="143"/>
      <c r="I561" s="143"/>
    </row>
    <row r="562" ht="20.25" spans="1:9">
      <c r="A562" s="143"/>
      <c r="B562" s="143"/>
      <c r="C562" s="143"/>
      <c r="D562" s="143"/>
      <c r="E562" s="143"/>
      <c r="F562" s="143"/>
      <c r="G562" s="143"/>
      <c r="H562" s="143"/>
      <c r="I562" s="143"/>
    </row>
    <row r="563" ht="20.25" spans="1:9">
      <c r="A563" s="143"/>
      <c r="B563" s="143"/>
      <c r="C563" s="143"/>
      <c r="D563" s="143"/>
      <c r="E563" s="143"/>
      <c r="F563" s="143"/>
      <c r="G563" s="143"/>
      <c r="H563" s="143"/>
      <c r="I563" s="143"/>
    </row>
    <row r="564" ht="20.25" spans="1:9">
      <c r="A564" s="143"/>
      <c r="B564" s="143"/>
      <c r="C564" s="143"/>
      <c r="D564" s="143"/>
      <c r="E564" s="143"/>
      <c r="F564" s="143"/>
      <c r="G564" s="143"/>
      <c r="H564" s="143"/>
      <c r="I564" s="143"/>
    </row>
    <row r="565" ht="20.25" spans="1:9">
      <c r="A565" s="143"/>
      <c r="B565" s="143"/>
      <c r="C565" s="143"/>
      <c r="D565" s="143"/>
      <c r="E565" s="143"/>
      <c r="F565" s="143"/>
      <c r="G565" s="143"/>
      <c r="H565" s="143"/>
      <c r="I565" s="143"/>
    </row>
    <row r="566" ht="20.25" spans="1:9">
      <c r="A566" s="143"/>
      <c r="B566" s="143"/>
      <c r="C566" s="143"/>
      <c r="D566" s="143"/>
      <c r="E566" s="143"/>
      <c r="F566" s="143"/>
      <c r="G566" s="143"/>
      <c r="H566" s="143"/>
      <c r="I566" s="143"/>
    </row>
    <row r="567" ht="20.25" spans="1:9">
      <c r="A567" s="143"/>
      <c r="B567" s="143"/>
      <c r="C567" s="143"/>
      <c r="D567" s="143"/>
      <c r="E567" s="143"/>
      <c r="F567" s="143"/>
      <c r="G567" s="143"/>
      <c r="H567" s="143"/>
      <c r="I567" s="143"/>
    </row>
    <row r="568" ht="20.25" spans="1:9">
      <c r="A568" s="143"/>
      <c r="B568" s="143"/>
      <c r="C568" s="143"/>
      <c r="D568" s="143"/>
      <c r="E568" s="143"/>
      <c r="F568" s="143"/>
      <c r="G568" s="143"/>
      <c r="H568" s="143"/>
      <c r="I568" s="143"/>
    </row>
    <row r="569" ht="20.25" spans="1:9">
      <c r="A569" s="143"/>
      <c r="B569" s="143"/>
      <c r="C569" s="143"/>
      <c r="D569" s="143"/>
      <c r="E569" s="143"/>
      <c r="F569" s="143"/>
      <c r="G569" s="143"/>
      <c r="H569" s="143"/>
      <c r="I569" s="143"/>
    </row>
    <row r="570" ht="20.25" spans="1:9">
      <c r="A570" s="143"/>
      <c r="B570" s="143"/>
      <c r="C570" s="143"/>
      <c r="D570" s="143"/>
      <c r="E570" s="143"/>
      <c r="F570" s="143"/>
      <c r="G570" s="143"/>
      <c r="H570" s="143"/>
      <c r="I570" s="143"/>
    </row>
    <row r="571" ht="20.25" spans="1:9">
      <c r="A571" s="143"/>
      <c r="B571" s="143"/>
      <c r="C571" s="143"/>
      <c r="D571" s="143"/>
      <c r="E571" s="143"/>
      <c r="F571" s="143"/>
      <c r="G571" s="143"/>
      <c r="H571" s="143"/>
      <c r="I571" s="143"/>
    </row>
    <row r="572" ht="20.25" spans="1:9">
      <c r="A572" s="143"/>
      <c r="B572" s="143"/>
      <c r="C572" s="143"/>
      <c r="D572" s="143"/>
      <c r="E572" s="143"/>
      <c r="F572" s="143"/>
      <c r="G572" s="143"/>
      <c r="H572" s="143"/>
      <c r="I572" s="143"/>
    </row>
    <row r="573" ht="20.25" spans="1:9">
      <c r="A573" s="143"/>
      <c r="B573" s="143"/>
      <c r="C573" s="143"/>
      <c r="D573" s="143"/>
      <c r="E573" s="143"/>
      <c r="F573" s="143"/>
      <c r="G573" s="143"/>
      <c r="H573" s="143"/>
      <c r="I573" s="143"/>
    </row>
    <row r="574" ht="20.25" spans="1:9">
      <c r="A574" s="143"/>
      <c r="B574" s="143"/>
      <c r="C574" s="143"/>
      <c r="D574" s="143"/>
      <c r="E574" s="143"/>
      <c r="F574" s="143"/>
      <c r="G574" s="143"/>
      <c r="H574" s="143"/>
      <c r="I574" s="143"/>
    </row>
    <row r="575" ht="20.25" spans="1:9">
      <c r="A575" s="143"/>
      <c r="B575" s="143"/>
      <c r="C575" s="143"/>
      <c r="D575" s="143"/>
      <c r="E575" s="143"/>
      <c r="F575" s="143"/>
      <c r="G575" s="143"/>
      <c r="H575" s="143"/>
      <c r="I575" s="143"/>
    </row>
    <row r="576" ht="20.25" spans="1:9">
      <c r="A576" s="143"/>
      <c r="B576" s="143"/>
      <c r="C576" s="143"/>
      <c r="D576" s="143"/>
      <c r="E576" s="143"/>
      <c r="F576" s="143"/>
      <c r="G576" s="143"/>
      <c r="H576" s="143"/>
      <c r="I576" s="143"/>
    </row>
    <row r="577" ht="20.25" spans="1:9">
      <c r="A577" s="143"/>
      <c r="B577" s="143"/>
      <c r="C577" s="143"/>
      <c r="D577" s="143"/>
      <c r="E577" s="143"/>
      <c r="F577" s="143"/>
      <c r="G577" s="143"/>
      <c r="H577" s="143"/>
      <c r="I577" s="143"/>
    </row>
    <row r="578" ht="20.25" spans="1:9">
      <c r="A578" s="143"/>
      <c r="B578" s="143"/>
      <c r="C578" s="143"/>
      <c r="D578" s="143"/>
      <c r="E578" s="143"/>
      <c r="F578" s="143"/>
      <c r="G578" s="143"/>
      <c r="H578" s="143"/>
      <c r="I578" s="143"/>
    </row>
    <row r="579" ht="20.25" spans="1:9">
      <c r="A579" s="143"/>
      <c r="B579" s="143"/>
      <c r="C579" s="143"/>
      <c r="D579" s="143"/>
      <c r="E579" s="143"/>
      <c r="F579" s="143"/>
      <c r="G579" s="143"/>
      <c r="H579" s="143"/>
      <c r="I579" s="143"/>
    </row>
    <row r="580" ht="20.25" spans="1:9">
      <c r="A580" s="143"/>
      <c r="B580" s="143"/>
      <c r="C580" s="143"/>
      <c r="D580" s="143"/>
      <c r="E580" s="143"/>
      <c r="F580" s="143"/>
      <c r="G580" s="143"/>
      <c r="H580" s="143"/>
      <c r="I580" s="143"/>
    </row>
    <row r="581" ht="20.25" spans="1:9">
      <c r="A581" s="143"/>
      <c r="B581" s="143"/>
      <c r="C581" s="143"/>
      <c r="D581" s="143"/>
      <c r="E581" s="143"/>
      <c r="F581" s="143"/>
      <c r="G581" s="143"/>
      <c r="H581" s="143"/>
      <c r="I581" s="143"/>
    </row>
    <row r="582" ht="20.25" spans="1:9">
      <c r="A582" s="143"/>
      <c r="B582" s="143"/>
      <c r="C582" s="143"/>
      <c r="D582" s="143"/>
      <c r="E582" s="143"/>
      <c r="F582" s="143"/>
      <c r="G582" s="143"/>
      <c r="H582" s="143"/>
      <c r="I582" s="143"/>
    </row>
    <row r="583" ht="20.25" spans="1:9">
      <c r="A583" s="143"/>
      <c r="B583" s="143"/>
      <c r="C583" s="143"/>
      <c r="D583" s="143"/>
      <c r="E583" s="143"/>
      <c r="F583" s="143"/>
      <c r="G583" s="143"/>
      <c r="H583" s="143"/>
      <c r="I583" s="143"/>
    </row>
    <row r="584" ht="20.25" spans="1:9">
      <c r="A584" s="143"/>
      <c r="B584" s="143"/>
      <c r="C584" s="143"/>
      <c r="D584" s="143"/>
      <c r="E584" s="143"/>
      <c r="F584" s="143"/>
      <c r="G584" s="143"/>
      <c r="H584" s="143"/>
      <c r="I584" s="143"/>
    </row>
    <row r="585" ht="20.25" spans="1:9">
      <c r="A585" s="143"/>
      <c r="B585" s="143"/>
      <c r="C585" s="143"/>
      <c r="D585" s="143"/>
      <c r="E585" s="143"/>
      <c r="F585" s="143"/>
      <c r="G585" s="143"/>
      <c r="H585" s="143"/>
      <c r="I585" s="143"/>
    </row>
    <row r="586" ht="20.25" spans="1:9">
      <c r="A586" s="143"/>
      <c r="B586" s="143"/>
      <c r="C586" s="143"/>
      <c r="D586" s="143"/>
      <c r="E586" s="143"/>
      <c r="F586" s="143"/>
      <c r="G586" s="143"/>
      <c r="H586" s="143"/>
      <c r="I586" s="143"/>
    </row>
    <row r="587" ht="20.25" spans="1:9">
      <c r="A587" s="143"/>
      <c r="B587" s="143"/>
      <c r="C587" s="143"/>
      <c r="D587" s="143"/>
      <c r="E587" s="143"/>
      <c r="F587" s="143"/>
      <c r="G587" s="143"/>
      <c r="H587" s="143"/>
      <c r="I587" s="143"/>
    </row>
    <row r="588" ht="20.25" spans="1:9">
      <c r="A588" s="143"/>
      <c r="B588" s="143"/>
      <c r="C588" s="143"/>
      <c r="D588" s="143"/>
      <c r="E588" s="143"/>
      <c r="F588" s="143"/>
      <c r="G588" s="143"/>
      <c r="H588" s="143"/>
      <c r="I588" s="143"/>
    </row>
    <row r="589" ht="20.25" spans="1:9">
      <c r="A589" s="143"/>
      <c r="B589" s="143"/>
      <c r="C589" s="143"/>
      <c r="D589" s="143"/>
      <c r="E589" s="143"/>
      <c r="F589" s="143"/>
      <c r="G589" s="143"/>
      <c r="H589" s="143"/>
      <c r="I589" s="143"/>
    </row>
    <row r="590" ht="20.25" spans="1:9">
      <c r="A590" s="143"/>
      <c r="B590" s="143"/>
      <c r="C590" s="143"/>
      <c r="D590" s="143"/>
      <c r="E590" s="143"/>
      <c r="F590" s="143"/>
      <c r="G590" s="143"/>
      <c r="H590" s="143"/>
      <c r="I590" s="143"/>
    </row>
    <row r="591" ht="20.25" spans="1:9">
      <c r="A591" s="143"/>
      <c r="B591" s="143"/>
      <c r="C591" s="143"/>
      <c r="D591" s="143"/>
      <c r="E591" s="143"/>
      <c r="F591" s="143"/>
      <c r="G591" s="143"/>
      <c r="H591" s="143"/>
      <c r="I591" s="143"/>
    </row>
    <row r="592" ht="20.25" spans="1:9">
      <c r="A592" s="143"/>
      <c r="B592" s="143"/>
      <c r="C592" s="143"/>
      <c r="D592" s="143"/>
      <c r="E592" s="143"/>
      <c r="F592" s="143"/>
      <c r="G592" s="143"/>
      <c r="H592" s="143"/>
      <c r="I592" s="143"/>
    </row>
    <row r="593" ht="20.25" spans="1:9">
      <c r="A593" s="143"/>
      <c r="B593" s="143"/>
      <c r="C593" s="143"/>
      <c r="D593" s="143"/>
      <c r="E593" s="143"/>
      <c r="F593" s="143"/>
      <c r="G593" s="143"/>
      <c r="H593" s="143"/>
      <c r="I593" s="143"/>
    </row>
    <row r="594" ht="20.25" spans="1:9">
      <c r="A594" s="143"/>
      <c r="B594" s="143"/>
      <c r="C594" s="143"/>
      <c r="D594" s="143"/>
      <c r="E594" s="143"/>
      <c r="F594" s="143"/>
      <c r="G594" s="143"/>
      <c r="H594" s="143"/>
      <c r="I594" s="143"/>
    </row>
    <row r="595" ht="20.25" spans="1:9">
      <c r="A595" s="143"/>
      <c r="B595" s="143"/>
      <c r="C595" s="143"/>
      <c r="D595" s="143"/>
      <c r="E595" s="143"/>
      <c r="F595" s="143"/>
      <c r="G595" s="143"/>
      <c r="H595" s="143"/>
      <c r="I595" s="143"/>
    </row>
    <row r="596" ht="20.25" spans="1:9">
      <c r="A596" s="143"/>
      <c r="B596" s="143"/>
      <c r="C596" s="143"/>
      <c r="D596" s="143"/>
      <c r="E596" s="143"/>
      <c r="F596" s="143"/>
      <c r="G596" s="143"/>
      <c r="H596" s="143"/>
      <c r="I596" s="143"/>
    </row>
    <row r="597" ht="20.25" spans="1:9">
      <c r="A597" s="143"/>
      <c r="B597" s="143"/>
      <c r="C597" s="143"/>
      <c r="D597" s="143"/>
      <c r="E597" s="143"/>
      <c r="F597" s="143"/>
      <c r="G597" s="143"/>
      <c r="H597" s="143"/>
      <c r="I597" s="143"/>
    </row>
    <row r="598" ht="20.25" spans="1:9">
      <c r="A598" s="143"/>
      <c r="B598" s="143"/>
      <c r="C598" s="143"/>
      <c r="D598" s="143"/>
      <c r="E598" s="143"/>
      <c r="F598" s="143"/>
      <c r="G598" s="143"/>
      <c r="H598" s="143"/>
      <c r="I598" s="143"/>
    </row>
    <row r="599" ht="20.25" spans="1:9">
      <c r="A599" s="143"/>
      <c r="B599" s="143"/>
      <c r="C599" s="143"/>
      <c r="D599" s="143"/>
      <c r="E599" s="143"/>
      <c r="F599" s="143"/>
      <c r="G599" s="143"/>
      <c r="H599" s="143"/>
      <c r="I599" s="143"/>
    </row>
    <row r="600" ht="20.25" spans="1:9">
      <c r="A600" s="143"/>
      <c r="B600" s="143"/>
      <c r="C600" s="143"/>
      <c r="D600" s="143"/>
      <c r="E600" s="143"/>
      <c r="F600" s="143"/>
      <c r="G600" s="143"/>
      <c r="H600" s="143"/>
      <c r="I600" s="143"/>
    </row>
    <row r="601" ht="20.25" spans="1:9">
      <c r="A601" s="143"/>
      <c r="B601" s="143"/>
      <c r="C601" s="143"/>
      <c r="D601" s="143"/>
      <c r="E601" s="143"/>
      <c r="F601" s="143"/>
      <c r="G601" s="143"/>
      <c r="H601" s="143"/>
      <c r="I601" s="143"/>
    </row>
    <row r="602" ht="20.25" spans="1:9">
      <c r="A602" s="143"/>
      <c r="B602" s="143"/>
      <c r="C602" s="143"/>
      <c r="D602" s="143"/>
      <c r="E602" s="143"/>
      <c r="F602" s="143"/>
      <c r="G602" s="143"/>
      <c r="H602" s="143"/>
      <c r="I602" s="143"/>
    </row>
    <row r="603" ht="20.25" spans="1:9">
      <c r="A603" s="143"/>
      <c r="B603" s="143"/>
      <c r="C603" s="143"/>
      <c r="D603" s="143"/>
      <c r="E603" s="143"/>
      <c r="F603" s="143"/>
      <c r="G603" s="143"/>
      <c r="H603" s="143"/>
      <c r="I603" s="143"/>
    </row>
    <row r="604" ht="20.25" spans="1:9">
      <c r="A604" s="143"/>
      <c r="B604" s="143"/>
      <c r="C604" s="143"/>
      <c r="D604" s="143"/>
      <c r="E604" s="143"/>
      <c r="F604" s="143"/>
      <c r="G604" s="143"/>
      <c r="H604" s="143"/>
      <c r="I604" s="143"/>
    </row>
    <row r="605" ht="20.25" spans="1:9">
      <c r="A605" s="143"/>
      <c r="B605" s="143"/>
      <c r="C605" s="143"/>
      <c r="D605" s="143"/>
      <c r="E605" s="143"/>
      <c r="F605" s="143"/>
      <c r="G605" s="143"/>
      <c r="H605" s="143"/>
      <c r="I605" s="143"/>
    </row>
    <row r="606" ht="20.25" spans="1:9">
      <c r="A606" s="143"/>
      <c r="B606" s="143"/>
      <c r="C606" s="143"/>
      <c r="D606" s="143"/>
      <c r="E606" s="143"/>
      <c r="F606" s="143"/>
      <c r="G606" s="143"/>
      <c r="H606" s="143"/>
      <c r="I606" s="143"/>
    </row>
    <row r="607" ht="20.25" spans="1:9">
      <c r="A607" s="143"/>
      <c r="B607" s="143"/>
      <c r="C607" s="143"/>
      <c r="D607" s="143"/>
      <c r="E607" s="143"/>
      <c r="F607" s="143"/>
      <c r="G607" s="143"/>
      <c r="H607" s="143"/>
      <c r="I607" s="143"/>
    </row>
    <row r="608" ht="20.25" spans="1:9">
      <c r="A608" s="143"/>
      <c r="B608" s="143"/>
      <c r="C608" s="143"/>
      <c r="D608" s="143"/>
      <c r="E608" s="143"/>
      <c r="F608" s="143"/>
      <c r="G608" s="143"/>
      <c r="H608" s="143"/>
      <c r="I608" s="143"/>
    </row>
    <row r="609" ht="20.25" spans="1:9">
      <c r="A609" s="143"/>
      <c r="B609" s="143"/>
      <c r="C609" s="143"/>
      <c r="D609" s="143"/>
      <c r="E609" s="143"/>
      <c r="F609" s="143"/>
      <c r="G609" s="143"/>
      <c r="H609" s="143"/>
      <c r="I609" s="143"/>
    </row>
    <row r="610" ht="20.25" spans="1:9">
      <c r="A610" s="143"/>
      <c r="B610" s="143"/>
      <c r="C610" s="143"/>
      <c r="D610" s="143"/>
      <c r="E610" s="143"/>
      <c r="F610" s="143"/>
      <c r="G610" s="143"/>
      <c r="H610" s="143"/>
      <c r="I610" s="143"/>
    </row>
    <row r="611" ht="20.25" spans="1:9">
      <c r="A611" s="143"/>
      <c r="B611" s="143"/>
      <c r="C611" s="143"/>
      <c r="D611" s="143"/>
      <c r="E611" s="143"/>
      <c r="F611" s="143"/>
      <c r="G611" s="143"/>
      <c r="H611" s="143"/>
      <c r="I611" s="143"/>
    </row>
    <row r="612" ht="20.25" spans="1:9">
      <c r="A612" s="143"/>
      <c r="B612" s="143"/>
      <c r="C612" s="143"/>
      <c r="D612" s="143"/>
      <c r="E612" s="143"/>
      <c r="F612" s="143"/>
      <c r="G612" s="143"/>
      <c r="H612" s="143"/>
      <c r="I612" s="143"/>
    </row>
    <row r="613" ht="20.25" spans="1:9">
      <c r="A613" s="143"/>
      <c r="B613" s="143"/>
      <c r="C613" s="143"/>
      <c r="D613" s="143"/>
      <c r="E613" s="143"/>
      <c r="F613" s="143"/>
      <c r="G613" s="143"/>
      <c r="H613" s="143"/>
      <c r="I613" s="143"/>
    </row>
    <row r="614" ht="20.25" spans="1:9">
      <c r="A614" s="143"/>
      <c r="B614" s="143"/>
      <c r="C614" s="143"/>
      <c r="D614" s="143"/>
      <c r="E614" s="143"/>
      <c r="F614" s="143"/>
      <c r="G614" s="143"/>
      <c r="H614" s="143"/>
      <c r="I614" s="143"/>
    </row>
    <row r="615" ht="20.25" spans="1:9">
      <c r="A615" s="143"/>
      <c r="B615" s="143"/>
      <c r="C615" s="143"/>
      <c r="D615" s="143"/>
      <c r="E615" s="143"/>
      <c r="F615" s="143"/>
      <c r="G615" s="143"/>
      <c r="H615" s="143"/>
      <c r="I615" s="143"/>
    </row>
    <row r="616" ht="20.25" spans="1:9">
      <c r="A616" s="143"/>
      <c r="B616" s="143"/>
      <c r="C616" s="143"/>
      <c r="D616" s="143"/>
      <c r="E616" s="143"/>
      <c r="F616" s="143"/>
      <c r="G616" s="143"/>
      <c r="H616" s="143"/>
      <c r="I616" s="143"/>
    </row>
    <row r="617" ht="20.25" spans="1:9">
      <c r="A617" s="143"/>
      <c r="B617" s="143"/>
      <c r="C617" s="143"/>
      <c r="D617" s="143"/>
      <c r="E617" s="143"/>
      <c r="F617" s="143"/>
      <c r="G617" s="143"/>
      <c r="H617" s="143"/>
      <c r="I617" s="143"/>
    </row>
    <row r="618" ht="20.25" spans="1:9">
      <c r="A618" s="143"/>
      <c r="B618" s="143"/>
      <c r="C618" s="143"/>
      <c r="D618" s="143"/>
      <c r="E618" s="143"/>
      <c r="F618" s="143"/>
      <c r="G618" s="143"/>
      <c r="H618" s="143"/>
      <c r="I618" s="143"/>
    </row>
    <row r="619" ht="20.25" spans="1:9">
      <c r="A619" s="143"/>
      <c r="B619" s="143"/>
      <c r="C619" s="143"/>
      <c r="D619" s="143"/>
      <c r="E619" s="143"/>
      <c r="F619" s="143"/>
      <c r="G619" s="143"/>
      <c r="H619" s="143"/>
      <c r="I619" s="143"/>
    </row>
    <row r="620" ht="20.25" spans="1:9">
      <c r="A620" s="143"/>
      <c r="B620" s="143"/>
      <c r="C620" s="143"/>
      <c r="D620" s="143"/>
      <c r="E620" s="143"/>
      <c r="F620" s="143"/>
      <c r="G620" s="143"/>
      <c r="H620" s="143"/>
      <c r="I620" s="143"/>
    </row>
    <row r="621" ht="20.25" spans="1:9">
      <c r="A621" s="143"/>
      <c r="B621" s="143"/>
      <c r="C621" s="143"/>
      <c r="D621" s="143"/>
      <c r="E621" s="143"/>
      <c r="F621" s="143"/>
      <c r="G621" s="143"/>
      <c r="H621" s="143"/>
      <c r="I621" s="143"/>
    </row>
    <row r="622" ht="20.25" spans="1:9">
      <c r="A622" s="143"/>
      <c r="B622" s="143"/>
      <c r="C622" s="143"/>
      <c r="D622" s="143"/>
      <c r="E622" s="143"/>
      <c r="F622" s="143"/>
      <c r="G622" s="143"/>
      <c r="H622" s="143"/>
      <c r="I622" s="143"/>
    </row>
    <row r="623" ht="20.25" spans="1:9">
      <c r="A623" s="143"/>
      <c r="B623" s="143"/>
      <c r="C623" s="143"/>
      <c r="D623" s="143"/>
      <c r="E623" s="143"/>
      <c r="F623" s="143"/>
      <c r="G623" s="143"/>
      <c r="H623" s="143"/>
      <c r="I623" s="143"/>
    </row>
    <row r="624" ht="20.25" spans="1:9">
      <c r="A624" s="143"/>
      <c r="B624" s="143"/>
      <c r="C624" s="143"/>
      <c r="D624" s="143"/>
      <c r="E624" s="143"/>
      <c r="F624" s="143"/>
      <c r="G624" s="143"/>
      <c r="H624" s="143"/>
      <c r="I624" s="143"/>
    </row>
    <row r="625" ht="20.25" spans="1:9">
      <c r="A625" s="143"/>
      <c r="B625" s="143"/>
      <c r="C625" s="143"/>
      <c r="D625" s="143"/>
      <c r="E625" s="143"/>
      <c r="F625" s="143"/>
      <c r="G625" s="143"/>
      <c r="H625" s="143"/>
      <c r="I625" s="143"/>
    </row>
    <row r="626" ht="20.25" spans="1:9">
      <c r="A626" s="143"/>
      <c r="B626" s="143"/>
      <c r="C626" s="143"/>
      <c r="D626" s="143"/>
      <c r="E626" s="143"/>
      <c r="F626" s="143"/>
      <c r="G626" s="143"/>
      <c r="H626" s="143"/>
      <c r="I626" s="143"/>
    </row>
    <row r="627" ht="20.25" spans="1:9">
      <c r="A627" s="143"/>
      <c r="B627" s="143"/>
      <c r="C627" s="143"/>
      <c r="D627" s="143"/>
      <c r="E627" s="143"/>
      <c r="F627" s="143"/>
      <c r="G627" s="143"/>
      <c r="H627" s="143"/>
      <c r="I627" s="143"/>
    </row>
    <row r="628" ht="20.25" spans="1:9">
      <c r="A628" s="143"/>
      <c r="B628" s="143"/>
      <c r="C628" s="143"/>
      <c r="D628" s="143"/>
      <c r="E628" s="143"/>
      <c r="F628" s="143"/>
      <c r="G628" s="143"/>
      <c r="H628" s="143"/>
      <c r="I628" s="143"/>
    </row>
    <row r="629" ht="20.25" spans="1:9">
      <c r="A629" s="143"/>
      <c r="B629" s="143"/>
      <c r="C629" s="143"/>
      <c r="D629" s="143"/>
      <c r="E629" s="143"/>
      <c r="F629" s="143"/>
      <c r="G629" s="143"/>
      <c r="H629" s="143"/>
      <c r="I629" s="143"/>
    </row>
    <row r="630" ht="20.25" spans="1:9">
      <c r="A630" s="143"/>
      <c r="B630" s="143"/>
      <c r="C630" s="143"/>
      <c r="D630" s="143"/>
      <c r="E630" s="143"/>
      <c r="F630" s="143"/>
      <c r="G630" s="143"/>
      <c r="H630" s="143"/>
      <c r="I630" s="143"/>
    </row>
    <row r="631" ht="20.25" spans="1:9">
      <c r="A631" s="143"/>
      <c r="B631" s="143"/>
      <c r="C631" s="143"/>
      <c r="D631" s="143"/>
      <c r="E631" s="143"/>
      <c r="F631" s="143"/>
      <c r="G631" s="143"/>
      <c r="H631" s="143"/>
      <c r="I631" s="143"/>
    </row>
    <row r="632" ht="20.25" spans="1:9">
      <c r="A632" s="143"/>
      <c r="B632" s="143"/>
      <c r="C632" s="143"/>
      <c r="D632" s="143"/>
      <c r="E632" s="143"/>
      <c r="F632" s="143"/>
      <c r="G632" s="143"/>
      <c r="H632" s="143"/>
      <c r="I632" s="143"/>
    </row>
    <row r="633" ht="20.25" spans="1:9">
      <c r="A633" s="143"/>
      <c r="B633" s="143"/>
      <c r="C633" s="143"/>
      <c r="D633" s="143"/>
      <c r="E633" s="143"/>
      <c r="F633" s="143"/>
      <c r="G633" s="143"/>
      <c r="H633" s="143"/>
      <c r="I633" s="143"/>
    </row>
    <row r="634" ht="20.25" spans="1:9">
      <c r="A634" s="143"/>
      <c r="B634" s="143"/>
      <c r="C634" s="143"/>
      <c r="D634" s="143"/>
      <c r="E634" s="143"/>
      <c r="F634" s="143"/>
      <c r="G634" s="143"/>
      <c r="H634" s="143"/>
      <c r="I634" s="143"/>
    </row>
    <row r="635" ht="20.25" spans="1:9">
      <c r="A635" s="143"/>
      <c r="B635" s="143"/>
      <c r="C635" s="143"/>
      <c r="D635" s="143"/>
      <c r="E635" s="143"/>
      <c r="F635" s="143"/>
      <c r="G635" s="143"/>
      <c r="H635" s="143"/>
      <c r="I635" s="143"/>
    </row>
    <row r="636" ht="20.25" spans="1:9">
      <c r="A636" s="143"/>
      <c r="B636" s="143"/>
      <c r="C636" s="143"/>
      <c r="D636" s="143"/>
      <c r="E636" s="143"/>
      <c r="F636" s="143"/>
      <c r="G636" s="143"/>
      <c r="H636" s="143"/>
      <c r="I636" s="143"/>
    </row>
    <row r="637" ht="20.25" spans="1:9">
      <c r="A637" s="143"/>
      <c r="B637" s="143"/>
      <c r="C637" s="143"/>
      <c r="D637" s="143"/>
      <c r="E637" s="143"/>
      <c r="F637" s="143"/>
      <c r="G637" s="143"/>
      <c r="H637" s="143"/>
      <c r="I637" s="143"/>
    </row>
    <row r="638" ht="20.25" spans="1:9">
      <c r="A638" s="143"/>
      <c r="B638" s="143"/>
      <c r="C638" s="143"/>
      <c r="D638" s="143"/>
      <c r="E638" s="143"/>
      <c r="F638" s="143"/>
      <c r="G638" s="143"/>
      <c r="H638" s="143"/>
      <c r="I638" s="143"/>
    </row>
    <row r="639" ht="20.25" spans="1:9">
      <c r="A639" s="143"/>
      <c r="B639" s="143"/>
      <c r="C639" s="143"/>
      <c r="D639" s="143"/>
      <c r="E639" s="143"/>
      <c r="F639" s="143"/>
      <c r="G639" s="143"/>
      <c r="H639" s="143"/>
      <c r="I639" s="143"/>
    </row>
    <row r="640" ht="20.25" spans="1:9">
      <c r="A640" s="143"/>
      <c r="B640" s="143"/>
      <c r="C640" s="143"/>
      <c r="D640" s="143"/>
      <c r="E640" s="143"/>
      <c r="F640" s="143"/>
      <c r="G640" s="143"/>
      <c r="H640" s="143"/>
      <c r="I640" s="143"/>
    </row>
    <row r="641" ht="20.25" spans="1:9">
      <c r="A641" s="143"/>
      <c r="B641" s="143"/>
      <c r="C641" s="143"/>
      <c r="D641" s="143"/>
      <c r="E641" s="143"/>
      <c r="F641" s="143"/>
      <c r="G641" s="143"/>
      <c r="H641" s="143"/>
      <c r="I641" s="143"/>
    </row>
    <row r="642" ht="20.25" spans="1:9">
      <c r="A642" s="143"/>
      <c r="B642" s="143"/>
      <c r="C642" s="143"/>
      <c r="D642" s="143"/>
      <c r="E642" s="143"/>
      <c r="F642" s="143"/>
      <c r="G642" s="143"/>
      <c r="H642" s="143"/>
      <c r="I642" s="143"/>
    </row>
    <row r="643" ht="20.25" spans="1:9">
      <c r="A643" s="143"/>
      <c r="B643" s="143"/>
      <c r="C643" s="143"/>
      <c r="D643" s="143"/>
      <c r="E643" s="143"/>
      <c r="F643" s="143"/>
      <c r="G643" s="143"/>
      <c r="H643" s="143"/>
      <c r="I643" s="143"/>
    </row>
    <row r="644" ht="20.25" spans="1:9">
      <c r="A644" s="143"/>
      <c r="B644" s="143"/>
      <c r="C644" s="143"/>
      <c r="D644" s="143"/>
      <c r="E644" s="143"/>
      <c r="F644" s="143"/>
      <c r="G644" s="143"/>
      <c r="H644" s="143"/>
      <c r="I644" s="143"/>
    </row>
    <row r="645" ht="20.25" spans="1:9">
      <c r="A645" s="143"/>
      <c r="B645" s="143"/>
      <c r="C645" s="143"/>
      <c r="D645" s="143"/>
      <c r="E645" s="143"/>
      <c r="F645" s="143"/>
      <c r="G645" s="143"/>
      <c r="H645" s="143"/>
      <c r="I645" s="143"/>
    </row>
    <row r="646" ht="20.25" spans="1:9">
      <c r="A646" s="143"/>
      <c r="B646" s="143"/>
      <c r="C646" s="143"/>
      <c r="D646" s="143"/>
      <c r="E646" s="143"/>
      <c r="F646" s="143"/>
      <c r="G646" s="143"/>
      <c r="H646" s="143"/>
      <c r="I646" s="143"/>
    </row>
    <row r="647" ht="20.25" spans="1:9">
      <c r="A647" s="143"/>
      <c r="B647" s="143"/>
      <c r="C647" s="143"/>
      <c r="D647" s="143"/>
      <c r="E647" s="143"/>
      <c r="F647" s="143"/>
      <c r="G647" s="143"/>
      <c r="H647" s="143"/>
      <c r="I647" s="143"/>
    </row>
    <row r="648" ht="20.25" spans="1:9">
      <c r="A648" s="143"/>
      <c r="B648" s="143"/>
      <c r="C648" s="143"/>
      <c r="D648" s="143"/>
      <c r="E648" s="143"/>
      <c r="F648" s="143"/>
      <c r="G648" s="143"/>
      <c r="H648" s="143"/>
      <c r="I648" s="143"/>
    </row>
    <row r="649" ht="20.25" spans="1:9">
      <c r="A649" s="143"/>
      <c r="B649" s="143"/>
      <c r="C649" s="143"/>
      <c r="D649" s="143"/>
      <c r="E649" s="143"/>
      <c r="F649" s="143"/>
      <c r="G649" s="143"/>
      <c r="H649" s="143"/>
      <c r="I649" s="143"/>
    </row>
    <row r="650" ht="20.25" spans="1:9">
      <c r="A650" s="143"/>
      <c r="B650" s="143"/>
      <c r="C650" s="143"/>
      <c r="D650" s="143"/>
      <c r="E650" s="143"/>
      <c r="F650" s="143"/>
      <c r="G650" s="143"/>
      <c r="H650" s="143"/>
      <c r="I650" s="143"/>
    </row>
    <row r="651" ht="20.25" spans="1:9">
      <c r="A651" s="143"/>
      <c r="B651" s="143"/>
      <c r="C651" s="143"/>
      <c r="D651" s="143"/>
      <c r="E651" s="143"/>
      <c r="F651" s="143"/>
      <c r="G651" s="143"/>
      <c r="H651" s="143"/>
      <c r="I651" s="143"/>
    </row>
    <row r="652" ht="20.25" spans="1:9">
      <c r="A652" s="143"/>
      <c r="B652" s="143"/>
      <c r="C652" s="143"/>
      <c r="D652" s="143"/>
      <c r="E652" s="143"/>
      <c r="F652" s="143"/>
      <c r="G652" s="143"/>
      <c r="H652" s="143"/>
      <c r="I652" s="143"/>
    </row>
    <row r="653" ht="20.25" spans="1:9">
      <c r="A653" s="143"/>
      <c r="B653" s="143"/>
      <c r="C653" s="143"/>
      <c r="D653" s="143"/>
      <c r="E653" s="143"/>
      <c r="F653" s="143"/>
      <c r="G653" s="143"/>
      <c r="H653" s="143"/>
      <c r="I653" s="143"/>
    </row>
    <row r="654" ht="20.25" spans="1:9">
      <c r="A654" s="143"/>
      <c r="B654" s="143"/>
      <c r="C654" s="143"/>
      <c r="D654" s="143"/>
      <c r="E654" s="143"/>
      <c r="F654" s="143"/>
      <c r="G654" s="143"/>
      <c r="H654" s="143"/>
      <c r="I654" s="143"/>
    </row>
    <row r="655" ht="20.25" spans="1:9">
      <c r="A655" s="143"/>
      <c r="B655" s="143"/>
      <c r="C655" s="143"/>
      <c r="D655" s="143"/>
      <c r="E655" s="143"/>
      <c r="F655" s="143"/>
      <c r="G655" s="143"/>
      <c r="H655" s="143"/>
      <c r="I655" s="143"/>
    </row>
    <row r="656" ht="20.25" spans="1:9">
      <c r="A656" s="143"/>
      <c r="B656" s="143"/>
      <c r="C656" s="143"/>
      <c r="D656" s="143"/>
      <c r="E656" s="143"/>
      <c r="F656" s="143"/>
      <c r="G656" s="143"/>
      <c r="H656" s="143"/>
      <c r="I656" s="143"/>
    </row>
    <row r="657" ht="20.25" spans="1:9">
      <c r="A657" s="143"/>
      <c r="B657" s="143"/>
      <c r="C657" s="143"/>
      <c r="D657" s="143"/>
      <c r="E657" s="143"/>
      <c r="F657" s="143"/>
      <c r="G657" s="143"/>
      <c r="H657" s="143"/>
      <c r="I657" s="143"/>
    </row>
    <row r="658" ht="20.25" spans="1:9">
      <c r="A658" s="143"/>
      <c r="B658" s="143"/>
      <c r="C658" s="143"/>
      <c r="D658" s="143"/>
      <c r="E658" s="143"/>
      <c r="F658" s="143"/>
      <c r="G658" s="143"/>
      <c r="H658" s="143"/>
      <c r="I658" s="143"/>
    </row>
    <row r="659" ht="20.25" spans="1:9">
      <c r="A659" s="143"/>
      <c r="B659" s="143"/>
      <c r="C659" s="143"/>
      <c r="D659" s="143"/>
      <c r="E659" s="143"/>
      <c r="F659" s="143"/>
      <c r="G659" s="143"/>
      <c r="H659" s="143"/>
      <c r="I659" s="143"/>
    </row>
    <row r="660" ht="20.25" spans="1:9">
      <c r="A660" s="143"/>
      <c r="B660" s="143"/>
      <c r="C660" s="143"/>
      <c r="D660" s="143"/>
      <c r="E660" s="143"/>
      <c r="F660" s="143"/>
      <c r="G660" s="143"/>
      <c r="H660" s="143"/>
      <c r="I660" s="143"/>
    </row>
    <row r="661" ht="20.25" spans="1:9">
      <c r="A661" s="143"/>
      <c r="B661" s="143"/>
      <c r="C661" s="143"/>
      <c r="D661" s="143"/>
      <c r="E661" s="143"/>
      <c r="F661" s="143"/>
      <c r="G661" s="143"/>
      <c r="H661" s="143"/>
      <c r="I661" s="143"/>
    </row>
    <row r="662" ht="20.25" spans="1:9">
      <c r="A662" s="143"/>
      <c r="B662" s="143"/>
      <c r="C662" s="143"/>
      <c r="D662" s="143"/>
      <c r="E662" s="143"/>
      <c r="F662" s="143"/>
      <c r="G662" s="143"/>
      <c r="H662" s="143"/>
      <c r="I662" s="143"/>
    </row>
    <row r="663" ht="20.25" spans="1:9">
      <c r="A663" s="143"/>
      <c r="B663" s="143"/>
      <c r="C663" s="143"/>
      <c r="D663" s="143"/>
      <c r="E663" s="143"/>
      <c r="F663" s="143"/>
      <c r="G663" s="143"/>
      <c r="H663" s="143"/>
      <c r="I663" s="143"/>
    </row>
    <row r="664" ht="20.25" spans="1:9">
      <c r="A664" s="143"/>
      <c r="B664" s="143"/>
      <c r="C664" s="143"/>
      <c r="D664" s="143"/>
      <c r="E664" s="143"/>
      <c r="F664" s="143"/>
      <c r="G664" s="143"/>
      <c r="H664" s="143"/>
      <c r="I664" s="143"/>
    </row>
    <row r="665" ht="20.25" spans="1:9">
      <c r="A665" s="143"/>
      <c r="B665" s="143"/>
      <c r="C665" s="143"/>
      <c r="D665" s="143"/>
      <c r="E665" s="143"/>
      <c r="F665" s="143"/>
      <c r="G665" s="143"/>
      <c r="H665" s="143"/>
      <c r="I665" s="143"/>
    </row>
    <row r="666" ht="20.25" spans="1:9">
      <c r="A666" s="143"/>
      <c r="B666" s="143"/>
      <c r="C666" s="143"/>
      <c r="D666" s="143"/>
      <c r="E666" s="143"/>
      <c r="F666" s="143"/>
      <c r="G666" s="143"/>
      <c r="H666" s="143"/>
      <c r="I666" s="143"/>
    </row>
    <row r="667" ht="20.25" spans="1:9">
      <c r="A667" s="143"/>
      <c r="B667" s="143"/>
      <c r="C667" s="143"/>
      <c r="D667" s="143"/>
      <c r="E667" s="143"/>
      <c r="F667" s="143"/>
      <c r="G667" s="143"/>
      <c r="H667" s="143"/>
      <c r="I667" s="143"/>
    </row>
    <row r="668" ht="20.25" spans="1:9">
      <c r="A668" s="143"/>
      <c r="B668" s="143"/>
      <c r="C668" s="143"/>
      <c r="D668" s="143"/>
      <c r="E668" s="143"/>
      <c r="F668" s="143"/>
      <c r="G668" s="143"/>
      <c r="H668" s="143"/>
      <c r="I668" s="143"/>
    </row>
    <row r="669" ht="20.25" spans="1:9">
      <c r="A669" s="143"/>
      <c r="B669" s="143"/>
      <c r="C669" s="143"/>
      <c r="D669" s="143"/>
      <c r="E669" s="143"/>
      <c r="F669" s="143"/>
      <c r="G669" s="143"/>
      <c r="H669" s="143"/>
      <c r="I669" s="143"/>
    </row>
    <row r="670" ht="20.25" spans="1:9">
      <c r="A670" s="143"/>
      <c r="B670" s="143"/>
      <c r="C670" s="143"/>
      <c r="D670" s="143"/>
      <c r="E670" s="143"/>
      <c r="F670" s="143"/>
      <c r="G670" s="143"/>
      <c r="H670" s="143"/>
      <c r="I670" s="143"/>
    </row>
    <row r="671" ht="20.25" spans="1:9">
      <c r="A671" s="143"/>
      <c r="B671" s="143"/>
      <c r="C671" s="143"/>
      <c r="D671" s="143"/>
      <c r="E671" s="143"/>
      <c r="F671" s="143"/>
      <c r="G671" s="143"/>
      <c r="H671" s="143"/>
      <c r="I671" s="143"/>
    </row>
    <row r="672" ht="20.25" spans="1:9">
      <c r="A672" s="143"/>
      <c r="B672" s="143"/>
      <c r="C672" s="143"/>
      <c r="D672" s="143"/>
      <c r="E672" s="143"/>
      <c r="F672" s="143"/>
      <c r="G672" s="143"/>
      <c r="H672" s="143"/>
      <c r="I672" s="143"/>
    </row>
    <row r="673" ht="20.25" spans="1:9">
      <c r="A673" s="143"/>
      <c r="B673" s="143"/>
      <c r="C673" s="143"/>
      <c r="D673" s="143"/>
      <c r="E673" s="143"/>
      <c r="F673" s="143"/>
      <c r="G673" s="143"/>
      <c r="H673" s="143"/>
      <c r="I673" s="143"/>
    </row>
    <row r="674" ht="20.25" spans="1:9">
      <c r="A674" s="143"/>
      <c r="B674" s="143"/>
      <c r="C674" s="143"/>
      <c r="D674" s="143"/>
      <c r="E674" s="143"/>
      <c r="F674" s="143"/>
      <c r="G674" s="143"/>
      <c r="H674" s="143"/>
      <c r="I674" s="143"/>
    </row>
    <row r="675" ht="20.25" spans="1:9">
      <c r="A675" s="143"/>
      <c r="B675" s="143"/>
      <c r="C675" s="143"/>
      <c r="D675" s="143"/>
      <c r="E675" s="143"/>
      <c r="F675" s="143"/>
      <c r="G675" s="143"/>
      <c r="H675" s="143"/>
      <c r="I675" s="143"/>
    </row>
    <row r="676" ht="20.25" spans="1:9">
      <c r="A676" s="143"/>
      <c r="B676" s="143"/>
      <c r="C676" s="143"/>
      <c r="D676" s="143"/>
      <c r="E676" s="143"/>
      <c r="F676" s="143"/>
      <c r="G676" s="143"/>
      <c r="H676" s="143"/>
      <c r="I676" s="143"/>
    </row>
    <row r="677" ht="20.25" spans="1:9">
      <c r="A677" s="143"/>
      <c r="B677" s="143"/>
      <c r="C677" s="143"/>
      <c r="D677" s="143"/>
      <c r="E677" s="143"/>
      <c r="F677" s="143"/>
      <c r="G677" s="143"/>
      <c r="H677" s="143"/>
      <c r="I677" s="143"/>
    </row>
    <row r="678" ht="20.25" spans="1:9">
      <c r="A678" s="143"/>
      <c r="B678" s="143"/>
      <c r="C678" s="143"/>
      <c r="D678" s="143"/>
      <c r="E678" s="143"/>
      <c r="F678" s="143"/>
      <c r="G678" s="143"/>
      <c r="H678" s="143"/>
      <c r="I678" s="143"/>
    </row>
    <row r="679" ht="20.25" spans="1:9">
      <c r="A679" s="143"/>
      <c r="B679" s="143"/>
      <c r="C679" s="143"/>
      <c r="D679" s="143"/>
      <c r="E679" s="143"/>
      <c r="F679" s="143"/>
      <c r="G679" s="143"/>
      <c r="H679" s="143"/>
      <c r="I679" s="143"/>
    </row>
    <row r="680" ht="20.25" spans="1:9">
      <c r="A680" s="143"/>
      <c r="B680" s="143"/>
      <c r="C680" s="143"/>
      <c r="D680" s="143"/>
      <c r="E680" s="143"/>
      <c r="F680" s="143"/>
      <c r="G680" s="143"/>
      <c r="H680" s="143"/>
      <c r="I680" s="143"/>
    </row>
    <row r="681" ht="20.25" spans="1:9">
      <c r="A681" s="143"/>
      <c r="B681" s="143"/>
      <c r="C681" s="143"/>
      <c r="D681" s="143"/>
      <c r="E681" s="143"/>
      <c r="F681" s="143"/>
      <c r="G681" s="143"/>
      <c r="H681" s="143"/>
      <c r="I681" s="143"/>
    </row>
    <row r="682" ht="20.25" spans="1:9">
      <c r="A682" s="143"/>
      <c r="B682" s="143"/>
      <c r="C682" s="143"/>
      <c r="D682" s="143"/>
      <c r="E682" s="143"/>
      <c r="F682" s="143"/>
      <c r="G682" s="143"/>
      <c r="H682" s="143"/>
      <c r="I682" s="143"/>
    </row>
    <row r="683" ht="20.25" spans="1:9">
      <c r="A683" s="143"/>
      <c r="B683" s="143"/>
      <c r="C683" s="143"/>
      <c r="D683" s="143"/>
      <c r="E683" s="143"/>
      <c r="F683" s="143"/>
      <c r="G683" s="143"/>
      <c r="H683" s="143"/>
      <c r="I683" s="143"/>
    </row>
    <row r="684" ht="20.25" spans="1:9">
      <c r="A684" s="143"/>
      <c r="B684" s="143"/>
      <c r="C684" s="143"/>
      <c r="D684" s="143"/>
      <c r="E684" s="143"/>
      <c r="F684" s="143"/>
      <c r="G684" s="143"/>
      <c r="H684" s="143"/>
      <c r="I684" s="143"/>
    </row>
    <row r="685" ht="20.25" spans="1:9">
      <c r="A685" s="143"/>
      <c r="B685" s="143"/>
      <c r="C685" s="143"/>
      <c r="D685" s="143"/>
      <c r="E685" s="143"/>
      <c r="F685" s="143"/>
      <c r="G685" s="143"/>
      <c r="H685" s="143"/>
      <c r="I685" s="143"/>
    </row>
    <row r="686" ht="20.25" spans="1:9">
      <c r="A686" s="143"/>
      <c r="B686" s="143"/>
      <c r="C686" s="143"/>
      <c r="D686" s="143"/>
      <c r="E686" s="143"/>
      <c r="F686" s="143"/>
      <c r="G686" s="143"/>
      <c r="H686" s="143"/>
      <c r="I686" s="143"/>
    </row>
    <row r="687" ht="20.25" spans="1:9">
      <c r="A687" s="143"/>
      <c r="B687" s="143"/>
      <c r="C687" s="143"/>
      <c r="D687" s="143"/>
      <c r="E687" s="143"/>
      <c r="F687" s="143"/>
      <c r="G687" s="143"/>
      <c r="H687" s="143"/>
      <c r="I687" s="143"/>
    </row>
    <row r="688" ht="20.25" spans="1:9">
      <c r="A688" s="143"/>
      <c r="B688" s="143"/>
      <c r="C688" s="143"/>
      <c r="D688" s="143"/>
      <c r="E688" s="143"/>
      <c r="F688" s="143"/>
      <c r="G688" s="143"/>
      <c r="H688" s="143"/>
      <c r="I688" s="143"/>
    </row>
    <row r="689" ht="20.25" spans="1:9">
      <c r="A689" s="143"/>
      <c r="B689" s="143"/>
      <c r="C689" s="143"/>
      <c r="D689" s="143"/>
      <c r="E689" s="143"/>
      <c r="F689" s="143"/>
      <c r="G689" s="143"/>
      <c r="H689" s="143"/>
      <c r="I689" s="143"/>
    </row>
    <row r="690" ht="20.25" spans="1:9">
      <c r="A690" s="143"/>
      <c r="B690" s="143"/>
      <c r="C690" s="143"/>
      <c r="D690" s="143"/>
      <c r="E690" s="143"/>
      <c r="F690" s="143"/>
      <c r="G690" s="143"/>
      <c r="H690" s="143"/>
      <c r="I690" s="143"/>
    </row>
    <row r="691" ht="20.25" spans="1:9">
      <c r="A691" s="143"/>
      <c r="B691" s="143"/>
      <c r="C691" s="143"/>
      <c r="D691" s="143"/>
      <c r="E691" s="143"/>
      <c r="F691" s="143"/>
      <c r="G691" s="143"/>
      <c r="H691" s="143"/>
      <c r="I691" s="143"/>
    </row>
    <row r="692" ht="20.25" spans="1:9">
      <c r="A692" s="143"/>
      <c r="B692" s="143"/>
      <c r="C692" s="143"/>
      <c r="D692" s="143"/>
      <c r="E692" s="143"/>
      <c r="F692" s="143"/>
      <c r="G692" s="143"/>
      <c r="H692" s="143"/>
      <c r="I692" s="143"/>
    </row>
    <row r="693" ht="20.25" spans="1:9">
      <c r="A693" s="143"/>
      <c r="B693" s="143"/>
      <c r="C693" s="143"/>
      <c r="D693" s="143"/>
      <c r="E693" s="143"/>
      <c r="F693" s="143"/>
      <c r="G693" s="143"/>
      <c r="H693" s="143"/>
      <c r="I693" s="143"/>
    </row>
    <row r="694" ht="20.25" spans="1:9">
      <c r="A694" s="143"/>
      <c r="B694" s="143"/>
      <c r="C694" s="143"/>
      <c r="D694" s="143"/>
      <c r="E694" s="143"/>
      <c r="F694" s="143"/>
      <c r="G694" s="143"/>
      <c r="H694" s="143"/>
      <c r="I694" s="143"/>
    </row>
    <row r="695" ht="20.25" spans="1:9">
      <c r="A695" s="143"/>
      <c r="B695" s="143"/>
      <c r="C695" s="143"/>
      <c r="D695" s="143"/>
      <c r="E695" s="143"/>
      <c r="F695" s="143"/>
      <c r="G695" s="143"/>
      <c r="H695" s="143"/>
      <c r="I695" s="143"/>
    </row>
    <row r="696" ht="20.25" spans="1:9">
      <c r="A696" s="143"/>
      <c r="B696" s="143"/>
      <c r="C696" s="143"/>
      <c r="D696" s="143"/>
      <c r="E696" s="143"/>
      <c r="F696" s="143"/>
      <c r="G696" s="143"/>
      <c r="H696" s="143"/>
      <c r="I696" s="143"/>
    </row>
    <row r="697" ht="20.25" spans="1:9">
      <c r="A697" s="143"/>
      <c r="B697" s="143"/>
      <c r="C697" s="143"/>
      <c r="D697" s="143"/>
      <c r="E697" s="143"/>
      <c r="F697" s="143"/>
      <c r="G697" s="143"/>
      <c r="H697" s="143"/>
      <c r="I697" s="143"/>
    </row>
    <row r="698" ht="20.25" spans="1:9">
      <c r="A698" s="143"/>
      <c r="B698" s="143"/>
      <c r="C698" s="143"/>
      <c r="D698" s="143"/>
      <c r="E698" s="143"/>
      <c r="F698" s="143"/>
      <c r="G698" s="143"/>
      <c r="H698" s="143"/>
      <c r="I698" s="143"/>
    </row>
    <row r="699" ht="20.25" spans="1:9">
      <c r="A699" s="143"/>
      <c r="B699" s="143"/>
      <c r="C699" s="143"/>
      <c r="D699" s="143"/>
      <c r="E699" s="143"/>
      <c r="F699" s="143"/>
      <c r="G699" s="143"/>
      <c r="H699" s="143"/>
      <c r="I699" s="143"/>
    </row>
    <row r="700" ht="20.25" spans="1:9">
      <c r="A700" s="143"/>
      <c r="B700" s="143"/>
      <c r="C700" s="143"/>
      <c r="D700" s="143"/>
      <c r="E700" s="143"/>
      <c r="F700" s="143"/>
      <c r="G700" s="143"/>
      <c r="H700" s="143"/>
      <c r="I700" s="143"/>
    </row>
    <row r="701" ht="20.25" spans="1:9">
      <c r="A701" s="143"/>
      <c r="B701" s="143"/>
      <c r="C701" s="143"/>
      <c r="D701" s="143"/>
      <c r="E701" s="143"/>
      <c r="F701" s="143"/>
      <c r="G701" s="143"/>
      <c r="H701" s="143"/>
      <c r="I701" s="143"/>
    </row>
    <row r="702" ht="20.25" spans="1:9">
      <c r="A702" s="143"/>
      <c r="B702" s="143"/>
      <c r="C702" s="143"/>
      <c r="D702" s="143"/>
      <c r="E702" s="143"/>
      <c r="F702" s="143"/>
      <c r="G702" s="143"/>
      <c r="H702" s="143"/>
      <c r="I702" s="143"/>
    </row>
    <row r="703" ht="20.25" spans="1:9">
      <c r="A703" s="143"/>
      <c r="B703" s="143"/>
      <c r="C703" s="143"/>
      <c r="D703" s="143"/>
      <c r="E703" s="143"/>
      <c r="F703" s="143"/>
      <c r="G703" s="143"/>
      <c r="H703" s="143"/>
      <c r="I703" s="143"/>
    </row>
    <row r="704" ht="20.25" spans="1:9">
      <c r="A704" s="143"/>
      <c r="B704" s="143"/>
      <c r="C704" s="143"/>
      <c r="D704" s="143"/>
      <c r="E704" s="143"/>
      <c r="F704" s="143"/>
      <c r="G704" s="143"/>
      <c r="H704" s="143"/>
      <c r="I704" s="143"/>
    </row>
    <row r="705" ht="20.25" spans="1:9">
      <c r="A705" s="143"/>
      <c r="B705" s="143"/>
      <c r="C705" s="143"/>
      <c r="D705" s="143"/>
      <c r="E705" s="143"/>
      <c r="F705" s="143"/>
      <c r="G705" s="143"/>
      <c r="H705" s="143"/>
      <c r="I705" s="143"/>
    </row>
    <row r="706" ht="20.25" spans="1:9">
      <c r="A706" s="143"/>
      <c r="B706" s="143"/>
      <c r="C706" s="143"/>
      <c r="D706" s="143"/>
      <c r="E706" s="143"/>
      <c r="F706" s="143"/>
      <c r="G706" s="143"/>
      <c r="H706" s="143"/>
      <c r="I706" s="143"/>
    </row>
    <row r="707" ht="20.25" spans="1:9">
      <c r="A707" s="143"/>
      <c r="B707" s="143"/>
      <c r="C707" s="143"/>
      <c r="D707" s="143"/>
      <c r="E707" s="143"/>
      <c r="F707" s="143"/>
      <c r="G707" s="143"/>
      <c r="H707" s="143"/>
      <c r="I707" s="143"/>
    </row>
    <row r="708" ht="20.25" spans="1:9">
      <c r="A708" s="143"/>
      <c r="B708" s="143"/>
      <c r="C708" s="143"/>
      <c r="D708" s="143"/>
      <c r="E708" s="143"/>
      <c r="F708" s="143"/>
      <c r="G708" s="143"/>
      <c r="H708" s="143"/>
      <c r="I708" s="143"/>
    </row>
    <row r="709" ht="20.25" spans="1:9">
      <c r="A709" s="143"/>
      <c r="B709" s="143"/>
      <c r="C709" s="143"/>
      <c r="D709" s="143"/>
      <c r="E709" s="143"/>
      <c r="F709" s="143"/>
      <c r="G709" s="143"/>
      <c r="H709" s="143"/>
      <c r="I709" s="143"/>
    </row>
    <row r="710" ht="20.25" spans="1:9">
      <c r="A710" s="143"/>
      <c r="B710" s="143"/>
      <c r="C710" s="143"/>
      <c r="D710" s="143"/>
      <c r="E710" s="143"/>
      <c r="F710" s="143"/>
      <c r="G710" s="143"/>
      <c r="H710" s="143"/>
      <c r="I710" s="143"/>
    </row>
    <row r="711" ht="20.25" spans="1:9">
      <c r="A711" s="143"/>
      <c r="B711" s="143"/>
      <c r="C711" s="143"/>
      <c r="D711" s="143"/>
      <c r="E711" s="143"/>
      <c r="F711" s="143"/>
      <c r="G711" s="143"/>
      <c r="H711" s="143"/>
      <c r="I711" s="143"/>
    </row>
    <row r="712" ht="20.25" spans="1:9">
      <c r="A712" s="143"/>
      <c r="B712" s="143"/>
      <c r="C712" s="143"/>
      <c r="D712" s="143"/>
      <c r="E712" s="143"/>
      <c r="F712" s="143"/>
      <c r="G712" s="143"/>
      <c r="H712" s="143"/>
      <c r="I712" s="143"/>
    </row>
    <row r="713" ht="20.25" spans="1:9">
      <c r="A713" s="143"/>
      <c r="B713" s="143"/>
      <c r="C713" s="143"/>
      <c r="D713" s="143"/>
      <c r="E713" s="143"/>
      <c r="F713" s="143"/>
      <c r="G713" s="143"/>
      <c r="H713" s="143"/>
      <c r="I713" s="143"/>
    </row>
    <row r="714" ht="20.25" spans="1:9">
      <c r="A714" s="143"/>
      <c r="B714" s="143"/>
      <c r="C714" s="143"/>
      <c r="D714" s="143"/>
      <c r="E714" s="143"/>
      <c r="F714" s="143"/>
      <c r="G714" s="143"/>
      <c r="H714" s="143"/>
      <c r="I714" s="143"/>
    </row>
    <row r="715" ht="20.25" spans="1:9">
      <c r="A715" s="143"/>
      <c r="B715" s="143"/>
      <c r="C715" s="143"/>
      <c r="D715" s="143"/>
      <c r="E715" s="143"/>
      <c r="F715" s="143"/>
      <c r="G715" s="143"/>
      <c r="H715" s="143"/>
      <c r="I715" s="143"/>
    </row>
    <row r="716" ht="20.25" spans="1:9">
      <c r="A716" s="143"/>
      <c r="B716" s="143"/>
      <c r="C716" s="143"/>
      <c r="D716" s="143"/>
      <c r="E716" s="143"/>
      <c r="F716" s="143"/>
      <c r="G716" s="143"/>
      <c r="H716" s="143"/>
      <c r="I716" s="143"/>
    </row>
    <row r="717" ht="20.25" spans="1:9">
      <c r="A717" s="143"/>
      <c r="B717" s="143"/>
      <c r="C717" s="143"/>
      <c r="D717" s="143"/>
      <c r="E717" s="143"/>
      <c r="F717" s="143"/>
      <c r="G717" s="143"/>
      <c r="H717" s="143"/>
      <c r="I717" s="143"/>
    </row>
    <row r="718" ht="20.25" spans="1:9">
      <c r="A718" s="143"/>
      <c r="B718" s="143"/>
      <c r="C718" s="143"/>
      <c r="D718" s="143"/>
      <c r="E718" s="143"/>
      <c r="F718" s="143"/>
      <c r="G718" s="143"/>
      <c r="H718" s="143"/>
      <c r="I718" s="143"/>
    </row>
    <row r="719" ht="20.25" spans="1:9">
      <c r="A719" s="143"/>
      <c r="B719" s="143"/>
      <c r="C719" s="143"/>
      <c r="D719" s="143"/>
      <c r="E719" s="143"/>
      <c r="F719" s="143"/>
      <c r="G719" s="143"/>
      <c r="H719" s="143"/>
      <c r="I719" s="143"/>
    </row>
    <row r="720" ht="20.25" spans="1:9">
      <c r="A720" s="143"/>
      <c r="B720" s="143"/>
      <c r="C720" s="143"/>
      <c r="D720" s="143"/>
      <c r="E720" s="143"/>
      <c r="F720" s="143"/>
      <c r="G720" s="143"/>
      <c r="H720" s="143"/>
      <c r="I720" s="143"/>
    </row>
    <row r="721" ht="20.25" spans="1:9">
      <c r="A721" s="143"/>
      <c r="B721" s="143"/>
      <c r="C721" s="143"/>
      <c r="D721" s="143"/>
      <c r="E721" s="143"/>
      <c r="F721" s="143"/>
      <c r="G721" s="143"/>
      <c r="H721" s="143"/>
      <c r="I721" s="143"/>
    </row>
    <row r="722" ht="20.25" spans="1:9">
      <c r="A722" s="143"/>
      <c r="B722" s="143"/>
      <c r="C722" s="143"/>
      <c r="D722" s="143"/>
      <c r="E722" s="143"/>
      <c r="F722" s="143"/>
      <c r="G722" s="143"/>
      <c r="H722" s="143"/>
      <c r="I722" s="143"/>
    </row>
    <row r="723" ht="20.25" spans="1:9">
      <c r="A723" s="143"/>
      <c r="B723" s="143"/>
      <c r="C723" s="143"/>
      <c r="D723" s="143"/>
      <c r="E723" s="143"/>
      <c r="F723" s="143"/>
      <c r="G723" s="143"/>
      <c r="H723" s="143"/>
      <c r="I723" s="143"/>
    </row>
    <row r="724" ht="20.25" spans="1:9">
      <c r="A724" s="143"/>
      <c r="B724" s="143"/>
      <c r="C724" s="143"/>
      <c r="D724" s="143"/>
      <c r="E724" s="143"/>
      <c r="F724" s="143"/>
      <c r="G724" s="143"/>
      <c r="H724" s="143"/>
      <c r="I724" s="143"/>
    </row>
    <row r="725" ht="20.25" spans="1:9">
      <c r="A725" s="143"/>
      <c r="B725" s="143"/>
      <c r="C725" s="143"/>
      <c r="D725" s="143"/>
      <c r="E725" s="143"/>
      <c r="F725" s="143"/>
      <c r="G725" s="143"/>
      <c r="H725" s="143"/>
      <c r="I725" s="143"/>
    </row>
    <row r="726" ht="20.25" spans="1:9">
      <c r="A726" s="143"/>
      <c r="B726" s="143"/>
      <c r="C726" s="143"/>
      <c r="D726" s="143"/>
      <c r="E726" s="143"/>
      <c r="F726" s="143"/>
      <c r="G726" s="143"/>
      <c r="H726" s="143"/>
      <c r="I726" s="143"/>
    </row>
    <row r="727" ht="20.25" spans="1:9">
      <c r="A727" s="143"/>
      <c r="B727" s="143"/>
      <c r="C727" s="143"/>
      <c r="D727" s="143"/>
      <c r="E727" s="143"/>
      <c r="F727" s="143"/>
      <c r="G727" s="143"/>
      <c r="H727" s="143"/>
      <c r="I727" s="143"/>
    </row>
    <row r="728" ht="20.25" spans="1:9">
      <c r="A728" s="143"/>
      <c r="B728" s="143"/>
      <c r="C728" s="143"/>
      <c r="D728" s="143"/>
      <c r="E728" s="143"/>
      <c r="F728" s="143"/>
      <c r="G728" s="143"/>
      <c r="H728" s="143"/>
      <c r="I728" s="143"/>
    </row>
    <row r="729" ht="20.25" spans="1:9">
      <c r="A729" s="143"/>
      <c r="B729" s="143"/>
      <c r="C729" s="143"/>
      <c r="D729" s="143"/>
      <c r="E729" s="143"/>
      <c r="F729" s="143"/>
      <c r="G729" s="143"/>
      <c r="H729" s="143"/>
      <c r="I729" s="143"/>
    </row>
    <row r="730" ht="20.25" spans="1:9">
      <c r="A730" s="143"/>
      <c r="B730" s="143"/>
      <c r="C730" s="143"/>
      <c r="D730" s="143"/>
      <c r="E730" s="143"/>
      <c r="F730" s="143"/>
      <c r="G730" s="143"/>
      <c r="H730" s="143"/>
      <c r="I730" s="143"/>
    </row>
    <row r="731" ht="20.25" spans="1:9">
      <c r="A731" s="143"/>
      <c r="B731" s="143"/>
      <c r="C731" s="143"/>
      <c r="D731" s="143"/>
      <c r="E731" s="143"/>
      <c r="F731" s="143"/>
      <c r="G731" s="143"/>
      <c r="H731" s="143"/>
      <c r="I731" s="143"/>
    </row>
    <row r="732" ht="20.25" spans="1:9">
      <c r="A732" s="143"/>
      <c r="B732" s="143"/>
      <c r="C732" s="143"/>
      <c r="D732" s="143"/>
      <c r="E732" s="143"/>
      <c r="F732" s="143"/>
      <c r="G732" s="143"/>
      <c r="H732" s="143"/>
      <c r="I732" s="143"/>
    </row>
    <row r="733" ht="20.25" spans="1:9">
      <c r="A733" s="143"/>
      <c r="B733" s="143"/>
      <c r="C733" s="143"/>
      <c r="D733" s="143"/>
      <c r="E733" s="143"/>
      <c r="F733" s="143"/>
      <c r="G733" s="143"/>
      <c r="H733" s="143"/>
      <c r="I733" s="143"/>
    </row>
    <row r="734" ht="20.25" spans="1:9">
      <c r="A734" s="143"/>
      <c r="B734" s="143"/>
      <c r="C734" s="143"/>
      <c r="D734" s="143"/>
      <c r="E734" s="143"/>
      <c r="F734" s="143"/>
      <c r="G734" s="143"/>
      <c r="H734" s="143"/>
      <c r="I734" s="143"/>
    </row>
    <row r="735" ht="20.25" spans="1:9">
      <c r="A735" s="143"/>
      <c r="B735" s="143"/>
      <c r="C735" s="143"/>
      <c r="D735" s="143"/>
      <c r="E735" s="143"/>
      <c r="F735" s="143"/>
      <c r="G735" s="143"/>
      <c r="H735" s="143"/>
      <c r="I735" s="143"/>
    </row>
    <row r="736" ht="20.25" spans="1:9">
      <c r="A736" s="143"/>
      <c r="B736" s="143"/>
      <c r="C736" s="143"/>
      <c r="D736" s="143"/>
      <c r="E736" s="143"/>
      <c r="F736" s="143"/>
      <c r="G736" s="143"/>
      <c r="H736" s="143"/>
      <c r="I736" s="143"/>
    </row>
    <row r="737" ht="20.25" spans="1:9">
      <c r="A737" s="143"/>
      <c r="B737" s="143"/>
      <c r="C737" s="143"/>
      <c r="D737" s="143"/>
      <c r="E737" s="143"/>
      <c r="F737" s="143"/>
      <c r="G737" s="143"/>
      <c r="H737" s="143"/>
      <c r="I737" s="143"/>
    </row>
    <row r="738" ht="20.25" spans="1:9">
      <c r="A738" s="143"/>
      <c r="B738" s="143"/>
      <c r="C738" s="143"/>
      <c r="D738" s="143"/>
      <c r="E738" s="143"/>
      <c r="F738" s="143"/>
      <c r="G738" s="143"/>
      <c r="H738" s="143"/>
      <c r="I738" s="143"/>
    </row>
    <row r="739" ht="20.25" spans="1:9">
      <c r="A739" s="143"/>
      <c r="B739" s="143"/>
      <c r="C739" s="143"/>
      <c r="D739" s="143"/>
      <c r="E739" s="143"/>
      <c r="F739" s="143"/>
      <c r="G739" s="143"/>
      <c r="H739" s="143"/>
      <c r="I739" s="143"/>
    </row>
    <row r="740" ht="20.25" spans="1:9">
      <c r="A740" s="143"/>
      <c r="B740" s="143"/>
      <c r="C740" s="143"/>
      <c r="D740" s="143"/>
      <c r="E740" s="143"/>
      <c r="F740" s="143"/>
      <c r="G740" s="143"/>
      <c r="H740" s="143"/>
      <c r="I740" s="143"/>
    </row>
    <row r="741" ht="20.25" spans="1:9">
      <c r="A741" s="143"/>
      <c r="B741" s="143"/>
      <c r="C741" s="143"/>
      <c r="D741" s="143"/>
      <c r="E741" s="143"/>
      <c r="F741" s="143"/>
      <c r="G741" s="143"/>
      <c r="H741" s="143"/>
      <c r="I741" s="143"/>
    </row>
    <row r="742" ht="20.25" spans="1:9">
      <c r="A742" s="143"/>
      <c r="B742" s="143"/>
      <c r="C742" s="143"/>
      <c r="D742" s="143"/>
      <c r="E742" s="143"/>
      <c r="F742" s="143"/>
      <c r="G742" s="143"/>
      <c r="H742" s="143"/>
      <c r="I742" s="143"/>
    </row>
    <row r="743" ht="20.25" spans="1:9">
      <c r="A743" s="143"/>
      <c r="B743" s="143"/>
      <c r="C743" s="143"/>
      <c r="D743" s="143"/>
      <c r="E743" s="143"/>
      <c r="F743" s="143"/>
      <c r="G743" s="143"/>
      <c r="H743" s="143"/>
      <c r="I743" s="143"/>
    </row>
    <row r="744" ht="20.25" spans="1:9">
      <c r="A744" s="143"/>
      <c r="B744" s="143"/>
      <c r="C744" s="143"/>
      <c r="D744" s="143"/>
      <c r="E744" s="143"/>
      <c r="F744" s="143"/>
      <c r="G744" s="143"/>
      <c r="H744" s="143"/>
      <c r="I744" s="143"/>
    </row>
    <row r="745" ht="20.25" spans="1:9">
      <c r="A745" s="143"/>
      <c r="B745" s="143"/>
      <c r="C745" s="143"/>
      <c r="D745" s="143"/>
      <c r="E745" s="143"/>
      <c r="F745" s="143"/>
      <c r="G745" s="143"/>
      <c r="H745" s="143"/>
      <c r="I745" s="143"/>
    </row>
    <row r="746" ht="20.25" spans="1:9">
      <c r="A746" s="143"/>
      <c r="B746" s="143"/>
      <c r="C746" s="143"/>
      <c r="D746" s="143"/>
      <c r="E746" s="143"/>
      <c r="F746" s="143"/>
      <c r="G746" s="143"/>
      <c r="H746" s="143"/>
      <c r="I746" s="143"/>
    </row>
    <row r="747" ht="20.25" spans="1:9">
      <c r="A747" s="143"/>
      <c r="B747" s="143"/>
      <c r="C747" s="143"/>
      <c r="D747" s="143"/>
      <c r="E747" s="143"/>
      <c r="F747" s="143"/>
      <c r="G747" s="143"/>
      <c r="H747" s="143"/>
      <c r="I747" s="143"/>
    </row>
    <row r="748" ht="20.25" spans="1:9">
      <c r="A748" s="143"/>
      <c r="B748" s="143"/>
      <c r="C748" s="143"/>
      <c r="D748" s="143"/>
      <c r="E748" s="143"/>
      <c r="F748" s="143"/>
      <c r="G748" s="143"/>
      <c r="H748" s="143"/>
      <c r="I748" s="143"/>
    </row>
    <row r="749" ht="20.25" spans="1:9">
      <c r="A749" s="143"/>
      <c r="B749" s="143"/>
      <c r="C749" s="143"/>
      <c r="D749" s="143"/>
      <c r="E749" s="143"/>
      <c r="F749" s="143"/>
      <c r="G749" s="143"/>
      <c r="H749" s="143"/>
      <c r="I749" s="143"/>
    </row>
    <row r="750" ht="20.25" spans="1:9">
      <c r="A750" s="143"/>
      <c r="B750" s="143"/>
      <c r="C750" s="143"/>
      <c r="D750" s="143"/>
      <c r="E750" s="143"/>
      <c r="F750" s="143"/>
      <c r="G750" s="143"/>
      <c r="H750" s="143"/>
      <c r="I750" s="143"/>
    </row>
    <row r="751" ht="20.25" spans="1:9">
      <c r="A751" s="143"/>
      <c r="B751" s="143"/>
      <c r="C751" s="143"/>
      <c r="D751" s="143"/>
      <c r="E751" s="143"/>
      <c r="F751" s="143"/>
      <c r="G751" s="143"/>
      <c r="H751" s="143"/>
      <c r="I751" s="143"/>
    </row>
    <row r="752" ht="20.25" spans="1:9">
      <c r="A752" s="143"/>
      <c r="B752" s="143"/>
      <c r="C752" s="143"/>
      <c r="D752" s="143"/>
      <c r="E752" s="143"/>
      <c r="F752" s="143"/>
      <c r="G752" s="143"/>
      <c r="H752" s="143"/>
      <c r="I752" s="143"/>
    </row>
    <row r="753" ht="20.25" spans="1:9">
      <c r="A753" s="143"/>
      <c r="B753" s="143"/>
      <c r="C753" s="143"/>
      <c r="D753" s="143"/>
      <c r="E753" s="143"/>
      <c r="F753" s="143"/>
      <c r="G753" s="143"/>
      <c r="H753" s="143"/>
      <c r="I753" s="143"/>
    </row>
    <row r="754" ht="20.25" spans="1:9">
      <c r="A754" s="143"/>
      <c r="B754" s="143"/>
      <c r="C754" s="143"/>
      <c r="D754" s="143"/>
      <c r="E754" s="143"/>
      <c r="F754" s="143"/>
      <c r="G754" s="143"/>
      <c r="H754" s="143"/>
      <c r="I754" s="143"/>
    </row>
    <row r="755" ht="20.25" spans="1:9">
      <c r="A755" s="143"/>
      <c r="B755" s="143"/>
      <c r="C755" s="143"/>
      <c r="D755" s="143"/>
      <c r="E755" s="143"/>
      <c r="F755" s="143"/>
      <c r="G755" s="143"/>
      <c r="H755" s="143"/>
      <c r="I755" s="143"/>
    </row>
    <row r="756" ht="20.25" spans="1:9">
      <c r="A756" s="143"/>
      <c r="B756" s="143"/>
      <c r="C756" s="143"/>
      <c r="D756" s="143"/>
      <c r="E756" s="143"/>
      <c r="F756" s="143"/>
      <c r="G756" s="143"/>
      <c r="H756" s="143"/>
      <c r="I756" s="143"/>
    </row>
    <row r="757" ht="20.25" spans="1:9">
      <c r="A757" s="143"/>
      <c r="B757" s="143"/>
      <c r="C757" s="143"/>
      <c r="D757" s="143"/>
      <c r="E757" s="143"/>
      <c r="F757" s="143"/>
      <c r="G757" s="143"/>
      <c r="H757" s="143"/>
      <c r="I757" s="143"/>
    </row>
    <row r="758" ht="20.25" spans="1:9">
      <c r="A758" s="143"/>
      <c r="B758" s="143"/>
      <c r="C758" s="143"/>
      <c r="D758" s="143"/>
      <c r="E758" s="143"/>
      <c r="F758" s="143"/>
      <c r="G758" s="143"/>
      <c r="H758" s="143"/>
      <c r="I758" s="143"/>
    </row>
    <row r="759" ht="20.25" spans="1:9">
      <c r="A759" s="143"/>
      <c r="B759" s="143"/>
      <c r="C759" s="143"/>
      <c r="D759" s="143"/>
      <c r="E759" s="143"/>
      <c r="F759" s="143"/>
      <c r="G759" s="143"/>
      <c r="H759" s="143"/>
      <c r="I759" s="143"/>
    </row>
    <row r="760" ht="20.25" spans="1:9">
      <c r="A760" s="143"/>
      <c r="B760" s="143"/>
      <c r="C760" s="143"/>
      <c r="D760" s="143"/>
      <c r="E760" s="143"/>
      <c r="F760" s="143"/>
      <c r="G760" s="143"/>
      <c r="H760" s="143"/>
      <c r="I760" s="143"/>
    </row>
    <row r="761" ht="20.25" spans="1:9">
      <c r="A761" s="143"/>
      <c r="B761" s="143"/>
      <c r="C761" s="143"/>
      <c r="D761" s="143"/>
      <c r="E761" s="143"/>
      <c r="F761" s="143"/>
      <c r="G761" s="143"/>
      <c r="H761" s="143"/>
      <c r="I761" s="143"/>
    </row>
    <row r="762" ht="20.25" spans="1:9">
      <c r="A762" s="143"/>
      <c r="B762" s="143"/>
      <c r="C762" s="143"/>
      <c r="D762" s="143"/>
      <c r="E762" s="143"/>
      <c r="F762" s="143"/>
      <c r="G762" s="143"/>
      <c r="H762" s="143"/>
      <c r="I762" s="143"/>
    </row>
    <row r="763" ht="20.25" spans="1:9">
      <c r="A763" s="143"/>
      <c r="B763" s="143"/>
      <c r="C763" s="143"/>
      <c r="D763" s="143"/>
      <c r="E763" s="143"/>
      <c r="F763" s="143"/>
      <c r="G763" s="143"/>
      <c r="H763" s="143"/>
      <c r="I763" s="143"/>
    </row>
    <row r="764" ht="20.25" spans="1:9">
      <c r="A764" s="143"/>
      <c r="B764" s="143"/>
      <c r="C764" s="143"/>
      <c r="D764" s="143"/>
      <c r="E764" s="143"/>
      <c r="F764" s="143"/>
      <c r="G764" s="143"/>
      <c r="H764" s="143"/>
      <c r="I764" s="143"/>
    </row>
    <row r="765" ht="20.25" spans="1:9">
      <c r="A765" s="143"/>
      <c r="B765" s="143"/>
      <c r="C765" s="143"/>
      <c r="D765" s="143"/>
      <c r="E765" s="143"/>
      <c r="F765" s="143"/>
      <c r="G765" s="143"/>
      <c r="H765" s="143"/>
      <c r="I765" s="143"/>
    </row>
    <row r="766" ht="20.25" spans="1:9">
      <c r="A766" s="143"/>
      <c r="B766" s="143"/>
      <c r="C766" s="143"/>
      <c r="D766" s="143"/>
      <c r="E766" s="143"/>
      <c r="F766" s="143"/>
      <c r="G766" s="143"/>
      <c r="H766" s="143"/>
      <c r="I766" s="143"/>
    </row>
    <row r="767" ht="20.25" spans="1:9">
      <c r="A767" s="143"/>
      <c r="B767" s="143"/>
      <c r="C767" s="143"/>
      <c r="D767" s="143"/>
      <c r="E767" s="143"/>
      <c r="F767" s="143"/>
      <c r="G767" s="143"/>
      <c r="H767" s="143"/>
      <c r="I767" s="143"/>
    </row>
    <row r="768" ht="20.25" spans="1:9">
      <c r="A768" s="143"/>
      <c r="B768" s="143"/>
      <c r="C768" s="143"/>
      <c r="D768" s="143"/>
      <c r="E768" s="143"/>
      <c r="F768" s="143"/>
      <c r="G768" s="143"/>
      <c r="H768" s="143"/>
      <c r="I768" s="143"/>
    </row>
    <row r="769" ht="20.25" spans="1:9">
      <c r="A769" s="143"/>
      <c r="B769" s="143"/>
      <c r="C769" s="143"/>
      <c r="D769" s="143"/>
      <c r="E769" s="143"/>
      <c r="F769" s="143"/>
      <c r="G769" s="143"/>
      <c r="H769" s="143"/>
      <c r="I769" s="143"/>
    </row>
    <row r="770" ht="20.25" spans="1:9">
      <c r="A770" s="143"/>
      <c r="B770" s="143"/>
      <c r="C770" s="143"/>
      <c r="D770" s="143"/>
      <c r="E770" s="143"/>
      <c r="F770" s="143"/>
      <c r="G770" s="143"/>
      <c r="H770" s="143"/>
      <c r="I770" s="143"/>
    </row>
    <row r="771" ht="20.25" spans="1:9">
      <c r="A771" s="143"/>
      <c r="B771" s="143"/>
      <c r="C771" s="143"/>
      <c r="D771" s="143"/>
      <c r="E771" s="143"/>
      <c r="F771" s="143"/>
      <c r="G771" s="143"/>
      <c r="H771" s="143"/>
      <c r="I771" s="143"/>
    </row>
    <row r="772" ht="20.25" spans="1:9">
      <c r="A772" s="143"/>
      <c r="B772" s="143"/>
      <c r="C772" s="143"/>
      <c r="D772" s="143"/>
      <c r="E772" s="143"/>
      <c r="F772" s="143"/>
      <c r="G772" s="143"/>
      <c r="H772" s="143"/>
      <c r="I772" s="143"/>
    </row>
    <row r="773" ht="20.25" spans="1:9">
      <c r="A773" s="143"/>
      <c r="B773" s="143"/>
      <c r="C773" s="143"/>
      <c r="D773" s="143"/>
      <c r="E773" s="143"/>
      <c r="F773" s="143"/>
      <c r="G773" s="143"/>
      <c r="H773" s="143"/>
      <c r="I773" s="143"/>
    </row>
    <row r="774" ht="20.25" spans="1:9">
      <c r="A774" s="143"/>
      <c r="B774" s="143"/>
      <c r="C774" s="143"/>
      <c r="D774" s="143"/>
      <c r="E774" s="143"/>
      <c r="F774" s="143"/>
      <c r="G774" s="143"/>
      <c r="H774" s="143"/>
      <c r="I774" s="143"/>
    </row>
    <row r="775" ht="20.25" spans="1:9">
      <c r="A775" s="143"/>
      <c r="B775" s="143"/>
      <c r="C775" s="143"/>
      <c r="D775" s="143"/>
      <c r="E775" s="143"/>
      <c r="F775" s="143"/>
      <c r="G775" s="143"/>
      <c r="H775" s="143"/>
      <c r="I775" s="143"/>
    </row>
    <row r="776" ht="20.25" spans="1:9">
      <c r="A776" s="143"/>
      <c r="B776" s="143"/>
      <c r="C776" s="143"/>
      <c r="D776" s="143"/>
      <c r="E776" s="143"/>
      <c r="F776" s="143"/>
      <c r="G776" s="143"/>
      <c r="H776" s="143"/>
      <c r="I776" s="143"/>
    </row>
    <row r="777" ht="20.25" spans="1:9">
      <c r="A777" s="143"/>
      <c r="B777" s="143"/>
      <c r="C777" s="143"/>
      <c r="D777" s="143"/>
      <c r="E777" s="143"/>
      <c r="F777" s="143"/>
      <c r="G777" s="143"/>
      <c r="H777" s="143"/>
      <c r="I777" s="143"/>
    </row>
    <row r="778" ht="20.25" spans="1:9">
      <c r="A778" s="143"/>
      <c r="B778" s="143"/>
      <c r="C778" s="143"/>
      <c r="D778" s="143"/>
      <c r="E778" s="143"/>
      <c r="F778" s="143"/>
      <c r="G778" s="143"/>
      <c r="H778" s="143"/>
      <c r="I778" s="143"/>
    </row>
    <row r="779" ht="20.25" spans="1:9">
      <c r="A779" s="143"/>
      <c r="B779" s="143"/>
      <c r="C779" s="143"/>
      <c r="D779" s="143"/>
      <c r="E779" s="143"/>
      <c r="F779" s="143"/>
      <c r="G779" s="143"/>
      <c r="H779" s="143"/>
      <c r="I779" s="143"/>
    </row>
    <row r="780" ht="20.25" spans="1:9">
      <c r="A780" s="143"/>
      <c r="B780" s="143"/>
      <c r="C780" s="143"/>
      <c r="D780" s="143"/>
      <c r="E780" s="143"/>
      <c r="F780" s="143"/>
      <c r="G780" s="143"/>
      <c r="H780" s="143"/>
      <c r="I780" s="143"/>
    </row>
    <row r="781" ht="20.25" spans="1:9">
      <c r="A781" s="143"/>
      <c r="B781" s="143"/>
      <c r="C781" s="143"/>
      <c r="D781" s="143"/>
      <c r="E781" s="143"/>
      <c r="F781" s="143"/>
      <c r="G781" s="143"/>
      <c r="H781" s="143"/>
      <c r="I781" s="143"/>
    </row>
    <row r="782" ht="20.25" spans="1:9">
      <c r="A782" s="143"/>
      <c r="B782" s="143"/>
      <c r="C782" s="143"/>
      <c r="D782" s="143"/>
      <c r="E782" s="143"/>
      <c r="F782" s="143"/>
      <c r="G782" s="143"/>
      <c r="H782" s="143"/>
      <c r="I782" s="143"/>
    </row>
    <row r="783" ht="20.25" spans="1:9">
      <c r="A783" s="143"/>
      <c r="B783" s="143"/>
      <c r="C783" s="143"/>
      <c r="D783" s="143"/>
      <c r="E783" s="143"/>
      <c r="F783" s="143"/>
      <c r="G783" s="143"/>
      <c r="H783" s="143"/>
      <c r="I783" s="143"/>
    </row>
    <row r="784" ht="20.25" spans="1:9">
      <c r="A784" s="143"/>
      <c r="B784" s="143"/>
      <c r="C784" s="143"/>
      <c r="D784" s="143"/>
      <c r="E784" s="143"/>
      <c r="F784" s="143"/>
      <c r="G784" s="143"/>
      <c r="H784" s="143"/>
      <c r="I784" s="143"/>
    </row>
    <row r="785" ht="20.25" spans="1:9">
      <c r="A785" s="143"/>
      <c r="B785" s="143"/>
      <c r="C785" s="143"/>
      <c r="D785" s="143"/>
      <c r="E785" s="143"/>
      <c r="F785" s="143"/>
      <c r="G785" s="143"/>
      <c r="H785" s="143"/>
      <c r="I785" s="143"/>
    </row>
    <row r="786" ht="20.25" spans="1:9">
      <c r="A786" s="143"/>
      <c r="B786" s="143"/>
      <c r="C786" s="143"/>
      <c r="D786" s="143"/>
      <c r="E786" s="143"/>
      <c r="F786" s="143"/>
      <c r="G786" s="143"/>
      <c r="H786" s="143"/>
      <c r="I786" s="143"/>
    </row>
    <row r="787" ht="20.25" spans="1:9">
      <c r="A787" s="143"/>
      <c r="B787" s="143"/>
      <c r="C787" s="143"/>
      <c r="D787" s="143"/>
      <c r="E787" s="143"/>
      <c r="F787" s="143"/>
      <c r="G787" s="143"/>
      <c r="H787" s="143"/>
      <c r="I787" s="143"/>
    </row>
    <row r="788" ht="20.25" spans="1:9">
      <c r="A788" s="143"/>
      <c r="B788" s="143"/>
      <c r="C788" s="143"/>
      <c r="D788" s="143"/>
      <c r="E788" s="143"/>
      <c r="F788" s="143"/>
      <c r="G788" s="143"/>
      <c r="H788" s="143"/>
      <c r="I788" s="143"/>
    </row>
    <row r="789" ht="20.25" spans="1:9">
      <c r="A789" s="143"/>
      <c r="B789" s="143"/>
      <c r="C789" s="143"/>
      <c r="D789" s="143"/>
      <c r="E789" s="143"/>
      <c r="F789" s="143"/>
      <c r="G789" s="143"/>
      <c r="H789" s="143"/>
      <c r="I789" s="143"/>
    </row>
    <row r="790" ht="20.25" spans="1:9">
      <c r="A790" s="143"/>
      <c r="B790" s="143"/>
      <c r="C790" s="143"/>
      <c r="D790" s="143"/>
      <c r="E790" s="143"/>
      <c r="F790" s="143"/>
      <c r="G790" s="143"/>
      <c r="H790" s="143"/>
      <c r="I790" s="143"/>
    </row>
    <row r="791" ht="20.25" spans="1:9">
      <c r="A791" s="143"/>
      <c r="B791" s="143"/>
      <c r="C791" s="143"/>
      <c r="D791" s="143"/>
      <c r="E791" s="143"/>
      <c r="F791" s="143"/>
      <c r="G791" s="143"/>
      <c r="H791" s="143"/>
      <c r="I791" s="143"/>
    </row>
    <row r="792" ht="20.25" spans="1:9">
      <c r="A792" s="143"/>
      <c r="B792" s="143"/>
      <c r="C792" s="143"/>
      <c r="D792" s="143"/>
      <c r="E792" s="143"/>
      <c r="F792" s="143"/>
      <c r="G792" s="143"/>
      <c r="H792" s="143"/>
      <c r="I792" s="143"/>
    </row>
    <row r="793" ht="20.25" spans="1:9">
      <c r="A793" s="143"/>
      <c r="B793" s="143"/>
      <c r="C793" s="143"/>
      <c r="D793" s="143"/>
      <c r="E793" s="143"/>
      <c r="F793" s="143"/>
      <c r="G793" s="143"/>
      <c r="H793" s="143"/>
      <c r="I793" s="143"/>
    </row>
    <row r="794" ht="20.25" spans="1:9">
      <c r="A794" s="143"/>
      <c r="B794" s="143"/>
      <c r="C794" s="143"/>
      <c r="D794" s="143"/>
      <c r="E794" s="143"/>
      <c r="F794" s="143"/>
      <c r="G794" s="143"/>
      <c r="H794" s="143"/>
      <c r="I794" s="143"/>
    </row>
    <row r="795" ht="20.25" spans="1:9">
      <c r="A795" s="143"/>
      <c r="B795" s="143"/>
      <c r="C795" s="143"/>
      <c r="D795" s="143"/>
      <c r="E795" s="143"/>
      <c r="F795" s="143"/>
      <c r="G795" s="143"/>
      <c r="H795" s="143"/>
      <c r="I795" s="143"/>
    </row>
    <row r="796" ht="20.25" spans="1:9">
      <c r="A796" s="143"/>
      <c r="B796" s="143"/>
      <c r="C796" s="143"/>
      <c r="D796" s="143"/>
      <c r="E796" s="143"/>
      <c r="F796" s="143"/>
      <c r="G796" s="143"/>
      <c r="H796" s="143"/>
      <c r="I796" s="143"/>
    </row>
    <row r="797" ht="20.25" spans="1:9">
      <c r="A797" s="143"/>
      <c r="B797" s="143"/>
      <c r="C797" s="143"/>
      <c r="D797" s="143"/>
      <c r="E797" s="143"/>
      <c r="F797" s="143"/>
      <c r="G797" s="143"/>
      <c r="H797" s="143"/>
      <c r="I797" s="143"/>
    </row>
    <row r="798" ht="20.25" spans="1:9">
      <c r="A798" s="143"/>
      <c r="B798" s="143"/>
      <c r="C798" s="143"/>
      <c r="D798" s="143"/>
      <c r="E798" s="143"/>
      <c r="F798" s="143"/>
      <c r="G798" s="143"/>
      <c r="H798" s="143"/>
      <c r="I798" s="143"/>
    </row>
    <row r="799" ht="20.25" spans="1:9">
      <c r="A799" s="143"/>
      <c r="B799" s="143"/>
      <c r="C799" s="143"/>
      <c r="D799" s="143"/>
      <c r="E799" s="143"/>
      <c r="F799" s="143"/>
      <c r="G799" s="143"/>
      <c r="H799" s="143"/>
      <c r="I799" s="143"/>
    </row>
    <row r="800" ht="20.25" spans="1:9">
      <c r="A800" s="143"/>
      <c r="B800" s="143"/>
      <c r="C800" s="143"/>
      <c r="D800" s="143"/>
      <c r="E800" s="143"/>
      <c r="F800" s="143"/>
      <c r="G800" s="143"/>
      <c r="H800" s="143"/>
      <c r="I800" s="143"/>
    </row>
    <row r="801" ht="20.25" spans="1:9">
      <c r="A801" s="143"/>
      <c r="B801" s="143"/>
      <c r="C801" s="143"/>
      <c r="D801" s="143"/>
      <c r="E801" s="143"/>
      <c r="F801" s="143"/>
      <c r="G801" s="143"/>
      <c r="H801" s="143"/>
      <c r="I801" s="143"/>
    </row>
    <row r="802" ht="20.25" spans="1:9">
      <c r="A802" s="143"/>
      <c r="B802" s="143"/>
      <c r="C802" s="143"/>
      <c r="D802" s="143"/>
      <c r="E802" s="143"/>
      <c r="F802" s="143"/>
      <c r="G802" s="143"/>
      <c r="H802" s="143"/>
      <c r="I802" s="143"/>
    </row>
    <row r="803" ht="20.25" spans="1:9">
      <c r="A803" s="143"/>
      <c r="B803" s="143"/>
      <c r="C803" s="143"/>
      <c r="D803" s="143"/>
      <c r="E803" s="143"/>
      <c r="F803" s="143"/>
      <c r="G803" s="143"/>
      <c r="H803" s="143"/>
      <c r="I803" s="143"/>
    </row>
    <row r="804" ht="20.25" spans="1:9">
      <c r="A804" s="143"/>
      <c r="B804" s="143"/>
      <c r="C804" s="143"/>
      <c r="D804" s="143"/>
      <c r="E804" s="143"/>
      <c r="F804" s="143"/>
      <c r="G804" s="143"/>
      <c r="H804" s="143"/>
      <c r="I804" s="143"/>
    </row>
    <row r="805" ht="20.25" spans="1:9">
      <c r="A805" s="143"/>
      <c r="B805" s="143"/>
      <c r="C805" s="143"/>
      <c r="D805" s="143"/>
      <c r="E805" s="143"/>
      <c r="F805" s="143"/>
      <c r="G805" s="143"/>
      <c r="H805" s="143"/>
      <c r="I805" s="143"/>
    </row>
    <row r="806" ht="20.25" spans="1:9">
      <c r="A806" s="143"/>
      <c r="B806" s="143"/>
      <c r="C806" s="143"/>
      <c r="D806" s="143"/>
      <c r="E806" s="143"/>
      <c r="F806" s="143"/>
      <c r="G806" s="143"/>
      <c r="H806" s="143"/>
      <c r="I806" s="143"/>
    </row>
    <row r="807" ht="20.25" spans="1:9">
      <c r="A807" s="143"/>
      <c r="B807" s="143"/>
      <c r="C807" s="143"/>
      <c r="D807" s="143"/>
      <c r="E807" s="143"/>
      <c r="F807" s="143"/>
      <c r="G807" s="143"/>
      <c r="H807" s="143"/>
      <c r="I807" s="143"/>
    </row>
    <row r="808" ht="20.25" spans="1:9">
      <c r="A808" s="143"/>
      <c r="B808" s="143"/>
      <c r="C808" s="143"/>
      <c r="D808" s="143"/>
      <c r="E808" s="143"/>
      <c r="F808" s="143"/>
      <c r="G808" s="143"/>
      <c r="H808" s="143"/>
      <c r="I808" s="143"/>
    </row>
    <row r="809" ht="20.25" spans="1:9">
      <c r="A809" s="143"/>
      <c r="B809" s="143"/>
      <c r="C809" s="143"/>
      <c r="D809" s="143"/>
      <c r="E809" s="143"/>
      <c r="F809" s="143"/>
      <c r="G809" s="143"/>
      <c r="H809" s="143"/>
      <c r="I809" s="143"/>
    </row>
    <row r="810" ht="20.25" spans="1:9">
      <c r="A810" s="143"/>
      <c r="B810" s="143"/>
      <c r="C810" s="143"/>
      <c r="D810" s="143"/>
      <c r="E810" s="143"/>
      <c r="F810" s="143"/>
      <c r="G810" s="143"/>
      <c r="H810" s="143"/>
      <c r="I810" s="143"/>
    </row>
    <row r="811" ht="20.25" spans="1:9">
      <c r="A811" s="143"/>
      <c r="B811" s="143"/>
      <c r="C811" s="143"/>
      <c r="D811" s="143"/>
      <c r="E811" s="143"/>
      <c r="F811" s="143"/>
      <c r="G811" s="143"/>
      <c r="H811" s="143"/>
      <c r="I811" s="143"/>
    </row>
    <row r="812" ht="20.25" spans="1:9">
      <c r="A812" s="143"/>
      <c r="B812" s="143"/>
      <c r="C812" s="143"/>
      <c r="D812" s="143"/>
      <c r="E812" s="143"/>
      <c r="F812" s="143"/>
      <c r="G812" s="143"/>
      <c r="H812" s="143"/>
      <c r="I812" s="143"/>
    </row>
    <row r="813" ht="20.25" spans="1:9">
      <c r="A813" s="143"/>
      <c r="B813" s="143"/>
      <c r="C813" s="143"/>
      <c r="D813" s="143"/>
      <c r="E813" s="143"/>
      <c r="F813" s="143"/>
      <c r="G813" s="143"/>
      <c r="H813" s="143"/>
      <c r="I813" s="143"/>
    </row>
    <row r="814" ht="20.25" spans="1:9">
      <c r="A814" s="143"/>
      <c r="B814" s="143"/>
      <c r="C814" s="143"/>
      <c r="D814" s="143"/>
      <c r="E814" s="143"/>
      <c r="F814" s="143"/>
      <c r="G814" s="143"/>
      <c r="H814" s="143"/>
      <c r="I814" s="143"/>
    </row>
    <row r="815" ht="20.25" spans="1:9">
      <c r="A815" s="143"/>
      <c r="B815" s="143"/>
      <c r="C815" s="143"/>
      <c r="D815" s="143"/>
      <c r="E815" s="143"/>
      <c r="F815" s="143"/>
      <c r="G815" s="143"/>
      <c r="H815" s="143"/>
      <c r="I815" s="143"/>
    </row>
    <row r="816" ht="20.25" spans="1:9">
      <c r="A816" s="143"/>
      <c r="B816" s="143"/>
      <c r="C816" s="143"/>
      <c r="D816" s="143"/>
      <c r="E816" s="143"/>
      <c r="F816" s="143"/>
      <c r="G816" s="143"/>
      <c r="H816" s="143"/>
      <c r="I816" s="143"/>
    </row>
    <row r="817" ht="20.25" spans="1:9">
      <c r="A817" s="143"/>
      <c r="B817" s="143"/>
      <c r="C817" s="143"/>
      <c r="D817" s="143"/>
      <c r="E817" s="143"/>
      <c r="F817" s="143"/>
      <c r="G817" s="143"/>
      <c r="H817" s="143"/>
      <c r="I817" s="143"/>
    </row>
    <row r="818" ht="20.25" spans="1:9">
      <c r="A818" s="143"/>
      <c r="B818" s="143"/>
      <c r="C818" s="143"/>
      <c r="D818" s="143"/>
      <c r="E818" s="143"/>
      <c r="F818" s="143"/>
      <c r="G818" s="143"/>
      <c r="H818" s="143"/>
      <c r="I818" s="143"/>
    </row>
    <row r="819" ht="20.25" spans="1:9">
      <c r="A819" s="143"/>
      <c r="B819" s="143"/>
      <c r="C819" s="143"/>
      <c r="D819" s="143"/>
      <c r="E819" s="143"/>
      <c r="F819" s="143"/>
      <c r="G819" s="143"/>
      <c r="H819" s="143"/>
      <c r="I819" s="143"/>
    </row>
    <row r="820" ht="20.25" spans="1:9">
      <c r="A820" s="143"/>
      <c r="B820" s="143"/>
      <c r="C820" s="143"/>
      <c r="D820" s="143"/>
      <c r="E820" s="143"/>
      <c r="F820" s="143"/>
      <c r="G820" s="143"/>
      <c r="H820" s="143"/>
      <c r="I820" s="143"/>
    </row>
    <row r="821" ht="20.25" spans="1:9">
      <c r="A821" s="143"/>
      <c r="B821" s="143"/>
      <c r="C821" s="143"/>
      <c r="D821" s="143"/>
      <c r="E821" s="143"/>
      <c r="F821" s="143"/>
      <c r="G821" s="143"/>
      <c r="H821" s="143"/>
      <c r="I821" s="143"/>
    </row>
    <row r="822" ht="20.25" spans="1:9">
      <c r="A822" s="143"/>
      <c r="B822" s="143"/>
      <c r="C822" s="143"/>
      <c r="D822" s="143"/>
      <c r="E822" s="143"/>
      <c r="F822" s="143"/>
      <c r="G822" s="143"/>
      <c r="H822" s="143"/>
      <c r="I822" s="143"/>
    </row>
    <row r="823" ht="20.25" spans="1:9">
      <c r="A823" s="143"/>
      <c r="B823" s="143"/>
      <c r="C823" s="143"/>
      <c r="D823" s="143"/>
      <c r="E823" s="143"/>
      <c r="F823" s="143"/>
      <c r="G823" s="143"/>
      <c r="H823" s="143"/>
      <c r="I823" s="143"/>
    </row>
    <row r="824" ht="20.25" spans="1:9">
      <c r="A824" s="143"/>
      <c r="B824" s="143"/>
      <c r="C824" s="143"/>
      <c r="D824" s="143"/>
      <c r="E824" s="143"/>
      <c r="F824" s="143"/>
      <c r="G824" s="143"/>
      <c r="H824" s="143"/>
      <c r="I824" s="143"/>
    </row>
    <row r="825" ht="20.25" spans="1:9">
      <c r="A825" s="143"/>
      <c r="B825" s="143"/>
      <c r="C825" s="143"/>
      <c r="D825" s="143"/>
      <c r="E825" s="143"/>
      <c r="F825" s="143"/>
      <c r="G825" s="143"/>
      <c r="H825" s="143"/>
      <c r="I825" s="143"/>
    </row>
    <row r="826" ht="20.25" spans="1:9">
      <c r="A826" s="143"/>
      <c r="B826" s="143"/>
      <c r="C826" s="143"/>
      <c r="D826" s="143"/>
      <c r="E826" s="143"/>
      <c r="F826" s="143"/>
      <c r="G826" s="143"/>
      <c r="H826" s="143"/>
      <c r="I826" s="143"/>
    </row>
    <row r="827" ht="20.25" spans="1:9">
      <c r="A827" s="143"/>
      <c r="B827" s="143"/>
      <c r="C827" s="143"/>
      <c r="D827" s="143"/>
      <c r="E827" s="143"/>
      <c r="F827" s="143"/>
      <c r="G827" s="143"/>
      <c r="H827" s="143"/>
      <c r="I827" s="143"/>
    </row>
    <row r="828" ht="20.25" spans="1:9">
      <c r="A828" s="143"/>
      <c r="B828" s="143"/>
      <c r="C828" s="143"/>
      <c r="D828" s="143"/>
      <c r="E828" s="143"/>
      <c r="F828" s="143"/>
      <c r="G828" s="143"/>
      <c r="H828" s="143"/>
      <c r="I828" s="143"/>
    </row>
    <row r="829" ht="20.25" spans="1:9">
      <c r="A829" s="143"/>
      <c r="B829" s="143"/>
      <c r="C829" s="143"/>
      <c r="D829" s="143"/>
      <c r="E829" s="143"/>
      <c r="F829" s="143"/>
      <c r="G829" s="143"/>
      <c r="H829" s="143"/>
      <c r="I829" s="143"/>
    </row>
    <row r="830" ht="20.25" spans="1:9">
      <c r="A830" s="143"/>
      <c r="B830" s="143"/>
      <c r="C830" s="143"/>
      <c r="D830" s="143"/>
      <c r="E830" s="143"/>
      <c r="F830" s="143"/>
      <c r="G830" s="143"/>
      <c r="H830" s="143"/>
      <c r="I830" s="143"/>
    </row>
    <row r="831" ht="20.25" spans="1:9">
      <c r="A831" s="143"/>
      <c r="B831" s="143"/>
      <c r="C831" s="143"/>
      <c r="D831" s="143"/>
      <c r="E831" s="143"/>
      <c r="F831" s="143"/>
      <c r="G831" s="143"/>
      <c r="H831" s="143"/>
      <c r="I831" s="143"/>
    </row>
    <row r="832" ht="20.25" spans="1:9">
      <c r="A832" s="143"/>
      <c r="B832" s="143"/>
      <c r="C832" s="143"/>
      <c r="D832" s="143"/>
      <c r="E832" s="143"/>
      <c r="F832" s="143"/>
      <c r="G832" s="143"/>
      <c r="H832" s="143"/>
      <c r="I832" s="143"/>
    </row>
    <row r="833" ht="20.25" spans="1:9">
      <c r="A833" s="143"/>
      <c r="B833" s="143"/>
      <c r="C833" s="143"/>
      <c r="D833" s="143"/>
      <c r="E833" s="143"/>
      <c r="F833" s="143"/>
      <c r="G833" s="143"/>
      <c r="H833" s="143"/>
      <c r="I833" s="143"/>
    </row>
    <row r="834" ht="20.25" spans="1:9">
      <c r="A834" s="143"/>
      <c r="B834" s="143"/>
      <c r="C834" s="143"/>
      <c r="D834" s="143"/>
      <c r="E834" s="143"/>
      <c r="F834" s="143"/>
      <c r="G834" s="143"/>
      <c r="H834" s="143"/>
      <c r="I834" s="143"/>
    </row>
    <row r="835" ht="20.25" spans="1:9">
      <c r="A835" s="143"/>
      <c r="B835" s="143"/>
      <c r="C835" s="143"/>
      <c r="D835" s="143"/>
      <c r="E835" s="143"/>
      <c r="F835" s="143"/>
      <c r="G835" s="143"/>
      <c r="H835" s="143"/>
      <c r="I835" s="143"/>
    </row>
    <row r="836" ht="20.25" spans="1:9">
      <c r="A836" s="143"/>
      <c r="B836" s="143"/>
      <c r="C836" s="143"/>
      <c r="D836" s="143"/>
      <c r="E836" s="143"/>
      <c r="F836" s="143"/>
      <c r="G836" s="143"/>
      <c r="H836" s="143"/>
      <c r="I836" s="143"/>
    </row>
    <row r="837" ht="20.25" spans="1:9">
      <c r="A837" s="143"/>
      <c r="B837" s="143"/>
      <c r="C837" s="143"/>
      <c r="D837" s="143"/>
      <c r="E837" s="143"/>
      <c r="F837" s="143"/>
      <c r="G837" s="143"/>
      <c r="H837" s="143"/>
      <c r="I837" s="143"/>
    </row>
    <row r="838" ht="20.25" spans="1:9">
      <c r="A838" s="143"/>
      <c r="B838" s="143"/>
      <c r="C838" s="143"/>
      <c r="D838" s="143"/>
      <c r="E838" s="143"/>
      <c r="F838" s="143"/>
      <c r="G838" s="143"/>
      <c r="H838" s="143"/>
      <c r="I838" s="143"/>
    </row>
    <row r="839" ht="20.25" spans="1:9">
      <c r="A839" s="143"/>
      <c r="B839" s="143"/>
      <c r="C839" s="143"/>
      <c r="D839" s="143"/>
      <c r="E839" s="143"/>
      <c r="F839" s="143"/>
      <c r="G839" s="143"/>
      <c r="H839" s="143"/>
      <c r="I839" s="143"/>
    </row>
    <row r="840" ht="20.25" spans="1:9">
      <c r="A840" s="143"/>
      <c r="B840" s="143"/>
      <c r="C840" s="143"/>
      <c r="D840" s="143"/>
      <c r="E840" s="143"/>
      <c r="F840" s="143"/>
      <c r="G840" s="143"/>
      <c r="H840" s="143"/>
      <c r="I840" s="143"/>
    </row>
    <row r="841" ht="20.25" spans="1:9">
      <c r="A841" s="143"/>
      <c r="B841" s="143"/>
      <c r="C841" s="143"/>
      <c r="D841" s="143"/>
      <c r="E841" s="143"/>
      <c r="F841" s="143"/>
      <c r="G841" s="143"/>
      <c r="H841" s="143"/>
      <c r="I841" s="143"/>
    </row>
    <row r="842" ht="20.25" spans="1:9">
      <c r="A842" s="143"/>
      <c r="B842" s="143"/>
      <c r="C842" s="143"/>
      <c r="D842" s="143"/>
      <c r="E842" s="143"/>
      <c r="F842" s="143"/>
      <c r="G842" s="143"/>
      <c r="H842" s="143"/>
      <c r="I842" s="143"/>
    </row>
    <row r="843" ht="20.25" spans="1:9">
      <c r="A843" s="143"/>
      <c r="B843" s="143"/>
      <c r="C843" s="143"/>
      <c r="D843" s="143"/>
      <c r="E843" s="143"/>
      <c r="F843" s="143"/>
      <c r="G843" s="143"/>
      <c r="H843" s="143"/>
      <c r="I843" s="143"/>
    </row>
    <row r="844" ht="20.25" spans="1:9">
      <c r="A844" s="143"/>
      <c r="B844" s="143"/>
      <c r="C844" s="143"/>
      <c r="D844" s="143"/>
      <c r="E844" s="143"/>
      <c r="F844" s="143"/>
      <c r="G844" s="143"/>
      <c r="H844" s="143"/>
      <c r="I844" s="143"/>
    </row>
    <row r="845" ht="20.25" spans="1:9">
      <c r="A845" s="143"/>
      <c r="B845" s="143"/>
      <c r="C845" s="143"/>
      <c r="D845" s="143"/>
      <c r="E845" s="143"/>
      <c r="F845" s="143"/>
      <c r="G845" s="143"/>
      <c r="H845" s="143"/>
      <c r="I845" s="143"/>
    </row>
    <row r="846" ht="20.25" spans="1:9">
      <c r="A846" s="143"/>
      <c r="B846" s="143"/>
      <c r="C846" s="143"/>
      <c r="D846" s="143"/>
      <c r="E846" s="143"/>
      <c r="F846" s="143"/>
      <c r="G846" s="143"/>
      <c r="H846" s="143"/>
      <c r="I846" s="143"/>
    </row>
    <row r="847" ht="20.25" spans="1:9">
      <c r="A847" s="143"/>
      <c r="B847" s="143"/>
      <c r="C847" s="143"/>
      <c r="D847" s="143"/>
      <c r="E847" s="143"/>
      <c r="F847" s="143"/>
      <c r="G847" s="143"/>
      <c r="H847" s="143"/>
      <c r="I847" s="143"/>
    </row>
    <row r="848" ht="20.25" spans="1:9">
      <c r="A848" s="143"/>
      <c r="B848" s="143"/>
      <c r="C848" s="143"/>
      <c r="D848" s="143"/>
      <c r="E848" s="143"/>
      <c r="F848" s="143"/>
      <c r="G848" s="143"/>
      <c r="H848" s="143"/>
      <c r="I848" s="143"/>
    </row>
    <row r="849" ht="20.25" spans="1:9">
      <c r="A849" s="143"/>
      <c r="B849" s="143"/>
      <c r="C849" s="143"/>
      <c r="D849" s="143"/>
      <c r="E849" s="143"/>
      <c r="F849" s="143"/>
      <c r="G849" s="143"/>
      <c r="H849" s="143"/>
      <c r="I849" s="143"/>
    </row>
    <row r="850" ht="20.25" spans="1:9">
      <c r="A850" s="143"/>
      <c r="B850" s="143"/>
      <c r="C850" s="143"/>
      <c r="D850" s="143"/>
      <c r="E850" s="143"/>
      <c r="F850" s="143"/>
      <c r="G850" s="143"/>
      <c r="H850" s="143"/>
      <c r="I850" s="143"/>
    </row>
    <row r="851" ht="20.25" spans="1:9">
      <c r="A851" s="143"/>
      <c r="B851" s="143"/>
      <c r="C851" s="143"/>
      <c r="D851" s="143"/>
      <c r="E851" s="143"/>
      <c r="F851" s="143"/>
      <c r="G851" s="143"/>
      <c r="H851" s="143"/>
      <c r="I851" s="143"/>
    </row>
    <row r="852" ht="20.25" spans="1:9">
      <c r="A852" s="143"/>
      <c r="B852" s="143"/>
      <c r="C852" s="143"/>
      <c r="D852" s="143"/>
      <c r="E852" s="143"/>
      <c r="F852" s="143"/>
      <c r="G852" s="143"/>
      <c r="H852" s="143"/>
      <c r="I852" s="143"/>
    </row>
    <row r="853" ht="20.25" spans="1:9">
      <c r="A853" s="143"/>
      <c r="B853" s="143"/>
      <c r="C853" s="143"/>
      <c r="D853" s="143"/>
      <c r="E853" s="143"/>
      <c r="F853" s="143"/>
      <c r="G853" s="143"/>
      <c r="H853" s="143"/>
      <c r="I853" s="143"/>
    </row>
    <row r="854" ht="20.25" spans="1:9">
      <c r="A854" s="143"/>
      <c r="B854" s="143"/>
      <c r="C854" s="143"/>
      <c r="D854" s="143"/>
      <c r="E854" s="143"/>
      <c r="F854" s="143"/>
      <c r="G854" s="143"/>
      <c r="H854" s="143"/>
      <c r="I854" s="143"/>
    </row>
    <row r="855" ht="20.25" spans="1:9">
      <c r="A855" s="143"/>
      <c r="B855" s="143"/>
      <c r="C855" s="143"/>
      <c r="D855" s="143"/>
      <c r="E855" s="143"/>
      <c r="F855" s="143"/>
      <c r="G855" s="143"/>
      <c r="H855" s="143"/>
      <c r="I855" s="143"/>
    </row>
    <row r="856" ht="20.25" spans="1:9">
      <c r="A856" s="143"/>
      <c r="B856" s="143"/>
      <c r="C856" s="143"/>
      <c r="D856" s="143"/>
      <c r="E856" s="143"/>
      <c r="F856" s="143"/>
      <c r="G856" s="143"/>
      <c r="H856" s="143"/>
      <c r="I856" s="143"/>
    </row>
    <row r="857" ht="20.25" spans="1:9">
      <c r="A857" s="143"/>
      <c r="B857" s="143"/>
      <c r="C857" s="143"/>
      <c r="D857" s="143"/>
      <c r="E857" s="143"/>
      <c r="F857" s="143"/>
      <c r="G857" s="143"/>
      <c r="H857" s="143"/>
      <c r="I857" s="143"/>
    </row>
    <row r="858" ht="20.25" spans="1:9">
      <c r="A858" s="143"/>
      <c r="B858" s="143"/>
      <c r="C858" s="143"/>
      <c r="D858" s="143"/>
      <c r="E858" s="143"/>
      <c r="F858" s="143"/>
      <c r="G858" s="143"/>
      <c r="H858" s="143"/>
      <c r="I858" s="143"/>
    </row>
    <row r="859" ht="20.25" spans="1:9">
      <c r="A859" s="143"/>
      <c r="B859" s="143"/>
      <c r="C859" s="143"/>
      <c r="D859" s="143"/>
      <c r="E859" s="143"/>
      <c r="F859" s="143"/>
      <c r="G859" s="143"/>
      <c r="H859" s="143"/>
      <c r="I859" s="143"/>
    </row>
    <row r="860" ht="20.25" spans="1:9">
      <c r="A860" s="143"/>
      <c r="B860" s="143"/>
      <c r="C860" s="143"/>
      <c r="D860" s="143"/>
      <c r="E860" s="143"/>
      <c r="F860" s="143"/>
      <c r="G860" s="143"/>
      <c r="H860" s="143"/>
      <c r="I860" s="143"/>
    </row>
    <row r="861" ht="20.25" spans="1:9">
      <c r="A861" s="143"/>
      <c r="B861" s="143"/>
      <c r="C861" s="143"/>
      <c r="D861" s="143"/>
      <c r="E861" s="143"/>
      <c r="F861" s="143"/>
      <c r="G861" s="143"/>
      <c r="H861" s="143"/>
      <c r="I861" s="143"/>
    </row>
    <row r="862" ht="20.25" spans="1:9">
      <c r="A862" s="143"/>
      <c r="B862" s="143"/>
      <c r="C862" s="143"/>
      <c r="D862" s="143"/>
      <c r="E862" s="143"/>
      <c r="F862" s="143"/>
      <c r="G862" s="143"/>
      <c r="H862" s="143"/>
      <c r="I862" s="143"/>
    </row>
    <row r="863" ht="20.25" spans="1:9">
      <c r="A863" s="143"/>
      <c r="B863" s="143"/>
      <c r="C863" s="143"/>
      <c r="D863" s="143"/>
      <c r="E863" s="143"/>
      <c r="F863" s="143"/>
      <c r="G863" s="143"/>
      <c r="H863" s="143"/>
      <c r="I863" s="143"/>
    </row>
    <row r="864" ht="20.25" spans="1:9">
      <c r="A864" s="143"/>
      <c r="B864" s="143"/>
      <c r="C864" s="143"/>
      <c r="D864" s="143"/>
      <c r="E864" s="143"/>
      <c r="F864" s="143"/>
      <c r="G864" s="143"/>
      <c r="H864" s="143"/>
      <c r="I864" s="143"/>
    </row>
    <row r="865" ht="20.25" spans="1:9">
      <c r="A865" s="143"/>
      <c r="B865" s="143"/>
      <c r="C865" s="143"/>
      <c r="D865" s="143"/>
      <c r="E865" s="143"/>
      <c r="F865" s="143"/>
      <c r="G865" s="143"/>
      <c r="H865" s="143"/>
      <c r="I865" s="143"/>
    </row>
    <row r="866" ht="20.25" spans="1:9">
      <c r="A866" s="143"/>
      <c r="B866" s="143"/>
      <c r="C866" s="143"/>
      <c r="D866" s="143"/>
      <c r="E866" s="143"/>
      <c r="F866" s="143"/>
      <c r="G866" s="143"/>
      <c r="H866" s="143"/>
      <c r="I866" s="143"/>
    </row>
    <row r="867" ht="20.25" spans="1:9">
      <c r="A867" s="143"/>
      <c r="B867" s="143"/>
      <c r="C867" s="143"/>
      <c r="D867" s="143"/>
      <c r="E867" s="143"/>
      <c r="F867" s="143"/>
      <c r="G867" s="143"/>
      <c r="H867" s="143"/>
      <c r="I867" s="143"/>
    </row>
    <row r="868" ht="20.25" spans="1:9">
      <c r="A868" s="143"/>
      <c r="B868" s="143"/>
      <c r="C868" s="143"/>
      <c r="D868" s="143"/>
      <c r="E868" s="143"/>
      <c r="F868" s="143"/>
      <c r="G868" s="143"/>
      <c r="H868" s="143"/>
      <c r="I868" s="143"/>
    </row>
    <row r="869" ht="20.25" spans="1:9">
      <c r="A869" s="143"/>
      <c r="B869" s="143"/>
      <c r="C869" s="143"/>
      <c r="D869" s="143"/>
      <c r="E869" s="143"/>
      <c r="F869" s="143"/>
      <c r="G869" s="143"/>
      <c r="H869" s="143"/>
      <c r="I869" s="143"/>
    </row>
    <row r="870" ht="20.25" spans="1:9">
      <c r="A870" s="143"/>
      <c r="B870" s="143"/>
      <c r="C870" s="143"/>
      <c r="D870" s="143"/>
      <c r="E870" s="143"/>
      <c r="F870" s="143"/>
      <c r="G870" s="143"/>
      <c r="H870" s="143"/>
      <c r="I870" s="143"/>
    </row>
    <row r="871" ht="20.25" spans="1:9">
      <c r="A871" s="143"/>
      <c r="B871" s="143"/>
      <c r="C871" s="143"/>
      <c r="D871" s="143"/>
      <c r="E871" s="143"/>
      <c r="F871" s="143"/>
      <c r="G871" s="143"/>
      <c r="H871" s="143"/>
      <c r="I871" s="143"/>
    </row>
    <row r="872" ht="20.25" spans="1:9">
      <c r="A872" s="143"/>
      <c r="B872" s="143"/>
      <c r="C872" s="143"/>
      <c r="D872" s="143"/>
      <c r="E872" s="143"/>
      <c r="F872" s="143"/>
      <c r="G872" s="143"/>
      <c r="H872" s="143"/>
      <c r="I872" s="143"/>
    </row>
    <row r="873" ht="20.25" spans="1:9">
      <c r="A873" s="143"/>
      <c r="B873" s="143"/>
      <c r="C873" s="143"/>
      <c r="D873" s="143"/>
      <c r="E873" s="143"/>
      <c r="F873" s="143"/>
      <c r="G873" s="143"/>
      <c r="H873" s="143"/>
      <c r="I873" s="143"/>
    </row>
    <row r="874" ht="20.25" spans="1:9">
      <c r="A874" s="143"/>
      <c r="B874" s="143"/>
      <c r="C874" s="143"/>
      <c r="D874" s="143"/>
      <c r="E874" s="143"/>
      <c r="F874" s="143"/>
      <c r="G874" s="143"/>
      <c r="H874" s="143"/>
      <c r="I874" s="143"/>
    </row>
    <row r="875" ht="20.25" spans="1:9">
      <c r="A875" s="143"/>
      <c r="B875" s="143"/>
      <c r="C875" s="143"/>
      <c r="D875" s="143"/>
      <c r="E875" s="143"/>
      <c r="F875" s="143"/>
      <c r="G875" s="143"/>
      <c r="H875" s="143"/>
      <c r="I875" s="143"/>
    </row>
    <row r="876" ht="20.25" spans="1:9">
      <c r="A876" s="143"/>
      <c r="B876" s="143"/>
      <c r="C876" s="143"/>
      <c r="D876" s="143"/>
      <c r="E876" s="143"/>
      <c r="F876" s="143"/>
      <c r="G876" s="143"/>
      <c r="H876" s="143"/>
      <c r="I876" s="143"/>
    </row>
    <row r="877" ht="20.25" spans="1:9">
      <c r="A877" s="143"/>
      <c r="B877" s="143"/>
      <c r="C877" s="143"/>
      <c r="D877" s="143"/>
      <c r="E877" s="143"/>
      <c r="F877" s="143"/>
      <c r="G877" s="143"/>
      <c r="H877" s="143"/>
      <c r="I877" s="143"/>
    </row>
    <row r="878" ht="20.25" spans="1:9">
      <c r="A878" s="143"/>
      <c r="B878" s="143"/>
      <c r="C878" s="143"/>
      <c r="D878" s="143"/>
      <c r="E878" s="143"/>
      <c r="F878" s="143"/>
      <c r="G878" s="143"/>
      <c r="H878" s="143"/>
      <c r="I878" s="143"/>
    </row>
    <row r="879" ht="20.25" spans="1:9">
      <c r="A879" s="143"/>
      <c r="B879" s="143"/>
      <c r="C879" s="143"/>
      <c r="D879" s="143"/>
      <c r="E879" s="143"/>
      <c r="F879" s="143"/>
      <c r="G879" s="143"/>
      <c r="H879" s="143"/>
      <c r="I879" s="143"/>
    </row>
    <row r="880" ht="20.25" spans="1:9">
      <c r="A880" s="143"/>
      <c r="B880" s="143"/>
      <c r="C880" s="143"/>
      <c r="D880" s="143"/>
      <c r="E880" s="143"/>
      <c r="F880" s="143"/>
      <c r="G880" s="143"/>
      <c r="H880" s="143"/>
      <c r="I880" s="143"/>
    </row>
    <row r="881" ht="20.25" spans="1:9">
      <c r="A881" s="143"/>
      <c r="B881" s="143"/>
      <c r="C881" s="143"/>
      <c r="D881" s="143"/>
      <c r="E881" s="143"/>
      <c r="F881" s="143"/>
      <c r="G881" s="143"/>
      <c r="H881" s="143"/>
      <c r="I881" s="143"/>
    </row>
    <row r="882" ht="20.25" spans="1:9">
      <c r="A882" s="143"/>
      <c r="B882" s="143"/>
      <c r="C882" s="143"/>
      <c r="D882" s="143"/>
      <c r="E882" s="143"/>
      <c r="F882" s="143"/>
      <c r="G882" s="143"/>
      <c r="H882" s="143"/>
      <c r="I882" s="143"/>
    </row>
    <row r="883" ht="20.25" spans="1:9">
      <c r="A883" s="143"/>
      <c r="B883" s="143"/>
      <c r="C883" s="143"/>
      <c r="D883" s="143"/>
      <c r="E883" s="143"/>
      <c r="F883" s="143"/>
      <c r="G883" s="143"/>
      <c r="H883" s="143"/>
      <c r="I883" s="143"/>
    </row>
    <row r="884" ht="20.25" spans="1:9">
      <c r="A884" s="143"/>
      <c r="B884" s="143"/>
      <c r="C884" s="143"/>
      <c r="D884" s="143"/>
      <c r="E884" s="143"/>
      <c r="F884" s="143"/>
      <c r="G884" s="143"/>
      <c r="H884" s="143"/>
      <c r="I884" s="143"/>
    </row>
    <row r="885" ht="20.25" spans="1:9">
      <c r="A885" s="143"/>
      <c r="B885" s="143"/>
      <c r="C885" s="143"/>
      <c r="D885" s="143"/>
      <c r="E885" s="143"/>
      <c r="F885" s="143"/>
      <c r="G885" s="143"/>
      <c r="H885" s="143"/>
      <c r="I885" s="143"/>
    </row>
    <row r="886" ht="20.25" spans="1:9">
      <c r="A886" s="143"/>
      <c r="B886" s="143"/>
      <c r="C886" s="143"/>
      <c r="D886" s="143"/>
      <c r="E886" s="143"/>
      <c r="F886" s="143"/>
      <c r="G886" s="143"/>
      <c r="H886" s="143"/>
      <c r="I886" s="143"/>
    </row>
    <row r="887" ht="20.25" spans="1:9">
      <c r="A887" s="143"/>
      <c r="B887" s="143"/>
      <c r="C887" s="143"/>
      <c r="D887" s="143"/>
      <c r="E887" s="143"/>
      <c r="F887" s="143"/>
      <c r="G887" s="143"/>
      <c r="H887" s="143"/>
      <c r="I887" s="143"/>
    </row>
    <row r="888" ht="20.25" spans="1:9">
      <c r="A888" s="143"/>
      <c r="B888" s="143"/>
      <c r="C888" s="143"/>
      <c r="D888" s="143"/>
      <c r="E888" s="143"/>
      <c r="F888" s="143"/>
      <c r="G888" s="143"/>
      <c r="H888" s="143"/>
      <c r="I888" s="143"/>
    </row>
    <row r="889" ht="20.25" spans="1:9">
      <c r="A889" s="143"/>
      <c r="B889" s="143"/>
      <c r="C889" s="143"/>
      <c r="D889" s="143"/>
      <c r="E889" s="143"/>
      <c r="F889" s="143"/>
      <c r="G889" s="143"/>
      <c r="H889" s="143"/>
      <c r="I889" s="143"/>
    </row>
    <row r="890" ht="20.25" spans="1:9">
      <c r="A890" s="143"/>
      <c r="B890" s="143"/>
      <c r="C890" s="143"/>
      <c r="D890" s="143"/>
      <c r="E890" s="143"/>
      <c r="F890" s="143"/>
      <c r="G890" s="143"/>
      <c r="H890" s="143"/>
      <c r="I890" s="143"/>
    </row>
    <row r="891" ht="20.25" spans="1:9">
      <c r="A891" s="143"/>
      <c r="B891" s="143"/>
      <c r="C891" s="143"/>
      <c r="D891" s="143"/>
      <c r="E891" s="143"/>
      <c r="F891" s="143"/>
      <c r="G891" s="143"/>
      <c r="H891" s="143"/>
      <c r="I891" s="143"/>
    </row>
    <row r="892" ht="20.25" spans="1:9">
      <c r="A892" s="143"/>
      <c r="B892" s="143"/>
      <c r="C892" s="143"/>
      <c r="D892" s="143"/>
      <c r="E892" s="143"/>
      <c r="F892" s="143"/>
      <c r="G892" s="143"/>
      <c r="H892" s="143"/>
      <c r="I892" s="143"/>
    </row>
    <row r="893" ht="20.25" spans="1:9">
      <c r="A893" s="143"/>
      <c r="B893" s="143"/>
      <c r="C893" s="143"/>
      <c r="D893" s="143"/>
      <c r="E893" s="143"/>
      <c r="F893" s="143"/>
      <c r="G893" s="143"/>
      <c r="H893" s="143"/>
      <c r="I893" s="143"/>
    </row>
    <row r="894" ht="20.25" spans="1:9">
      <c r="A894" s="143"/>
      <c r="B894" s="143"/>
      <c r="C894" s="143"/>
      <c r="D894" s="143"/>
      <c r="E894" s="143"/>
      <c r="F894" s="143"/>
      <c r="G894" s="143"/>
      <c r="H894" s="143"/>
      <c r="I894" s="143"/>
    </row>
    <row r="895" ht="20.25" spans="1:9">
      <c r="A895" s="143"/>
      <c r="B895" s="143"/>
      <c r="C895" s="143"/>
      <c r="D895" s="143"/>
      <c r="E895" s="143"/>
      <c r="F895" s="143"/>
      <c r="G895" s="143"/>
      <c r="H895" s="143"/>
      <c r="I895" s="143"/>
    </row>
    <row r="896" ht="20.25" spans="1:9">
      <c r="A896" s="143"/>
      <c r="B896" s="143"/>
      <c r="C896" s="143"/>
      <c r="D896" s="143"/>
      <c r="E896" s="143"/>
      <c r="F896" s="143"/>
      <c r="G896" s="143"/>
      <c r="H896" s="143"/>
      <c r="I896" s="143"/>
    </row>
    <row r="897" ht="20.25" spans="1:9">
      <c r="A897" s="143"/>
      <c r="B897" s="143"/>
      <c r="C897" s="143"/>
      <c r="D897" s="143"/>
      <c r="E897" s="143"/>
      <c r="F897" s="143"/>
      <c r="G897" s="143"/>
      <c r="H897" s="143"/>
      <c r="I897" s="143"/>
    </row>
    <row r="898" ht="20.25" spans="1:9">
      <c r="A898" s="143"/>
      <c r="B898" s="143"/>
      <c r="C898" s="143"/>
      <c r="D898" s="143"/>
      <c r="E898" s="143"/>
      <c r="F898" s="143"/>
      <c r="G898" s="143"/>
      <c r="H898" s="143"/>
      <c r="I898" s="143"/>
    </row>
    <row r="899" ht="20.25" spans="1:9">
      <c r="A899" s="143"/>
      <c r="B899" s="143"/>
      <c r="C899" s="143"/>
      <c r="D899" s="143"/>
      <c r="E899" s="143"/>
      <c r="F899" s="143"/>
      <c r="G899" s="143"/>
      <c r="H899" s="143"/>
      <c r="I899" s="143"/>
    </row>
    <row r="900" ht="20.25" spans="1:9">
      <c r="A900" s="143"/>
      <c r="B900" s="143"/>
      <c r="C900" s="143"/>
      <c r="D900" s="143"/>
      <c r="E900" s="143"/>
      <c r="F900" s="143"/>
      <c r="G900" s="143"/>
      <c r="H900" s="143"/>
      <c r="I900" s="143"/>
    </row>
    <row r="901" ht="20.25" spans="1:9">
      <c r="A901" s="143"/>
      <c r="B901" s="143"/>
      <c r="C901" s="143"/>
      <c r="D901" s="143"/>
      <c r="E901" s="143"/>
      <c r="F901" s="143"/>
      <c r="G901" s="143"/>
      <c r="H901" s="143"/>
      <c r="I901" s="143"/>
    </row>
    <row r="902" ht="20.25" spans="1:9">
      <c r="A902" s="143"/>
      <c r="B902" s="143"/>
      <c r="C902" s="143"/>
      <c r="D902" s="143"/>
      <c r="E902" s="143"/>
      <c r="F902" s="143"/>
      <c r="G902" s="143"/>
      <c r="H902" s="143"/>
      <c r="I902" s="143"/>
    </row>
    <row r="903" ht="20.25" spans="1:9">
      <c r="A903" s="143"/>
      <c r="B903" s="143"/>
      <c r="C903" s="143"/>
      <c r="D903" s="143"/>
      <c r="E903" s="143"/>
      <c r="F903" s="143"/>
      <c r="G903" s="143"/>
      <c r="H903" s="143"/>
      <c r="I903" s="143"/>
    </row>
    <row r="904" ht="20.25" spans="1:9">
      <c r="A904" s="143"/>
      <c r="B904" s="143"/>
      <c r="C904" s="143"/>
      <c r="D904" s="143"/>
      <c r="E904" s="143"/>
      <c r="F904" s="143"/>
      <c r="G904" s="143"/>
      <c r="H904" s="143"/>
      <c r="I904" s="143"/>
    </row>
    <row r="905" ht="20.25" spans="1:9">
      <c r="A905" s="143"/>
      <c r="B905" s="143"/>
      <c r="C905" s="143"/>
      <c r="D905" s="143"/>
      <c r="E905" s="143"/>
      <c r="F905" s="143"/>
      <c r="G905" s="143"/>
      <c r="H905" s="143"/>
      <c r="I905" s="143"/>
    </row>
    <row r="906" ht="20.25" spans="1:9">
      <c r="A906" s="143"/>
      <c r="B906" s="143"/>
      <c r="C906" s="143"/>
      <c r="D906" s="143"/>
      <c r="E906" s="143"/>
      <c r="F906" s="143"/>
      <c r="G906" s="143"/>
      <c r="H906" s="143"/>
      <c r="I906" s="143"/>
    </row>
    <row r="907" ht="20.25" spans="1:9">
      <c r="A907" s="143"/>
      <c r="B907" s="143"/>
      <c r="C907" s="143"/>
      <c r="D907" s="143"/>
      <c r="E907" s="143"/>
      <c r="F907" s="143"/>
      <c r="G907" s="143"/>
      <c r="H907" s="143"/>
      <c r="I907" s="143"/>
    </row>
    <row r="908" ht="20.25" spans="1:9">
      <c r="A908" s="143"/>
      <c r="B908" s="143"/>
      <c r="C908" s="143"/>
      <c r="D908" s="143"/>
      <c r="E908" s="143"/>
      <c r="F908" s="143"/>
      <c r="G908" s="143"/>
      <c r="H908" s="143"/>
      <c r="I908" s="143"/>
    </row>
    <row r="909" ht="20.25" spans="1:9">
      <c r="A909" s="143"/>
      <c r="B909" s="143"/>
      <c r="C909" s="143"/>
      <c r="D909" s="143"/>
      <c r="E909" s="143"/>
      <c r="F909" s="143"/>
      <c r="G909" s="143"/>
      <c r="H909" s="143"/>
      <c r="I909" s="143"/>
    </row>
    <row r="910" ht="20.25" spans="1:9">
      <c r="A910" s="143"/>
      <c r="B910" s="143"/>
      <c r="C910" s="143"/>
      <c r="D910" s="143"/>
      <c r="E910" s="143"/>
      <c r="F910" s="143"/>
      <c r="G910" s="143"/>
      <c r="H910" s="143"/>
      <c r="I910" s="143"/>
    </row>
    <row r="911" ht="20.25" spans="1:9">
      <c r="A911" s="143"/>
      <c r="B911" s="143"/>
      <c r="C911" s="143"/>
      <c r="D911" s="143"/>
      <c r="E911" s="143"/>
      <c r="F911" s="143"/>
      <c r="G911" s="143"/>
      <c r="H911" s="143"/>
      <c r="I911" s="143"/>
    </row>
    <row r="912" ht="20.25" spans="1:9">
      <c r="A912" s="143"/>
      <c r="B912" s="143"/>
      <c r="C912" s="143"/>
      <c r="D912" s="143"/>
      <c r="E912" s="143"/>
      <c r="F912" s="143"/>
      <c r="G912" s="143"/>
      <c r="H912" s="143"/>
      <c r="I912" s="143"/>
    </row>
    <row r="913" ht="20.25" spans="1:9">
      <c r="A913" s="143"/>
      <c r="B913" s="143"/>
      <c r="C913" s="143"/>
      <c r="D913" s="143"/>
      <c r="E913" s="143"/>
      <c r="F913" s="143"/>
      <c r="G913" s="143"/>
      <c r="H913" s="143"/>
      <c r="I913" s="143"/>
    </row>
    <row r="914" ht="20.25" spans="1:9">
      <c r="A914" s="143"/>
      <c r="B914" s="143"/>
      <c r="C914" s="143"/>
      <c r="D914" s="143"/>
      <c r="E914" s="143"/>
      <c r="F914" s="143"/>
      <c r="G914" s="143"/>
      <c r="H914" s="143"/>
      <c r="I914" s="143"/>
    </row>
    <row r="915" ht="20.25" spans="1:9">
      <c r="A915" s="143"/>
      <c r="B915" s="143"/>
      <c r="C915" s="143"/>
      <c r="D915" s="143"/>
      <c r="E915" s="143"/>
      <c r="F915" s="143"/>
      <c r="G915" s="143"/>
      <c r="H915" s="143"/>
      <c r="I915" s="143"/>
    </row>
    <row r="916" ht="20.25" spans="1:9">
      <c r="A916" s="143"/>
      <c r="B916" s="143"/>
      <c r="C916" s="143"/>
      <c r="D916" s="143"/>
      <c r="E916" s="143"/>
      <c r="F916" s="143"/>
      <c r="G916" s="143"/>
      <c r="H916" s="143"/>
      <c r="I916" s="143"/>
    </row>
    <row r="917" ht="20.25" spans="1:9">
      <c r="A917" s="143"/>
      <c r="B917" s="143"/>
      <c r="C917" s="143"/>
      <c r="D917" s="143"/>
      <c r="E917" s="143"/>
      <c r="F917" s="143"/>
      <c r="G917" s="143"/>
      <c r="H917" s="143"/>
      <c r="I917" s="143"/>
    </row>
    <row r="918" ht="20.25" spans="1:9">
      <c r="A918" s="143"/>
      <c r="B918" s="143"/>
      <c r="C918" s="143"/>
      <c r="D918" s="143"/>
      <c r="E918" s="143"/>
      <c r="F918" s="143"/>
      <c r="G918" s="143"/>
      <c r="H918" s="143"/>
      <c r="I918" s="143"/>
    </row>
    <row r="919" ht="20.25" spans="1:9">
      <c r="A919" s="143"/>
      <c r="B919" s="143"/>
      <c r="C919" s="143"/>
      <c r="D919" s="143"/>
      <c r="E919" s="143"/>
      <c r="F919" s="143"/>
      <c r="G919" s="143"/>
      <c r="H919" s="143"/>
      <c r="I919" s="143"/>
    </row>
    <row r="920" ht="20.25" spans="1:9">
      <c r="A920" s="143"/>
      <c r="B920" s="143"/>
      <c r="C920" s="143"/>
      <c r="D920" s="143"/>
      <c r="E920" s="143"/>
      <c r="F920" s="143"/>
      <c r="G920" s="143"/>
      <c r="H920" s="143"/>
      <c r="I920" s="143"/>
    </row>
    <row r="921" ht="20.25" spans="1:9">
      <c r="A921" s="143"/>
      <c r="B921" s="143"/>
      <c r="C921" s="143"/>
      <c r="D921" s="143"/>
      <c r="E921" s="143"/>
      <c r="F921" s="143"/>
      <c r="G921" s="143"/>
      <c r="H921" s="143"/>
      <c r="I921" s="143"/>
    </row>
    <row r="922" ht="20.25" spans="1:9">
      <c r="A922" s="143"/>
      <c r="B922" s="143"/>
      <c r="C922" s="143"/>
      <c r="D922" s="143"/>
      <c r="E922" s="143"/>
      <c r="F922" s="143"/>
      <c r="G922" s="143"/>
      <c r="H922" s="143"/>
      <c r="I922" s="143"/>
    </row>
    <row r="923" ht="20.25" spans="1:9">
      <c r="A923" s="143"/>
      <c r="B923" s="143"/>
      <c r="C923" s="143"/>
      <c r="D923" s="143"/>
      <c r="E923" s="143"/>
      <c r="F923" s="143"/>
      <c r="G923" s="143"/>
      <c r="H923" s="143"/>
      <c r="I923" s="143"/>
    </row>
    <row r="924" ht="20.25" spans="1:9">
      <c r="A924" s="143"/>
      <c r="B924" s="143"/>
      <c r="C924" s="143"/>
      <c r="D924" s="143"/>
      <c r="E924" s="143"/>
      <c r="F924" s="143"/>
      <c r="G924" s="143"/>
      <c r="H924" s="143"/>
      <c r="I924" s="143"/>
    </row>
    <row r="925" ht="20.25" spans="1:9">
      <c r="A925" s="143"/>
      <c r="B925" s="143"/>
      <c r="C925" s="143"/>
      <c r="D925" s="143"/>
      <c r="E925" s="143"/>
      <c r="F925" s="143"/>
      <c r="G925" s="143"/>
      <c r="H925" s="143"/>
      <c r="I925" s="143"/>
    </row>
    <row r="926" ht="20.25" spans="1:9">
      <c r="A926" s="143"/>
      <c r="B926" s="143"/>
      <c r="C926" s="143"/>
      <c r="D926" s="143"/>
      <c r="E926" s="143"/>
      <c r="F926" s="143"/>
      <c r="G926" s="143"/>
      <c r="H926" s="143"/>
      <c r="I926" s="143"/>
    </row>
    <row r="927" ht="20.25" spans="1:9">
      <c r="A927" s="143"/>
      <c r="B927" s="143"/>
      <c r="C927" s="143"/>
      <c r="D927" s="143"/>
      <c r="E927" s="143"/>
      <c r="F927" s="143"/>
      <c r="G927" s="143"/>
      <c r="H927" s="143"/>
      <c r="I927" s="143"/>
    </row>
    <row r="928" ht="20.25" spans="1:9">
      <c r="A928" s="143"/>
      <c r="B928" s="143"/>
      <c r="C928" s="143"/>
      <c r="D928" s="143"/>
      <c r="E928" s="143"/>
      <c r="F928" s="143"/>
      <c r="G928" s="143"/>
      <c r="H928" s="143"/>
      <c r="I928" s="143"/>
    </row>
    <row r="929" ht="20.25" spans="1:9">
      <c r="A929" s="143"/>
      <c r="B929" s="143"/>
      <c r="C929" s="143"/>
      <c r="D929" s="143"/>
      <c r="E929" s="143"/>
      <c r="F929" s="143"/>
      <c r="G929" s="143"/>
      <c r="H929" s="143"/>
      <c r="I929" s="143"/>
    </row>
    <row r="930" ht="20.25" spans="1:9">
      <c r="A930" s="143"/>
      <c r="B930" s="143"/>
      <c r="C930" s="143"/>
      <c r="D930" s="143"/>
      <c r="E930" s="143"/>
      <c r="F930" s="143"/>
      <c r="G930" s="143"/>
      <c r="H930" s="143"/>
      <c r="I930" s="143"/>
    </row>
    <row r="931" ht="20.25" spans="1:9">
      <c r="A931" s="143"/>
      <c r="B931" s="143"/>
      <c r="C931" s="143"/>
      <c r="D931" s="143"/>
      <c r="E931" s="143"/>
      <c r="F931" s="143"/>
      <c r="G931" s="143"/>
      <c r="H931" s="143"/>
      <c r="I931" s="143"/>
    </row>
    <row r="932" ht="20.25" spans="1:9">
      <c r="A932" s="143"/>
      <c r="B932" s="143"/>
      <c r="C932" s="143"/>
      <c r="D932" s="143"/>
      <c r="E932" s="143"/>
      <c r="F932" s="143"/>
      <c r="G932" s="143"/>
      <c r="H932" s="143"/>
      <c r="I932" s="143"/>
    </row>
    <row r="933" ht="20.25" spans="1:9">
      <c r="A933" s="143"/>
      <c r="B933" s="143"/>
      <c r="C933" s="143"/>
      <c r="D933" s="143"/>
      <c r="E933" s="143"/>
      <c r="F933" s="143"/>
      <c r="G933" s="143"/>
      <c r="H933" s="143"/>
      <c r="I933" s="143"/>
    </row>
    <row r="934" ht="20.25" spans="1:9">
      <c r="A934" s="143"/>
      <c r="B934" s="143"/>
      <c r="C934" s="143"/>
      <c r="D934" s="143"/>
      <c r="E934" s="143"/>
      <c r="F934" s="143"/>
      <c r="G934" s="143"/>
      <c r="H934" s="143"/>
      <c r="I934" s="143"/>
    </row>
    <row r="935" ht="20.25" spans="1:9">
      <c r="A935" s="143"/>
      <c r="B935" s="143"/>
      <c r="C935" s="143"/>
      <c r="D935" s="143"/>
      <c r="E935" s="143"/>
      <c r="F935" s="143"/>
      <c r="G935" s="143"/>
      <c r="H935" s="143"/>
      <c r="I935" s="143"/>
    </row>
    <row r="936" ht="20.25" spans="1:9">
      <c r="A936" s="143"/>
      <c r="B936" s="143"/>
      <c r="C936" s="143"/>
      <c r="D936" s="143"/>
      <c r="E936" s="143"/>
      <c r="F936" s="143"/>
      <c r="G936" s="143"/>
      <c r="H936" s="143"/>
      <c r="I936" s="143"/>
    </row>
    <row r="937" ht="20.25" spans="1:9">
      <c r="A937" s="143"/>
      <c r="B937" s="143"/>
      <c r="C937" s="143"/>
      <c r="D937" s="143"/>
      <c r="E937" s="143"/>
      <c r="F937" s="143"/>
      <c r="G937" s="143"/>
      <c r="H937" s="143"/>
      <c r="I937" s="143"/>
    </row>
    <row r="938" ht="20.25" spans="1:9">
      <c r="A938" s="143"/>
      <c r="B938" s="143"/>
      <c r="C938" s="143"/>
      <c r="D938" s="143"/>
      <c r="E938" s="143"/>
      <c r="F938" s="143"/>
      <c r="G938" s="143"/>
      <c r="H938" s="143"/>
      <c r="I938" s="143"/>
    </row>
    <row r="939" ht="20.25" spans="1:9">
      <c r="A939" s="143"/>
      <c r="B939" s="143"/>
      <c r="C939" s="143"/>
      <c r="D939" s="143"/>
      <c r="E939" s="143"/>
      <c r="F939" s="143"/>
      <c r="G939" s="143"/>
      <c r="H939" s="143"/>
      <c r="I939" s="143"/>
    </row>
    <row r="940" ht="20.25" spans="1:9">
      <c r="A940" s="143"/>
      <c r="B940" s="143"/>
      <c r="C940" s="143"/>
      <c r="D940" s="143"/>
      <c r="E940" s="143"/>
      <c r="F940" s="143"/>
      <c r="G940" s="143"/>
      <c r="H940" s="143"/>
      <c r="I940" s="143"/>
    </row>
    <row r="941" ht="20.25" spans="1:9">
      <c r="A941" s="143"/>
      <c r="B941" s="143"/>
      <c r="C941" s="143"/>
      <c r="D941" s="143"/>
      <c r="E941" s="143"/>
      <c r="F941" s="143"/>
      <c r="G941" s="143"/>
      <c r="H941" s="143"/>
      <c r="I941" s="143"/>
    </row>
    <row r="942" ht="20.25" spans="1:9">
      <c r="A942" s="143"/>
      <c r="B942" s="143"/>
      <c r="C942" s="143"/>
      <c r="D942" s="143"/>
      <c r="E942" s="143"/>
      <c r="F942" s="143"/>
      <c r="G942" s="143"/>
      <c r="H942" s="143"/>
      <c r="I942" s="143"/>
    </row>
    <row r="943" ht="20.25" spans="1:9">
      <c r="A943" s="143"/>
      <c r="B943" s="143"/>
      <c r="C943" s="143"/>
      <c r="D943" s="143"/>
      <c r="E943" s="143"/>
      <c r="F943" s="143"/>
      <c r="G943" s="143"/>
      <c r="H943" s="143"/>
      <c r="I943" s="143"/>
    </row>
    <row r="944" ht="20.25" spans="1:9">
      <c r="A944" s="143"/>
      <c r="B944" s="143"/>
      <c r="C944" s="143"/>
      <c r="D944" s="143"/>
      <c r="E944" s="143"/>
      <c r="F944" s="143"/>
      <c r="G944" s="143"/>
      <c r="H944" s="143"/>
      <c r="I944" s="143"/>
    </row>
    <row r="945" ht="20.25" spans="1:9">
      <c r="A945" s="143"/>
      <c r="B945" s="143"/>
      <c r="C945" s="143"/>
      <c r="D945" s="143"/>
      <c r="E945" s="143"/>
      <c r="F945" s="143"/>
      <c r="G945" s="143"/>
      <c r="H945" s="143"/>
      <c r="I945" s="143"/>
    </row>
    <row r="946" ht="20.25" spans="1:9">
      <c r="A946" s="143"/>
      <c r="B946" s="143"/>
      <c r="C946" s="143"/>
      <c r="D946" s="143"/>
      <c r="E946" s="143"/>
      <c r="F946" s="143"/>
      <c r="G946" s="143"/>
      <c r="H946" s="143"/>
      <c r="I946" s="143"/>
    </row>
    <row r="947" ht="20.25" spans="1:9">
      <c r="A947" s="143"/>
      <c r="B947" s="143"/>
      <c r="C947" s="143"/>
      <c r="D947" s="143"/>
      <c r="E947" s="143"/>
      <c r="F947" s="143"/>
      <c r="G947" s="143"/>
      <c r="H947" s="143"/>
      <c r="I947" s="143"/>
    </row>
    <row r="948" ht="20.25" spans="1:9">
      <c r="A948" s="143"/>
      <c r="B948" s="143"/>
      <c r="C948" s="143"/>
      <c r="D948" s="143"/>
      <c r="E948" s="143"/>
      <c r="F948" s="143"/>
      <c r="G948" s="143"/>
      <c r="H948" s="143"/>
      <c r="I948" s="143"/>
    </row>
    <row r="949" ht="20.25" spans="1:9">
      <c r="A949" s="143"/>
      <c r="B949" s="143"/>
      <c r="C949" s="143"/>
      <c r="D949" s="143"/>
      <c r="E949" s="143"/>
      <c r="F949" s="143"/>
      <c r="G949" s="143"/>
      <c r="H949" s="143"/>
      <c r="I949" s="143"/>
    </row>
    <row r="950" ht="20.25" spans="1:9">
      <c r="A950" s="143"/>
      <c r="B950" s="143"/>
      <c r="C950" s="143"/>
      <c r="D950" s="143"/>
      <c r="E950" s="143"/>
      <c r="F950" s="143"/>
      <c r="G950" s="143"/>
      <c r="H950" s="143"/>
      <c r="I950" s="143"/>
    </row>
    <row r="951" ht="20.25" spans="1:9">
      <c r="A951" s="143"/>
      <c r="B951" s="143"/>
      <c r="C951" s="143"/>
      <c r="D951" s="143"/>
      <c r="E951" s="143"/>
      <c r="F951" s="143"/>
      <c r="G951" s="143"/>
      <c r="H951" s="143"/>
      <c r="I951" s="143"/>
    </row>
    <row r="952" ht="20.25" spans="1:9">
      <c r="A952" s="143"/>
      <c r="B952" s="143"/>
      <c r="C952" s="143"/>
      <c r="D952" s="143"/>
      <c r="E952" s="143"/>
      <c r="F952" s="143"/>
      <c r="G952" s="143"/>
      <c r="H952" s="143"/>
      <c r="I952" s="143"/>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D8" sqref="D8"/>
    </sheetView>
  </sheetViews>
  <sheetFormatPr defaultColWidth="9" defaultRowHeight="13.5"/>
  <cols>
    <col min="1" max="1" width="8.5" style="1120" customWidth="1"/>
    <col min="2" max="2" width="10.125" style="1121" customWidth="1"/>
    <col min="3" max="3" width="13.875" style="1121" customWidth="1"/>
    <col min="4" max="4" width="11.875" style="1120" customWidth="1"/>
    <col min="5" max="5" width="5.875" style="1120" customWidth="1"/>
    <col min="6" max="6" width="7.75" style="1120" customWidth="1"/>
    <col min="7" max="7" width="8.625" style="1120" customWidth="1"/>
    <col min="8" max="8" width="9.75" style="1120" customWidth="1"/>
    <col min="9" max="9" width="5.75" style="1120" customWidth="1"/>
    <col min="10" max="10" width="6" style="1120" customWidth="1"/>
    <col min="11" max="16384" width="9" style="1120"/>
  </cols>
  <sheetData>
    <row r="1" ht="27" customHeight="1" spans="1:10">
      <c r="A1" s="1122" t="s">
        <v>0</v>
      </c>
      <c r="B1" s="1122"/>
      <c r="C1" s="1122"/>
      <c r="D1" s="1122"/>
      <c r="E1" s="1122"/>
      <c r="F1" s="1122"/>
      <c r="G1" s="1122"/>
      <c r="H1" s="1122"/>
      <c r="I1" s="1122"/>
      <c r="J1" s="1122"/>
    </row>
    <row r="2" ht="21" customHeight="1" spans="1:10">
      <c r="A2" s="1123" t="s">
        <v>1</v>
      </c>
      <c r="B2" s="1124">
        <f>下料单!C2</f>
        <v>0</v>
      </c>
      <c r="C2" s="1124"/>
      <c r="D2" s="1124" t="s">
        <v>2</v>
      </c>
      <c r="E2" s="1124">
        <f>下料单!J2</f>
        <v>0</v>
      </c>
      <c r="F2" s="1124"/>
      <c r="G2" s="1124"/>
      <c r="H2" s="1124" t="s">
        <v>3</v>
      </c>
      <c r="I2" s="1146"/>
      <c r="J2" s="1146"/>
    </row>
    <row r="3" ht="21" customHeight="1" spans="1:10">
      <c r="A3" s="1124" t="s">
        <v>4</v>
      </c>
      <c r="B3" s="1124" t="str">
        <f>下料单!AQ2</f>
        <v>简爱</v>
      </c>
      <c r="C3" s="1124"/>
      <c r="D3" s="1124" t="s">
        <v>5</v>
      </c>
      <c r="E3" s="1124" t="str">
        <f>下料单!M2</f>
        <v>16厚米黄</v>
      </c>
      <c r="F3" s="1124"/>
      <c r="G3" s="1124"/>
      <c r="H3" s="1124" t="s">
        <v>6</v>
      </c>
      <c r="I3" s="1146"/>
      <c r="J3" s="1146"/>
    </row>
    <row r="4" ht="21" customHeight="1" spans="1:10">
      <c r="A4" s="1124" t="s">
        <v>7</v>
      </c>
      <c r="B4" s="1124">
        <f>下料单!AC2</f>
        <v>0</v>
      </c>
      <c r="C4" s="1124"/>
      <c r="D4" s="1125" t="s">
        <v>8</v>
      </c>
      <c r="E4" s="1125">
        <f>下料单!Y2</f>
        <v>0</v>
      </c>
      <c r="F4" s="1125"/>
      <c r="G4" s="1125"/>
      <c r="H4" s="1124" t="s">
        <v>9</v>
      </c>
      <c r="I4" s="1146">
        <f>下料单!AL2</f>
        <v>0</v>
      </c>
      <c r="J4" s="1146"/>
    </row>
    <row r="5" ht="21" customHeight="1" spans="1:10">
      <c r="A5" s="1124" t="s">
        <v>10</v>
      </c>
      <c r="B5" s="1124" t="s">
        <v>11</v>
      </c>
      <c r="C5" s="1124" t="s">
        <v>12</v>
      </c>
      <c r="D5" s="1124" t="s">
        <v>13</v>
      </c>
      <c r="E5" s="1124" t="s">
        <v>14</v>
      </c>
      <c r="F5" s="1124" t="s">
        <v>15</v>
      </c>
      <c r="G5" s="1124" t="s">
        <v>16</v>
      </c>
      <c r="H5" s="1124" t="s">
        <v>17</v>
      </c>
      <c r="I5" s="1124" t="s">
        <v>18</v>
      </c>
      <c r="J5" s="1124"/>
    </row>
    <row r="6" ht="21" customHeight="1" spans="1:10">
      <c r="A6" s="1124" t="s">
        <v>19</v>
      </c>
      <c r="B6" s="1124">
        <f>下料单!E21</f>
        <v>0</v>
      </c>
      <c r="C6" s="1124"/>
      <c r="D6" s="1124" t="s">
        <v>20</v>
      </c>
      <c r="E6" s="1124">
        <f>下料单!E33</f>
        <v>0</v>
      </c>
      <c r="F6" s="1124"/>
      <c r="G6" s="1124"/>
      <c r="H6" s="1124" t="s">
        <v>21</v>
      </c>
      <c r="I6" s="1124"/>
      <c r="J6" s="1124"/>
    </row>
    <row r="7" ht="21" customHeight="1" spans="1:10">
      <c r="A7" s="1124" t="s">
        <v>22</v>
      </c>
      <c r="B7" s="1124" t="s">
        <v>23</v>
      </c>
      <c r="C7" s="1124" t="s">
        <v>24</v>
      </c>
      <c r="D7" s="1124" t="s">
        <v>25</v>
      </c>
      <c r="E7" s="1124" t="s">
        <v>26</v>
      </c>
      <c r="F7" s="1124" t="s">
        <v>3</v>
      </c>
      <c r="G7" s="1124" t="s">
        <v>27</v>
      </c>
      <c r="H7" s="1124" t="s">
        <v>28</v>
      </c>
      <c r="I7" s="1124" t="s">
        <v>29</v>
      </c>
      <c r="J7" s="1124" t="s">
        <v>30</v>
      </c>
    </row>
    <row r="8" ht="21" customHeight="1" spans="1:10">
      <c r="A8" s="1124">
        <v>1</v>
      </c>
      <c r="B8" s="1126" t="s">
        <v>31</v>
      </c>
      <c r="C8" s="1127" t="s">
        <v>32</v>
      </c>
      <c r="D8" s="1124">
        <f>下料单!F48</f>
        <v>35</v>
      </c>
      <c r="E8" s="1124" t="s">
        <v>33</v>
      </c>
      <c r="F8" s="1124"/>
      <c r="G8" s="1124"/>
      <c r="H8" s="1124"/>
      <c r="I8" s="1124"/>
      <c r="J8" s="1147"/>
    </row>
    <row r="9" ht="21" customHeight="1" spans="1:10">
      <c r="A9" s="1124">
        <v>2</v>
      </c>
      <c r="B9" s="1126"/>
      <c r="C9" s="1127" t="s">
        <v>34</v>
      </c>
      <c r="D9" s="1124">
        <f>下料单!I48</f>
        <v>27</v>
      </c>
      <c r="E9" s="1124" t="s">
        <v>33</v>
      </c>
      <c r="F9" s="1124"/>
      <c r="G9" s="1124"/>
      <c r="H9" s="1124"/>
      <c r="I9" s="1124"/>
      <c r="J9" s="1147"/>
    </row>
    <row r="10" ht="21" customHeight="1" spans="1:10">
      <c r="A10" s="1124">
        <v>3</v>
      </c>
      <c r="B10" s="1126"/>
      <c r="C10" s="1128" t="s">
        <v>35</v>
      </c>
      <c r="D10" s="1124">
        <f>下料单!L48</f>
        <v>5</v>
      </c>
      <c r="E10" s="1124" t="s">
        <v>33</v>
      </c>
      <c r="F10" s="1124"/>
      <c r="G10" s="1124"/>
      <c r="H10" s="1124"/>
      <c r="I10" s="1124"/>
      <c r="J10" s="1147"/>
    </row>
    <row r="11" ht="21" customHeight="1" spans="1:10">
      <c r="A11" s="1124">
        <v>4</v>
      </c>
      <c r="B11" s="1127" t="s">
        <v>36</v>
      </c>
      <c r="C11" s="1127" t="s">
        <v>32</v>
      </c>
      <c r="D11" s="1124"/>
      <c r="E11" s="1124" t="s">
        <v>33</v>
      </c>
      <c r="F11" s="1124"/>
      <c r="G11" s="1124"/>
      <c r="H11" s="1124"/>
      <c r="I11" s="1124"/>
      <c r="J11" s="1147"/>
    </row>
    <row r="12" ht="21" customHeight="1" spans="1:10">
      <c r="A12" s="1124">
        <v>5</v>
      </c>
      <c r="B12" s="1127"/>
      <c r="C12" s="1127" t="s">
        <v>34</v>
      </c>
      <c r="D12" s="1124"/>
      <c r="E12" s="1124" t="s">
        <v>33</v>
      </c>
      <c r="F12" s="1124"/>
      <c r="G12" s="1124"/>
      <c r="H12" s="1124"/>
      <c r="I12" s="1124"/>
      <c r="J12" s="1147"/>
    </row>
    <row r="13" ht="21" customHeight="1" spans="1:10">
      <c r="A13" s="1124">
        <v>6</v>
      </c>
      <c r="B13" s="1127"/>
      <c r="C13" s="1128" t="s">
        <v>37</v>
      </c>
      <c r="D13" s="1124"/>
      <c r="E13" s="1124" t="s">
        <v>33</v>
      </c>
      <c r="F13" s="1124"/>
      <c r="G13" s="1124"/>
      <c r="H13" s="1124"/>
      <c r="I13" s="1124"/>
      <c r="J13" s="1147"/>
    </row>
    <row r="14" ht="21" customHeight="1" spans="1:10">
      <c r="A14" s="1124">
        <v>7</v>
      </c>
      <c r="B14" s="1129" t="s">
        <v>38</v>
      </c>
      <c r="C14" s="1128" t="s">
        <v>39</v>
      </c>
      <c r="D14" s="1124"/>
      <c r="E14" s="1124" t="s">
        <v>33</v>
      </c>
      <c r="F14" s="1124"/>
      <c r="G14" s="1124"/>
      <c r="H14" s="1124"/>
      <c r="I14" s="1124"/>
      <c r="J14" s="1147"/>
    </row>
    <row r="15" ht="21" customHeight="1" spans="1:10">
      <c r="A15" s="1124">
        <v>8</v>
      </c>
      <c r="B15" s="1127" t="s">
        <v>40</v>
      </c>
      <c r="C15" s="1127" t="s">
        <v>41</v>
      </c>
      <c r="D15" s="1124"/>
      <c r="E15" s="1124" t="s">
        <v>33</v>
      </c>
      <c r="F15" s="1124"/>
      <c r="G15" s="1124"/>
      <c r="H15" s="1124"/>
      <c r="I15" s="1124"/>
      <c r="J15" s="1147"/>
    </row>
    <row r="16" ht="21" customHeight="1" spans="1:10">
      <c r="A16" s="1124">
        <v>9</v>
      </c>
      <c r="B16" s="1127"/>
      <c r="C16" s="1127" t="s">
        <v>42</v>
      </c>
      <c r="D16" s="1124"/>
      <c r="E16" s="1124" t="s">
        <v>33</v>
      </c>
      <c r="F16" s="1124"/>
      <c r="G16" s="1124"/>
      <c r="H16" s="1124"/>
      <c r="I16" s="1124"/>
      <c r="J16" s="1147"/>
    </row>
    <row r="17" ht="21" customHeight="1" spans="1:10">
      <c r="A17" s="1124">
        <v>10</v>
      </c>
      <c r="B17" s="1127" t="s">
        <v>43</v>
      </c>
      <c r="C17" s="1127" t="s">
        <v>44</v>
      </c>
      <c r="D17" s="1124"/>
      <c r="E17" s="1124" t="s">
        <v>33</v>
      </c>
      <c r="F17" s="1124"/>
      <c r="G17" s="1124"/>
      <c r="H17" s="1124"/>
      <c r="I17" s="1124"/>
      <c r="J17" s="1147"/>
    </row>
    <row r="18" ht="21" customHeight="1" spans="1:10">
      <c r="A18" s="1124">
        <v>11</v>
      </c>
      <c r="B18" s="1127"/>
      <c r="C18" s="1127" t="s">
        <v>45</v>
      </c>
      <c r="D18" s="1124"/>
      <c r="E18" s="1124" t="s">
        <v>33</v>
      </c>
      <c r="F18" s="1124"/>
      <c r="G18" s="1124"/>
      <c r="H18" s="1124"/>
      <c r="I18" s="1124"/>
      <c r="J18" s="1147"/>
    </row>
    <row r="19" ht="21" customHeight="1" spans="1:10">
      <c r="A19" s="1124">
        <v>12</v>
      </c>
      <c r="B19" s="1127"/>
      <c r="C19" s="1127" t="s">
        <v>46</v>
      </c>
      <c r="D19" s="1124"/>
      <c r="E19" s="1124" t="s">
        <v>33</v>
      </c>
      <c r="F19" s="1124"/>
      <c r="G19" s="1124"/>
      <c r="H19" s="1124"/>
      <c r="I19" s="1124"/>
      <c r="J19" s="1147"/>
    </row>
    <row r="20" ht="21" customHeight="1" spans="1:10">
      <c r="A20" s="1124">
        <v>13</v>
      </c>
      <c r="B20" s="1127"/>
      <c r="C20" s="1127" t="s">
        <v>47</v>
      </c>
      <c r="D20" s="1124"/>
      <c r="E20" s="1124" t="s">
        <v>33</v>
      </c>
      <c r="F20" s="1124"/>
      <c r="G20" s="1124"/>
      <c r="H20" s="1124"/>
      <c r="I20" s="1124"/>
      <c r="J20" s="1147"/>
    </row>
    <row r="21" ht="21" customHeight="1" spans="1:10">
      <c r="A21" s="1124">
        <v>14</v>
      </c>
      <c r="B21" s="1126" t="s">
        <v>48</v>
      </c>
      <c r="C21" s="1127" t="s">
        <v>49</v>
      </c>
      <c r="D21" s="1130">
        <f>下料单!C48</f>
        <v>0</v>
      </c>
      <c r="E21" s="1124" t="s">
        <v>50</v>
      </c>
      <c r="F21" s="1124"/>
      <c r="G21" s="1124"/>
      <c r="H21" s="1124"/>
      <c r="I21" s="1124"/>
      <c r="J21" s="1147"/>
    </row>
    <row r="22" ht="21" customHeight="1" spans="1:10">
      <c r="A22" s="1124">
        <v>15</v>
      </c>
      <c r="B22" s="1126"/>
      <c r="C22" s="1127" t="s">
        <v>51</v>
      </c>
      <c r="D22" s="1124"/>
      <c r="E22" s="1124" t="s">
        <v>52</v>
      </c>
      <c r="F22" s="1124"/>
      <c r="G22" s="1124"/>
      <c r="H22" s="1124"/>
      <c r="I22" s="1124"/>
      <c r="J22" s="1147"/>
    </row>
    <row r="23" ht="21" customHeight="1" spans="1:10">
      <c r="A23" s="1124">
        <v>16</v>
      </c>
      <c r="B23" s="1126"/>
      <c r="C23" s="1131" t="s">
        <v>53</v>
      </c>
      <c r="D23" s="1124">
        <v>1</v>
      </c>
      <c r="E23" s="1124" t="s">
        <v>54</v>
      </c>
      <c r="F23" s="1124"/>
      <c r="G23" s="1124"/>
      <c r="H23" s="1124"/>
      <c r="I23" s="1124"/>
      <c r="J23" s="1147"/>
    </row>
    <row r="24" ht="21" customHeight="1" spans="1:10">
      <c r="A24" s="1124">
        <v>17</v>
      </c>
      <c r="B24" s="1125" t="s">
        <v>55</v>
      </c>
      <c r="C24" s="1132" t="s">
        <v>56</v>
      </c>
      <c r="D24" s="1124"/>
      <c r="E24" s="1124" t="s">
        <v>52</v>
      </c>
      <c r="F24" s="1124"/>
      <c r="G24" s="1124"/>
      <c r="H24" s="1124"/>
      <c r="I24" s="1124"/>
      <c r="J24" s="1147"/>
    </row>
    <row r="25" ht="21" customHeight="1" spans="1:10">
      <c r="A25" s="1124">
        <v>18</v>
      </c>
      <c r="B25" s="1125"/>
      <c r="C25" s="1132" t="s">
        <v>57</v>
      </c>
      <c r="D25" s="1124"/>
      <c r="E25" s="1124" t="s">
        <v>52</v>
      </c>
      <c r="F25" s="1124"/>
      <c r="G25" s="1124"/>
      <c r="H25" s="1124"/>
      <c r="I25" s="1124"/>
      <c r="J25" s="1147"/>
    </row>
    <row r="26" s="1119" customFormat="1" ht="20.1" customHeight="1" spans="1:10">
      <c r="A26" s="1124">
        <v>19</v>
      </c>
      <c r="B26" s="1133" t="s">
        <v>58</v>
      </c>
      <c r="C26" s="1134" t="s">
        <v>59</v>
      </c>
      <c r="D26" s="1135"/>
      <c r="E26" s="1135" t="s">
        <v>52</v>
      </c>
      <c r="F26" s="1135"/>
      <c r="G26" s="1135"/>
      <c r="H26" s="1135"/>
      <c r="I26" s="1135"/>
      <c r="J26" s="755"/>
    </row>
    <row r="27" s="1119" customFormat="1" ht="20.1" customHeight="1" spans="1:10">
      <c r="A27" s="1124">
        <v>20</v>
      </c>
      <c r="B27" s="1136"/>
      <c r="C27" s="1134" t="s">
        <v>60</v>
      </c>
      <c r="D27" s="1135"/>
      <c r="E27" s="1135" t="s">
        <v>52</v>
      </c>
      <c r="F27" s="1135"/>
      <c r="G27" s="1135"/>
      <c r="H27" s="1135"/>
      <c r="I27" s="1135"/>
      <c r="J27" s="755"/>
    </row>
    <row r="28" ht="25.5" customHeight="1" spans="1:10">
      <c r="A28" s="1124">
        <v>21</v>
      </c>
      <c r="B28" s="1137" t="s">
        <v>61</v>
      </c>
      <c r="C28" s="1132" t="s">
        <v>62</v>
      </c>
      <c r="D28" s="1124" t="str">
        <f>下料单!AN34</f>
        <v>数量</v>
      </c>
      <c r="E28" s="1124" t="s">
        <v>33</v>
      </c>
      <c r="F28" s="1124"/>
      <c r="G28" s="1124"/>
      <c r="H28" s="1124"/>
      <c r="I28" s="1124"/>
      <c r="J28" s="1147"/>
    </row>
    <row r="29" spans="1:10">
      <c r="A29" s="1138"/>
      <c r="B29" s="1138"/>
      <c r="C29" s="1139"/>
      <c r="D29" s="1138"/>
      <c r="E29" s="1138"/>
      <c r="F29" s="1138"/>
      <c r="G29" s="1138"/>
      <c r="H29" s="1138"/>
      <c r="I29" s="1138"/>
      <c r="J29" s="1148"/>
    </row>
    <row r="30" spans="1:10">
      <c r="A30" s="1138"/>
      <c r="B30" s="1138"/>
      <c r="C30" s="1140"/>
      <c r="D30" s="1138"/>
      <c r="E30" s="1138"/>
      <c r="F30" s="1138"/>
      <c r="G30" s="1138"/>
      <c r="H30" s="1138"/>
      <c r="I30" s="1138"/>
      <c r="J30" s="1148"/>
    </row>
    <row r="31" spans="1:10">
      <c r="A31" s="1138"/>
      <c r="B31" s="1138"/>
      <c r="C31" s="1141"/>
      <c r="D31" s="1138"/>
      <c r="E31" s="1138"/>
      <c r="F31" s="1138"/>
      <c r="G31" s="1138"/>
      <c r="H31" s="1138"/>
      <c r="I31" s="1138"/>
      <c r="J31" s="1148"/>
    </row>
    <row r="32" spans="1:10">
      <c r="A32" s="1138"/>
      <c r="B32" s="1138"/>
      <c r="C32" s="1141"/>
      <c r="D32" s="1138"/>
      <c r="E32" s="1138"/>
      <c r="F32" s="1138"/>
      <c r="G32" s="1138"/>
      <c r="H32" s="1138"/>
      <c r="I32" s="1138"/>
      <c r="J32" s="1148"/>
    </row>
    <row r="33" spans="1:10">
      <c r="A33" s="1138"/>
      <c r="B33" s="1138"/>
      <c r="C33" s="1138"/>
      <c r="D33" s="1138"/>
      <c r="E33" s="1138"/>
      <c r="F33" s="1138"/>
      <c r="G33" s="1138"/>
      <c r="H33" s="1138"/>
      <c r="I33" s="1138"/>
      <c r="J33" s="1148"/>
    </row>
    <row r="34" spans="1:10">
      <c r="A34" s="1138"/>
      <c r="B34" s="1138"/>
      <c r="C34" s="1138"/>
      <c r="D34" s="1138"/>
      <c r="E34" s="1138"/>
      <c r="F34" s="1138"/>
      <c r="G34" s="1138"/>
      <c r="H34" s="1138"/>
      <c r="I34" s="1138"/>
      <c r="J34" s="1148"/>
    </row>
    <row r="35" spans="1:10">
      <c r="A35" s="1138"/>
      <c r="B35" s="1138"/>
      <c r="C35" s="1138"/>
      <c r="D35" s="1138"/>
      <c r="E35" s="1138"/>
      <c r="F35" s="1138"/>
      <c r="G35" s="1138"/>
      <c r="H35" s="1138"/>
      <c r="I35" s="1138"/>
      <c r="J35" s="1148"/>
    </row>
    <row r="36" spans="1:10">
      <c r="A36" s="1138"/>
      <c r="B36" s="1138"/>
      <c r="C36" s="1138"/>
      <c r="D36" s="1138"/>
      <c r="E36" s="1138"/>
      <c r="F36" s="1138"/>
      <c r="G36" s="1138"/>
      <c r="H36" s="1138"/>
      <c r="I36" s="1138"/>
      <c r="J36" s="1148"/>
    </row>
    <row r="37" spans="1:10">
      <c r="A37" s="1138"/>
      <c r="B37" s="1138"/>
      <c r="C37" s="1139"/>
      <c r="D37" s="1138"/>
      <c r="E37" s="1138"/>
      <c r="F37" s="1138"/>
      <c r="G37" s="1138"/>
      <c r="H37" s="1138"/>
      <c r="I37" s="1138"/>
      <c r="J37" s="1148"/>
    </row>
    <row r="38" spans="1:10">
      <c r="A38" s="1138"/>
      <c r="B38" s="1138"/>
      <c r="C38" s="1139"/>
      <c r="D38" s="1138"/>
      <c r="E38" s="1138"/>
      <c r="F38" s="1138"/>
      <c r="G38" s="1138"/>
      <c r="H38" s="1138"/>
      <c r="I38" s="1138"/>
      <c r="J38" s="1148"/>
    </row>
    <row r="39" ht="18.75" customHeight="1" spans="1:10">
      <c r="A39" s="1138"/>
      <c r="B39" s="1138"/>
      <c r="C39" s="1142"/>
      <c r="D39" s="1138"/>
      <c r="E39" s="1138"/>
      <c r="F39" s="1138"/>
      <c r="G39" s="1138"/>
      <c r="H39" s="1138"/>
      <c r="I39" s="1138"/>
      <c r="J39" s="1148"/>
    </row>
    <row r="40" spans="1:10">
      <c r="A40" s="1138"/>
      <c r="B40" s="1138"/>
      <c r="C40" s="1138"/>
      <c r="D40" s="1138"/>
      <c r="E40" s="1138"/>
      <c r="F40" s="1138"/>
      <c r="G40" s="1138"/>
      <c r="H40" s="1138"/>
      <c r="I40" s="1138"/>
      <c r="J40" s="1148"/>
    </row>
    <row r="41" spans="1:10">
      <c r="A41" s="1138"/>
      <c r="B41" s="1138"/>
      <c r="C41" s="1138"/>
      <c r="D41" s="1138"/>
      <c r="E41" s="1138"/>
      <c r="F41" s="1138"/>
      <c r="G41" s="1138"/>
      <c r="H41" s="1138"/>
      <c r="I41" s="1138"/>
      <c r="J41" s="1148"/>
    </row>
    <row r="42" spans="1:10">
      <c r="A42" s="1138"/>
      <c r="B42" s="1138"/>
      <c r="C42" s="1143"/>
      <c r="D42" s="1138"/>
      <c r="E42" s="1138"/>
      <c r="F42" s="1138"/>
      <c r="G42" s="1138"/>
      <c r="H42" s="1138"/>
      <c r="I42" s="1138"/>
      <c r="J42" s="1148"/>
    </row>
    <row r="43" spans="1:10">
      <c r="A43" s="1138"/>
      <c r="B43" s="1138"/>
      <c r="C43" s="1143"/>
      <c r="D43" s="1138"/>
      <c r="E43" s="1138"/>
      <c r="F43" s="1138"/>
      <c r="G43" s="1138"/>
      <c r="H43" s="1138"/>
      <c r="I43" s="1138"/>
      <c r="J43" s="1148"/>
    </row>
    <row r="44" spans="1:10">
      <c r="A44" s="1138"/>
      <c r="B44" s="1138"/>
      <c r="C44" s="1138"/>
      <c r="D44" s="1138"/>
      <c r="E44" s="1138"/>
      <c r="F44" s="1138"/>
      <c r="G44" s="1138"/>
      <c r="H44" s="1138"/>
      <c r="I44" s="1138"/>
      <c r="J44" s="1148"/>
    </row>
    <row r="45" spans="1:10">
      <c r="A45" s="1138"/>
      <c r="B45" s="1138"/>
      <c r="C45" s="1138"/>
      <c r="D45" s="1138"/>
      <c r="E45" s="1138"/>
      <c r="F45" s="1138"/>
      <c r="G45" s="1138"/>
      <c r="H45" s="1138"/>
      <c r="I45" s="1138"/>
      <c r="J45" s="1148"/>
    </row>
    <row r="46" spans="1:10">
      <c r="A46" s="1138"/>
      <c r="B46" s="1138"/>
      <c r="C46" s="1138"/>
      <c r="D46" s="1138"/>
      <c r="E46" s="1138"/>
      <c r="F46" s="1138"/>
      <c r="G46" s="1138"/>
      <c r="H46" s="1138"/>
      <c r="I46" s="1138"/>
      <c r="J46" s="1148"/>
    </row>
    <row r="47" spans="1:10">
      <c r="A47" s="1144"/>
      <c r="B47" s="1145"/>
      <c r="C47" s="1145"/>
      <c r="D47" s="1144"/>
      <c r="E47" s="1144"/>
      <c r="F47" s="1144"/>
      <c r="G47" s="1144"/>
      <c r="H47" s="1144"/>
      <c r="I47" s="1144"/>
      <c r="J47" s="1144"/>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1289</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411</v>
      </c>
      <c r="B3" s="50"/>
      <c r="C3" s="50">
        <f>下料单!I2</f>
        <v>0</v>
      </c>
      <c r="D3" s="50"/>
      <c r="E3" s="50"/>
      <c r="F3" s="50"/>
      <c r="G3" s="50"/>
      <c r="H3" s="50"/>
      <c r="I3" s="50" t="s">
        <v>760</v>
      </c>
      <c r="J3" s="50"/>
      <c r="K3" s="67" t="e">
        <f>[5]领料单!R2</f>
        <v>#REF!</v>
      </c>
      <c r="L3" s="67"/>
    </row>
    <row r="4" ht="14.25" spans="1:12">
      <c r="A4" s="51" t="s">
        <v>1</v>
      </c>
      <c r="B4" s="51"/>
      <c r="C4" s="51">
        <f>下料单!C2</f>
        <v>0</v>
      </c>
      <c r="D4" s="51"/>
      <c r="E4" s="51" t="s">
        <v>6</v>
      </c>
      <c r="F4" s="51"/>
      <c r="G4" s="52">
        <f>[5]领料单!M3</f>
        <v>40889</v>
      </c>
      <c r="H4" s="52"/>
      <c r="I4" s="51" t="s">
        <v>761</v>
      </c>
      <c r="J4" s="51"/>
      <c r="K4" s="51" t="str">
        <f>领料单!D70</f>
        <v>销售点：</v>
      </c>
      <c r="L4" s="51"/>
    </row>
    <row r="5" ht="14.25" spans="1:12">
      <c r="A5" s="51">
        <f>下料单!W2</f>
        <v>0</v>
      </c>
      <c r="B5" s="51"/>
      <c r="C5" s="51">
        <f>下料单!Y2</f>
        <v>0</v>
      </c>
      <c r="D5" s="51"/>
      <c r="E5" s="51" t="s">
        <v>1159</v>
      </c>
      <c r="F5" s="51"/>
      <c r="G5" s="53" t="e">
        <f>[5]下料单!X2</f>
        <v>#REF!</v>
      </c>
      <c r="H5" s="53"/>
      <c r="I5" s="51"/>
      <c r="J5" s="51"/>
      <c r="K5" s="51"/>
      <c r="L5" s="51"/>
    </row>
    <row r="6" ht="14.25" spans="1:12">
      <c r="A6" s="54" t="s">
        <v>22</v>
      </c>
      <c r="B6" s="54" t="s">
        <v>84</v>
      </c>
      <c r="C6" s="54" t="s">
        <v>86</v>
      </c>
      <c r="D6" s="54" t="s">
        <v>767</v>
      </c>
      <c r="E6" s="54" t="s">
        <v>529</v>
      </c>
      <c r="F6" s="54" t="s">
        <v>211</v>
      </c>
      <c r="G6" s="54"/>
      <c r="H6" s="54"/>
      <c r="I6" s="54"/>
      <c r="J6" s="54" t="s">
        <v>1071</v>
      </c>
      <c r="K6" s="54" t="s">
        <v>26</v>
      </c>
      <c r="L6" s="54" t="s">
        <v>30</v>
      </c>
    </row>
    <row r="7" ht="14.25" spans="1:12">
      <c r="A7" s="55">
        <v>1</v>
      </c>
      <c r="B7" s="55" t="s">
        <v>1290</v>
      </c>
      <c r="C7" s="55">
        <v>720</v>
      </c>
      <c r="D7" s="55" t="s">
        <v>83</v>
      </c>
      <c r="E7" s="55">
        <v>1</v>
      </c>
      <c r="F7" s="55" t="s">
        <v>1291</v>
      </c>
      <c r="G7" s="55"/>
      <c r="H7" s="55"/>
      <c r="I7" s="55"/>
      <c r="J7" s="55">
        <f>E7*1</f>
        <v>1</v>
      </c>
      <c r="K7" s="55" t="s">
        <v>1292</v>
      </c>
      <c r="L7" s="55"/>
    </row>
    <row r="8" ht="14.25" spans="1:12">
      <c r="A8" s="55"/>
      <c r="B8" s="55"/>
      <c r="C8" s="55"/>
      <c r="D8" s="55"/>
      <c r="E8" s="55"/>
      <c r="F8" s="57" t="s">
        <v>1293</v>
      </c>
      <c r="G8" s="58"/>
      <c r="H8" s="58"/>
      <c r="I8" s="68"/>
      <c r="J8" s="55">
        <f>E7*2</f>
        <v>2</v>
      </c>
      <c r="K8" s="55" t="s">
        <v>261</v>
      </c>
      <c r="L8" s="55"/>
    </row>
    <row r="9" ht="14.25" spans="1:12">
      <c r="A9" s="55">
        <v>2</v>
      </c>
      <c r="B9" s="55" t="s">
        <v>1294</v>
      </c>
      <c r="C9" s="55">
        <v>720</v>
      </c>
      <c r="D9" s="55" t="s">
        <v>1295</v>
      </c>
      <c r="E9" s="55">
        <v>1</v>
      </c>
      <c r="F9" s="55" t="s">
        <v>1296</v>
      </c>
      <c r="G9" s="55"/>
      <c r="H9" s="55"/>
      <c r="I9" s="55"/>
      <c r="J9" s="55">
        <f>E9*1</f>
        <v>1</v>
      </c>
      <c r="K9" s="55" t="s">
        <v>1292</v>
      </c>
      <c r="L9" s="55"/>
    </row>
    <row r="10" ht="14.25" spans="1:12">
      <c r="A10" s="55"/>
      <c r="B10" s="55"/>
      <c r="C10" s="55"/>
      <c r="D10" s="55"/>
      <c r="E10" s="55"/>
      <c r="F10" s="57" t="s">
        <v>1293</v>
      </c>
      <c r="G10" s="58"/>
      <c r="H10" s="58"/>
      <c r="I10" s="68"/>
      <c r="J10" s="55">
        <f>+E9*2.6</f>
        <v>2.6</v>
      </c>
      <c r="K10" s="55" t="s">
        <v>261</v>
      </c>
      <c r="L10" s="55"/>
    </row>
    <row r="11" ht="14.25" spans="1:12">
      <c r="A11" s="55"/>
      <c r="B11" s="55"/>
      <c r="C11" s="55"/>
      <c r="D11" s="55"/>
      <c r="E11" s="55"/>
      <c r="F11" s="62" t="s">
        <v>1297</v>
      </c>
      <c r="G11" s="62"/>
      <c r="H11" s="62"/>
      <c r="I11" s="62"/>
      <c r="J11" s="62">
        <f>+E9*0.3</f>
        <v>0.3</v>
      </c>
      <c r="K11" s="62" t="s">
        <v>231</v>
      </c>
      <c r="L11" s="62" t="s">
        <v>1298</v>
      </c>
    </row>
    <row r="12" ht="14.25" spans="1:12">
      <c r="A12" s="55">
        <v>3</v>
      </c>
      <c r="B12" s="55" t="s">
        <v>1299</v>
      </c>
      <c r="C12" s="55">
        <v>720</v>
      </c>
      <c r="D12" s="55" t="s">
        <v>1295</v>
      </c>
      <c r="E12" s="55">
        <v>1</v>
      </c>
      <c r="F12" s="55" t="s">
        <v>1300</v>
      </c>
      <c r="G12" s="55"/>
      <c r="H12" s="55"/>
      <c r="I12" s="55"/>
      <c r="J12" s="55">
        <f>E12*1</f>
        <v>1</v>
      </c>
      <c r="K12" s="55" t="s">
        <v>1292</v>
      </c>
      <c r="L12" s="55"/>
    </row>
    <row r="13" ht="14.25" spans="1:12">
      <c r="A13" s="55"/>
      <c r="B13" s="55"/>
      <c r="C13" s="55"/>
      <c r="D13" s="55"/>
      <c r="E13" s="55"/>
      <c r="F13" s="57" t="s">
        <v>1293</v>
      </c>
      <c r="G13" s="58"/>
      <c r="H13" s="58"/>
      <c r="I13" s="68"/>
      <c r="J13" s="55">
        <f>+E12*3</f>
        <v>3</v>
      </c>
      <c r="K13" s="55" t="s">
        <v>261</v>
      </c>
      <c r="L13" s="55"/>
    </row>
    <row r="14" ht="14.25" spans="1:12">
      <c r="A14" s="55"/>
      <c r="B14" s="55"/>
      <c r="C14" s="55"/>
      <c r="D14" s="55"/>
      <c r="E14" s="55"/>
      <c r="F14" s="62" t="s">
        <v>1297</v>
      </c>
      <c r="G14" s="62"/>
      <c r="H14" s="62"/>
      <c r="I14" s="62"/>
      <c r="J14" s="62">
        <f>+E12*0.3</f>
        <v>0.3</v>
      </c>
      <c r="K14" s="62" t="s">
        <v>231</v>
      </c>
      <c r="L14" s="62" t="s">
        <v>1298</v>
      </c>
    </row>
    <row r="15" ht="14.25" spans="1:12">
      <c r="A15" s="55">
        <v>4</v>
      </c>
      <c r="B15" s="55" t="s">
        <v>805</v>
      </c>
      <c r="C15" s="55">
        <v>720</v>
      </c>
      <c r="D15" s="55" t="s">
        <v>1295</v>
      </c>
      <c r="E15" s="55">
        <v>1</v>
      </c>
      <c r="F15" s="55" t="s">
        <v>1301</v>
      </c>
      <c r="G15" s="55"/>
      <c r="H15" s="55"/>
      <c r="I15" s="55"/>
      <c r="J15" s="55">
        <f>+E15*1</f>
        <v>1</v>
      </c>
      <c r="K15" s="55" t="s">
        <v>1292</v>
      </c>
      <c r="L15" s="55"/>
    </row>
    <row r="16" ht="14.25" spans="1:12">
      <c r="A16" s="55"/>
      <c r="B16" s="55"/>
      <c r="C16" s="55"/>
      <c r="D16" s="55"/>
      <c r="E16" s="55"/>
      <c r="F16" s="57" t="s">
        <v>1293</v>
      </c>
      <c r="G16" s="58"/>
      <c r="H16" s="58"/>
      <c r="I16" s="68"/>
      <c r="J16" s="55">
        <f>+E15*3.7</f>
        <v>3.7</v>
      </c>
      <c r="K16" s="55" t="s">
        <v>261</v>
      </c>
      <c r="L16" s="55"/>
    </row>
    <row r="17" ht="14.25" spans="1:12">
      <c r="A17" s="55"/>
      <c r="B17" s="55"/>
      <c r="C17" s="55"/>
      <c r="D17" s="55"/>
      <c r="E17" s="55"/>
      <c r="F17" s="62" t="s">
        <v>1297</v>
      </c>
      <c r="G17" s="62"/>
      <c r="H17" s="62"/>
      <c r="I17" s="62"/>
      <c r="J17" s="62">
        <f>+E15*0.5</f>
        <v>0.5</v>
      </c>
      <c r="K17" s="62" t="s">
        <v>231</v>
      </c>
      <c r="L17" s="62" t="s">
        <v>1298</v>
      </c>
    </row>
    <row r="18" ht="14.25" spans="1:12">
      <c r="A18" s="55">
        <v>5</v>
      </c>
      <c r="B18" s="55" t="s">
        <v>809</v>
      </c>
      <c r="C18" s="55">
        <v>720</v>
      </c>
      <c r="D18" s="55" t="s">
        <v>1295</v>
      </c>
      <c r="E18" s="55">
        <v>1</v>
      </c>
      <c r="F18" s="55" t="s">
        <v>1302</v>
      </c>
      <c r="G18" s="55"/>
      <c r="H18" s="55"/>
      <c r="I18" s="55"/>
      <c r="J18" s="55">
        <f>+E18*1</f>
        <v>1</v>
      </c>
      <c r="K18" s="55" t="s">
        <v>1292</v>
      </c>
      <c r="L18" s="55"/>
    </row>
    <row r="19" ht="14.25" spans="1:12">
      <c r="A19" s="55"/>
      <c r="B19" s="55"/>
      <c r="C19" s="55"/>
      <c r="D19" s="55"/>
      <c r="E19" s="55"/>
      <c r="F19" s="57" t="s">
        <v>1293</v>
      </c>
      <c r="G19" s="58"/>
      <c r="H19" s="58"/>
      <c r="I19" s="68"/>
      <c r="J19" s="55">
        <f>+E18*4.5</f>
        <v>4.5</v>
      </c>
      <c r="K19" s="55" t="s">
        <v>261</v>
      </c>
      <c r="L19" s="55"/>
    </row>
    <row r="20" ht="14.25" spans="1:12">
      <c r="A20" s="55"/>
      <c r="B20" s="55"/>
      <c r="C20" s="55"/>
      <c r="D20" s="55"/>
      <c r="E20" s="55"/>
      <c r="F20" s="62" t="s">
        <v>1297</v>
      </c>
      <c r="G20" s="62"/>
      <c r="H20" s="62"/>
      <c r="I20" s="62"/>
      <c r="J20" s="62">
        <f>+E18*0.5</f>
        <v>0.5</v>
      </c>
      <c r="K20" s="62" t="s">
        <v>231</v>
      </c>
      <c r="L20" s="62" t="s">
        <v>1298</v>
      </c>
    </row>
    <row r="21" ht="14.25" spans="1:12">
      <c r="A21" s="55">
        <v>6</v>
      </c>
      <c r="B21" s="55" t="s">
        <v>1294</v>
      </c>
      <c r="C21" s="55">
        <v>1440</v>
      </c>
      <c r="D21" s="55" t="s">
        <v>1303</v>
      </c>
      <c r="E21" s="55">
        <v>1</v>
      </c>
      <c r="F21" s="55" t="s">
        <v>1296</v>
      </c>
      <c r="G21" s="55"/>
      <c r="H21" s="55"/>
      <c r="I21" s="55"/>
      <c r="J21" s="55">
        <f>E21*1*2</f>
        <v>2</v>
      </c>
      <c r="K21" s="55" t="s">
        <v>1292</v>
      </c>
      <c r="L21" s="55"/>
    </row>
    <row r="22" ht="14.25" spans="1:12">
      <c r="A22" s="55"/>
      <c r="B22" s="55"/>
      <c r="C22" s="55"/>
      <c r="D22" s="55"/>
      <c r="E22" s="55"/>
      <c r="F22" s="57" t="s">
        <v>1293</v>
      </c>
      <c r="G22" s="58"/>
      <c r="H22" s="58"/>
      <c r="I22" s="68"/>
      <c r="J22" s="55">
        <f>+E21*2.6*2</f>
        <v>5.2</v>
      </c>
      <c r="K22" s="55" t="s">
        <v>261</v>
      </c>
      <c r="L22" s="55"/>
    </row>
    <row r="23" ht="14.25" spans="1:12">
      <c r="A23" s="55"/>
      <c r="B23" s="55"/>
      <c r="C23" s="55"/>
      <c r="D23" s="55"/>
      <c r="E23" s="55"/>
      <c r="F23" s="62" t="s">
        <v>1297</v>
      </c>
      <c r="G23" s="62"/>
      <c r="H23" s="62"/>
      <c r="I23" s="62"/>
      <c r="J23" s="62">
        <f>+E21*0.3*2</f>
        <v>0.6</v>
      </c>
      <c r="K23" s="62" t="s">
        <v>231</v>
      </c>
      <c r="L23" s="62" t="s">
        <v>1298</v>
      </c>
    </row>
    <row r="24" ht="14.25" spans="1:12">
      <c r="A24" s="55">
        <v>7</v>
      </c>
      <c r="B24" s="55" t="s">
        <v>1299</v>
      </c>
      <c r="C24" s="55">
        <v>1440</v>
      </c>
      <c r="D24" s="55" t="s">
        <v>1303</v>
      </c>
      <c r="E24" s="55">
        <v>1</v>
      </c>
      <c r="F24" s="55" t="s">
        <v>1300</v>
      </c>
      <c r="G24" s="55"/>
      <c r="H24" s="55"/>
      <c r="I24" s="55"/>
      <c r="J24" s="55">
        <f>E24*1*2</f>
        <v>2</v>
      </c>
      <c r="K24" s="55" t="s">
        <v>1292</v>
      </c>
      <c r="L24" s="55"/>
    </row>
    <row r="25" ht="14.25" spans="1:12">
      <c r="A25" s="55"/>
      <c r="B25" s="55"/>
      <c r="C25" s="55"/>
      <c r="D25" s="55"/>
      <c r="E25" s="55"/>
      <c r="F25" s="57" t="s">
        <v>1293</v>
      </c>
      <c r="G25" s="58"/>
      <c r="H25" s="58"/>
      <c r="I25" s="68"/>
      <c r="J25" s="55">
        <f>+E24*3*2</f>
        <v>6</v>
      </c>
      <c r="K25" s="55" t="s">
        <v>261</v>
      </c>
      <c r="L25" s="55"/>
    </row>
    <row r="26" ht="14.25" spans="1:12">
      <c r="A26" s="55"/>
      <c r="B26" s="55"/>
      <c r="C26" s="55"/>
      <c r="D26" s="55"/>
      <c r="E26" s="55"/>
      <c r="F26" s="62" t="s">
        <v>1297</v>
      </c>
      <c r="G26" s="62"/>
      <c r="H26" s="62"/>
      <c r="I26" s="62"/>
      <c r="J26" s="62">
        <f>+E24*0.3*2</f>
        <v>0.6</v>
      </c>
      <c r="K26" s="62" t="s">
        <v>231</v>
      </c>
      <c r="L26" s="62" t="s">
        <v>1298</v>
      </c>
    </row>
    <row r="27" ht="14.25" spans="1:12">
      <c r="A27" s="55">
        <v>8</v>
      </c>
      <c r="B27" s="55" t="s">
        <v>805</v>
      </c>
      <c r="C27" s="55">
        <v>1440</v>
      </c>
      <c r="D27" s="55" t="s">
        <v>1303</v>
      </c>
      <c r="E27" s="55">
        <v>1</v>
      </c>
      <c r="F27" s="55" t="s">
        <v>1301</v>
      </c>
      <c r="G27" s="55"/>
      <c r="H27" s="55"/>
      <c r="I27" s="55"/>
      <c r="J27" s="55">
        <f>+E27*1*2</f>
        <v>2</v>
      </c>
      <c r="K27" s="55" t="s">
        <v>1292</v>
      </c>
      <c r="L27" s="55"/>
    </row>
    <row r="28" ht="14.25" spans="1:12">
      <c r="A28" s="55"/>
      <c r="B28" s="55"/>
      <c r="C28" s="55"/>
      <c r="D28" s="55"/>
      <c r="E28" s="55"/>
      <c r="F28" s="57" t="s">
        <v>1293</v>
      </c>
      <c r="G28" s="58"/>
      <c r="H28" s="58"/>
      <c r="I28" s="68"/>
      <c r="J28" s="55">
        <f>+E27*3.7*2</f>
        <v>7.4</v>
      </c>
      <c r="K28" s="55" t="s">
        <v>261</v>
      </c>
      <c r="L28" s="55"/>
    </row>
    <row r="29" ht="14.25" spans="1:12">
      <c r="A29" s="55"/>
      <c r="B29" s="55"/>
      <c r="C29" s="55"/>
      <c r="D29" s="55"/>
      <c r="E29" s="55"/>
      <c r="F29" s="62" t="s">
        <v>1297</v>
      </c>
      <c r="G29" s="62"/>
      <c r="H29" s="62"/>
      <c r="I29" s="62"/>
      <c r="J29" s="62">
        <f>+E27*0.5*2</f>
        <v>1</v>
      </c>
      <c r="K29" s="62" t="s">
        <v>231</v>
      </c>
      <c r="L29" s="62" t="s">
        <v>1298</v>
      </c>
    </row>
    <row r="30" ht="14.25" spans="1:12">
      <c r="A30" s="55">
        <v>9</v>
      </c>
      <c r="B30" s="55" t="s">
        <v>809</v>
      </c>
      <c r="C30" s="55">
        <v>1440</v>
      </c>
      <c r="D30" s="55" t="s">
        <v>1303</v>
      </c>
      <c r="E30" s="55">
        <v>1</v>
      </c>
      <c r="F30" s="55" t="s">
        <v>1302</v>
      </c>
      <c r="G30" s="55"/>
      <c r="H30" s="55"/>
      <c r="I30" s="55"/>
      <c r="J30" s="55">
        <f>+E30*1*2</f>
        <v>2</v>
      </c>
      <c r="K30" s="55" t="s">
        <v>1292</v>
      </c>
      <c r="L30" s="55"/>
    </row>
    <row r="31" ht="14.25" spans="1:12">
      <c r="A31" s="55"/>
      <c r="B31" s="55"/>
      <c r="C31" s="55"/>
      <c r="D31" s="55"/>
      <c r="E31" s="55"/>
      <c r="F31" s="57" t="s">
        <v>1293</v>
      </c>
      <c r="G31" s="58"/>
      <c r="H31" s="58"/>
      <c r="I31" s="68"/>
      <c r="J31" s="55">
        <f>+E30*4.5*2</f>
        <v>9</v>
      </c>
      <c r="K31" s="55" t="s">
        <v>261</v>
      </c>
      <c r="L31" s="55"/>
    </row>
    <row r="32" ht="14.25" spans="1:12">
      <c r="A32" s="55"/>
      <c r="B32" s="55"/>
      <c r="C32" s="55"/>
      <c r="D32" s="55"/>
      <c r="E32" s="55"/>
      <c r="F32" s="62" t="s">
        <v>1297</v>
      </c>
      <c r="G32" s="62"/>
      <c r="H32" s="62"/>
      <c r="I32" s="62"/>
      <c r="J32" s="62">
        <f>+E30*0.5*2</f>
        <v>1</v>
      </c>
      <c r="K32" s="62" t="s">
        <v>231</v>
      </c>
      <c r="L32" s="62" t="s">
        <v>1298</v>
      </c>
    </row>
    <row r="33" ht="14.25" spans="1:12">
      <c r="A33" s="55">
        <v>10</v>
      </c>
      <c r="B33" s="55" t="s">
        <v>1304</v>
      </c>
      <c r="C33" s="55">
        <v>2160</v>
      </c>
      <c r="D33" s="55" t="s">
        <v>836</v>
      </c>
      <c r="E33" s="55">
        <v>1</v>
      </c>
      <c r="F33" s="55" t="s">
        <v>1305</v>
      </c>
      <c r="G33" s="55"/>
      <c r="H33" s="55"/>
      <c r="I33" s="55"/>
      <c r="J33" s="55">
        <f>+E33*1</f>
        <v>1</v>
      </c>
      <c r="K33" s="55" t="s">
        <v>1292</v>
      </c>
      <c r="L33" s="55"/>
    </row>
    <row r="34" ht="14.25" spans="1:12">
      <c r="A34" s="55"/>
      <c r="B34" s="55"/>
      <c r="C34" s="55"/>
      <c r="D34" s="55"/>
      <c r="E34" s="55"/>
      <c r="F34" s="57" t="s">
        <v>1293</v>
      </c>
      <c r="G34" s="58"/>
      <c r="H34" s="58"/>
      <c r="I34" s="68"/>
      <c r="J34" s="55">
        <f>+E33*5</f>
        <v>5</v>
      </c>
      <c r="K34" s="55" t="s">
        <v>261</v>
      </c>
      <c r="L34" s="55"/>
    </row>
    <row r="35" ht="14.25" spans="1:12">
      <c r="A35" s="55"/>
      <c r="B35" s="55"/>
      <c r="C35" s="55"/>
      <c r="D35" s="55"/>
      <c r="E35" s="55"/>
      <c r="F35" s="62" t="s">
        <v>1297</v>
      </c>
      <c r="G35" s="62"/>
      <c r="H35" s="62"/>
      <c r="I35" s="62"/>
      <c r="J35" s="62">
        <f>+E33*0.5</f>
        <v>0.5</v>
      </c>
      <c r="K35" s="62" t="s">
        <v>231</v>
      </c>
      <c r="L35" s="62" t="s">
        <v>1298</v>
      </c>
    </row>
    <row r="36" s="90" customFormat="1" ht="14.25" spans="1:20">
      <c r="A36" s="90" t="s">
        <v>1306</v>
      </c>
      <c r="M36" s="47" t="s">
        <v>130</v>
      </c>
      <c r="T36" s="92"/>
    </row>
    <row r="37" ht="14.25" spans="1:13">
      <c r="A37" s="74">
        <v>11</v>
      </c>
      <c r="B37" s="75" t="s">
        <v>529</v>
      </c>
      <c r="C37" s="75"/>
      <c r="D37" s="76" t="s">
        <v>1307</v>
      </c>
      <c r="E37" s="75"/>
      <c r="F37" s="91" t="s">
        <v>1308</v>
      </c>
      <c r="G37" s="91"/>
      <c r="H37" s="91"/>
      <c r="I37" s="91"/>
      <c r="J37" s="55">
        <v>1</v>
      </c>
      <c r="K37" s="55" t="s">
        <v>231</v>
      </c>
      <c r="L37" s="55"/>
      <c r="M37" s="47">
        <f>J37*1.5</f>
        <v>1.5</v>
      </c>
    </row>
    <row r="38" ht="14.25" spans="1:13">
      <c r="A38" s="74"/>
      <c r="B38" s="75"/>
      <c r="C38" s="75"/>
      <c r="D38" s="75"/>
      <c r="E38" s="75"/>
      <c r="F38" s="57" t="s">
        <v>1293</v>
      </c>
      <c r="G38" s="58"/>
      <c r="H38" s="58"/>
      <c r="I38" s="68"/>
      <c r="J38" s="55">
        <v>30</v>
      </c>
      <c r="K38" s="55" t="s">
        <v>261</v>
      </c>
      <c r="L38" s="55"/>
      <c r="M38" s="47">
        <f t="shared" ref="M38:M48" si="0">J38*1.5</f>
        <v>45</v>
      </c>
    </row>
    <row r="39" ht="14.25" spans="1:13">
      <c r="A39" s="74"/>
      <c r="B39" s="75"/>
      <c r="C39" s="75"/>
      <c r="D39" s="75"/>
      <c r="E39" s="75"/>
      <c r="F39" s="91" t="s">
        <v>1309</v>
      </c>
      <c r="G39" s="91"/>
      <c r="H39" s="91"/>
      <c r="I39" s="91"/>
      <c r="J39" s="55">
        <v>2</v>
      </c>
      <c r="K39" s="55" t="s">
        <v>231</v>
      </c>
      <c r="L39" s="55"/>
      <c r="M39" s="47">
        <f t="shared" si="0"/>
        <v>3</v>
      </c>
    </row>
    <row r="40" ht="12" customHeight="1" spans="1:13">
      <c r="A40" s="74"/>
      <c r="B40" s="75"/>
      <c r="C40" s="75"/>
      <c r="D40" s="75"/>
      <c r="E40" s="75"/>
      <c r="F40" s="77" t="s">
        <v>1310</v>
      </c>
      <c r="G40" s="78"/>
      <c r="H40" s="78"/>
      <c r="I40" s="81"/>
      <c r="J40" s="56">
        <v>32</v>
      </c>
      <c r="K40" s="56" t="s">
        <v>315</v>
      </c>
      <c r="L40" s="55"/>
      <c r="M40" s="47">
        <f t="shared" si="0"/>
        <v>48</v>
      </c>
    </row>
    <row r="41" ht="12" customHeight="1" spans="1:13">
      <c r="A41" s="74"/>
      <c r="B41" s="75"/>
      <c r="C41" s="75"/>
      <c r="D41" s="75"/>
      <c r="E41" s="75"/>
      <c r="F41" s="79"/>
      <c r="G41" s="80"/>
      <c r="H41" s="80"/>
      <c r="I41" s="86"/>
      <c r="J41" s="60"/>
      <c r="K41" s="60"/>
      <c r="L41" s="55"/>
      <c r="M41" s="47">
        <f t="shared" si="0"/>
        <v>0</v>
      </c>
    </row>
    <row r="42" ht="24" spans="1:13">
      <c r="A42" s="74"/>
      <c r="B42" s="75"/>
      <c r="C42" s="75"/>
      <c r="D42" s="75"/>
      <c r="E42" s="75"/>
      <c r="F42" s="62" t="s">
        <v>1311</v>
      </c>
      <c r="G42" s="62"/>
      <c r="H42" s="62"/>
      <c r="I42" s="62"/>
      <c r="J42" s="62">
        <v>12</v>
      </c>
      <c r="K42" s="62" t="s">
        <v>181</v>
      </c>
      <c r="L42" s="62" t="s">
        <v>1312</v>
      </c>
      <c r="M42" s="47">
        <f t="shared" si="0"/>
        <v>18</v>
      </c>
    </row>
    <row r="43" ht="14.25" spans="1:13">
      <c r="A43" s="74">
        <v>12</v>
      </c>
      <c r="B43" s="75" t="s">
        <v>529</v>
      </c>
      <c r="C43" s="75"/>
      <c r="D43" s="76" t="s">
        <v>1313</v>
      </c>
      <c r="E43" s="75"/>
      <c r="F43" s="91" t="s">
        <v>1308</v>
      </c>
      <c r="G43" s="91"/>
      <c r="H43" s="91"/>
      <c r="I43" s="91"/>
      <c r="J43" s="55">
        <v>2</v>
      </c>
      <c r="K43" s="55" t="s">
        <v>231</v>
      </c>
      <c r="L43" s="87"/>
      <c r="M43" s="47">
        <f t="shared" si="0"/>
        <v>3</v>
      </c>
    </row>
    <row r="44" ht="14.25" spans="1:13">
      <c r="A44" s="74"/>
      <c r="B44" s="75"/>
      <c r="C44" s="75"/>
      <c r="D44" s="75"/>
      <c r="E44" s="75"/>
      <c r="F44" s="57" t="s">
        <v>1293</v>
      </c>
      <c r="G44" s="58"/>
      <c r="H44" s="58"/>
      <c r="I44" s="68"/>
      <c r="J44" s="55">
        <v>50</v>
      </c>
      <c r="K44" s="55" t="s">
        <v>261</v>
      </c>
      <c r="L44" s="87"/>
      <c r="M44" s="47">
        <f t="shared" si="0"/>
        <v>75</v>
      </c>
    </row>
    <row r="45" ht="14.25" spans="1:13">
      <c r="A45" s="74"/>
      <c r="B45" s="75"/>
      <c r="C45" s="75"/>
      <c r="D45" s="75"/>
      <c r="E45" s="75"/>
      <c r="F45" s="91" t="s">
        <v>1309</v>
      </c>
      <c r="G45" s="91"/>
      <c r="H45" s="91"/>
      <c r="I45" s="91"/>
      <c r="J45" s="55">
        <v>3</v>
      </c>
      <c r="K45" s="55" t="s">
        <v>231</v>
      </c>
      <c r="L45" s="87"/>
      <c r="M45" s="47">
        <f t="shared" si="0"/>
        <v>4.5</v>
      </c>
    </row>
    <row r="46" ht="12" customHeight="1" spans="1:13">
      <c r="A46" s="74"/>
      <c r="B46" s="75"/>
      <c r="C46" s="75"/>
      <c r="D46" s="75"/>
      <c r="E46" s="75"/>
      <c r="F46" s="77" t="s">
        <v>1310</v>
      </c>
      <c r="G46" s="78"/>
      <c r="H46" s="78"/>
      <c r="I46" s="81"/>
      <c r="J46" s="56">
        <v>60</v>
      </c>
      <c r="K46" s="56" t="s">
        <v>315</v>
      </c>
      <c r="L46" s="87"/>
      <c r="M46" s="47">
        <f t="shared" si="0"/>
        <v>90</v>
      </c>
    </row>
    <row r="47" ht="12" customHeight="1" spans="1:13">
      <c r="A47" s="74"/>
      <c r="B47" s="75"/>
      <c r="C47" s="75"/>
      <c r="D47" s="75"/>
      <c r="E47" s="75"/>
      <c r="F47" s="79"/>
      <c r="G47" s="80"/>
      <c r="H47" s="80"/>
      <c r="I47" s="86"/>
      <c r="J47" s="60"/>
      <c r="K47" s="60"/>
      <c r="L47" s="87"/>
      <c r="M47" s="47">
        <f t="shared" si="0"/>
        <v>0</v>
      </c>
    </row>
    <row r="48" ht="24" spans="1:13">
      <c r="A48" s="74"/>
      <c r="B48" s="75"/>
      <c r="C48" s="75"/>
      <c r="D48" s="75"/>
      <c r="E48" s="75"/>
      <c r="F48" s="62" t="s">
        <v>1311</v>
      </c>
      <c r="G48" s="62"/>
      <c r="H48" s="62"/>
      <c r="I48" s="62"/>
      <c r="J48" s="62">
        <v>20</v>
      </c>
      <c r="K48" s="62" t="s">
        <v>181</v>
      </c>
      <c r="L48" s="62" t="s">
        <v>1312</v>
      </c>
      <c r="M48" s="47">
        <f t="shared" si="0"/>
        <v>30</v>
      </c>
    </row>
    <row r="49" customHeight="1" spans="1:12">
      <c r="A49" s="61" t="s">
        <v>1314</v>
      </c>
      <c r="B49" s="61"/>
      <c r="C49" s="61"/>
      <c r="D49" s="61"/>
      <c r="E49" s="61"/>
      <c r="F49" s="61"/>
      <c r="G49" s="61"/>
      <c r="H49" s="61"/>
      <c r="I49" s="61"/>
      <c r="J49" s="61"/>
      <c r="K49" s="61"/>
      <c r="L49" s="88"/>
    </row>
    <row r="50" customHeight="1" spans="1:12">
      <c r="A50" s="55">
        <v>1</v>
      </c>
      <c r="B50" s="77" t="s">
        <v>1315</v>
      </c>
      <c r="C50" s="81"/>
      <c r="D50" s="55" t="s">
        <v>1316</v>
      </c>
      <c r="E50" s="82">
        <v>1</v>
      </c>
      <c r="F50" s="55" t="s">
        <v>1308</v>
      </c>
      <c r="G50" s="55"/>
      <c r="H50" s="55"/>
      <c r="I50" s="55"/>
      <c r="J50" s="55">
        <f>E50*2</f>
        <v>2</v>
      </c>
      <c r="K50" s="55" t="s">
        <v>231</v>
      </c>
      <c r="L50" s="55" t="s">
        <v>1317</v>
      </c>
    </row>
    <row r="51" ht="14.25" spans="1:12">
      <c r="A51" s="55"/>
      <c r="B51" s="83"/>
      <c r="C51" s="84"/>
      <c r="D51" s="55"/>
      <c r="E51" s="85"/>
      <c r="F51" s="57" t="s">
        <v>1293</v>
      </c>
      <c r="G51" s="58"/>
      <c r="H51" s="58"/>
      <c r="I51" s="68"/>
      <c r="J51" s="55">
        <f>+E50*5</f>
        <v>5</v>
      </c>
      <c r="K51" s="55" t="s">
        <v>261</v>
      </c>
      <c r="L51" s="55"/>
    </row>
    <row r="52" customHeight="1" spans="1:12">
      <c r="A52" s="55"/>
      <c r="B52" s="83"/>
      <c r="C52" s="84"/>
      <c r="D52" s="55"/>
      <c r="E52" s="85"/>
      <c r="F52" s="55" t="s">
        <v>1309</v>
      </c>
      <c r="G52" s="55"/>
      <c r="H52" s="55"/>
      <c r="I52" s="55"/>
      <c r="J52" s="55">
        <f>+E50*1</f>
        <v>1</v>
      </c>
      <c r="K52" s="55" t="s">
        <v>231</v>
      </c>
      <c r="L52" s="55"/>
    </row>
    <row r="53" customHeight="1" spans="1:12">
      <c r="A53" s="55"/>
      <c r="B53" s="79"/>
      <c r="C53" s="86"/>
      <c r="D53" s="55"/>
      <c r="E53" s="85"/>
      <c r="F53" s="55" t="s">
        <v>1318</v>
      </c>
      <c r="G53" s="55"/>
      <c r="H53" s="55"/>
      <c r="I53" s="55"/>
      <c r="J53" s="55">
        <f>+E50*8</f>
        <v>8</v>
      </c>
      <c r="K53" s="55" t="s">
        <v>315</v>
      </c>
      <c r="L53" s="55"/>
    </row>
    <row r="54" customHeight="1" spans="1:12">
      <c r="A54" s="55">
        <v>2</v>
      </c>
      <c r="B54" s="77" t="s">
        <v>1319</v>
      </c>
      <c r="C54" s="81"/>
      <c r="D54" s="55" t="s">
        <v>1320</v>
      </c>
      <c r="E54" s="82">
        <v>1</v>
      </c>
      <c r="F54" s="55" t="s">
        <v>1308</v>
      </c>
      <c r="G54" s="55"/>
      <c r="H54" s="55"/>
      <c r="I54" s="55"/>
      <c r="J54" s="55">
        <f>E54*1</f>
        <v>1</v>
      </c>
      <c r="K54" s="55" t="s">
        <v>231</v>
      </c>
      <c r="L54" s="55"/>
    </row>
    <row r="55" customHeight="1" spans="1:12">
      <c r="A55" s="55"/>
      <c r="B55" s="83"/>
      <c r="C55" s="84"/>
      <c r="D55" s="55"/>
      <c r="E55" s="85"/>
      <c r="F55" s="57" t="s">
        <v>1293</v>
      </c>
      <c r="G55" s="58"/>
      <c r="H55" s="58"/>
      <c r="I55" s="68"/>
      <c r="J55" s="55">
        <f>+E54*4</f>
        <v>4</v>
      </c>
      <c r="K55" s="55" t="s">
        <v>261</v>
      </c>
      <c r="L55" s="55"/>
    </row>
    <row r="56" customHeight="1" spans="1:12">
      <c r="A56" s="55"/>
      <c r="B56" s="83"/>
      <c r="C56" s="84"/>
      <c r="D56" s="55"/>
      <c r="E56" s="85"/>
      <c r="F56" s="55" t="s">
        <v>1309</v>
      </c>
      <c r="G56" s="55"/>
      <c r="H56" s="55"/>
      <c r="I56" s="55"/>
      <c r="J56" s="55">
        <f>+E54*0.5</f>
        <v>0.5</v>
      </c>
      <c r="K56" s="55" t="s">
        <v>231</v>
      </c>
      <c r="L56" s="55"/>
    </row>
    <row r="57" customHeight="1" spans="1:12">
      <c r="A57" s="55"/>
      <c r="B57" s="79"/>
      <c r="C57" s="86"/>
      <c r="D57" s="55"/>
      <c r="E57" s="85"/>
      <c r="F57" s="55" t="s">
        <v>1318</v>
      </c>
      <c r="G57" s="55"/>
      <c r="H57" s="55"/>
      <c r="I57" s="55"/>
      <c r="J57" s="55">
        <f>+E54*8</f>
        <v>8</v>
      </c>
      <c r="K57" s="55" t="s">
        <v>315</v>
      </c>
      <c r="L57" s="55"/>
    </row>
    <row r="58" customHeight="1" spans="1:12">
      <c r="A58" s="55">
        <v>3</v>
      </c>
      <c r="B58" s="77" t="s">
        <v>1321</v>
      </c>
      <c r="C58" s="81"/>
      <c r="D58" s="55" t="s">
        <v>1322</v>
      </c>
      <c r="E58" s="74">
        <v>1</v>
      </c>
      <c r="F58" s="55" t="s">
        <v>1308</v>
      </c>
      <c r="G58" s="55"/>
      <c r="H58" s="55"/>
      <c r="I58" s="55"/>
      <c r="J58" s="55">
        <f>E58*2</f>
        <v>2</v>
      </c>
      <c r="K58" s="55" t="s">
        <v>231</v>
      </c>
      <c r="L58" s="55"/>
    </row>
    <row r="59" customHeight="1" spans="1:12">
      <c r="A59" s="55"/>
      <c r="B59" s="83"/>
      <c r="C59" s="84"/>
      <c r="D59" s="55"/>
      <c r="E59" s="74"/>
      <c r="F59" s="57" t="s">
        <v>1293</v>
      </c>
      <c r="G59" s="58"/>
      <c r="H59" s="58"/>
      <c r="I59" s="68"/>
      <c r="J59" s="55">
        <f>+E58*7</f>
        <v>7</v>
      </c>
      <c r="K59" s="55" t="s">
        <v>261</v>
      </c>
      <c r="L59" s="55"/>
    </row>
    <row r="60" customHeight="1" spans="1:12">
      <c r="A60" s="55"/>
      <c r="B60" s="83"/>
      <c r="C60" s="84"/>
      <c r="D60" s="55"/>
      <c r="E60" s="74"/>
      <c r="F60" s="55" t="s">
        <v>1309</v>
      </c>
      <c r="G60" s="55"/>
      <c r="H60" s="55"/>
      <c r="I60" s="55"/>
      <c r="J60" s="55">
        <f>+E58*1.5</f>
        <v>1.5</v>
      </c>
      <c r="K60" s="55" t="s">
        <v>231</v>
      </c>
      <c r="L60" s="55"/>
    </row>
    <row r="61" customHeight="1" spans="1:12">
      <c r="A61" s="55"/>
      <c r="B61" s="79"/>
      <c r="C61" s="86"/>
      <c r="D61" s="55"/>
      <c r="E61" s="74"/>
      <c r="F61" s="55" t="s">
        <v>1318</v>
      </c>
      <c r="G61" s="55"/>
      <c r="H61" s="55"/>
      <c r="I61" s="55"/>
      <c r="J61" s="55">
        <f>+E58*8</f>
        <v>8</v>
      </c>
      <c r="K61" s="55" t="s">
        <v>315</v>
      </c>
      <c r="L61" s="55"/>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1323</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411</v>
      </c>
      <c r="B3" s="50"/>
      <c r="C3" s="50">
        <f>下料单!I2</f>
        <v>0</v>
      </c>
      <c r="D3" s="50"/>
      <c r="E3" s="50"/>
      <c r="F3" s="50"/>
      <c r="G3" s="50"/>
      <c r="H3" s="50"/>
      <c r="I3" s="50" t="s">
        <v>760</v>
      </c>
      <c r="J3" s="50"/>
      <c r="K3" s="67" t="e">
        <f>[5]领料单!R2</f>
        <v>#REF!</v>
      </c>
      <c r="L3" s="67"/>
    </row>
    <row r="4" ht="14.25" spans="1:12">
      <c r="A4" s="51" t="s">
        <v>1</v>
      </c>
      <c r="B4" s="51"/>
      <c r="C4" s="51">
        <f>下料单!C2</f>
        <v>0</v>
      </c>
      <c r="D4" s="51"/>
      <c r="E4" s="51" t="s">
        <v>6</v>
      </c>
      <c r="F4" s="51"/>
      <c r="G4" s="52">
        <f>[5]领料单!M3</f>
        <v>40889</v>
      </c>
      <c r="H4" s="52"/>
      <c r="I4" s="51" t="s">
        <v>761</v>
      </c>
      <c r="J4" s="51"/>
      <c r="K4" s="51" t="str">
        <f>领料单!D70</f>
        <v>销售点：</v>
      </c>
      <c r="L4" s="51"/>
    </row>
    <row r="5" ht="14.25" spans="1:12">
      <c r="A5" s="51">
        <f>下料单!W2</f>
        <v>0</v>
      </c>
      <c r="B5" s="51"/>
      <c r="C5" s="51">
        <f>下料单!Y2</f>
        <v>0</v>
      </c>
      <c r="D5" s="51"/>
      <c r="E5" s="51" t="s">
        <v>1159</v>
      </c>
      <c r="F5" s="51"/>
      <c r="G5" s="53" t="e">
        <f>[5]下料单!X2</f>
        <v>#REF!</v>
      </c>
      <c r="H5" s="53"/>
      <c r="I5" s="51"/>
      <c r="J5" s="51"/>
      <c r="K5" s="51"/>
      <c r="L5" s="51"/>
    </row>
    <row r="6" ht="14.25" spans="1:12">
      <c r="A6" s="54" t="s">
        <v>22</v>
      </c>
      <c r="B6" s="54" t="s">
        <v>84</v>
      </c>
      <c r="C6" s="54" t="s">
        <v>86</v>
      </c>
      <c r="D6" s="54" t="s">
        <v>767</v>
      </c>
      <c r="E6" s="54" t="s">
        <v>529</v>
      </c>
      <c r="F6" s="54" t="s">
        <v>211</v>
      </c>
      <c r="G6" s="54"/>
      <c r="H6" s="54"/>
      <c r="I6" s="54"/>
      <c r="J6" s="54" t="s">
        <v>1071</v>
      </c>
      <c r="K6" s="54" t="s">
        <v>26</v>
      </c>
      <c r="L6" s="54" t="s">
        <v>30</v>
      </c>
    </row>
    <row r="7" ht="14.25" spans="1:12">
      <c r="A7" s="55">
        <v>1</v>
      </c>
      <c r="B7" s="56" t="s">
        <v>1324</v>
      </c>
      <c r="C7" s="55">
        <v>720</v>
      </c>
      <c r="D7" s="55" t="s">
        <v>83</v>
      </c>
      <c r="E7" s="55">
        <v>1</v>
      </c>
      <c r="F7" s="57" t="s">
        <v>1325</v>
      </c>
      <c r="G7" s="58"/>
      <c r="H7" s="58"/>
      <c r="I7" s="68"/>
      <c r="J7" s="55">
        <f>E7*1</f>
        <v>1</v>
      </c>
      <c r="K7" s="55" t="s">
        <v>315</v>
      </c>
      <c r="L7" s="69"/>
    </row>
    <row r="8" ht="14.25" spans="1:12">
      <c r="A8" s="55"/>
      <c r="B8" s="59"/>
      <c r="C8" s="55"/>
      <c r="D8" s="55"/>
      <c r="E8" s="55"/>
      <c r="F8" s="57" t="s">
        <v>1293</v>
      </c>
      <c r="G8" s="58"/>
      <c r="H8" s="58"/>
      <c r="I8" s="68"/>
      <c r="J8" s="55">
        <f>+E7*3.6</f>
        <v>3.6</v>
      </c>
      <c r="K8" s="55" t="s">
        <v>261</v>
      </c>
      <c r="L8" s="55"/>
    </row>
    <row r="9" ht="14.25" spans="1:12">
      <c r="A9" s="55"/>
      <c r="B9" s="59"/>
      <c r="C9" s="55"/>
      <c r="D9" s="55"/>
      <c r="E9" s="55"/>
      <c r="F9" s="57" t="s">
        <v>1309</v>
      </c>
      <c r="G9" s="58"/>
      <c r="H9" s="58"/>
      <c r="I9" s="68"/>
      <c r="J9" s="55">
        <f>+E7*0.5</f>
        <v>0.5</v>
      </c>
      <c r="K9" s="55" t="s">
        <v>231</v>
      </c>
      <c r="L9" s="55"/>
    </row>
    <row r="10" ht="14.25" spans="1:12">
      <c r="A10" s="55"/>
      <c r="B10" s="60"/>
      <c r="C10" s="55"/>
      <c r="D10" s="55"/>
      <c r="E10" s="55"/>
      <c r="F10" s="57" t="s">
        <v>1326</v>
      </c>
      <c r="G10" s="58"/>
      <c r="H10" s="58"/>
      <c r="I10" s="68"/>
      <c r="J10" s="55">
        <f>+E7*8</f>
        <v>8</v>
      </c>
      <c r="K10" s="55" t="s">
        <v>315</v>
      </c>
      <c r="L10" s="69"/>
    </row>
    <row r="11" ht="14.25" spans="1:12">
      <c r="A11" s="55">
        <v>2</v>
      </c>
      <c r="B11" s="55">
        <v>900</v>
      </c>
      <c r="C11" s="55">
        <v>720</v>
      </c>
      <c r="D11" s="55" t="s">
        <v>83</v>
      </c>
      <c r="E11" s="55">
        <v>1</v>
      </c>
      <c r="F11" s="57" t="s">
        <v>1327</v>
      </c>
      <c r="G11" s="58"/>
      <c r="H11" s="58"/>
      <c r="I11" s="68"/>
      <c r="J11" s="55">
        <f>E11*1</f>
        <v>1</v>
      </c>
      <c r="K11" s="55" t="s">
        <v>315</v>
      </c>
      <c r="L11" s="55"/>
    </row>
    <row r="12" ht="14.25" spans="1:12">
      <c r="A12" s="55"/>
      <c r="B12" s="55"/>
      <c r="C12" s="55"/>
      <c r="D12" s="55"/>
      <c r="E12" s="55"/>
      <c r="F12" s="57" t="s">
        <v>1293</v>
      </c>
      <c r="G12" s="58"/>
      <c r="H12" s="58"/>
      <c r="I12" s="68"/>
      <c r="J12" s="55">
        <f>+E11*4.5</f>
        <v>4.5</v>
      </c>
      <c r="K12" s="55" t="s">
        <v>261</v>
      </c>
      <c r="L12" s="69"/>
    </row>
    <row r="13" ht="14.25" spans="1:12">
      <c r="A13" s="55"/>
      <c r="B13" s="55"/>
      <c r="C13" s="55"/>
      <c r="D13" s="55"/>
      <c r="E13" s="55"/>
      <c r="F13" s="57" t="s">
        <v>1309</v>
      </c>
      <c r="G13" s="58"/>
      <c r="H13" s="58"/>
      <c r="I13" s="68"/>
      <c r="J13" s="55">
        <f>+E11*0.5</f>
        <v>0.5</v>
      </c>
      <c r="K13" s="55" t="s">
        <v>231</v>
      </c>
      <c r="L13" s="55"/>
    </row>
    <row r="14" ht="14.25" spans="1:12">
      <c r="A14" s="55"/>
      <c r="B14" s="55"/>
      <c r="C14" s="55"/>
      <c r="D14" s="55"/>
      <c r="E14" s="55"/>
      <c r="F14" s="57" t="s">
        <v>1326</v>
      </c>
      <c r="G14" s="58"/>
      <c r="H14" s="58"/>
      <c r="I14" s="68"/>
      <c r="J14" s="55">
        <f>+E11*8</f>
        <v>8</v>
      </c>
      <c r="K14" s="55" t="s">
        <v>315</v>
      </c>
      <c r="L14" s="55"/>
    </row>
    <row r="15" ht="14.25" spans="1:12">
      <c r="A15" s="55">
        <v>3</v>
      </c>
      <c r="B15" s="55">
        <v>1200</v>
      </c>
      <c r="C15" s="55">
        <v>720</v>
      </c>
      <c r="D15" s="55" t="s">
        <v>83</v>
      </c>
      <c r="E15" s="55">
        <v>1</v>
      </c>
      <c r="F15" s="57" t="s">
        <v>1328</v>
      </c>
      <c r="G15" s="58"/>
      <c r="H15" s="58"/>
      <c r="I15" s="68"/>
      <c r="J15" s="55">
        <f>E15*1</f>
        <v>1</v>
      </c>
      <c r="K15" s="55" t="s">
        <v>315</v>
      </c>
      <c r="L15" s="55"/>
    </row>
    <row r="16" ht="14.25" spans="1:12">
      <c r="A16" s="55"/>
      <c r="B16" s="55"/>
      <c r="C16" s="55"/>
      <c r="D16" s="55"/>
      <c r="E16" s="55"/>
      <c r="F16" s="57" t="s">
        <v>1293</v>
      </c>
      <c r="G16" s="58"/>
      <c r="H16" s="58"/>
      <c r="I16" s="68"/>
      <c r="J16" s="55">
        <f>+E15*4.8</f>
        <v>4.8</v>
      </c>
      <c r="K16" s="55" t="s">
        <v>261</v>
      </c>
      <c r="L16" s="55"/>
    </row>
    <row r="17" ht="14.25" spans="1:12">
      <c r="A17" s="55"/>
      <c r="B17" s="55"/>
      <c r="C17" s="55"/>
      <c r="D17" s="55"/>
      <c r="E17" s="55"/>
      <c r="F17" s="57" t="s">
        <v>1309</v>
      </c>
      <c r="G17" s="58"/>
      <c r="H17" s="58"/>
      <c r="I17" s="68"/>
      <c r="J17" s="55">
        <f>+E15*0.5</f>
        <v>0.5</v>
      </c>
      <c r="K17" s="55" t="s">
        <v>231</v>
      </c>
      <c r="L17" s="69"/>
    </row>
    <row r="18" ht="14.25" spans="1:12">
      <c r="A18" s="55"/>
      <c r="B18" s="55"/>
      <c r="C18" s="55"/>
      <c r="D18" s="55"/>
      <c r="E18" s="55"/>
      <c r="F18" s="57" t="s">
        <v>1326</v>
      </c>
      <c r="G18" s="58"/>
      <c r="H18" s="58"/>
      <c r="I18" s="68"/>
      <c r="J18" s="55">
        <f>+E15*8</f>
        <v>8</v>
      </c>
      <c r="K18" s="55" t="s">
        <v>315</v>
      </c>
      <c r="L18" s="55"/>
    </row>
    <row r="19" ht="14.25" spans="1:12">
      <c r="A19" s="55">
        <v>4</v>
      </c>
      <c r="B19" s="56" t="s">
        <v>1324</v>
      </c>
      <c r="C19" s="55">
        <v>720</v>
      </c>
      <c r="D19" s="55" t="s">
        <v>145</v>
      </c>
      <c r="E19" s="55">
        <v>1</v>
      </c>
      <c r="F19" s="57" t="s">
        <v>1329</v>
      </c>
      <c r="G19" s="58"/>
      <c r="H19" s="58"/>
      <c r="I19" s="68"/>
      <c r="J19" s="55">
        <f>E19*1</f>
        <v>1</v>
      </c>
      <c r="K19" s="55" t="s">
        <v>1292</v>
      </c>
      <c r="L19" s="70"/>
    </row>
    <row r="20" ht="14.25" spans="1:12">
      <c r="A20" s="55"/>
      <c r="B20" s="59"/>
      <c r="C20" s="55"/>
      <c r="D20" s="55"/>
      <c r="E20" s="55"/>
      <c r="F20" s="57" t="s">
        <v>1293</v>
      </c>
      <c r="G20" s="58"/>
      <c r="H20" s="58"/>
      <c r="I20" s="68"/>
      <c r="J20" s="55">
        <f>+E19*3.5</f>
        <v>3.5</v>
      </c>
      <c r="K20" s="55" t="s">
        <v>261</v>
      </c>
      <c r="L20" s="70"/>
    </row>
    <row r="21" ht="14.25" spans="1:12">
      <c r="A21" s="55"/>
      <c r="B21" s="59"/>
      <c r="C21" s="55"/>
      <c r="D21" s="55"/>
      <c r="E21" s="55"/>
      <c r="F21" s="57" t="s">
        <v>1309</v>
      </c>
      <c r="G21" s="58"/>
      <c r="H21" s="58"/>
      <c r="I21" s="68"/>
      <c r="J21" s="55">
        <f>+E19*0.5</f>
        <v>0.5</v>
      </c>
      <c r="K21" s="55" t="s">
        <v>231</v>
      </c>
      <c r="L21" s="70"/>
    </row>
    <row r="22" ht="14.25" spans="1:12">
      <c r="A22" s="55"/>
      <c r="B22" s="60"/>
      <c r="C22" s="55"/>
      <c r="D22" s="55"/>
      <c r="E22" s="55"/>
      <c r="F22" s="57" t="s">
        <v>1326</v>
      </c>
      <c r="G22" s="58"/>
      <c r="H22" s="58"/>
      <c r="I22" s="68"/>
      <c r="J22" s="55">
        <f>+E19*8</f>
        <v>8</v>
      </c>
      <c r="K22" s="55" t="s">
        <v>315</v>
      </c>
      <c r="L22" s="70"/>
    </row>
    <row r="23" ht="14.25" spans="1:12">
      <c r="A23" s="55">
        <v>5</v>
      </c>
      <c r="B23" s="55">
        <v>900</v>
      </c>
      <c r="C23" s="55">
        <v>720</v>
      </c>
      <c r="D23" s="55" t="s">
        <v>145</v>
      </c>
      <c r="E23" s="55">
        <v>1</v>
      </c>
      <c r="F23" s="57" t="s">
        <v>1330</v>
      </c>
      <c r="G23" s="58"/>
      <c r="H23" s="58"/>
      <c r="I23" s="68"/>
      <c r="J23" s="55">
        <f>E23*1</f>
        <v>1</v>
      </c>
      <c r="K23" s="55" t="s">
        <v>315</v>
      </c>
      <c r="L23" s="70"/>
    </row>
    <row r="24" ht="14.25" spans="1:12">
      <c r="A24" s="55"/>
      <c r="B24" s="55"/>
      <c r="C24" s="55"/>
      <c r="D24" s="55"/>
      <c r="E24" s="55"/>
      <c r="F24" s="57" t="s">
        <v>1293</v>
      </c>
      <c r="G24" s="58"/>
      <c r="H24" s="58"/>
      <c r="I24" s="68"/>
      <c r="J24" s="55">
        <f>+E23*3.5</f>
        <v>3.5</v>
      </c>
      <c r="K24" s="55" t="s">
        <v>261</v>
      </c>
      <c r="L24" s="70"/>
    </row>
    <row r="25" ht="14.25" spans="1:12">
      <c r="A25" s="55"/>
      <c r="B25" s="55"/>
      <c r="C25" s="55"/>
      <c r="D25" s="55"/>
      <c r="E25" s="55"/>
      <c r="F25" s="57" t="s">
        <v>1309</v>
      </c>
      <c r="G25" s="58"/>
      <c r="H25" s="58"/>
      <c r="I25" s="68"/>
      <c r="J25" s="55">
        <f>+E23*0.5</f>
        <v>0.5</v>
      </c>
      <c r="K25" s="55" t="s">
        <v>231</v>
      </c>
      <c r="L25" s="70"/>
    </row>
    <row r="26" ht="14.25" spans="1:12">
      <c r="A26" s="55"/>
      <c r="B26" s="55"/>
      <c r="C26" s="55"/>
      <c r="D26" s="55"/>
      <c r="E26" s="55"/>
      <c r="F26" s="57" t="s">
        <v>1326</v>
      </c>
      <c r="G26" s="58"/>
      <c r="H26" s="58"/>
      <c r="I26" s="68"/>
      <c r="J26" s="55">
        <f>+E23*8</f>
        <v>8</v>
      </c>
      <c r="K26" s="55" t="s">
        <v>315</v>
      </c>
      <c r="L26" s="70"/>
    </row>
    <row r="27" ht="14.25" spans="1:12">
      <c r="A27" s="55">
        <v>6</v>
      </c>
      <c r="B27" s="55">
        <v>1200</v>
      </c>
      <c r="C27" s="55">
        <v>720</v>
      </c>
      <c r="D27" s="55" t="s">
        <v>145</v>
      </c>
      <c r="E27" s="55">
        <v>1</v>
      </c>
      <c r="F27" s="57" t="s">
        <v>1331</v>
      </c>
      <c r="G27" s="58"/>
      <c r="H27" s="58"/>
      <c r="I27" s="68"/>
      <c r="J27" s="55">
        <f>E27*1</f>
        <v>1</v>
      </c>
      <c r="K27" s="55" t="s">
        <v>315</v>
      </c>
      <c r="L27" s="70"/>
    </row>
    <row r="28" ht="14.25" spans="1:12">
      <c r="A28" s="55"/>
      <c r="B28" s="55"/>
      <c r="C28" s="55"/>
      <c r="D28" s="55"/>
      <c r="E28" s="55"/>
      <c r="F28" s="57" t="s">
        <v>1293</v>
      </c>
      <c r="G28" s="58"/>
      <c r="H28" s="58"/>
      <c r="I28" s="68"/>
      <c r="J28" s="55">
        <f>+E27*5</f>
        <v>5</v>
      </c>
      <c r="K28" s="55" t="s">
        <v>261</v>
      </c>
      <c r="L28" s="70"/>
    </row>
    <row r="29" ht="14.25" spans="1:12">
      <c r="A29" s="55"/>
      <c r="B29" s="55"/>
      <c r="C29" s="55"/>
      <c r="D29" s="55"/>
      <c r="E29" s="55"/>
      <c r="F29" s="57" t="s">
        <v>1309</v>
      </c>
      <c r="G29" s="58"/>
      <c r="H29" s="58"/>
      <c r="I29" s="68"/>
      <c r="J29" s="55">
        <f>+E27*0.5</f>
        <v>0.5</v>
      </c>
      <c r="K29" s="55" t="s">
        <v>231</v>
      </c>
      <c r="L29" s="70"/>
    </row>
    <row r="30" ht="14.25" spans="1:12">
      <c r="A30" s="55"/>
      <c r="B30" s="55"/>
      <c r="C30" s="55"/>
      <c r="D30" s="55"/>
      <c r="E30" s="55"/>
      <c r="F30" s="57" t="s">
        <v>1326</v>
      </c>
      <c r="G30" s="58"/>
      <c r="H30" s="58"/>
      <c r="I30" s="68"/>
      <c r="J30" s="55">
        <f>+E27*8</f>
        <v>8</v>
      </c>
      <c r="K30" s="55" t="s">
        <v>315</v>
      </c>
      <c r="L30" s="70"/>
    </row>
    <row r="31" ht="14.25" spans="1:12">
      <c r="A31" s="55">
        <v>7</v>
      </c>
      <c r="B31" s="56" t="s">
        <v>1332</v>
      </c>
      <c r="C31" s="55">
        <v>1440</v>
      </c>
      <c r="D31" s="55" t="s">
        <v>1303</v>
      </c>
      <c r="E31" s="55">
        <v>1</v>
      </c>
      <c r="F31" s="57" t="s">
        <v>1308</v>
      </c>
      <c r="G31" s="58"/>
      <c r="H31" s="58"/>
      <c r="I31" s="68"/>
      <c r="J31" s="55">
        <f>E31*2</f>
        <v>2</v>
      </c>
      <c r="K31" s="55" t="s">
        <v>231</v>
      </c>
      <c r="L31" s="71" t="s">
        <v>1333</v>
      </c>
    </row>
    <row r="32" ht="14.25" spans="1:12">
      <c r="A32" s="55"/>
      <c r="B32" s="59"/>
      <c r="C32" s="55"/>
      <c r="D32" s="55"/>
      <c r="E32" s="55"/>
      <c r="F32" s="57" t="s">
        <v>1293</v>
      </c>
      <c r="G32" s="58"/>
      <c r="H32" s="58"/>
      <c r="I32" s="68"/>
      <c r="J32" s="55">
        <f>+E31*7</f>
        <v>7</v>
      </c>
      <c r="K32" s="55" t="s">
        <v>261</v>
      </c>
      <c r="L32" s="72"/>
    </row>
    <row r="33" ht="14.25" spans="1:12">
      <c r="A33" s="55"/>
      <c r="B33" s="59"/>
      <c r="C33" s="55"/>
      <c r="D33" s="55"/>
      <c r="E33" s="55"/>
      <c r="F33" s="57" t="s">
        <v>1309</v>
      </c>
      <c r="G33" s="58"/>
      <c r="H33" s="58"/>
      <c r="I33" s="68"/>
      <c r="J33" s="55">
        <f>E31*1.5</f>
        <v>1.5</v>
      </c>
      <c r="K33" s="55" t="s">
        <v>231</v>
      </c>
      <c r="L33" s="72"/>
    </row>
    <row r="34" ht="14.25" spans="1:12">
      <c r="A34" s="55"/>
      <c r="B34" s="60"/>
      <c r="C34" s="55"/>
      <c r="D34" s="55"/>
      <c r="E34" s="55"/>
      <c r="F34" s="57" t="s">
        <v>1318</v>
      </c>
      <c r="G34" s="58"/>
      <c r="H34" s="58"/>
      <c r="I34" s="68"/>
      <c r="J34" s="55">
        <f>+E31*8</f>
        <v>8</v>
      </c>
      <c r="K34" s="55" t="s">
        <v>315</v>
      </c>
      <c r="L34" s="73"/>
    </row>
    <row r="35" ht="14.25" spans="1:12">
      <c r="A35" s="55">
        <v>8</v>
      </c>
      <c r="B35" s="56">
        <v>600</v>
      </c>
      <c r="C35" s="55">
        <v>2160</v>
      </c>
      <c r="D35" s="55" t="s">
        <v>836</v>
      </c>
      <c r="E35" s="55">
        <v>1</v>
      </c>
      <c r="F35" s="57" t="s">
        <v>1334</v>
      </c>
      <c r="G35" s="58"/>
      <c r="H35" s="58"/>
      <c r="I35" s="68"/>
      <c r="J35" s="55">
        <f>E35*1</f>
        <v>1</v>
      </c>
      <c r="K35" s="55" t="s">
        <v>231</v>
      </c>
      <c r="L35" s="70"/>
    </row>
    <row r="36" ht="14.25" spans="1:12">
      <c r="A36" s="55"/>
      <c r="B36" s="59"/>
      <c r="C36" s="55"/>
      <c r="D36" s="55"/>
      <c r="E36" s="55"/>
      <c r="F36" s="57" t="s">
        <v>1293</v>
      </c>
      <c r="G36" s="58"/>
      <c r="H36" s="58"/>
      <c r="I36" s="68"/>
      <c r="J36" s="55">
        <f>+E35*11</f>
        <v>11</v>
      </c>
      <c r="K36" s="55" t="s">
        <v>261</v>
      </c>
      <c r="L36" s="70"/>
    </row>
    <row r="37" ht="14.25" spans="1:12">
      <c r="A37" s="55"/>
      <c r="B37" s="59"/>
      <c r="C37" s="55"/>
      <c r="D37" s="55"/>
      <c r="E37" s="55"/>
      <c r="F37" s="57" t="s">
        <v>1309</v>
      </c>
      <c r="G37" s="58"/>
      <c r="H37" s="58"/>
      <c r="I37" s="68"/>
      <c r="J37" s="55">
        <f>+E35*1</f>
        <v>1</v>
      </c>
      <c r="K37" s="55" t="s">
        <v>231</v>
      </c>
      <c r="L37" s="70"/>
    </row>
    <row r="38" ht="14.25" spans="1:12">
      <c r="A38" s="55"/>
      <c r="B38" s="60"/>
      <c r="C38" s="55"/>
      <c r="D38" s="55"/>
      <c r="E38" s="55"/>
      <c r="F38" s="55" t="s">
        <v>1326</v>
      </c>
      <c r="G38" s="55"/>
      <c r="H38" s="55"/>
      <c r="I38" s="55"/>
      <c r="J38" s="55">
        <f>+E35*8</f>
        <v>8</v>
      </c>
      <c r="K38" s="55" t="s">
        <v>315</v>
      </c>
      <c r="L38" s="70"/>
    </row>
    <row r="39" ht="14.25" spans="1:12">
      <c r="A39" s="61" t="s">
        <v>1335</v>
      </c>
      <c r="B39" s="61"/>
      <c r="C39" s="61"/>
      <c r="D39" s="61"/>
      <c r="E39" s="61"/>
      <c r="F39" s="61"/>
      <c r="G39" s="61"/>
      <c r="H39" s="61"/>
      <c r="I39" s="61"/>
      <c r="J39" s="61"/>
      <c r="K39" s="61"/>
      <c r="L39" s="61"/>
    </row>
    <row r="40" ht="14.25" spans="1:12">
      <c r="A40" s="56">
        <v>9</v>
      </c>
      <c r="B40" s="56">
        <v>150</v>
      </c>
      <c r="C40" s="56">
        <v>720</v>
      </c>
      <c r="D40" s="56" t="s">
        <v>769</v>
      </c>
      <c r="E40" s="55">
        <v>1</v>
      </c>
      <c r="F40" s="55" t="s">
        <v>1336</v>
      </c>
      <c r="G40" s="55"/>
      <c r="H40" s="55"/>
      <c r="I40" s="55"/>
      <c r="J40" s="55">
        <f>+E40*1</f>
        <v>1</v>
      </c>
      <c r="K40" s="55" t="s">
        <v>315</v>
      </c>
      <c r="L40" s="70"/>
    </row>
    <row r="41" ht="14.25" spans="1:12">
      <c r="A41" s="59"/>
      <c r="B41" s="59"/>
      <c r="C41" s="59"/>
      <c r="D41" s="59"/>
      <c r="E41" s="55"/>
      <c r="F41" s="57" t="s">
        <v>1293</v>
      </c>
      <c r="G41" s="58"/>
      <c r="H41" s="58"/>
      <c r="I41" s="68"/>
      <c r="J41" s="55">
        <f>+E40*2</f>
        <v>2</v>
      </c>
      <c r="K41" s="55" t="s">
        <v>261</v>
      </c>
      <c r="L41" s="70"/>
    </row>
    <row r="42" ht="14.25" spans="1:12">
      <c r="A42" s="59"/>
      <c r="B42" s="59"/>
      <c r="C42" s="59"/>
      <c r="D42" s="59"/>
      <c r="E42" s="55"/>
      <c r="F42" s="55" t="s">
        <v>1337</v>
      </c>
      <c r="G42" s="55"/>
      <c r="H42" s="55"/>
      <c r="I42" s="55"/>
      <c r="J42" s="55">
        <f>+E40*8</f>
        <v>8</v>
      </c>
      <c r="K42" s="55" t="s">
        <v>315</v>
      </c>
      <c r="L42" s="70"/>
    </row>
    <row r="43" ht="14.25" spans="1:12">
      <c r="A43" s="56">
        <v>10</v>
      </c>
      <c r="B43" s="56">
        <v>600</v>
      </c>
      <c r="C43" s="56">
        <v>720</v>
      </c>
      <c r="D43" s="56" t="s">
        <v>780</v>
      </c>
      <c r="E43" s="55">
        <v>1</v>
      </c>
      <c r="F43" s="55" t="s">
        <v>1338</v>
      </c>
      <c r="G43" s="55"/>
      <c r="H43" s="55"/>
      <c r="I43" s="55"/>
      <c r="J43" s="55">
        <f>+E43*1</f>
        <v>1</v>
      </c>
      <c r="K43" s="55" t="s">
        <v>315</v>
      </c>
      <c r="L43" s="55"/>
    </row>
    <row r="44" ht="14.25" spans="1:12">
      <c r="A44" s="59"/>
      <c r="B44" s="59"/>
      <c r="C44" s="59"/>
      <c r="D44" s="59"/>
      <c r="E44" s="55"/>
      <c r="F44" s="57" t="s">
        <v>1293</v>
      </c>
      <c r="G44" s="58"/>
      <c r="H44" s="58"/>
      <c r="I44" s="68"/>
      <c r="J44" s="55">
        <f>+E43*3</f>
        <v>3</v>
      </c>
      <c r="K44" s="55" t="s">
        <v>261</v>
      </c>
      <c r="L44" s="55"/>
    </row>
    <row r="45" ht="14.25" spans="1:12">
      <c r="A45" s="59"/>
      <c r="B45" s="59"/>
      <c r="C45" s="59"/>
      <c r="D45" s="59"/>
      <c r="E45" s="55"/>
      <c r="F45" s="62" t="s">
        <v>1297</v>
      </c>
      <c r="G45" s="62"/>
      <c r="H45" s="62"/>
      <c r="I45" s="62"/>
      <c r="J45" s="62">
        <f>+E43*0.3</f>
        <v>0.3</v>
      </c>
      <c r="K45" s="62" t="s">
        <v>231</v>
      </c>
      <c r="L45" s="62" t="s">
        <v>1298</v>
      </c>
    </row>
    <row r="46" ht="14.25" spans="1:12">
      <c r="A46" s="60"/>
      <c r="B46" s="60"/>
      <c r="C46" s="60"/>
      <c r="D46" s="60"/>
      <c r="E46" s="55"/>
      <c r="F46" s="55" t="s">
        <v>1337</v>
      </c>
      <c r="G46" s="55"/>
      <c r="H46" s="55"/>
      <c r="I46" s="55"/>
      <c r="J46" s="55">
        <f>+E43*8</f>
        <v>8</v>
      </c>
      <c r="K46" s="55" t="s">
        <v>315</v>
      </c>
      <c r="L46" s="55"/>
    </row>
    <row r="47" ht="14.25" spans="1:12">
      <c r="A47" s="56">
        <v>11</v>
      </c>
      <c r="B47" s="56">
        <v>900</v>
      </c>
      <c r="C47" s="56">
        <v>720</v>
      </c>
      <c r="D47" s="56" t="s">
        <v>780</v>
      </c>
      <c r="E47" s="55">
        <v>1</v>
      </c>
      <c r="F47" s="55" t="s">
        <v>1339</v>
      </c>
      <c r="G47" s="55"/>
      <c r="H47" s="55"/>
      <c r="I47" s="55"/>
      <c r="J47" s="55">
        <f>+E47*1</f>
        <v>1</v>
      </c>
      <c r="K47" s="55" t="s">
        <v>315</v>
      </c>
      <c r="L47" s="55"/>
    </row>
    <row r="48" ht="14.25" spans="1:12">
      <c r="A48" s="59"/>
      <c r="B48" s="59"/>
      <c r="C48" s="59"/>
      <c r="D48" s="59"/>
      <c r="E48" s="55"/>
      <c r="F48" s="57" t="s">
        <v>1293</v>
      </c>
      <c r="G48" s="58"/>
      <c r="H48" s="58"/>
      <c r="I48" s="68"/>
      <c r="J48" s="55">
        <f>+E47*3</f>
        <v>3</v>
      </c>
      <c r="K48" s="55" t="s">
        <v>261</v>
      </c>
      <c r="L48" s="55"/>
    </row>
    <row r="49" ht="14.25" spans="1:12">
      <c r="A49" s="59"/>
      <c r="B49" s="59"/>
      <c r="C49" s="59"/>
      <c r="D49" s="59"/>
      <c r="E49" s="55"/>
      <c r="F49" s="62" t="s">
        <v>1297</v>
      </c>
      <c r="G49" s="62"/>
      <c r="H49" s="62"/>
      <c r="I49" s="62"/>
      <c r="J49" s="62">
        <f>+E47*0.5</f>
        <v>0.5</v>
      </c>
      <c r="K49" s="62" t="s">
        <v>231</v>
      </c>
      <c r="L49" s="62" t="s">
        <v>1298</v>
      </c>
    </row>
    <row r="50" ht="14.25" spans="1:12">
      <c r="A50" s="60"/>
      <c r="B50" s="60"/>
      <c r="C50" s="60"/>
      <c r="D50" s="60"/>
      <c r="E50" s="55"/>
      <c r="F50" s="55" t="s">
        <v>1337</v>
      </c>
      <c r="G50" s="55"/>
      <c r="H50" s="55"/>
      <c r="I50" s="55"/>
      <c r="J50" s="55">
        <f>+E47*8</f>
        <v>8</v>
      </c>
      <c r="K50" s="55" t="s">
        <v>315</v>
      </c>
      <c r="L50" s="55"/>
    </row>
    <row r="51" ht="14.25" spans="1:12">
      <c r="A51" s="61" t="s">
        <v>1340</v>
      </c>
      <c r="B51" s="61"/>
      <c r="C51" s="61"/>
      <c r="D51" s="61"/>
      <c r="E51" s="61"/>
      <c r="F51" s="61"/>
      <c r="G51" s="61"/>
      <c r="H51" s="61"/>
      <c r="I51" s="61"/>
      <c r="J51" s="61"/>
      <c r="K51" s="61"/>
      <c r="L51" s="61"/>
    </row>
    <row r="52" ht="14.25" spans="1:12">
      <c r="A52" s="63">
        <v>1</v>
      </c>
      <c r="B52" s="64" t="s">
        <v>1341</v>
      </c>
      <c r="C52" s="63">
        <v>715</v>
      </c>
      <c r="D52" s="63">
        <v>20</v>
      </c>
      <c r="E52" s="63">
        <v>4</v>
      </c>
      <c r="F52" s="55" t="s">
        <v>1342</v>
      </c>
      <c r="G52" s="55"/>
      <c r="H52" s="55"/>
      <c r="I52" s="55"/>
      <c r="J52" s="55">
        <f>E52*0.25</f>
        <v>1</v>
      </c>
      <c r="K52" s="55" t="s">
        <v>315</v>
      </c>
      <c r="L52" s="56" t="s">
        <v>1343</v>
      </c>
    </row>
    <row r="53" ht="14.25" spans="1:12">
      <c r="A53" s="63"/>
      <c r="B53" s="65"/>
      <c r="C53" s="63"/>
      <c r="D53" s="63"/>
      <c r="E53" s="63"/>
      <c r="F53" s="57" t="s">
        <v>1293</v>
      </c>
      <c r="G53" s="58"/>
      <c r="H53" s="58"/>
      <c r="I53" s="68"/>
      <c r="J53" s="55">
        <f>+E52*1</f>
        <v>4</v>
      </c>
      <c r="K53" s="55" t="s">
        <v>261</v>
      </c>
      <c r="L53" s="59"/>
    </row>
    <row r="54" ht="14.25" spans="1:12">
      <c r="A54" s="63"/>
      <c r="B54" s="65"/>
      <c r="C54" s="63"/>
      <c r="D54" s="63"/>
      <c r="E54" s="63"/>
      <c r="F54" s="55" t="s">
        <v>1309</v>
      </c>
      <c r="G54" s="55"/>
      <c r="H54" s="55"/>
      <c r="I54" s="55"/>
      <c r="J54" s="55">
        <f>+E52*0.125</f>
        <v>0.5</v>
      </c>
      <c r="K54" s="55" t="s">
        <v>231</v>
      </c>
      <c r="L54" s="59"/>
    </row>
    <row r="55" ht="14.25" spans="1:12">
      <c r="A55" s="63"/>
      <c r="B55" s="66"/>
      <c r="C55" s="63"/>
      <c r="D55" s="63"/>
      <c r="E55" s="63"/>
      <c r="F55" s="55" t="s">
        <v>1326</v>
      </c>
      <c r="G55" s="55"/>
      <c r="H55" s="55"/>
      <c r="I55" s="55"/>
      <c r="J55" s="55">
        <f>+E52*2</f>
        <v>8</v>
      </c>
      <c r="K55" s="55" t="s">
        <v>315</v>
      </c>
      <c r="L55" s="60"/>
    </row>
    <row r="56" ht="14.25" spans="1:12">
      <c r="A56" s="63">
        <v>2</v>
      </c>
      <c r="B56" s="63">
        <v>597</v>
      </c>
      <c r="C56" s="63">
        <v>715</v>
      </c>
      <c r="D56" s="63">
        <v>20</v>
      </c>
      <c r="E56" s="63">
        <v>4</v>
      </c>
      <c r="F56" s="55" t="s">
        <v>1344</v>
      </c>
      <c r="G56" s="55"/>
      <c r="H56" s="55"/>
      <c r="I56" s="55"/>
      <c r="J56" s="55">
        <f>E56*0.25</f>
        <v>1</v>
      </c>
      <c r="K56" s="55" t="s">
        <v>315</v>
      </c>
      <c r="L56" s="56" t="s">
        <v>1343</v>
      </c>
    </row>
    <row r="57" ht="14.25" spans="1:12">
      <c r="A57" s="63"/>
      <c r="B57" s="63"/>
      <c r="C57" s="63"/>
      <c r="D57" s="63"/>
      <c r="E57" s="63"/>
      <c r="F57" s="57" t="s">
        <v>1293</v>
      </c>
      <c r="G57" s="58"/>
      <c r="H57" s="58"/>
      <c r="I57" s="68"/>
      <c r="J57" s="55">
        <f>+E56*1</f>
        <v>4</v>
      </c>
      <c r="K57" s="55" t="s">
        <v>261</v>
      </c>
      <c r="L57" s="59"/>
    </row>
    <row r="58" ht="14.25" spans="1:12">
      <c r="A58" s="63"/>
      <c r="B58" s="63"/>
      <c r="C58" s="63"/>
      <c r="D58" s="63"/>
      <c r="E58" s="63"/>
      <c r="F58" s="55" t="s">
        <v>1309</v>
      </c>
      <c r="G58" s="55"/>
      <c r="H58" s="55"/>
      <c r="I58" s="55"/>
      <c r="J58" s="55">
        <f>+E56*0.125</f>
        <v>0.5</v>
      </c>
      <c r="K58" s="55" t="s">
        <v>231</v>
      </c>
      <c r="L58" s="59"/>
    </row>
    <row r="59" ht="14.25" spans="1:12">
      <c r="A59" s="63"/>
      <c r="B59" s="63"/>
      <c r="C59" s="63"/>
      <c r="D59" s="63"/>
      <c r="E59" s="63"/>
      <c r="F59" s="55" t="s">
        <v>1326</v>
      </c>
      <c r="G59" s="55"/>
      <c r="H59" s="55"/>
      <c r="I59" s="55"/>
      <c r="J59" s="55">
        <f>+E56*2</f>
        <v>8</v>
      </c>
      <c r="K59" s="55" t="s">
        <v>315</v>
      </c>
      <c r="L59" s="60"/>
    </row>
    <row r="60" ht="14.25" spans="1:12">
      <c r="A60" s="63">
        <v>3</v>
      </c>
      <c r="B60" s="63">
        <v>597</v>
      </c>
      <c r="C60" s="63">
        <v>356</v>
      </c>
      <c r="D60" s="63">
        <v>20</v>
      </c>
      <c r="E60" s="63">
        <v>4</v>
      </c>
      <c r="F60" s="55" t="s">
        <v>1345</v>
      </c>
      <c r="G60" s="55"/>
      <c r="H60" s="55"/>
      <c r="I60" s="55"/>
      <c r="J60" s="55">
        <f>E60*0.25</f>
        <v>1</v>
      </c>
      <c r="K60" s="55" t="s">
        <v>315</v>
      </c>
      <c r="L60" s="56" t="s">
        <v>1343</v>
      </c>
    </row>
    <row r="61" ht="14.25" spans="1:12">
      <c r="A61" s="63"/>
      <c r="B61" s="63"/>
      <c r="C61" s="63"/>
      <c r="D61" s="63"/>
      <c r="E61" s="63"/>
      <c r="F61" s="57" t="s">
        <v>1293</v>
      </c>
      <c r="G61" s="58"/>
      <c r="H61" s="58"/>
      <c r="I61" s="68"/>
      <c r="J61" s="55">
        <f>+E60*1</f>
        <v>4</v>
      </c>
      <c r="K61" s="55" t="s">
        <v>261</v>
      </c>
      <c r="L61" s="59"/>
    </row>
    <row r="62" ht="14.25" spans="1:12">
      <c r="A62" s="63"/>
      <c r="B62" s="63"/>
      <c r="C62" s="63"/>
      <c r="D62" s="63"/>
      <c r="E62" s="63"/>
      <c r="F62" s="55" t="s">
        <v>1309</v>
      </c>
      <c r="G62" s="55"/>
      <c r="H62" s="55"/>
      <c r="I62" s="55"/>
      <c r="J62" s="55">
        <f>+E60*0.125</f>
        <v>0.5</v>
      </c>
      <c r="K62" s="55" t="s">
        <v>231</v>
      </c>
      <c r="L62" s="59"/>
    </row>
    <row r="63" ht="14.25" spans="1:12">
      <c r="A63" s="63"/>
      <c r="B63" s="63"/>
      <c r="C63" s="63"/>
      <c r="D63" s="63"/>
      <c r="E63" s="63"/>
      <c r="F63" s="55" t="s">
        <v>1326</v>
      </c>
      <c r="G63" s="55"/>
      <c r="H63" s="55"/>
      <c r="I63" s="55"/>
      <c r="J63" s="55">
        <f>+E60*2</f>
        <v>8</v>
      </c>
      <c r="K63" s="55" t="s">
        <v>315</v>
      </c>
      <c r="L63" s="60"/>
    </row>
    <row r="64" ht="14.25" spans="1:12">
      <c r="A64" s="63">
        <v>4</v>
      </c>
      <c r="B64" s="63">
        <v>897</v>
      </c>
      <c r="C64" s="63">
        <v>356</v>
      </c>
      <c r="D64" s="63">
        <v>20</v>
      </c>
      <c r="E64" s="63">
        <v>4</v>
      </c>
      <c r="F64" s="55" t="s">
        <v>1346</v>
      </c>
      <c r="G64" s="55"/>
      <c r="H64" s="55"/>
      <c r="I64" s="55"/>
      <c r="J64" s="55">
        <f>E64*0.25</f>
        <v>1</v>
      </c>
      <c r="K64" s="55" t="s">
        <v>315</v>
      </c>
      <c r="L64" s="56" t="s">
        <v>1343</v>
      </c>
    </row>
    <row r="65" ht="14.25" spans="1:12">
      <c r="A65" s="63"/>
      <c r="B65" s="63"/>
      <c r="C65" s="63"/>
      <c r="D65" s="63"/>
      <c r="E65" s="63"/>
      <c r="F65" s="57" t="s">
        <v>1293</v>
      </c>
      <c r="G65" s="58"/>
      <c r="H65" s="58"/>
      <c r="I65" s="68"/>
      <c r="J65" s="55">
        <f>+E64*1</f>
        <v>4</v>
      </c>
      <c r="K65" s="55" t="s">
        <v>261</v>
      </c>
      <c r="L65" s="59"/>
    </row>
    <row r="66" ht="14.25" spans="1:12">
      <c r="A66" s="63"/>
      <c r="B66" s="63"/>
      <c r="C66" s="63"/>
      <c r="D66" s="63"/>
      <c r="E66" s="63"/>
      <c r="F66" s="55" t="s">
        <v>1309</v>
      </c>
      <c r="G66" s="55"/>
      <c r="H66" s="55"/>
      <c r="I66" s="55"/>
      <c r="J66" s="55">
        <f>+E64*0.125</f>
        <v>0.5</v>
      </c>
      <c r="K66" s="55" t="s">
        <v>231</v>
      </c>
      <c r="L66" s="59"/>
    </row>
    <row r="67" ht="14.25" spans="1:12">
      <c r="A67" s="63"/>
      <c r="B67" s="63"/>
      <c r="C67" s="63"/>
      <c r="D67" s="63"/>
      <c r="E67" s="63"/>
      <c r="F67" s="55" t="s">
        <v>1326</v>
      </c>
      <c r="G67" s="55"/>
      <c r="H67" s="55"/>
      <c r="I67" s="55"/>
      <c r="J67" s="55">
        <f>+E64*2</f>
        <v>8</v>
      </c>
      <c r="K67" s="55" t="s">
        <v>315</v>
      </c>
      <c r="L67" s="60"/>
    </row>
    <row r="68" ht="14.25" spans="1:13">
      <c r="A68" s="61" t="s">
        <v>1306</v>
      </c>
      <c r="B68" s="61"/>
      <c r="C68" s="61"/>
      <c r="D68" s="61"/>
      <c r="E68" s="61"/>
      <c r="F68" s="61"/>
      <c r="G68" s="61"/>
      <c r="H68" s="61"/>
      <c r="I68" s="61"/>
      <c r="J68" s="61"/>
      <c r="K68" s="61"/>
      <c r="L68" s="61"/>
      <c r="M68" s="47" t="s">
        <v>130</v>
      </c>
    </row>
    <row r="69" ht="14.25" spans="1:13">
      <c r="A69" s="74">
        <v>1</v>
      </c>
      <c r="B69" s="75" t="s">
        <v>529</v>
      </c>
      <c r="C69" s="75"/>
      <c r="D69" s="76" t="s">
        <v>1307</v>
      </c>
      <c r="E69" s="75"/>
      <c r="F69" s="55" t="s">
        <v>1308</v>
      </c>
      <c r="G69" s="55"/>
      <c r="H69" s="55"/>
      <c r="I69" s="55"/>
      <c r="J69" s="55">
        <v>5</v>
      </c>
      <c r="K69" s="55" t="s">
        <v>231</v>
      </c>
      <c r="L69" s="55"/>
      <c r="M69" s="47">
        <f>J69*1.5</f>
        <v>7.5</v>
      </c>
    </row>
    <row r="70" ht="14.25" spans="1:13">
      <c r="A70" s="74"/>
      <c r="B70" s="75"/>
      <c r="C70" s="75"/>
      <c r="D70" s="75"/>
      <c r="E70" s="75"/>
      <c r="F70" s="57" t="s">
        <v>1293</v>
      </c>
      <c r="G70" s="58"/>
      <c r="H70" s="58"/>
      <c r="I70" s="68"/>
      <c r="J70" s="55">
        <v>30</v>
      </c>
      <c r="K70" s="55" t="s">
        <v>261</v>
      </c>
      <c r="L70" s="55"/>
      <c r="M70" s="47">
        <f t="shared" ref="M70:M80" si="0">J70*1.5</f>
        <v>45</v>
      </c>
    </row>
    <row r="71" ht="14.25" spans="1:13">
      <c r="A71" s="74"/>
      <c r="B71" s="75"/>
      <c r="C71" s="75"/>
      <c r="D71" s="75"/>
      <c r="E71" s="75"/>
      <c r="F71" s="55" t="s">
        <v>1309</v>
      </c>
      <c r="G71" s="55"/>
      <c r="H71" s="55"/>
      <c r="I71" s="55"/>
      <c r="J71" s="55">
        <v>3</v>
      </c>
      <c r="K71" s="55" t="s">
        <v>231</v>
      </c>
      <c r="L71" s="55"/>
      <c r="M71" s="47">
        <f t="shared" si="0"/>
        <v>4.5</v>
      </c>
    </row>
    <row r="72" ht="14.25" customHeight="1" spans="1:13">
      <c r="A72" s="74"/>
      <c r="B72" s="75"/>
      <c r="C72" s="75"/>
      <c r="D72" s="75"/>
      <c r="E72" s="75"/>
      <c r="F72" s="77" t="s">
        <v>1310</v>
      </c>
      <c r="G72" s="78"/>
      <c r="H72" s="78"/>
      <c r="I72" s="81"/>
      <c r="J72" s="56">
        <v>32</v>
      </c>
      <c r="K72" s="56" t="s">
        <v>315</v>
      </c>
      <c r="L72" s="55"/>
      <c r="M72" s="47">
        <f t="shared" si="0"/>
        <v>48</v>
      </c>
    </row>
    <row r="73" ht="12" customHeight="1" spans="1:13">
      <c r="A73" s="74"/>
      <c r="B73" s="75"/>
      <c r="C73" s="75"/>
      <c r="D73" s="75"/>
      <c r="E73" s="75"/>
      <c r="F73" s="79"/>
      <c r="G73" s="80"/>
      <c r="H73" s="80"/>
      <c r="I73" s="86"/>
      <c r="J73" s="60"/>
      <c r="K73" s="60"/>
      <c r="L73" s="55"/>
      <c r="M73" s="47">
        <f t="shared" si="0"/>
        <v>0</v>
      </c>
    </row>
    <row r="74" ht="24" spans="1:13">
      <c r="A74" s="74"/>
      <c r="B74" s="75"/>
      <c r="C74" s="75"/>
      <c r="D74" s="75"/>
      <c r="E74" s="75"/>
      <c r="F74" s="62" t="s">
        <v>1311</v>
      </c>
      <c r="G74" s="62"/>
      <c r="H74" s="62"/>
      <c r="I74" s="62"/>
      <c r="J74" s="62">
        <v>12</v>
      </c>
      <c r="K74" s="62" t="s">
        <v>181</v>
      </c>
      <c r="L74" s="62" t="s">
        <v>1312</v>
      </c>
      <c r="M74" s="47">
        <f t="shared" si="0"/>
        <v>18</v>
      </c>
    </row>
    <row r="75" ht="14.25" spans="1:13">
      <c r="A75" s="74">
        <v>2</v>
      </c>
      <c r="B75" s="75" t="s">
        <v>529</v>
      </c>
      <c r="C75" s="75"/>
      <c r="D75" s="76" t="s">
        <v>1313</v>
      </c>
      <c r="E75" s="75"/>
      <c r="F75" s="55" t="s">
        <v>1308</v>
      </c>
      <c r="G75" s="55"/>
      <c r="H75" s="55"/>
      <c r="I75" s="55"/>
      <c r="J75" s="55">
        <v>8</v>
      </c>
      <c r="K75" s="55" t="s">
        <v>231</v>
      </c>
      <c r="L75" s="87"/>
      <c r="M75" s="47">
        <f t="shared" si="0"/>
        <v>12</v>
      </c>
    </row>
    <row r="76" ht="14.25" spans="1:13">
      <c r="A76" s="74"/>
      <c r="B76" s="75"/>
      <c r="C76" s="75"/>
      <c r="D76" s="75"/>
      <c r="E76" s="75"/>
      <c r="F76" s="57" t="s">
        <v>1293</v>
      </c>
      <c r="G76" s="58"/>
      <c r="H76" s="58"/>
      <c r="I76" s="68"/>
      <c r="J76" s="55">
        <v>50</v>
      </c>
      <c r="K76" s="55" t="s">
        <v>261</v>
      </c>
      <c r="L76" s="87"/>
      <c r="M76" s="47">
        <f t="shared" si="0"/>
        <v>75</v>
      </c>
    </row>
    <row r="77" ht="14.25" spans="1:13">
      <c r="A77" s="74"/>
      <c r="B77" s="75"/>
      <c r="C77" s="75"/>
      <c r="D77" s="75"/>
      <c r="E77" s="75"/>
      <c r="F77" s="55" t="s">
        <v>1309</v>
      </c>
      <c r="G77" s="55"/>
      <c r="H77" s="55"/>
      <c r="I77" s="55"/>
      <c r="J77" s="55">
        <v>5</v>
      </c>
      <c r="K77" s="55" t="s">
        <v>231</v>
      </c>
      <c r="L77" s="87"/>
      <c r="M77" s="47">
        <f t="shared" si="0"/>
        <v>7.5</v>
      </c>
    </row>
    <row r="78" ht="14.25" customHeight="1" spans="1:13">
      <c r="A78" s="74"/>
      <c r="B78" s="75"/>
      <c r="C78" s="75"/>
      <c r="D78" s="75"/>
      <c r="E78" s="75"/>
      <c r="F78" s="77" t="s">
        <v>1310</v>
      </c>
      <c r="G78" s="78"/>
      <c r="H78" s="78"/>
      <c r="I78" s="81"/>
      <c r="J78" s="56">
        <v>60</v>
      </c>
      <c r="K78" s="56" t="s">
        <v>315</v>
      </c>
      <c r="L78" s="87"/>
      <c r="M78" s="47">
        <f t="shared" si="0"/>
        <v>90</v>
      </c>
    </row>
    <row r="79" ht="12" customHeight="1" spans="1:13">
      <c r="A79" s="74"/>
      <c r="B79" s="75"/>
      <c r="C79" s="75"/>
      <c r="D79" s="75"/>
      <c r="E79" s="75"/>
      <c r="F79" s="79"/>
      <c r="G79" s="80"/>
      <c r="H79" s="80"/>
      <c r="I79" s="86"/>
      <c r="J79" s="60"/>
      <c r="K79" s="60"/>
      <c r="L79" s="87"/>
      <c r="M79" s="47">
        <f t="shared" si="0"/>
        <v>0</v>
      </c>
    </row>
    <row r="80" ht="24" spans="1:13">
      <c r="A80" s="74"/>
      <c r="B80" s="75"/>
      <c r="C80" s="75"/>
      <c r="D80" s="75"/>
      <c r="E80" s="75"/>
      <c r="F80" s="62" t="s">
        <v>1311</v>
      </c>
      <c r="G80" s="62"/>
      <c r="H80" s="62"/>
      <c r="I80" s="62"/>
      <c r="J80" s="62">
        <v>20</v>
      </c>
      <c r="K80" s="62" t="s">
        <v>181</v>
      </c>
      <c r="L80" s="62" t="s">
        <v>1312</v>
      </c>
      <c r="M80" s="47">
        <f t="shared" si="0"/>
        <v>30</v>
      </c>
    </row>
    <row r="81" s="46" customFormat="1" ht="14.25" spans="1:20">
      <c r="A81" s="61" t="s">
        <v>1347</v>
      </c>
      <c r="B81" s="61"/>
      <c r="C81" s="61"/>
      <c r="D81" s="61"/>
      <c r="E81" s="61"/>
      <c r="F81" s="61"/>
      <c r="G81" s="61"/>
      <c r="H81" s="61"/>
      <c r="I81" s="61"/>
      <c r="J81" s="61"/>
      <c r="K81" s="61"/>
      <c r="L81" s="88"/>
      <c r="T81" s="89"/>
    </row>
    <row r="82" ht="14.25" spans="1:12">
      <c r="A82" s="55">
        <v>1</v>
      </c>
      <c r="B82" s="77" t="s">
        <v>1315</v>
      </c>
      <c r="C82" s="81"/>
      <c r="D82" s="55" t="s">
        <v>1316</v>
      </c>
      <c r="E82" s="82">
        <v>1</v>
      </c>
      <c r="F82" s="55" t="s">
        <v>1308</v>
      </c>
      <c r="G82" s="55"/>
      <c r="H82" s="55"/>
      <c r="I82" s="55"/>
      <c r="J82" s="55">
        <f>E82*2</f>
        <v>2</v>
      </c>
      <c r="K82" s="55" t="s">
        <v>231</v>
      </c>
      <c r="L82" s="55" t="s">
        <v>1317</v>
      </c>
    </row>
    <row r="83" ht="14.25" spans="1:12">
      <c r="A83" s="55"/>
      <c r="B83" s="83"/>
      <c r="C83" s="84"/>
      <c r="D83" s="55"/>
      <c r="E83" s="85"/>
      <c r="F83" s="57" t="s">
        <v>1293</v>
      </c>
      <c r="G83" s="58"/>
      <c r="H83" s="58"/>
      <c r="I83" s="68"/>
      <c r="J83" s="55">
        <f>+E82*5</f>
        <v>5</v>
      </c>
      <c r="K83" s="55" t="s">
        <v>261</v>
      </c>
      <c r="L83" s="55"/>
    </row>
    <row r="84" ht="14.25" spans="1:12">
      <c r="A84" s="55"/>
      <c r="B84" s="83"/>
      <c r="C84" s="84"/>
      <c r="D84" s="55"/>
      <c r="E84" s="85"/>
      <c r="F84" s="55" t="s">
        <v>1309</v>
      </c>
      <c r="G84" s="55"/>
      <c r="H84" s="55"/>
      <c r="I84" s="55"/>
      <c r="J84" s="55">
        <f>+E82*1</f>
        <v>1</v>
      </c>
      <c r="K84" s="55" t="s">
        <v>231</v>
      </c>
      <c r="L84" s="55"/>
    </row>
    <row r="85" ht="14.25" spans="1:12">
      <c r="A85" s="55"/>
      <c r="B85" s="79"/>
      <c r="C85" s="86"/>
      <c r="D85" s="55"/>
      <c r="E85" s="85"/>
      <c r="F85" s="55" t="s">
        <v>1318</v>
      </c>
      <c r="G85" s="55"/>
      <c r="H85" s="55"/>
      <c r="I85" s="55"/>
      <c r="J85" s="55">
        <f>+E82*8</f>
        <v>8</v>
      </c>
      <c r="K85" s="55" t="s">
        <v>315</v>
      </c>
      <c r="L85" s="55"/>
    </row>
    <row r="86" ht="14.25" spans="1:12">
      <c r="A86" s="55">
        <v>2</v>
      </c>
      <c r="B86" s="77" t="s">
        <v>1319</v>
      </c>
      <c r="C86" s="81"/>
      <c r="D86" s="55" t="s">
        <v>1320</v>
      </c>
      <c r="E86" s="82">
        <v>1</v>
      </c>
      <c r="F86" s="55" t="s">
        <v>1308</v>
      </c>
      <c r="G86" s="55"/>
      <c r="H86" s="55"/>
      <c r="I86" s="55"/>
      <c r="J86" s="55">
        <f>E86*1</f>
        <v>1</v>
      </c>
      <c r="K86" s="55" t="s">
        <v>231</v>
      </c>
      <c r="L86" s="55"/>
    </row>
    <row r="87" ht="14.25" spans="1:12">
      <c r="A87" s="55"/>
      <c r="B87" s="83"/>
      <c r="C87" s="84"/>
      <c r="D87" s="55"/>
      <c r="E87" s="85"/>
      <c r="F87" s="57" t="s">
        <v>1293</v>
      </c>
      <c r="G87" s="58"/>
      <c r="H87" s="58"/>
      <c r="I87" s="68"/>
      <c r="J87" s="55">
        <f>+E86*4</f>
        <v>4</v>
      </c>
      <c r="K87" s="55" t="s">
        <v>261</v>
      </c>
      <c r="L87" s="55"/>
    </row>
    <row r="88" ht="14.25" spans="1:12">
      <c r="A88" s="55"/>
      <c r="B88" s="83"/>
      <c r="C88" s="84"/>
      <c r="D88" s="55"/>
      <c r="E88" s="85"/>
      <c r="F88" s="55" t="s">
        <v>1309</v>
      </c>
      <c r="G88" s="55"/>
      <c r="H88" s="55"/>
      <c r="I88" s="55"/>
      <c r="J88" s="55">
        <f>+E86*0.5</f>
        <v>0.5</v>
      </c>
      <c r="K88" s="55" t="s">
        <v>231</v>
      </c>
      <c r="L88" s="55"/>
    </row>
    <row r="89" ht="14.25" spans="1:12">
      <c r="A89" s="55"/>
      <c r="B89" s="79"/>
      <c r="C89" s="86"/>
      <c r="D89" s="55"/>
      <c r="E89" s="85"/>
      <c r="F89" s="55" t="s">
        <v>1318</v>
      </c>
      <c r="G89" s="55"/>
      <c r="H89" s="55"/>
      <c r="I89" s="55"/>
      <c r="J89" s="55">
        <f>+E86*8</f>
        <v>8</v>
      </c>
      <c r="K89" s="55" t="s">
        <v>315</v>
      </c>
      <c r="L89" s="55"/>
    </row>
    <row r="90" ht="14.25" spans="1:12">
      <c r="A90" s="55">
        <v>3</v>
      </c>
      <c r="B90" s="77" t="s">
        <v>1321</v>
      </c>
      <c r="C90" s="81"/>
      <c r="D90" s="55" t="s">
        <v>1322</v>
      </c>
      <c r="E90" s="74">
        <v>1</v>
      </c>
      <c r="F90" s="55" t="s">
        <v>1308</v>
      </c>
      <c r="G90" s="55"/>
      <c r="H90" s="55"/>
      <c r="I90" s="55"/>
      <c r="J90" s="55">
        <f>E90*2</f>
        <v>2</v>
      </c>
      <c r="K90" s="55" t="s">
        <v>231</v>
      </c>
      <c r="L90" s="55"/>
    </row>
    <row r="91" ht="14.25" spans="1:12">
      <c r="A91" s="55"/>
      <c r="B91" s="83"/>
      <c r="C91" s="84"/>
      <c r="D91" s="55"/>
      <c r="E91" s="74"/>
      <c r="F91" s="57" t="s">
        <v>1293</v>
      </c>
      <c r="G91" s="58"/>
      <c r="H91" s="58"/>
      <c r="I91" s="68"/>
      <c r="J91" s="55">
        <f>+E90*7</f>
        <v>7</v>
      </c>
      <c r="K91" s="55" t="s">
        <v>261</v>
      </c>
      <c r="L91" s="55"/>
    </row>
    <row r="92" ht="14.25" spans="1:12">
      <c r="A92" s="55"/>
      <c r="B92" s="83"/>
      <c r="C92" s="84"/>
      <c r="D92" s="55"/>
      <c r="E92" s="74"/>
      <c r="F92" s="55" t="s">
        <v>1309</v>
      </c>
      <c r="G92" s="55"/>
      <c r="H92" s="55"/>
      <c r="I92" s="55"/>
      <c r="J92" s="55">
        <f>+E90*1.5</f>
        <v>1.5</v>
      </c>
      <c r="K92" s="55" t="s">
        <v>231</v>
      </c>
      <c r="L92" s="55"/>
    </row>
    <row r="93" ht="14.25" spans="1:12">
      <c r="A93" s="55"/>
      <c r="B93" s="79"/>
      <c r="C93" s="86"/>
      <c r="D93" s="55"/>
      <c r="E93" s="74"/>
      <c r="F93" s="55" t="s">
        <v>1318</v>
      </c>
      <c r="G93" s="55"/>
      <c r="H93" s="55"/>
      <c r="I93" s="55"/>
      <c r="J93" s="55">
        <f>+E90*8</f>
        <v>8</v>
      </c>
      <c r="K93" s="55" t="s">
        <v>315</v>
      </c>
      <c r="L93" s="55"/>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3"/>
  <sheetViews>
    <sheetView topLeftCell="A169" workbookViewId="0">
      <selection activeCell="A193" sqref="A193"/>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759</v>
      </c>
      <c r="B1" s="4"/>
      <c r="C1" s="4"/>
      <c r="D1" s="4"/>
      <c r="E1" s="4"/>
      <c r="F1" s="4"/>
      <c r="G1" s="4"/>
      <c r="H1" s="4"/>
      <c r="I1" s="4"/>
      <c r="J1" s="4"/>
      <c r="K1" s="4"/>
    </row>
    <row r="2" spans="1:11">
      <c r="A2" s="5" t="s">
        <v>411</v>
      </c>
      <c r="B2" s="5"/>
      <c r="C2" s="6">
        <f>领料单!C3</f>
        <v>0</v>
      </c>
      <c r="D2" s="6"/>
      <c r="E2" s="6"/>
      <c r="F2" s="6"/>
      <c r="G2" s="6"/>
      <c r="H2" s="6"/>
      <c r="I2" s="5" t="s">
        <v>7</v>
      </c>
      <c r="J2" s="5"/>
      <c r="K2" s="27">
        <f>铝材玻璃单!L3</f>
        <v>0</v>
      </c>
    </row>
    <row r="3" spans="1:11">
      <c r="A3" s="7" t="s">
        <v>1</v>
      </c>
      <c r="B3" s="7"/>
      <c r="C3" s="7">
        <f>领料单!C2</f>
        <v>0</v>
      </c>
      <c r="D3" s="7"/>
      <c r="E3" s="7" t="s">
        <v>6</v>
      </c>
      <c r="F3" s="7"/>
      <c r="G3" s="8">
        <f>下料单!AB2</f>
        <v>0</v>
      </c>
      <c r="H3" s="8"/>
      <c r="I3" s="7" t="s">
        <v>67</v>
      </c>
      <c r="J3" s="7"/>
      <c r="K3" s="28" t="str">
        <f>铝材玻璃单!L2</f>
        <v>简爱</v>
      </c>
    </row>
    <row r="4" spans="1:11">
      <c r="A4" s="7" t="str">
        <f>[6]下料单!L2</f>
        <v>版本型录号</v>
      </c>
      <c r="B4" s="7"/>
      <c r="C4" s="7">
        <f>下料单!R2</f>
        <v>0</v>
      </c>
      <c r="D4" s="7"/>
      <c r="E4" s="7" t="s">
        <v>9</v>
      </c>
      <c r="F4" s="7"/>
      <c r="G4" s="9">
        <f>下料单!AG2</f>
        <v>0</v>
      </c>
      <c r="H4" s="9"/>
      <c r="I4" s="7"/>
      <c r="J4" s="7"/>
      <c r="K4" s="29"/>
    </row>
    <row r="5" spans="1:11">
      <c r="A5" s="10" t="s">
        <v>762</v>
      </c>
      <c r="B5" s="10"/>
      <c r="C5" s="10"/>
      <c r="D5" s="10"/>
      <c r="E5" s="10"/>
      <c r="F5" s="10"/>
      <c r="G5" s="10"/>
      <c r="H5" s="10"/>
      <c r="I5" s="10"/>
      <c r="J5" s="10"/>
      <c r="K5" s="10"/>
    </row>
    <row r="6" customHeight="1" spans="1:11">
      <c r="A6" s="11" t="s">
        <v>1348</v>
      </c>
      <c r="B6" s="12"/>
      <c r="C6" s="12"/>
      <c r="D6" s="12"/>
      <c r="E6" s="12"/>
      <c r="F6" s="12"/>
      <c r="G6" s="12"/>
      <c r="H6" s="12"/>
      <c r="I6" s="12"/>
      <c r="J6" s="12"/>
      <c r="K6" s="30"/>
    </row>
    <row r="7" spans="1:11">
      <c r="A7" s="13" t="s">
        <v>22</v>
      </c>
      <c r="B7" s="13" t="s">
        <v>764</v>
      </c>
      <c r="C7" s="13" t="s">
        <v>765</v>
      </c>
      <c r="D7" s="13" t="s">
        <v>766</v>
      </c>
      <c r="E7" s="14"/>
      <c r="F7" s="13" t="s">
        <v>767</v>
      </c>
      <c r="G7" s="13" t="s">
        <v>768</v>
      </c>
      <c r="H7" s="13" t="s">
        <v>543</v>
      </c>
      <c r="I7" s="13" t="s">
        <v>90</v>
      </c>
      <c r="J7" s="13" t="s">
        <v>26</v>
      </c>
      <c r="K7" s="13" t="s">
        <v>30</v>
      </c>
    </row>
    <row r="8" spans="1:11">
      <c r="A8" s="13">
        <v>1</v>
      </c>
      <c r="B8" s="13">
        <v>150</v>
      </c>
      <c r="C8" s="13">
        <v>720</v>
      </c>
      <c r="D8" s="13">
        <v>560</v>
      </c>
      <c r="E8" s="15">
        <v>1</v>
      </c>
      <c r="F8" s="13" t="s">
        <v>769</v>
      </c>
      <c r="G8" s="16" t="s">
        <v>770</v>
      </c>
      <c r="H8" s="16" t="s">
        <v>1349</v>
      </c>
      <c r="I8" s="13">
        <f>+E8*1</f>
        <v>1</v>
      </c>
      <c r="J8" s="13" t="s">
        <v>315</v>
      </c>
      <c r="K8" s="18"/>
    </row>
    <row r="9" spans="1:11">
      <c r="A9" s="13"/>
      <c r="B9" s="13"/>
      <c r="C9" s="13"/>
      <c r="D9" s="13"/>
      <c r="E9" s="17"/>
      <c r="F9" s="13"/>
      <c r="G9" s="18" t="s">
        <v>773</v>
      </c>
      <c r="H9" s="18" t="s">
        <v>774</v>
      </c>
      <c r="I9" s="13">
        <f>+E8*8</f>
        <v>8</v>
      </c>
      <c r="J9" s="13" t="s">
        <v>315</v>
      </c>
      <c r="K9" s="18"/>
    </row>
    <row r="10" spans="1:11">
      <c r="A10" s="13"/>
      <c r="B10" s="13"/>
      <c r="C10" s="13"/>
      <c r="D10" s="13"/>
      <c r="E10" s="19"/>
      <c r="F10" s="13"/>
      <c r="G10" s="18" t="s">
        <v>1350</v>
      </c>
      <c r="H10" s="18" t="s">
        <v>776</v>
      </c>
      <c r="I10" s="13">
        <f>+E8*1.6</f>
        <v>1.6</v>
      </c>
      <c r="J10" s="13" t="s">
        <v>261</v>
      </c>
      <c r="K10" s="18"/>
    </row>
    <row r="11" spans="1:11">
      <c r="A11" s="13">
        <v>2</v>
      </c>
      <c r="B11" s="13">
        <v>300</v>
      </c>
      <c r="C11" s="13">
        <v>720</v>
      </c>
      <c r="D11" s="13">
        <v>560</v>
      </c>
      <c r="E11" s="15">
        <v>1</v>
      </c>
      <c r="F11" s="13" t="s">
        <v>769</v>
      </c>
      <c r="G11" s="16" t="s">
        <v>1351</v>
      </c>
      <c r="H11" s="16" t="s">
        <v>1352</v>
      </c>
      <c r="I11" s="13">
        <f>+E11*1</f>
        <v>1</v>
      </c>
      <c r="J11" s="13" t="s">
        <v>315</v>
      </c>
      <c r="K11" s="13"/>
    </row>
    <row r="12" spans="1:11">
      <c r="A12" s="13"/>
      <c r="B12" s="13"/>
      <c r="C12" s="13"/>
      <c r="D12" s="13"/>
      <c r="E12" s="17"/>
      <c r="F12" s="13"/>
      <c r="G12" s="18" t="s">
        <v>773</v>
      </c>
      <c r="H12" s="18" t="s">
        <v>774</v>
      </c>
      <c r="I12" s="13">
        <f>+E11*8</f>
        <v>8</v>
      </c>
      <c r="J12" s="13" t="s">
        <v>315</v>
      </c>
      <c r="K12" s="13"/>
    </row>
    <row r="13" spans="1:11">
      <c r="A13" s="13"/>
      <c r="B13" s="13"/>
      <c r="C13" s="13"/>
      <c r="D13" s="13"/>
      <c r="E13" s="19"/>
      <c r="F13" s="13"/>
      <c r="G13" s="18" t="s">
        <v>1350</v>
      </c>
      <c r="H13" s="18" t="s">
        <v>776</v>
      </c>
      <c r="I13" s="13">
        <f>+E11*1.9</f>
        <v>1.9</v>
      </c>
      <c r="J13" s="13" t="s">
        <v>261</v>
      </c>
      <c r="K13" s="13"/>
    </row>
    <row r="14" spans="1:11">
      <c r="A14" s="13">
        <v>3</v>
      </c>
      <c r="B14" s="13">
        <v>450</v>
      </c>
      <c r="C14" s="13">
        <v>720</v>
      </c>
      <c r="D14" s="13">
        <v>560</v>
      </c>
      <c r="E14" s="15">
        <v>1</v>
      </c>
      <c r="F14" s="13" t="s">
        <v>780</v>
      </c>
      <c r="G14" s="16" t="s">
        <v>781</v>
      </c>
      <c r="H14" s="16" t="s">
        <v>1353</v>
      </c>
      <c r="I14" s="13">
        <f>+E14*1</f>
        <v>1</v>
      </c>
      <c r="J14" s="13" t="s">
        <v>315</v>
      </c>
      <c r="K14" s="13"/>
    </row>
    <row r="15" spans="1:11">
      <c r="A15" s="13"/>
      <c r="B15" s="13"/>
      <c r="C15" s="13"/>
      <c r="D15" s="13"/>
      <c r="E15" s="17"/>
      <c r="F15" s="13"/>
      <c r="G15" s="18" t="s">
        <v>773</v>
      </c>
      <c r="H15" s="18" t="s">
        <v>774</v>
      </c>
      <c r="I15" s="13">
        <f>+E14*8</f>
        <v>8</v>
      </c>
      <c r="J15" s="13" t="s">
        <v>315</v>
      </c>
      <c r="K15" s="13"/>
    </row>
    <row r="16" spans="1:11">
      <c r="A16" s="13"/>
      <c r="B16" s="13"/>
      <c r="C16" s="13"/>
      <c r="D16" s="13"/>
      <c r="E16" s="19"/>
      <c r="F16" s="13"/>
      <c r="G16" s="18" t="s">
        <v>1350</v>
      </c>
      <c r="H16" s="18" t="s">
        <v>776</v>
      </c>
      <c r="I16" s="13">
        <f>+E14*2.2</f>
        <v>2.2</v>
      </c>
      <c r="J16" s="13" t="s">
        <v>261</v>
      </c>
      <c r="K16" s="13"/>
    </row>
    <row r="17" spans="1:11">
      <c r="A17" s="13">
        <v>4</v>
      </c>
      <c r="B17" s="13">
        <v>600</v>
      </c>
      <c r="C17" s="13">
        <v>720</v>
      </c>
      <c r="D17" s="13">
        <v>560</v>
      </c>
      <c r="E17" s="15">
        <v>1</v>
      </c>
      <c r="F17" s="13" t="s">
        <v>780</v>
      </c>
      <c r="G17" s="16" t="s">
        <v>782</v>
      </c>
      <c r="H17" s="16" t="s">
        <v>1354</v>
      </c>
      <c r="I17" s="13">
        <f>+E17*1</f>
        <v>1</v>
      </c>
      <c r="J17" s="13" t="s">
        <v>315</v>
      </c>
      <c r="K17" s="13"/>
    </row>
    <row r="18" spans="1:11">
      <c r="A18" s="13"/>
      <c r="B18" s="13"/>
      <c r="C18" s="13"/>
      <c r="D18" s="13"/>
      <c r="E18" s="17"/>
      <c r="F18" s="13"/>
      <c r="G18" s="18" t="s">
        <v>773</v>
      </c>
      <c r="H18" s="18" t="s">
        <v>774</v>
      </c>
      <c r="I18" s="13">
        <f>+E17*8</f>
        <v>8</v>
      </c>
      <c r="J18" s="13" t="s">
        <v>315</v>
      </c>
      <c r="K18" s="13"/>
    </row>
    <row r="19" spans="1:11">
      <c r="A19" s="13"/>
      <c r="B19" s="13"/>
      <c r="C19" s="13"/>
      <c r="D19" s="13"/>
      <c r="E19" s="17"/>
      <c r="F19" s="13"/>
      <c r="G19" s="18" t="s">
        <v>1350</v>
      </c>
      <c r="H19" s="18" t="s">
        <v>776</v>
      </c>
      <c r="I19" s="13">
        <f>+E17*2.5</f>
        <v>2.5</v>
      </c>
      <c r="J19" s="13" t="s">
        <v>261</v>
      </c>
      <c r="K19" s="13"/>
    </row>
    <row r="20" spans="1:11">
      <c r="A20" s="13"/>
      <c r="B20" s="13"/>
      <c r="C20" s="13"/>
      <c r="D20" s="13"/>
      <c r="E20" s="19"/>
      <c r="F20" s="13"/>
      <c r="G20" s="18" t="s">
        <v>784</v>
      </c>
      <c r="H20" s="20" t="s">
        <v>785</v>
      </c>
      <c r="I20" s="13" t="s">
        <v>786</v>
      </c>
      <c r="J20" s="13"/>
      <c r="K20" s="31" t="s">
        <v>787</v>
      </c>
    </row>
    <row r="21" spans="1:11">
      <c r="A21" s="21">
        <v>5</v>
      </c>
      <c r="B21" s="13">
        <v>900</v>
      </c>
      <c r="C21" s="13">
        <v>720</v>
      </c>
      <c r="D21" s="13">
        <v>560</v>
      </c>
      <c r="E21" s="15">
        <v>1</v>
      </c>
      <c r="F21" s="13" t="s">
        <v>780</v>
      </c>
      <c r="G21" s="16" t="s">
        <v>788</v>
      </c>
      <c r="H21" s="16" t="s">
        <v>1355</v>
      </c>
      <c r="I21" s="13">
        <f>+E21*1</f>
        <v>1</v>
      </c>
      <c r="J21" s="13" t="s">
        <v>315</v>
      </c>
      <c r="K21" s="13"/>
    </row>
    <row r="22" spans="1:11">
      <c r="A22" s="22"/>
      <c r="B22" s="13"/>
      <c r="C22" s="13"/>
      <c r="D22" s="13"/>
      <c r="E22" s="17"/>
      <c r="F22" s="13"/>
      <c r="G22" s="18" t="s">
        <v>773</v>
      </c>
      <c r="H22" s="18" t="s">
        <v>774</v>
      </c>
      <c r="I22" s="13">
        <f>+E21*8</f>
        <v>8</v>
      </c>
      <c r="J22" s="13" t="s">
        <v>315</v>
      </c>
      <c r="K22" s="13"/>
    </row>
    <row r="23" spans="1:11">
      <c r="A23" s="22"/>
      <c r="B23" s="13"/>
      <c r="C23" s="13"/>
      <c r="D23" s="13"/>
      <c r="E23" s="17"/>
      <c r="F23" s="13"/>
      <c r="G23" s="18" t="s">
        <v>1350</v>
      </c>
      <c r="H23" s="18" t="s">
        <v>776</v>
      </c>
      <c r="I23" s="13">
        <f>+E21*3.1</f>
        <v>3.1</v>
      </c>
      <c r="J23" s="13" t="s">
        <v>261</v>
      </c>
      <c r="K23" s="13"/>
    </row>
    <row r="24" spans="1:11">
      <c r="A24" s="23"/>
      <c r="B24" s="13"/>
      <c r="C24" s="13"/>
      <c r="D24" s="13"/>
      <c r="E24" s="19"/>
      <c r="F24" s="13"/>
      <c r="G24" s="18" t="s">
        <v>784</v>
      </c>
      <c r="H24" s="20" t="s">
        <v>785</v>
      </c>
      <c r="I24" s="13" t="s">
        <v>786</v>
      </c>
      <c r="J24" s="13"/>
      <c r="K24" s="31" t="s">
        <v>787</v>
      </c>
    </row>
    <row r="25" ht="24" spans="1:11">
      <c r="A25" s="23" t="s">
        <v>1356</v>
      </c>
      <c r="B25" s="13"/>
      <c r="C25" s="13"/>
      <c r="D25" s="13"/>
      <c r="E25" s="19">
        <v>1</v>
      </c>
      <c r="F25" s="13"/>
      <c r="G25" s="18"/>
      <c r="H25" s="20"/>
      <c r="I25" s="13"/>
      <c r="J25" s="13"/>
      <c r="K25" s="31"/>
    </row>
    <row r="26" spans="1:11">
      <c r="A26" s="24" t="s">
        <v>790</v>
      </c>
      <c r="B26" s="24"/>
      <c r="C26" s="24"/>
      <c r="D26" s="24"/>
      <c r="E26" s="24"/>
      <c r="F26" s="24"/>
      <c r="G26" s="24"/>
      <c r="H26" s="24"/>
      <c r="I26" s="24"/>
      <c r="J26" s="24"/>
      <c r="K26" s="24"/>
    </row>
    <row r="27" spans="1:11">
      <c r="A27" s="13" t="s">
        <v>22</v>
      </c>
      <c r="B27" s="13" t="s">
        <v>764</v>
      </c>
      <c r="C27" s="13" t="s">
        <v>765</v>
      </c>
      <c r="D27" s="13" t="s">
        <v>766</v>
      </c>
      <c r="E27" s="14"/>
      <c r="F27" s="13" t="s">
        <v>767</v>
      </c>
      <c r="G27" s="13" t="s">
        <v>768</v>
      </c>
      <c r="H27" s="13" t="s">
        <v>543</v>
      </c>
      <c r="I27" s="13" t="s">
        <v>90</v>
      </c>
      <c r="J27" s="13" t="s">
        <v>26</v>
      </c>
      <c r="K27" s="13" t="s">
        <v>30</v>
      </c>
    </row>
    <row r="28" spans="1:11">
      <c r="A28" s="13">
        <v>1</v>
      </c>
      <c r="B28" s="13" t="s">
        <v>791</v>
      </c>
      <c r="C28" s="13" t="s">
        <v>792</v>
      </c>
      <c r="D28" s="13" t="s">
        <v>792</v>
      </c>
      <c r="E28" s="15">
        <v>1</v>
      </c>
      <c r="F28" s="18" t="s">
        <v>793</v>
      </c>
      <c r="G28" s="18" t="s">
        <v>777</v>
      </c>
      <c r="H28" s="20" t="s">
        <v>794</v>
      </c>
      <c r="I28" s="13">
        <f>+E28*1</f>
        <v>1</v>
      </c>
      <c r="J28" s="13" t="s">
        <v>231</v>
      </c>
      <c r="K28" s="13"/>
    </row>
    <row r="29" spans="1:11">
      <c r="A29" s="13"/>
      <c r="B29" s="13"/>
      <c r="C29" s="13"/>
      <c r="D29" s="13"/>
      <c r="E29" s="17"/>
      <c r="F29" s="18"/>
      <c r="G29" s="18" t="s">
        <v>773</v>
      </c>
      <c r="H29" s="18" t="s">
        <v>774</v>
      </c>
      <c r="I29" s="13">
        <f>+E28*8</f>
        <v>8</v>
      </c>
      <c r="J29" s="13" t="s">
        <v>315</v>
      </c>
      <c r="K29" s="13"/>
    </row>
    <row r="30" spans="1:11">
      <c r="A30" s="13"/>
      <c r="B30" s="13"/>
      <c r="C30" s="13"/>
      <c r="D30" s="13"/>
      <c r="E30" s="19"/>
      <c r="F30" s="18"/>
      <c r="G30" s="18" t="s">
        <v>1350</v>
      </c>
      <c r="H30" s="18" t="s">
        <v>776</v>
      </c>
      <c r="I30" s="13">
        <f>+E28*2.5</f>
        <v>2.5</v>
      </c>
      <c r="J30" s="13" t="s">
        <v>261</v>
      </c>
      <c r="K30" s="13"/>
    </row>
    <row r="31" spans="1:11">
      <c r="A31" s="13">
        <v>2</v>
      </c>
      <c r="B31" s="13" t="s">
        <v>795</v>
      </c>
      <c r="C31" s="13" t="s">
        <v>792</v>
      </c>
      <c r="D31" s="13" t="s">
        <v>792</v>
      </c>
      <c r="E31" s="15">
        <v>1</v>
      </c>
      <c r="F31" s="18" t="s">
        <v>793</v>
      </c>
      <c r="G31" s="18" t="s">
        <v>777</v>
      </c>
      <c r="H31" s="20" t="s">
        <v>794</v>
      </c>
      <c r="I31" s="13">
        <f>+E31*1.3</f>
        <v>1.3</v>
      </c>
      <c r="J31" s="13" t="s">
        <v>231</v>
      </c>
      <c r="K31" s="13"/>
    </row>
    <row r="32" spans="1:11">
      <c r="A32" s="13"/>
      <c r="B32" s="13"/>
      <c r="C32" s="13"/>
      <c r="D32" s="13"/>
      <c r="E32" s="17"/>
      <c r="F32" s="18"/>
      <c r="G32" s="18" t="s">
        <v>773</v>
      </c>
      <c r="H32" s="18" t="s">
        <v>774</v>
      </c>
      <c r="I32" s="13">
        <f>+E31*8</f>
        <v>8</v>
      </c>
      <c r="J32" s="13" t="s">
        <v>315</v>
      </c>
      <c r="K32" s="13"/>
    </row>
    <row r="33" spans="1:11">
      <c r="A33" s="13"/>
      <c r="B33" s="13"/>
      <c r="C33" s="13"/>
      <c r="D33" s="13"/>
      <c r="E33" s="19"/>
      <c r="F33" s="18"/>
      <c r="G33" s="18" t="s">
        <v>1350</v>
      </c>
      <c r="H33" s="18" t="s">
        <v>776</v>
      </c>
      <c r="I33" s="13">
        <f>+E31*3.2</f>
        <v>3.2</v>
      </c>
      <c r="J33" s="13" t="s">
        <v>261</v>
      </c>
      <c r="K33" s="13"/>
    </row>
    <row r="34" spans="1:11">
      <c r="A34" s="25" t="s">
        <v>796</v>
      </c>
      <c r="B34" s="25"/>
      <c r="C34" s="25"/>
      <c r="D34" s="25"/>
      <c r="E34" s="25"/>
      <c r="F34" s="25"/>
      <c r="G34" s="25"/>
      <c r="H34" s="25"/>
      <c r="I34" s="25"/>
      <c r="J34" s="25"/>
      <c r="K34" s="25"/>
    </row>
    <row r="35" spans="1:11">
      <c r="A35" s="13" t="s">
        <v>797</v>
      </c>
      <c r="B35" s="13" t="s">
        <v>764</v>
      </c>
      <c r="C35" s="13" t="s">
        <v>765</v>
      </c>
      <c r="D35" s="13" t="s">
        <v>766</v>
      </c>
      <c r="E35" s="14"/>
      <c r="F35" s="13" t="s">
        <v>798</v>
      </c>
      <c r="G35" s="13" t="s">
        <v>768</v>
      </c>
      <c r="H35" s="13" t="s">
        <v>543</v>
      </c>
      <c r="I35" s="13" t="s">
        <v>90</v>
      </c>
      <c r="J35" s="13" t="s">
        <v>26</v>
      </c>
      <c r="K35" s="13" t="s">
        <v>30</v>
      </c>
    </row>
    <row r="36" spans="1:11">
      <c r="A36" s="13" t="s">
        <v>799</v>
      </c>
      <c r="B36" s="13" t="s">
        <v>800</v>
      </c>
      <c r="C36" s="13">
        <v>720</v>
      </c>
      <c r="D36" s="13">
        <v>560</v>
      </c>
      <c r="E36" s="15"/>
      <c r="F36" s="18" t="s">
        <v>801</v>
      </c>
      <c r="G36" s="18" t="s">
        <v>802</v>
      </c>
      <c r="H36" s="18" t="s">
        <v>803</v>
      </c>
      <c r="I36" s="13">
        <f>+E36*1</f>
        <v>0</v>
      </c>
      <c r="J36" s="13" t="s">
        <v>315</v>
      </c>
      <c r="K36" s="21"/>
    </row>
    <row r="37" spans="1:11">
      <c r="A37" s="13"/>
      <c r="B37" s="13"/>
      <c r="C37" s="13"/>
      <c r="D37" s="13"/>
      <c r="E37" s="17"/>
      <c r="F37" s="18"/>
      <c r="G37" s="18" t="s">
        <v>1350</v>
      </c>
      <c r="H37" s="18" t="s">
        <v>776</v>
      </c>
      <c r="I37" s="13">
        <f>+E36*1.3</f>
        <v>0</v>
      </c>
      <c r="J37" s="13" t="s">
        <v>261</v>
      </c>
      <c r="K37" s="22"/>
    </row>
    <row r="38" spans="1:11">
      <c r="A38" s="13"/>
      <c r="B38" s="13"/>
      <c r="C38" s="13"/>
      <c r="D38" s="13"/>
      <c r="E38" s="17"/>
      <c r="F38" s="18"/>
      <c r="G38" s="18" t="s">
        <v>784</v>
      </c>
      <c r="H38" s="18"/>
      <c r="I38" s="13" t="s">
        <v>786</v>
      </c>
      <c r="J38" s="13"/>
      <c r="K38" s="22"/>
    </row>
    <row r="39" spans="1:11">
      <c r="A39" s="13"/>
      <c r="B39" s="13"/>
      <c r="C39" s="13"/>
      <c r="D39" s="13"/>
      <c r="E39" s="19"/>
      <c r="F39" s="18"/>
      <c r="G39" s="18" t="s">
        <v>773</v>
      </c>
      <c r="H39" s="18" t="s">
        <v>774</v>
      </c>
      <c r="I39" s="13">
        <f>+E36*8</f>
        <v>0</v>
      </c>
      <c r="J39" s="13" t="s">
        <v>315</v>
      </c>
      <c r="K39" s="22"/>
    </row>
    <row r="40" spans="1:11">
      <c r="A40" s="13" t="s">
        <v>804</v>
      </c>
      <c r="B40" s="13" t="s">
        <v>805</v>
      </c>
      <c r="C40" s="13">
        <v>720</v>
      </c>
      <c r="D40" s="13">
        <v>560</v>
      </c>
      <c r="E40" s="15"/>
      <c r="F40" s="18" t="s">
        <v>801</v>
      </c>
      <c r="G40" s="18" t="s">
        <v>806</v>
      </c>
      <c r="H40" s="18" t="s">
        <v>807</v>
      </c>
      <c r="I40" s="13">
        <f>+E40*1</f>
        <v>0</v>
      </c>
      <c r="J40" s="13" t="s">
        <v>315</v>
      </c>
      <c r="K40" s="22"/>
    </row>
    <row r="41" spans="1:11">
      <c r="A41" s="13"/>
      <c r="B41" s="13"/>
      <c r="C41" s="13"/>
      <c r="D41" s="13"/>
      <c r="E41" s="17"/>
      <c r="F41" s="18"/>
      <c r="G41" s="18" t="s">
        <v>1350</v>
      </c>
      <c r="H41" s="18" t="s">
        <v>776</v>
      </c>
      <c r="I41" s="13">
        <f>+E40*1.3</f>
        <v>0</v>
      </c>
      <c r="J41" s="13" t="s">
        <v>261</v>
      </c>
      <c r="K41" s="22"/>
    </row>
    <row r="42" spans="1:11">
      <c r="A42" s="13"/>
      <c r="B42" s="13"/>
      <c r="C42" s="13"/>
      <c r="D42" s="13"/>
      <c r="E42" s="17"/>
      <c r="F42" s="18"/>
      <c r="G42" s="18" t="s">
        <v>784</v>
      </c>
      <c r="H42" s="18"/>
      <c r="I42" s="13" t="s">
        <v>786</v>
      </c>
      <c r="J42" s="13"/>
      <c r="K42" s="22"/>
    </row>
    <row r="43" spans="1:11">
      <c r="A43" s="13"/>
      <c r="B43" s="13"/>
      <c r="C43" s="13"/>
      <c r="D43" s="13"/>
      <c r="E43" s="19"/>
      <c r="F43" s="18"/>
      <c r="G43" s="18" t="s">
        <v>773</v>
      </c>
      <c r="H43" s="18" t="s">
        <v>774</v>
      </c>
      <c r="I43" s="13">
        <f>+E40*8</f>
        <v>0</v>
      </c>
      <c r="J43" s="13" t="s">
        <v>315</v>
      </c>
      <c r="K43" s="22"/>
    </row>
    <row r="44" spans="1:11">
      <c r="A44" s="13" t="s">
        <v>808</v>
      </c>
      <c r="B44" s="13" t="s">
        <v>809</v>
      </c>
      <c r="C44" s="13">
        <v>720</v>
      </c>
      <c r="D44" s="13">
        <v>560</v>
      </c>
      <c r="E44" s="15">
        <v>1</v>
      </c>
      <c r="F44" s="18" t="s">
        <v>801</v>
      </c>
      <c r="G44" s="18" t="s">
        <v>810</v>
      </c>
      <c r="H44" s="18" t="s">
        <v>811</v>
      </c>
      <c r="I44" s="13">
        <f>+E44*1</f>
        <v>1</v>
      </c>
      <c r="J44" s="13" t="s">
        <v>315</v>
      </c>
      <c r="K44" s="22"/>
    </row>
    <row r="45" spans="1:11">
      <c r="A45" s="13"/>
      <c r="B45" s="13"/>
      <c r="C45" s="13"/>
      <c r="D45" s="13"/>
      <c r="E45" s="17"/>
      <c r="F45" s="18"/>
      <c r="G45" s="18" t="s">
        <v>1350</v>
      </c>
      <c r="H45" s="18" t="s">
        <v>776</v>
      </c>
      <c r="I45" s="13">
        <f>+E44*1.5</f>
        <v>1.5</v>
      </c>
      <c r="J45" s="13" t="s">
        <v>261</v>
      </c>
      <c r="K45" s="22"/>
    </row>
    <row r="46" spans="1:11">
      <c r="A46" s="13"/>
      <c r="B46" s="13"/>
      <c r="C46" s="13"/>
      <c r="D46" s="13"/>
      <c r="E46" s="17"/>
      <c r="F46" s="18"/>
      <c r="G46" s="18" t="s">
        <v>784</v>
      </c>
      <c r="H46" s="18"/>
      <c r="I46" s="13" t="s">
        <v>786</v>
      </c>
      <c r="J46" s="13"/>
      <c r="K46" s="22"/>
    </row>
    <row r="47" spans="1:11">
      <c r="A47" s="13"/>
      <c r="B47" s="13"/>
      <c r="C47" s="13"/>
      <c r="D47" s="13"/>
      <c r="E47" s="19"/>
      <c r="F47" s="18"/>
      <c r="G47" s="18" t="s">
        <v>773</v>
      </c>
      <c r="H47" s="18" t="s">
        <v>774</v>
      </c>
      <c r="I47" s="13">
        <f>+E44*8</f>
        <v>8</v>
      </c>
      <c r="J47" s="13" t="s">
        <v>315</v>
      </c>
      <c r="K47" s="22"/>
    </row>
    <row r="48" spans="1:11">
      <c r="A48" s="13" t="s">
        <v>812</v>
      </c>
      <c r="B48" s="13" t="s">
        <v>813</v>
      </c>
      <c r="C48" s="13">
        <v>720</v>
      </c>
      <c r="D48" s="13">
        <v>300</v>
      </c>
      <c r="E48" s="15"/>
      <c r="F48" s="18" t="s">
        <v>814</v>
      </c>
      <c r="G48" s="18" t="s">
        <v>815</v>
      </c>
      <c r="H48" s="26" t="s">
        <v>816</v>
      </c>
      <c r="I48" s="13">
        <f>+E48*1</f>
        <v>0</v>
      </c>
      <c r="J48" s="13" t="s">
        <v>315</v>
      </c>
      <c r="K48" s="22"/>
    </row>
    <row r="49" spans="1:11">
      <c r="A49" s="13"/>
      <c r="B49" s="13"/>
      <c r="C49" s="13"/>
      <c r="D49" s="13"/>
      <c r="E49" s="17"/>
      <c r="F49" s="18"/>
      <c r="G49" s="18" t="s">
        <v>1350</v>
      </c>
      <c r="H49" s="18" t="s">
        <v>776</v>
      </c>
      <c r="I49" s="13">
        <f>+E48*0.8</f>
        <v>0</v>
      </c>
      <c r="J49" s="13" t="s">
        <v>261</v>
      </c>
      <c r="K49" s="22"/>
    </row>
    <row r="50" spans="1:11">
      <c r="A50" s="13"/>
      <c r="B50" s="13"/>
      <c r="C50" s="13"/>
      <c r="D50" s="13"/>
      <c r="E50" s="17"/>
      <c r="F50" s="18"/>
      <c r="G50" s="18" t="s">
        <v>784</v>
      </c>
      <c r="H50" s="18"/>
      <c r="I50" s="13" t="s">
        <v>786</v>
      </c>
      <c r="J50" s="13"/>
      <c r="K50" s="22"/>
    </row>
    <row r="51" spans="1:11">
      <c r="A51" s="13"/>
      <c r="B51" s="13"/>
      <c r="C51" s="13"/>
      <c r="D51" s="13"/>
      <c r="E51" s="19"/>
      <c r="F51" s="18"/>
      <c r="G51" s="18" t="s">
        <v>773</v>
      </c>
      <c r="H51" s="18" t="s">
        <v>774</v>
      </c>
      <c r="I51" s="13">
        <f>+E48*8</f>
        <v>0</v>
      </c>
      <c r="J51" s="13" t="s">
        <v>315</v>
      </c>
      <c r="K51" s="22"/>
    </row>
    <row r="52" spans="1:11">
      <c r="A52" s="13" t="s">
        <v>817</v>
      </c>
      <c r="B52" s="13" t="s">
        <v>818</v>
      </c>
      <c r="C52" s="13">
        <v>720</v>
      </c>
      <c r="D52" s="13">
        <v>300</v>
      </c>
      <c r="E52" s="15"/>
      <c r="F52" s="18" t="s">
        <v>814</v>
      </c>
      <c r="G52" s="18" t="s">
        <v>819</v>
      </c>
      <c r="H52" s="26" t="s">
        <v>816</v>
      </c>
      <c r="I52" s="13">
        <f>+E52*1</f>
        <v>0</v>
      </c>
      <c r="J52" s="13" t="s">
        <v>315</v>
      </c>
      <c r="K52" s="22"/>
    </row>
    <row r="53" spans="1:11">
      <c r="A53" s="13"/>
      <c r="B53" s="13"/>
      <c r="C53" s="13"/>
      <c r="D53" s="13"/>
      <c r="E53" s="17"/>
      <c r="F53" s="18"/>
      <c r="G53" s="18" t="s">
        <v>1350</v>
      </c>
      <c r="H53" s="18" t="s">
        <v>776</v>
      </c>
      <c r="I53" s="13">
        <f>+E52*0.8</f>
        <v>0</v>
      </c>
      <c r="J53" s="13" t="s">
        <v>261</v>
      </c>
      <c r="K53" s="22"/>
    </row>
    <row r="54" spans="1:11">
      <c r="A54" s="13"/>
      <c r="B54" s="13"/>
      <c r="C54" s="13"/>
      <c r="D54" s="13"/>
      <c r="E54" s="17"/>
      <c r="F54" s="18"/>
      <c r="G54" s="18" t="s">
        <v>784</v>
      </c>
      <c r="H54" s="18"/>
      <c r="I54" s="13" t="s">
        <v>786</v>
      </c>
      <c r="J54" s="13"/>
      <c r="K54" s="22"/>
    </row>
    <row r="55" spans="1:11">
      <c r="A55" s="13"/>
      <c r="B55" s="13"/>
      <c r="C55" s="13"/>
      <c r="D55" s="13"/>
      <c r="E55" s="19"/>
      <c r="F55" s="18"/>
      <c r="G55" s="18" t="s">
        <v>773</v>
      </c>
      <c r="H55" s="18" t="s">
        <v>774</v>
      </c>
      <c r="I55" s="13">
        <f>+E52*8</f>
        <v>0</v>
      </c>
      <c r="J55" s="13" t="s">
        <v>315</v>
      </c>
      <c r="K55" s="22"/>
    </row>
    <row r="56" spans="1:11">
      <c r="A56" s="13" t="s">
        <v>820</v>
      </c>
      <c r="B56" s="13" t="s">
        <v>805</v>
      </c>
      <c r="C56" s="13">
        <v>720</v>
      </c>
      <c r="D56" s="13">
        <v>300</v>
      </c>
      <c r="E56" s="15"/>
      <c r="F56" s="18" t="s">
        <v>821</v>
      </c>
      <c r="G56" s="18" t="s">
        <v>822</v>
      </c>
      <c r="H56" s="26" t="s">
        <v>823</v>
      </c>
      <c r="I56" s="13">
        <f>+E56*1</f>
        <v>0</v>
      </c>
      <c r="J56" s="13" t="s">
        <v>315</v>
      </c>
      <c r="K56" s="22"/>
    </row>
    <row r="57" spans="1:11">
      <c r="A57" s="13"/>
      <c r="B57" s="13"/>
      <c r="C57" s="13"/>
      <c r="D57" s="13"/>
      <c r="E57" s="17"/>
      <c r="F57" s="18"/>
      <c r="G57" s="18" t="s">
        <v>1350</v>
      </c>
      <c r="H57" s="18" t="s">
        <v>776</v>
      </c>
      <c r="I57" s="13">
        <f>+E56*1</f>
        <v>0</v>
      </c>
      <c r="J57" s="13" t="s">
        <v>261</v>
      </c>
      <c r="K57" s="22"/>
    </row>
    <row r="58" spans="1:11">
      <c r="A58" s="13"/>
      <c r="B58" s="13"/>
      <c r="C58" s="13"/>
      <c r="D58" s="13"/>
      <c r="E58" s="17"/>
      <c r="F58" s="18"/>
      <c r="G58" s="18" t="s">
        <v>784</v>
      </c>
      <c r="H58" s="18"/>
      <c r="I58" s="13" t="s">
        <v>786</v>
      </c>
      <c r="J58" s="13"/>
      <c r="K58" s="22"/>
    </row>
    <row r="59" spans="1:11">
      <c r="A59" s="13"/>
      <c r="B59" s="13"/>
      <c r="C59" s="13"/>
      <c r="D59" s="13"/>
      <c r="E59" s="19"/>
      <c r="F59" s="18"/>
      <c r="G59" s="18" t="s">
        <v>773</v>
      </c>
      <c r="H59" s="18" t="s">
        <v>774</v>
      </c>
      <c r="I59" s="13">
        <f>+E56*8</f>
        <v>0</v>
      </c>
      <c r="J59" s="13" t="s">
        <v>315</v>
      </c>
      <c r="K59" s="22"/>
    </row>
    <row r="60" spans="1:11">
      <c r="A60" s="13" t="s">
        <v>824</v>
      </c>
      <c r="B60" s="13" t="s">
        <v>809</v>
      </c>
      <c r="C60" s="13">
        <v>720</v>
      </c>
      <c r="D60" s="13">
        <v>300</v>
      </c>
      <c r="E60" s="15"/>
      <c r="F60" s="18" t="s">
        <v>821</v>
      </c>
      <c r="G60" s="18" t="s">
        <v>825</v>
      </c>
      <c r="H60" s="26" t="s">
        <v>826</v>
      </c>
      <c r="I60" s="13">
        <f>+E60*1</f>
        <v>0</v>
      </c>
      <c r="J60" s="13" t="s">
        <v>315</v>
      </c>
      <c r="K60" s="22"/>
    </row>
    <row r="61" spans="1:11">
      <c r="A61" s="13"/>
      <c r="B61" s="13"/>
      <c r="C61" s="13"/>
      <c r="D61" s="13"/>
      <c r="E61" s="17"/>
      <c r="F61" s="18"/>
      <c r="G61" s="18" t="s">
        <v>1350</v>
      </c>
      <c r="H61" s="18" t="s">
        <v>776</v>
      </c>
      <c r="I61" s="13">
        <f>+E60*1.4</f>
        <v>0</v>
      </c>
      <c r="J61" s="13" t="s">
        <v>261</v>
      </c>
      <c r="K61" s="22"/>
    </row>
    <row r="62" spans="1:11">
      <c r="A62" s="13"/>
      <c r="B62" s="13"/>
      <c r="C62" s="13"/>
      <c r="D62" s="13"/>
      <c r="E62" s="17"/>
      <c r="F62" s="18"/>
      <c r="G62" s="18" t="s">
        <v>784</v>
      </c>
      <c r="H62" s="18"/>
      <c r="I62" s="13" t="s">
        <v>786</v>
      </c>
      <c r="J62" s="13"/>
      <c r="K62" s="22"/>
    </row>
    <row r="63" spans="1:11">
      <c r="A63" s="13"/>
      <c r="B63" s="13"/>
      <c r="C63" s="13"/>
      <c r="D63" s="13"/>
      <c r="E63" s="19"/>
      <c r="F63" s="18"/>
      <c r="G63" s="18" t="s">
        <v>773</v>
      </c>
      <c r="H63" s="18" t="s">
        <v>774</v>
      </c>
      <c r="I63" s="13">
        <f>+E60*8</f>
        <v>0</v>
      </c>
      <c r="J63" s="13" t="s">
        <v>315</v>
      </c>
      <c r="K63" s="22"/>
    </row>
    <row r="64" spans="1:11">
      <c r="A64" s="13" t="s">
        <v>827</v>
      </c>
      <c r="B64" s="13" t="s">
        <v>828</v>
      </c>
      <c r="C64" s="13">
        <v>2160</v>
      </c>
      <c r="D64" s="13">
        <v>560</v>
      </c>
      <c r="E64" s="15"/>
      <c r="F64" s="18" t="s">
        <v>829</v>
      </c>
      <c r="G64" s="18" t="s">
        <v>830</v>
      </c>
      <c r="H64" s="20" t="s">
        <v>794</v>
      </c>
      <c r="I64" s="13">
        <f>+E64*1</f>
        <v>0</v>
      </c>
      <c r="J64" s="13" t="s">
        <v>231</v>
      </c>
      <c r="K64" s="22"/>
    </row>
    <row r="65" spans="1:11">
      <c r="A65" s="13"/>
      <c r="B65" s="13"/>
      <c r="C65" s="13"/>
      <c r="D65" s="13"/>
      <c r="E65" s="17"/>
      <c r="F65" s="18"/>
      <c r="G65" s="18" t="s">
        <v>1350</v>
      </c>
      <c r="H65" s="18" t="s">
        <v>776</v>
      </c>
      <c r="I65" s="13">
        <f>+E64*2.5</f>
        <v>0</v>
      </c>
      <c r="J65" s="13" t="s">
        <v>261</v>
      </c>
      <c r="K65" s="22"/>
    </row>
    <row r="66" spans="1:11">
      <c r="A66" s="13"/>
      <c r="B66" s="13"/>
      <c r="C66" s="13"/>
      <c r="D66" s="13"/>
      <c r="E66" s="17"/>
      <c r="F66" s="18"/>
      <c r="G66" s="18" t="s">
        <v>784</v>
      </c>
      <c r="H66" s="18"/>
      <c r="I66" s="13" t="s">
        <v>786</v>
      </c>
      <c r="J66" s="13"/>
      <c r="K66" s="22"/>
    </row>
    <row r="67" spans="1:11">
      <c r="A67" s="13"/>
      <c r="B67" s="13"/>
      <c r="C67" s="13"/>
      <c r="D67" s="13"/>
      <c r="E67" s="19"/>
      <c r="F67" s="18"/>
      <c r="G67" s="18" t="s">
        <v>773</v>
      </c>
      <c r="H67" s="18" t="s">
        <v>774</v>
      </c>
      <c r="I67" s="13">
        <f>+E64*8</f>
        <v>0</v>
      </c>
      <c r="J67" s="13" t="s">
        <v>315</v>
      </c>
      <c r="K67" s="23"/>
    </row>
    <row r="68" spans="1:11">
      <c r="A68" s="18" t="s">
        <v>831</v>
      </c>
      <c r="B68" s="18"/>
      <c r="C68" s="18"/>
      <c r="D68" s="18"/>
      <c r="E68" s="18"/>
      <c r="F68" s="18"/>
      <c r="G68" s="18"/>
      <c r="H68" s="18"/>
      <c r="I68" s="18"/>
      <c r="J68" s="18"/>
      <c r="K68" s="18"/>
    </row>
    <row r="69" spans="1:11">
      <c r="A69" s="24" t="s">
        <v>832</v>
      </c>
      <c r="B69" s="24"/>
      <c r="C69" s="24"/>
      <c r="D69" s="24"/>
      <c r="E69" s="24"/>
      <c r="F69" s="24"/>
      <c r="G69" s="24"/>
      <c r="H69" s="24"/>
      <c r="I69" s="24"/>
      <c r="J69" s="24"/>
      <c r="K69" s="24"/>
    </row>
    <row r="70" spans="1:11">
      <c r="A70" s="13" t="s">
        <v>22</v>
      </c>
      <c r="B70" s="13" t="s">
        <v>764</v>
      </c>
      <c r="C70" s="13" t="s">
        <v>765</v>
      </c>
      <c r="D70" s="13" t="s">
        <v>766</v>
      </c>
      <c r="E70" s="14"/>
      <c r="F70" s="13" t="s">
        <v>798</v>
      </c>
      <c r="G70" s="13" t="s">
        <v>768</v>
      </c>
      <c r="H70" s="13" t="s">
        <v>543</v>
      </c>
      <c r="I70" s="13" t="s">
        <v>90</v>
      </c>
      <c r="J70" s="13" t="s">
        <v>26</v>
      </c>
      <c r="K70" s="13" t="s">
        <v>30</v>
      </c>
    </row>
    <row r="71" spans="1:11">
      <c r="A71" s="13">
        <v>1</v>
      </c>
      <c r="B71" s="13" t="s">
        <v>791</v>
      </c>
      <c r="C71" s="13" t="s">
        <v>792</v>
      </c>
      <c r="D71" s="13" t="s">
        <v>792</v>
      </c>
      <c r="E71" s="15"/>
      <c r="F71" s="13" t="s">
        <v>145</v>
      </c>
      <c r="G71" s="18" t="s">
        <v>777</v>
      </c>
      <c r="H71" s="20" t="s">
        <v>794</v>
      </c>
      <c r="I71" s="13">
        <f>+E71*0.3</f>
        <v>0</v>
      </c>
      <c r="J71" s="13" t="s">
        <v>231</v>
      </c>
      <c r="K71" s="13"/>
    </row>
    <row r="72" spans="1:11">
      <c r="A72" s="13"/>
      <c r="B72" s="13"/>
      <c r="C72" s="13"/>
      <c r="D72" s="13"/>
      <c r="E72" s="17"/>
      <c r="F72" s="13"/>
      <c r="G72" s="18" t="s">
        <v>1350</v>
      </c>
      <c r="H72" s="18" t="s">
        <v>776</v>
      </c>
      <c r="I72" s="13">
        <f>+E71*1</f>
        <v>0</v>
      </c>
      <c r="J72" s="13" t="s">
        <v>261</v>
      </c>
      <c r="K72" s="13"/>
    </row>
    <row r="73" spans="1:11">
      <c r="A73" s="13"/>
      <c r="B73" s="13"/>
      <c r="C73" s="13"/>
      <c r="D73" s="13"/>
      <c r="E73" s="19"/>
      <c r="F73" s="13"/>
      <c r="G73" s="18" t="s">
        <v>773</v>
      </c>
      <c r="H73" s="18" t="s">
        <v>774</v>
      </c>
      <c r="I73" s="13">
        <f>+E71*8</f>
        <v>0</v>
      </c>
      <c r="J73" s="13" t="s">
        <v>315</v>
      </c>
      <c r="K73" s="13"/>
    </row>
    <row r="74" spans="1:11">
      <c r="A74" s="13">
        <v>2</v>
      </c>
      <c r="B74" s="13" t="s">
        <v>795</v>
      </c>
      <c r="C74" s="13" t="s">
        <v>792</v>
      </c>
      <c r="D74" s="13" t="s">
        <v>792</v>
      </c>
      <c r="E74" s="15"/>
      <c r="F74" s="13" t="s">
        <v>145</v>
      </c>
      <c r="G74" s="18" t="s">
        <v>777</v>
      </c>
      <c r="H74" s="20" t="s">
        <v>794</v>
      </c>
      <c r="I74" s="13">
        <f>+E74*0.4</f>
        <v>0</v>
      </c>
      <c r="J74" s="13" t="s">
        <v>231</v>
      </c>
      <c r="K74" s="13"/>
    </row>
    <row r="75" spans="1:11">
      <c r="A75" s="13"/>
      <c r="B75" s="13"/>
      <c r="C75" s="13"/>
      <c r="D75" s="13"/>
      <c r="E75" s="17"/>
      <c r="F75" s="13"/>
      <c r="G75" s="18" t="s">
        <v>1350</v>
      </c>
      <c r="H75" s="18" t="s">
        <v>776</v>
      </c>
      <c r="I75" s="13">
        <f>+E74*1.5</f>
        <v>0</v>
      </c>
      <c r="J75" s="13" t="s">
        <v>261</v>
      </c>
      <c r="K75" s="13"/>
    </row>
    <row r="76" spans="1:11">
      <c r="A76" s="13"/>
      <c r="B76" s="13"/>
      <c r="C76" s="13"/>
      <c r="D76" s="13"/>
      <c r="E76" s="19"/>
      <c r="F76" s="13"/>
      <c r="G76" s="18" t="s">
        <v>773</v>
      </c>
      <c r="H76" s="18" t="s">
        <v>774</v>
      </c>
      <c r="I76" s="13">
        <f>+E74*8</f>
        <v>0</v>
      </c>
      <c r="J76" s="13" t="s">
        <v>315</v>
      </c>
      <c r="K76" s="13"/>
    </row>
    <row r="77" spans="1:11">
      <c r="A77" s="13">
        <v>3</v>
      </c>
      <c r="B77" s="13" t="s">
        <v>791</v>
      </c>
      <c r="C77" s="13" t="s">
        <v>792</v>
      </c>
      <c r="D77" s="13" t="s">
        <v>792</v>
      </c>
      <c r="E77" s="15"/>
      <c r="F77" s="13" t="s">
        <v>83</v>
      </c>
      <c r="G77" s="18" t="s">
        <v>777</v>
      </c>
      <c r="H77" s="20" t="s">
        <v>794</v>
      </c>
      <c r="I77" s="13">
        <f>+E77*0.4</f>
        <v>0</v>
      </c>
      <c r="J77" s="13" t="s">
        <v>231</v>
      </c>
      <c r="K77" s="13"/>
    </row>
    <row r="78" spans="1:11">
      <c r="A78" s="13"/>
      <c r="B78" s="13"/>
      <c r="C78" s="13"/>
      <c r="D78" s="13"/>
      <c r="E78" s="17"/>
      <c r="F78" s="13"/>
      <c r="G78" s="18" t="s">
        <v>1350</v>
      </c>
      <c r="H78" s="18" t="s">
        <v>776</v>
      </c>
      <c r="I78" s="13">
        <f>+E77*1.5</f>
        <v>0</v>
      </c>
      <c r="J78" s="13" t="s">
        <v>261</v>
      </c>
      <c r="K78" s="13"/>
    </row>
    <row r="79" spans="1:11">
      <c r="A79" s="13"/>
      <c r="B79" s="13"/>
      <c r="C79" s="13"/>
      <c r="D79" s="13"/>
      <c r="E79" s="19"/>
      <c r="F79" s="13"/>
      <c r="G79" s="18" t="s">
        <v>773</v>
      </c>
      <c r="H79" s="18" t="s">
        <v>774</v>
      </c>
      <c r="I79" s="13">
        <f>+E77*8</f>
        <v>0</v>
      </c>
      <c r="J79" s="13" t="s">
        <v>315</v>
      </c>
      <c r="K79" s="13"/>
    </row>
    <row r="80" spans="1:11">
      <c r="A80" s="13">
        <v>4</v>
      </c>
      <c r="B80" s="13" t="s">
        <v>795</v>
      </c>
      <c r="C80" s="13" t="s">
        <v>792</v>
      </c>
      <c r="D80" s="13" t="s">
        <v>792</v>
      </c>
      <c r="E80" s="15"/>
      <c r="F80" s="13" t="s">
        <v>83</v>
      </c>
      <c r="G80" s="18" t="s">
        <v>777</v>
      </c>
      <c r="H80" s="20" t="s">
        <v>794</v>
      </c>
      <c r="I80" s="13">
        <f>+E80*0.6</f>
        <v>0</v>
      </c>
      <c r="J80" s="13" t="s">
        <v>231</v>
      </c>
      <c r="K80" s="13"/>
    </row>
    <row r="81" spans="1:11">
      <c r="A81" s="13"/>
      <c r="B81" s="13"/>
      <c r="C81" s="13"/>
      <c r="D81" s="13"/>
      <c r="E81" s="17"/>
      <c r="F81" s="13"/>
      <c r="G81" s="18" t="s">
        <v>1350</v>
      </c>
      <c r="H81" s="18" t="s">
        <v>776</v>
      </c>
      <c r="I81" s="13">
        <f>+E80*1.5</f>
        <v>0</v>
      </c>
      <c r="J81" s="13" t="s">
        <v>261</v>
      </c>
      <c r="K81" s="13"/>
    </row>
    <row r="82" spans="1:11">
      <c r="A82" s="13"/>
      <c r="B82" s="13"/>
      <c r="C82" s="13"/>
      <c r="D82" s="13"/>
      <c r="E82" s="19"/>
      <c r="F82" s="13"/>
      <c r="G82" s="18" t="s">
        <v>773</v>
      </c>
      <c r="H82" s="18" t="s">
        <v>774</v>
      </c>
      <c r="I82" s="13">
        <f>+E80*8</f>
        <v>0</v>
      </c>
      <c r="J82" s="13" t="s">
        <v>315</v>
      </c>
      <c r="K82" s="13"/>
    </row>
    <row r="83" spans="1:11">
      <c r="A83" s="13">
        <v>5</v>
      </c>
      <c r="B83" s="13" t="s">
        <v>792</v>
      </c>
      <c r="C83" s="13" t="s">
        <v>792</v>
      </c>
      <c r="D83" s="13" t="s">
        <v>833</v>
      </c>
      <c r="E83" s="15"/>
      <c r="F83" s="18" t="s">
        <v>834</v>
      </c>
      <c r="G83" s="18" t="s">
        <v>777</v>
      </c>
      <c r="H83" s="20" t="s">
        <v>794</v>
      </c>
      <c r="I83" s="13">
        <f>+E83*0.5</f>
        <v>0</v>
      </c>
      <c r="J83" s="13" t="s">
        <v>231</v>
      </c>
      <c r="K83" s="13"/>
    </row>
    <row r="84" spans="1:11">
      <c r="A84" s="13"/>
      <c r="B84" s="13"/>
      <c r="C84" s="13"/>
      <c r="D84" s="13"/>
      <c r="E84" s="17"/>
      <c r="F84" s="18"/>
      <c r="G84" s="18" t="s">
        <v>1350</v>
      </c>
      <c r="H84" s="18" t="s">
        <v>776</v>
      </c>
      <c r="I84" s="13">
        <f>+E83*2</f>
        <v>0</v>
      </c>
      <c r="J84" s="13" t="s">
        <v>261</v>
      </c>
      <c r="K84" s="13"/>
    </row>
    <row r="85" spans="1:11">
      <c r="A85" s="13"/>
      <c r="B85" s="13"/>
      <c r="C85" s="13"/>
      <c r="D85" s="13"/>
      <c r="E85" s="19"/>
      <c r="F85" s="18"/>
      <c r="G85" s="18" t="s">
        <v>773</v>
      </c>
      <c r="H85" s="18" t="s">
        <v>774</v>
      </c>
      <c r="I85" s="13">
        <f>+E83*8</f>
        <v>0</v>
      </c>
      <c r="J85" s="13" t="s">
        <v>315</v>
      </c>
      <c r="K85" s="13"/>
    </row>
    <row r="86" spans="1:11">
      <c r="A86" s="13">
        <v>6</v>
      </c>
      <c r="B86" s="13" t="s">
        <v>792</v>
      </c>
      <c r="C86" s="13" t="s">
        <v>792</v>
      </c>
      <c r="D86" s="13" t="s">
        <v>835</v>
      </c>
      <c r="E86" s="15"/>
      <c r="F86" s="18" t="s">
        <v>834</v>
      </c>
      <c r="G86" s="18" t="s">
        <v>777</v>
      </c>
      <c r="H86" s="20" t="s">
        <v>794</v>
      </c>
      <c r="I86" s="13">
        <f>+E86*0.8</f>
        <v>0</v>
      </c>
      <c r="J86" s="13" t="s">
        <v>231</v>
      </c>
      <c r="K86" s="13"/>
    </row>
    <row r="87" spans="1:11">
      <c r="A87" s="13"/>
      <c r="B87" s="13"/>
      <c r="C87" s="13"/>
      <c r="D87" s="13"/>
      <c r="E87" s="17"/>
      <c r="F87" s="18"/>
      <c r="G87" s="18" t="s">
        <v>1350</v>
      </c>
      <c r="H87" s="18" t="s">
        <v>776</v>
      </c>
      <c r="I87" s="13">
        <f>+E86*2</f>
        <v>0</v>
      </c>
      <c r="J87" s="13" t="s">
        <v>261</v>
      </c>
      <c r="K87" s="13"/>
    </row>
    <row r="88" spans="1:11">
      <c r="A88" s="13"/>
      <c r="B88" s="13"/>
      <c r="C88" s="13"/>
      <c r="D88" s="13"/>
      <c r="E88" s="19"/>
      <c r="F88" s="18"/>
      <c r="G88" s="18" t="s">
        <v>773</v>
      </c>
      <c r="H88" s="18" t="s">
        <v>774</v>
      </c>
      <c r="I88" s="13">
        <f>+E86*8</f>
        <v>0</v>
      </c>
      <c r="J88" s="13" t="s">
        <v>315</v>
      </c>
      <c r="K88" s="13"/>
    </row>
    <row r="89" spans="1:11">
      <c r="A89" s="13">
        <v>7</v>
      </c>
      <c r="B89" s="13" t="s">
        <v>792</v>
      </c>
      <c r="C89" s="13" t="s">
        <v>792</v>
      </c>
      <c r="D89" s="13" t="s">
        <v>833</v>
      </c>
      <c r="E89" s="15"/>
      <c r="F89" s="13" t="s">
        <v>836</v>
      </c>
      <c r="G89" s="18" t="s">
        <v>777</v>
      </c>
      <c r="H89" s="20" t="s">
        <v>794</v>
      </c>
      <c r="I89" s="13">
        <f>+E89*0.5</f>
        <v>0</v>
      </c>
      <c r="J89" s="13" t="s">
        <v>231</v>
      </c>
      <c r="K89" s="13"/>
    </row>
    <row r="90" spans="1:11">
      <c r="A90" s="13"/>
      <c r="B90" s="13"/>
      <c r="C90" s="13"/>
      <c r="D90" s="13"/>
      <c r="E90" s="17"/>
      <c r="F90" s="13"/>
      <c r="G90" s="18" t="s">
        <v>1350</v>
      </c>
      <c r="H90" s="18" t="s">
        <v>776</v>
      </c>
      <c r="I90" s="13">
        <f>+E89*2.5</f>
        <v>0</v>
      </c>
      <c r="J90" s="13" t="s">
        <v>261</v>
      </c>
      <c r="K90" s="13"/>
    </row>
    <row r="91" spans="1:11">
      <c r="A91" s="13"/>
      <c r="B91" s="13"/>
      <c r="C91" s="13"/>
      <c r="D91" s="13"/>
      <c r="E91" s="19"/>
      <c r="F91" s="13"/>
      <c r="G91" s="18" t="s">
        <v>773</v>
      </c>
      <c r="H91" s="18" t="s">
        <v>774</v>
      </c>
      <c r="I91" s="13">
        <f>+E89*8</f>
        <v>0</v>
      </c>
      <c r="J91" s="13" t="s">
        <v>315</v>
      </c>
      <c r="K91" s="13"/>
    </row>
    <row r="92" spans="1:11">
      <c r="A92" s="13">
        <v>8</v>
      </c>
      <c r="B92" s="13" t="s">
        <v>792</v>
      </c>
      <c r="C92" s="13" t="s">
        <v>792</v>
      </c>
      <c r="D92" s="13" t="s">
        <v>835</v>
      </c>
      <c r="E92" s="15">
        <v>1</v>
      </c>
      <c r="F92" s="13" t="s">
        <v>836</v>
      </c>
      <c r="G92" s="18" t="s">
        <v>777</v>
      </c>
      <c r="H92" s="20" t="s">
        <v>794</v>
      </c>
      <c r="I92" s="13">
        <f>+E92*1</f>
        <v>1</v>
      </c>
      <c r="J92" s="13" t="s">
        <v>231</v>
      </c>
      <c r="K92" s="13"/>
    </row>
    <row r="93" spans="1:11">
      <c r="A93" s="13"/>
      <c r="B93" s="13"/>
      <c r="C93" s="13"/>
      <c r="D93" s="13"/>
      <c r="E93" s="17"/>
      <c r="F93" s="13"/>
      <c r="G93" s="18" t="s">
        <v>1350</v>
      </c>
      <c r="H93" s="18" t="s">
        <v>776</v>
      </c>
      <c r="I93" s="13">
        <f>+E92*2.5</f>
        <v>2.5</v>
      </c>
      <c r="J93" s="13" t="s">
        <v>261</v>
      </c>
      <c r="K93" s="13"/>
    </row>
    <row r="94" spans="1:11">
      <c r="A94" s="13"/>
      <c r="B94" s="13"/>
      <c r="C94" s="13"/>
      <c r="D94" s="13"/>
      <c r="E94" s="19"/>
      <c r="F94" s="13"/>
      <c r="G94" s="18" t="s">
        <v>773</v>
      </c>
      <c r="H94" s="18" t="s">
        <v>774</v>
      </c>
      <c r="I94" s="13">
        <f>+E92*8</f>
        <v>8</v>
      </c>
      <c r="J94" s="13" t="s">
        <v>315</v>
      </c>
      <c r="K94" s="13"/>
    </row>
    <row r="95" spans="1:11">
      <c r="A95" s="24" t="s">
        <v>837</v>
      </c>
      <c r="B95" s="24"/>
      <c r="C95" s="24"/>
      <c r="D95" s="24"/>
      <c r="E95" s="24"/>
      <c r="F95" s="24"/>
      <c r="G95" s="24"/>
      <c r="H95" s="24"/>
      <c r="I95" s="24"/>
      <c r="J95" s="24"/>
      <c r="K95" s="24"/>
    </row>
    <row r="96" spans="1:11">
      <c r="A96" s="13" t="s">
        <v>22</v>
      </c>
      <c r="B96" s="13" t="s">
        <v>764</v>
      </c>
      <c r="C96" s="13" t="s">
        <v>765</v>
      </c>
      <c r="D96" s="13" t="s">
        <v>90</v>
      </c>
      <c r="E96" s="14"/>
      <c r="F96" s="13" t="s">
        <v>798</v>
      </c>
      <c r="G96" s="13" t="s">
        <v>768</v>
      </c>
      <c r="H96" s="13" t="s">
        <v>543</v>
      </c>
      <c r="I96" s="13" t="s">
        <v>90</v>
      </c>
      <c r="J96" s="13" t="s">
        <v>26</v>
      </c>
      <c r="K96" s="13" t="s">
        <v>30</v>
      </c>
    </row>
    <row r="97" spans="1:11">
      <c r="A97" s="13">
        <v>1</v>
      </c>
      <c r="B97" s="13" t="s">
        <v>838</v>
      </c>
      <c r="C97" s="13" t="s">
        <v>839</v>
      </c>
      <c r="D97" s="13" t="s">
        <v>840</v>
      </c>
      <c r="E97" s="15">
        <v>1</v>
      </c>
      <c r="F97" s="13" t="s">
        <v>841</v>
      </c>
      <c r="G97" s="18" t="s">
        <v>777</v>
      </c>
      <c r="H97" s="20" t="s">
        <v>794</v>
      </c>
      <c r="I97" s="13">
        <f>+E97*0.7</f>
        <v>0.7</v>
      </c>
      <c r="J97" s="13" t="s">
        <v>231</v>
      </c>
      <c r="K97" s="13" t="s">
        <v>1357</v>
      </c>
    </row>
    <row r="98" spans="1:11">
      <c r="A98" s="13"/>
      <c r="B98" s="13"/>
      <c r="C98" s="13"/>
      <c r="D98" s="13"/>
      <c r="E98" s="17"/>
      <c r="F98" s="13"/>
      <c r="G98" s="16" t="s">
        <v>843</v>
      </c>
      <c r="H98" s="32" t="s">
        <v>1358</v>
      </c>
      <c r="I98" s="13">
        <f>E97*1</f>
        <v>1</v>
      </c>
      <c r="J98" s="13" t="s">
        <v>231</v>
      </c>
      <c r="K98" s="13"/>
    </row>
    <row r="99" spans="1:11">
      <c r="A99" s="13"/>
      <c r="B99" s="13"/>
      <c r="C99" s="13"/>
      <c r="D99" s="13"/>
      <c r="E99" s="19"/>
      <c r="F99" s="13"/>
      <c r="G99" s="18" t="s">
        <v>1350</v>
      </c>
      <c r="H99" s="18" t="s">
        <v>776</v>
      </c>
      <c r="I99" s="13">
        <f>+E97*2</f>
        <v>2</v>
      </c>
      <c r="J99" s="13" t="s">
        <v>261</v>
      </c>
      <c r="K99" s="13"/>
    </row>
    <row r="100" spans="1:11">
      <c r="A100" s="13">
        <v>2</v>
      </c>
      <c r="B100" s="13" t="s">
        <v>838</v>
      </c>
      <c r="C100" s="13" t="s">
        <v>844</v>
      </c>
      <c r="D100" s="13" t="s">
        <v>840</v>
      </c>
      <c r="E100" s="15"/>
      <c r="F100" s="13" t="s">
        <v>845</v>
      </c>
      <c r="G100" s="18" t="s">
        <v>777</v>
      </c>
      <c r="H100" s="20" t="s">
        <v>794</v>
      </c>
      <c r="I100" s="13">
        <f>+E100*1</f>
        <v>0</v>
      </c>
      <c r="J100" s="13" t="s">
        <v>231</v>
      </c>
      <c r="K100" s="13"/>
    </row>
    <row r="101" spans="1:11">
      <c r="A101" s="13"/>
      <c r="B101" s="13"/>
      <c r="C101" s="13"/>
      <c r="D101" s="13"/>
      <c r="E101" s="17"/>
      <c r="F101" s="13"/>
      <c r="G101" s="16" t="s">
        <v>846</v>
      </c>
      <c r="H101" s="32" t="s">
        <v>1359</v>
      </c>
      <c r="I101" s="13">
        <f>E100*1</f>
        <v>0</v>
      </c>
      <c r="J101" s="13" t="s">
        <v>231</v>
      </c>
      <c r="K101" s="13"/>
    </row>
    <row r="102" spans="1:11">
      <c r="A102" s="13"/>
      <c r="B102" s="13"/>
      <c r="C102" s="13"/>
      <c r="D102" s="13"/>
      <c r="E102" s="19"/>
      <c r="F102" s="13"/>
      <c r="G102" s="18" t="s">
        <v>1350</v>
      </c>
      <c r="H102" s="18" t="s">
        <v>776</v>
      </c>
      <c r="I102" s="13">
        <f>+E100*2.5</f>
        <v>0</v>
      </c>
      <c r="J102" s="13" t="s">
        <v>261</v>
      </c>
      <c r="K102" s="13"/>
    </row>
    <row r="103" spans="1:11">
      <c r="A103" s="10" t="s">
        <v>1360</v>
      </c>
      <c r="B103" s="10"/>
      <c r="C103" s="10"/>
      <c r="D103" s="10"/>
      <c r="E103" s="10"/>
      <c r="F103" s="10"/>
      <c r="G103" s="10"/>
      <c r="H103" s="10"/>
      <c r="I103" s="10"/>
      <c r="J103" s="10"/>
      <c r="K103" s="10"/>
    </row>
    <row r="104" spans="1:11">
      <c r="A104" s="24" t="s">
        <v>848</v>
      </c>
      <c r="B104" s="24"/>
      <c r="C104" s="24"/>
      <c r="D104" s="24"/>
      <c r="E104" s="24"/>
      <c r="F104" s="24"/>
      <c r="G104" s="24"/>
      <c r="H104" s="24"/>
      <c r="I104" s="24"/>
      <c r="J104" s="24"/>
      <c r="K104" s="24"/>
    </row>
    <row r="105" spans="1:11">
      <c r="A105" s="13" t="s">
        <v>797</v>
      </c>
      <c r="B105" s="13" t="s">
        <v>764</v>
      </c>
      <c r="C105" s="13" t="s">
        <v>765</v>
      </c>
      <c r="D105" s="13" t="s">
        <v>89</v>
      </c>
      <c r="E105" s="14"/>
      <c r="F105" s="13" t="s">
        <v>849</v>
      </c>
      <c r="G105" s="13" t="s">
        <v>768</v>
      </c>
      <c r="H105" s="13" t="s">
        <v>543</v>
      </c>
      <c r="I105" s="13" t="s">
        <v>90</v>
      </c>
      <c r="J105" s="13" t="s">
        <v>26</v>
      </c>
      <c r="K105" s="13" t="s">
        <v>30</v>
      </c>
    </row>
    <row r="106" spans="1:11">
      <c r="A106" s="13" t="s">
        <v>850</v>
      </c>
      <c r="B106" s="13" t="s">
        <v>851</v>
      </c>
      <c r="C106" s="13" t="s">
        <v>852</v>
      </c>
      <c r="D106" s="13" t="s">
        <v>853</v>
      </c>
      <c r="E106" s="15">
        <v>1</v>
      </c>
      <c r="F106" s="18" t="s">
        <v>854</v>
      </c>
      <c r="G106" s="18" t="s">
        <v>855</v>
      </c>
      <c r="H106" s="18" t="s">
        <v>856</v>
      </c>
      <c r="I106" s="13">
        <f>+E106*1</f>
        <v>1</v>
      </c>
      <c r="J106" s="13" t="s">
        <v>315</v>
      </c>
      <c r="K106" s="18" t="s">
        <v>857</v>
      </c>
    </row>
    <row r="107" ht="24" spans="1:11">
      <c r="A107" s="13"/>
      <c r="B107" s="13"/>
      <c r="C107" s="13"/>
      <c r="D107" s="13"/>
      <c r="E107" s="17"/>
      <c r="F107" s="18"/>
      <c r="G107" s="16" t="s">
        <v>1361</v>
      </c>
      <c r="H107" s="32" t="s">
        <v>1362</v>
      </c>
      <c r="I107" s="13">
        <f>E106*1</f>
        <v>1</v>
      </c>
      <c r="J107" s="13" t="s">
        <v>315</v>
      </c>
      <c r="K107" s="18"/>
    </row>
    <row r="108" spans="1:11">
      <c r="A108" s="13"/>
      <c r="B108" s="13"/>
      <c r="C108" s="13"/>
      <c r="D108" s="13"/>
      <c r="E108" s="17"/>
      <c r="F108" s="18"/>
      <c r="G108" s="18" t="s">
        <v>1350</v>
      </c>
      <c r="H108" s="18" t="s">
        <v>776</v>
      </c>
      <c r="I108" s="13">
        <f>+E106*2.6</f>
        <v>2.6</v>
      </c>
      <c r="J108" s="13" t="s">
        <v>261</v>
      </c>
      <c r="K108" s="18"/>
    </row>
    <row r="109" spans="1:11">
      <c r="A109" s="13"/>
      <c r="B109" s="13"/>
      <c r="C109" s="13"/>
      <c r="D109" s="13"/>
      <c r="E109" s="17"/>
      <c r="F109" s="18"/>
      <c r="G109" s="18" t="s">
        <v>858</v>
      </c>
      <c r="H109" s="18"/>
      <c r="I109" s="13" t="s">
        <v>786</v>
      </c>
      <c r="J109" s="13"/>
      <c r="K109" s="18"/>
    </row>
    <row r="110" spans="1:11">
      <c r="A110" s="13"/>
      <c r="B110" s="13"/>
      <c r="C110" s="13"/>
      <c r="D110" s="13"/>
      <c r="E110" s="19"/>
      <c r="F110" s="18"/>
      <c r="G110" s="18" t="s">
        <v>773</v>
      </c>
      <c r="H110" s="18" t="s">
        <v>774</v>
      </c>
      <c r="I110" s="13">
        <f>+E106*8</f>
        <v>8</v>
      </c>
      <c r="J110" s="13" t="s">
        <v>315</v>
      </c>
      <c r="K110" s="18"/>
    </row>
    <row r="111" spans="1:11">
      <c r="A111" s="13" t="s">
        <v>859</v>
      </c>
      <c r="B111" s="13" t="s">
        <v>860</v>
      </c>
      <c r="C111" s="13" t="s">
        <v>852</v>
      </c>
      <c r="D111" s="13" t="s">
        <v>853</v>
      </c>
      <c r="E111" s="15"/>
      <c r="F111" s="18"/>
      <c r="G111" s="18" t="s">
        <v>861</v>
      </c>
      <c r="H111" s="18" t="s">
        <v>862</v>
      </c>
      <c r="I111" s="13">
        <f>+E111*1</f>
        <v>0</v>
      </c>
      <c r="J111" s="13" t="s">
        <v>315</v>
      </c>
      <c r="K111" s="18"/>
    </row>
    <row r="112" ht="24" spans="1:11">
      <c r="A112" s="13"/>
      <c r="B112" s="13"/>
      <c r="C112" s="13"/>
      <c r="D112" s="13"/>
      <c r="E112" s="17"/>
      <c r="F112" s="18"/>
      <c r="G112" s="16" t="s">
        <v>1363</v>
      </c>
      <c r="H112" s="32" t="s">
        <v>1364</v>
      </c>
      <c r="I112" s="13">
        <f>E111*1</f>
        <v>0</v>
      </c>
      <c r="J112" s="13" t="s">
        <v>315</v>
      </c>
      <c r="K112" s="18"/>
    </row>
    <row r="113" spans="1:11">
      <c r="A113" s="13"/>
      <c r="B113" s="13"/>
      <c r="C113" s="13"/>
      <c r="D113" s="13"/>
      <c r="E113" s="17"/>
      <c r="F113" s="18"/>
      <c r="G113" s="18" t="s">
        <v>1350</v>
      </c>
      <c r="H113" s="18" t="s">
        <v>776</v>
      </c>
      <c r="I113" s="13">
        <f>+E111*3.4</f>
        <v>0</v>
      </c>
      <c r="J113" s="13" t="s">
        <v>261</v>
      </c>
      <c r="K113" s="18"/>
    </row>
    <row r="114" spans="1:11">
      <c r="A114" s="13"/>
      <c r="B114" s="13"/>
      <c r="C114" s="13"/>
      <c r="D114" s="13"/>
      <c r="E114" s="17"/>
      <c r="F114" s="18"/>
      <c r="G114" s="18" t="s">
        <v>858</v>
      </c>
      <c r="H114" s="18"/>
      <c r="I114" s="13" t="s">
        <v>786</v>
      </c>
      <c r="J114" s="13"/>
      <c r="K114" s="18"/>
    </row>
    <row r="115" spans="1:11">
      <c r="A115" s="13"/>
      <c r="B115" s="13"/>
      <c r="C115" s="13"/>
      <c r="D115" s="13"/>
      <c r="E115" s="19"/>
      <c r="F115" s="18"/>
      <c r="G115" s="18" t="s">
        <v>773</v>
      </c>
      <c r="H115" s="18" t="s">
        <v>774</v>
      </c>
      <c r="I115" s="13">
        <f>+E111*8</f>
        <v>0</v>
      </c>
      <c r="J115" s="13" t="s">
        <v>315</v>
      </c>
      <c r="K115" s="18"/>
    </row>
    <row r="116" spans="1:11">
      <c r="A116" s="24" t="s">
        <v>863</v>
      </c>
      <c r="B116" s="24"/>
      <c r="C116" s="24"/>
      <c r="D116" s="24"/>
      <c r="E116" s="24"/>
      <c r="F116" s="24"/>
      <c r="G116" s="24"/>
      <c r="H116" s="24"/>
      <c r="I116" s="24"/>
      <c r="J116" s="24"/>
      <c r="K116" s="24"/>
    </row>
    <row r="117" spans="1:11">
      <c r="A117" s="13" t="s">
        <v>22</v>
      </c>
      <c r="B117" s="13" t="s">
        <v>764</v>
      </c>
      <c r="C117" s="13" t="s">
        <v>765</v>
      </c>
      <c r="D117" s="13" t="s">
        <v>89</v>
      </c>
      <c r="E117" s="14"/>
      <c r="F117" s="13" t="s">
        <v>798</v>
      </c>
      <c r="G117" s="13" t="s">
        <v>768</v>
      </c>
      <c r="H117" s="13" t="s">
        <v>543</v>
      </c>
      <c r="I117" s="13" t="s">
        <v>90</v>
      </c>
      <c r="J117" s="13" t="s">
        <v>26</v>
      </c>
      <c r="K117" s="13" t="s">
        <v>30</v>
      </c>
    </row>
    <row r="118" spans="1:11">
      <c r="A118" s="13">
        <v>1</v>
      </c>
      <c r="B118" s="13" t="s">
        <v>864</v>
      </c>
      <c r="C118" s="13" t="s">
        <v>839</v>
      </c>
      <c r="D118" s="13" t="s">
        <v>853</v>
      </c>
      <c r="E118" s="15">
        <v>1</v>
      </c>
      <c r="F118" s="18" t="s">
        <v>865</v>
      </c>
      <c r="G118" s="18" t="s">
        <v>777</v>
      </c>
      <c r="H118" s="18" t="s">
        <v>856</v>
      </c>
      <c r="I118" s="13">
        <f>+E118*0.4*2</f>
        <v>0.8</v>
      </c>
      <c r="J118" s="13" t="s">
        <v>231</v>
      </c>
      <c r="K118" s="18"/>
    </row>
    <row r="119" spans="1:11">
      <c r="A119" s="13"/>
      <c r="B119" s="13"/>
      <c r="C119" s="13"/>
      <c r="D119" s="13"/>
      <c r="E119" s="17"/>
      <c r="F119" s="18"/>
      <c r="G119" s="18" t="s">
        <v>1350</v>
      </c>
      <c r="H119" s="18" t="s">
        <v>776</v>
      </c>
      <c r="I119" s="13">
        <f>+E118*3.5</f>
        <v>3.5</v>
      </c>
      <c r="J119" s="13" t="s">
        <v>261</v>
      </c>
      <c r="K119" s="18"/>
    </row>
    <row r="120" spans="1:11">
      <c r="A120" s="13"/>
      <c r="B120" s="13"/>
      <c r="C120" s="13"/>
      <c r="D120" s="13"/>
      <c r="E120" s="17"/>
      <c r="F120" s="18"/>
      <c r="G120" s="18" t="s">
        <v>858</v>
      </c>
      <c r="H120" s="18"/>
      <c r="I120" s="13" t="s">
        <v>786</v>
      </c>
      <c r="J120" s="13"/>
      <c r="K120" s="18"/>
    </row>
    <row r="121" spans="1:11">
      <c r="A121" s="13"/>
      <c r="B121" s="13"/>
      <c r="C121" s="13"/>
      <c r="D121" s="13"/>
      <c r="E121" s="19"/>
      <c r="F121" s="18"/>
      <c r="G121" s="18" t="s">
        <v>773</v>
      </c>
      <c r="H121" s="18" t="s">
        <v>774</v>
      </c>
      <c r="I121" s="13">
        <f>+E118*8</f>
        <v>8</v>
      </c>
      <c r="J121" s="13" t="s">
        <v>315</v>
      </c>
      <c r="K121" s="18"/>
    </row>
    <row r="122" spans="1:11">
      <c r="A122" s="13">
        <v>2</v>
      </c>
      <c r="B122" s="13" t="s">
        <v>864</v>
      </c>
      <c r="C122" s="13" t="s">
        <v>844</v>
      </c>
      <c r="D122" s="13" t="s">
        <v>853</v>
      </c>
      <c r="E122" s="15"/>
      <c r="F122" s="18"/>
      <c r="G122" s="18" t="s">
        <v>777</v>
      </c>
      <c r="H122" s="18" t="s">
        <v>856</v>
      </c>
      <c r="I122" s="13">
        <f>+E122*0.7*2</f>
        <v>0</v>
      </c>
      <c r="J122" s="13" t="s">
        <v>231</v>
      </c>
      <c r="K122" s="18"/>
    </row>
    <row r="123" spans="1:11">
      <c r="A123" s="13"/>
      <c r="B123" s="13"/>
      <c r="C123" s="13"/>
      <c r="D123" s="13"/>
      <c r="E123" s="17"/>
      <c r="F123" s="18"/>
      <c r="G123" s="18" t="s">
        <v>858</v>
      </c>
      <c r="H123" s="18"/>
      <c r="I123" s="13" t="s">
        <v>786</v>
      </c>
      <c r="J123" s="13"/>
      <c r="K123" s="18"/>
    </row>
    <row r="124" spans="1:11">
      <c r="A124" s="13"/>
      <c r="B124" s="13"/>
      <c r="C124" s="13"/>
      <c r="D124" s="13"/>
      <c r="E124" s="17"/>
      <c r="F124" s="18"/>
      <c r="G124" s="18" t="s">
        <v>1350</v>
      </c>
      <c r="H124" s="18" t="s">
        <v>776</v>
      </c>
      <c r="I124" s="13">
        <f>+E122*5</f>
        <v>0</v>
      </c>
      <c r="J124" s="13" t="s">
        <v>261</v>
      </c>
      <c r="K124" s="18"/>
    </row>
    <row r="125" spans="1:11">
      <c r="A125" s="13"/>
      <c r="B125" s="13"/>
      <c r="C125" s="13"/>
      <c r="D125" s="13"/>
      <c r="E125" s="19"/>
      <c r="F125" s="18"/>
      <c r="G125" s="18" t="s">
        <v>773</v>
      </c>
      <c r="H125" s="18" t="s">
        <v>774</v>
      </c>
      <c r="I125" s="13">
        <f>+E122*8</f>
        <v>0</v>
      </c>
      <c r="J125" s="13" t="s">
        <v>315</v>
      </c>
      <c r="K125" s="18"/>
    </row>
    <row r="126" spans="1:11">
      <c r="A126" s="10" t="s">
        <v>866</v>
      </c>
      <c r="B126" s="10"/>
      <c r="C126" s="10"/>
      <c r="D126" s="10"/>
      <c r="E126" s="10"/>
      <c r="F126" s="10"/>
      <c r="G126" s="10"/>
      <c r="H126" s="10"/>
      <c r="I126" s="10"/>
      <c r="J126" s="10"/>
      <c r="K126" s="10"/>
    </row>
    <row r="127" spans="1:11">
      <c r="A127" s="13" t="s">
        <v>88</v>
      </c>
      <c r="B127" s="13" t="s">
        <v>764</v>
      </c>
      <c r="C127" s="13" t="s">
        <v>765</v>
      </c>
      <c r="D127" s="13" t="s">
        <v>766</v>
      </c>
      <c r="E127" s="14"/>
      <c r="F127" s="13" t="s">
        <v>90</v>
      </c>
      <c r="G127" s="13" t="s">
        <v>768</v>
      </c>
      <c r="H127" s="13" t="s">
        <v>543</v>
      </c>
      <c r="I127" s="13" t="s">
        <v>90</v>
      </c>
      <c r="J127" s="13" t="s">
        <v>26</v>
      </c>
      <c r="K127" s="13" t="s">
        <v>30</v>
      </c>
    </row>
    <row r="128" spans="1:11">
      <c r="A128" s="33" t="s">
        <v>867</v>
      </c>
      <c r="B128" s="33">
        <v>50</v>
      </c>
      <c r="C128" s="33" t="s">
        <v>868</v>
      </c>
      <c r="D128" s="33" t="s">
        <v>869</v>
      </c>
      <c r="E128" s="34">
        <v>1</v>
      </c>
      <c r="F128" s="33" t="s">
        <v>870</v>
      </c>
      <c r="G128" s="35" t="s">
        <v>871</v>
      </c>
      <c r="H128" s="36" t="s">
        <v>872</v>
      </c>
      <c r="I128" s="33">
        <f>+E128*0.7</f>
        <v>0.7</v>
      </c>
      <c r="J128" s="33" t="s">
        <v>231</v>
      </c>
      <c r="K128" s="33"/>
    </row>
    <row r="129" spans="1:11">
      <c r="A129" s="33"/>
      <c r="B129" s="33"/>
      <c r="C129" s="33"/>
      <c r="D129" s="33"/>
      <c r="E129" s="37"/>
      <c r="F129" s="33"/>
      <c r="G129" s="18" t="s">
        <v>873</v>
      </c>
      <c r="H129" s="18" t="s">
        <v>774</v>
      </c>
      <c r="I129" s="13">
        <f>+E128*4</f>
        <v>4</v>
      </c>
      <c r="J129" s="13" t="s">
        <v>315</v>
      </c>
      <c r="K129" s="33"/>
    </row>
    <row r="130" spans="1:11">
      <c r="A130" s="33"/>
      <c r="B130" s="33"/>
      <c r="C130" s="33"/>
      <c r="D130" s="33"/>
      <c r="E130" s="38"/>
      <c r="F130" s="33"/>
      <c r="G130" s="35" t="s">
        <v>1350</v>
      </c>
      <c r="H130" s="35" t="s">
        <v>776</v>
      </c>
      <c r="I130" s="33">
        <f>+E128*1</f>
        <v>1</v>
      </c>
      <c r="J130" s="33" t="s">
        <v>261</v>
      </c>
      <c r="K130" s="33"/>
    </row>
    <row r="131" spans="1:11">
      <c r="A131" s="33" t="s">
        <v>867</v>
      </c>
      <c r="B131" s="33">
        <v>50</v>
      </c>
      <c r="C131" s="33" t="s">
        <v>868</v>
      </c>
      <c r="D131" s="33" t="s">
        <v>874</v>
      </c>
      <c r="E131" s="34"/>
      <c r="F131" s="33" t="s">
        <v>870</v>
      </c>
      <c r="G131" s="35" t="s">
        <v>875</v>
      </c>
      <c r="H131" s="36" t="s">
        <v>872</v>
      </c>
      <c r="I131" s="33">
        <f>+E131*0.7</f>
        <v>0</v>
      </c>
      <c r="J131" s="33" t="s">
        <v>231</v>
      </c>
      <c r="K131" s="33"/>
    </row>
    <row r="132" spans="1:11">
      <c r="A132" s="33"/>
      <c r="B132" s="33"/>
      <c r="C132" s="33"/>
      <c r="D132" s="33"/>
      <c r="E132" s="37"/>
      <c r="F132" s="33"/>
      <c r="G132" s="18" t="s">
        <v>873</v>
      </c>
      <c r="H132" s="18" t="s">
        <v>774</v>
      </c>
      <c r="I132" s="13">
        <f>+E131*4</f>
        <v>0</v>
      </c>
      <c r="J132" s="13" t="s">
        <v>315</v>
      </c>
      <c r="K132" s="33"/>
    </row>
    <row r="133" spans="1:11">
      <c r="A133" s="33"/>
      <c r="B133" s="33"/>
      <c r="C133" s="33"/>
      <c r="D133" s="33"/>
      <c r="E133" s="38"/>
      <c r="F133" s="33"/>
      <c r="G133" s="35" t="s">
        <v>1350</v>
      </c>
      <c r="H133" s="35" t="s">
        <v>776</v>
      </c>
      <c r="I133" s="33">
        <f>+E131*2</f>
        <v>0</v>
      </c>
      <c r="J133" s="33" t="s">
        <v>261</v>
      </c>
      <c r="K133" s="33"/>
    </row>
    <row r="134" spans="1:11">
      <c r="A134" s="33" t="s">
        <v>867</v>
      </c>
      <c r="B134" s="33">
        <v>50</v>
      </c>
      <c r="C134" s="33" t="s">
        <v>876</v>
      </c>
      <c r="D134" s="33" t="s">
        <v>791</v>
      </c>
      <c r="E134" s="34"/>
      <c r="F134" s="33" t="s">
        <v>870</v>
      </c>
      <c r="G134" s="35" t="s">
        <v>875</v>
      </c>
      <c r="H134" s="36" t="s">
        <v>872</v>
      </c>
      <c r="I134" s="33">
        <f>+E134*2</f>
        <v>0</v>
      </c>
      <c r="J134" s="33" t="s">
        <v>231</v>
      </c>
      <c r="K134" s="33"/>
    </row>
    <row r="135" spans="1:11">
      <c r="A135" s="33"/>
      <c r="B135" s="33"/>
      <c r="C135" s="33"/>
      <c r="D135" s="33"/>
      <c r="E135" s="37"/>
      <c r="F135" s="33"/>
      <c r="G135" s="18" t="s">
        <v>873</v>
      </c>
      <c r="H135" s="18" t="s">
        <v>774</v>
      </c>
      <c r="I135" s="13">
        <f>+E134*4</f>
        <v>0</v>
      </c>
      <c r="J135" s="13" t="s">
        <v>315</v>
      </c>
      <c r="K135" s="33"/>
    </row>
    <row r="136" spans="1:11">
      <c r="A136" s="33"/>
      <c r="B136" s="33"/>
      <c r="C136" s="33"/>
      <c r="D136" s="33"/>
      <c r="E136" s="38"/>
      <c r="F136" s="33"/>
      <c r="G136" s="35" t="s">
        <v>1350</v>
      </c>
      <c r="H136" s="35" t="s">
        <v>776</v>
      </c>
      <c r="I136" s="33">
        <f>+E134*2.5</f>
        <v>0</v>
      </c>
      <c r="J136" s="33" t="s">
        <v>261</v>
      </c>
      <c r="K136" s="33"/>
    </row>
    <row r="137" spans="1:11">
      <c r="A137" s="33" t="s">
        <v>867</v>
      </c>
      <c r="B137" s="33">
        <v>75</v>
      </c>
      <c r="C137" s="33" t="s">
        <v>868</v>
      </c>
      <c r="D137" s="33" t="s">
        <v>877</v>
      </c>
      <c r="E137" s="34"/>
      <c r="F137" s="33" t="s">
        <v>878</v>
      </c>
      <c r="G137" s="35" t="s">
        <v>777</v>
      </c>
      <c r="H137" s="36" t="s">
        <v>872</v>
      </c>
      <c r="I137" s="33">
        <f>+E137*0.5</f>
        <v>0</v>
      </c>
      <c r="J137" s="33" t="s">
        <v>231</v>
      </c>
      <c r="K137" s="33"/>
    </row>
    <row r="138" spans="1:11">
      <c r="A138" s="33"/>
      <c r="B138" s="33"/>
      <c r="C138" s="33"/>
      <c r="D138" s="33"/>
      <c r="E138" s="37"/>
      <c r="F138" s="33"/>
      <c r="G138" s="18" t="s">
        <v>773</v>
      </c>
      <c r="H138" s="18" t="s">
        <v>774</v>
      </c>
      <c r="I138" s="13">
        <f>+E137*8</f>
        <v>0</v>
      </c>
      <c r="J138" s="13" t="s">
        <v>315</v>
      </c>
      <c r="K138" s="33"/>
    </row>
    <row r="139" spans="1:11">
      <c r="A139" s="33"/>
      <c r="B139" s="33"/>
      <c r="C139" s="33"/>
      <c r="D139" s="33"/>
      <c r="E139" s="38"/>
      <c r="F139" s="33"/>
      <c r="G139" s="35" t="s">
        <v>1350</v>
      </c>
      <c r="H139" s="35" t="s">
        <v>776</v>
      </c>
      <c r="I139" s="33">
        <f>+E137*1.5</f>
        <v>0</v>
      </c>
      <c r="J139" s="33" t="s">
        <v>261</v>
      </c>
      <c r="K139" s="33"/>
    </row>
    <row r="140" spans="1:11">
      <c r="A140" s="33" t="s">
        <v>867</v>
      </c>
      <c r="B140" s="33">
        <v>75</v>
      </c>
      <c r="C140" s="33" t="s">
        <v>868</v>
      </c>
      <c r="D140" s="33" t="s">
        <v>874</v>
      </c>
      <c r="E140" s="34"/>
      <c r="F140" s="33" t="s">
        <v>878</v>
      </c>
      <c r="G140" s="35" t="s">
        <v>777</v>
      </c>
      <c r="H140" s="36" t="s">
        <v>872</v>
      </c>
      <c r="I140" s="33">
        <f>+E140*0.5</f>
        <v>0</v>
      </c>
      <c r="J140" s="33" t="s">
        <v>231</v>
      </c>
      <c r="K140" s="33"/>
    </row>
    <row r="141" spans="1:11">
      <c r="A141" s="33"/>
      <c r="B141" s="33"/>
      <c r="C141" s="33"/>
      <c r="D141" s="33"/>
      <c r="E141" s="37"/>
      <c r="F141" s="33"/>
      <c r="G141" s="18" t="s">
        <v>773</v>
      </c>
      <c r="H141" s="18" t="s">
        <v>774</v>
      </c>
      <c r="I141" s="13">
        <f>+E140*8</f>
        <v>0</v>
      </c>
      <c r="J141" s="13" t="s">
        <v>315</v>
      </c>
      <c r="K141" s="33"/>
    </row>
    <row r="142" spans="1:11">
      <c r="A142" s="33"/>
      <c r="B142" s="33"/>
      <c r="C142" s="33"/>
      <c r="D142" s="33"/>
      <c r="E142" s="38"/>
      <c r="F142" s="33"/>
      <c r="G142" s="35" t="s">
        <v>1350</v>
      </c>
      <c r="H142" s="35" t="s">
        <v>776</v>
      </c>
      <c r="I142" s="33">
        <f>+E140*2</f>
        <v>0</v>
      </c>
      <c r="J142" s="33" t="s">
        <v>261</v>
      </c>
      <c r="K142" s="33"/>
    </row>
    <row r="143" spans="1:11">
      <c r="A143" s="33" t="s">
        <v>867</v>
      </c>
      <c r="B143" s="33">
        <v>75</v>
      </c>
      <c r="C143" s="33" t="s">
        <v>876</v>
      </c>
      <c r="D143" s="33" t="s">
        <v>791</v>
      </c>
      <c r="E143" s="34"/>
      <c r="F143" s="33" t="s">
        <v>870</v>
      </c>
      <c r="G143" s="35" t="s">
        <v>777</v>
      </c>
      <c r="H143" s="36" t="s">
        <v>872</v>
      </c>
      <c r="I143" s="33">
        <f>+E143*2</f>
        <v>0</v>
      </c>
      <c r="J143" s="33" t="s">
        <v>231</v>
      </c>
      <c r="K143" s="33"/>
    </row>
    <row r="144" spans="1:11">
      <c r="A144" s="33"/>
      <c r="B144" s="33"/>
      <c r="C144" s="33"/>
      <c r="D144" s="33"/>
      <c r="E144" s="37"/>
      <c r="F144" s="33"/>
      <c r="G144" s="18" t="s">
        <v>773</v>
      </c>
      <c r="H144" s="18" t="s">
        <v>774</v>
      </c>
      <c r="I144" s="13">
        <f>+E143*8</f>
        <v>0</v>
      </c>
      <c r="J144" s="13" t="s">
        <v>315</v>
      </c>
      <c r="K144" s="33"/>
    </row>
    <row r="145" spans="1:11">
      <c r="A145" s="33"/>
      <c r="B145" s="33"/>
      <c r="C145" s="33"/>
      <c r="D145" s="33"/>
      <c r="E145" s="38"/>
      <c r="F145" s="33"/>
      <c r="G145" s="35" t="s">
        <v>1350</v>
      </c>
      <c r="H145" s="35" t="s">
        <v>776</v>
      </c>
      <c r="I145" s="33">
        <f>+E143*2.5</f>
        <v>0</v>
      </c>
      <c r="J145" s="33" t="s">
        <v>261</v>
      </c>
      <c r="K145" s="33"/>
    </row>
    <row r="146" spans="1:11">
      <c r="A146" s="33" t="s">
        <v>867</v>
      </c>
      <c r="B146" s="33">
        <v>150</v>
      </c>
      <c r="C146" s="33" t="s">
        <v>868</v>
      </c>
      <c r="D146" s="33" t="s">
        <v>877</v>
      </c>
      <c r="E146" s="34"/>
      <c r="F146" s="33" t="s">
        <v>870</v>
      </c>
      <c r="G146" s="35" t="s">
        <v>777</v>
      </c>
      <c r="H146" s="36" t="s">
        <v>872</v>
      </c>
      <c r="I146" s="33">
        <f>+E146*0.5</f>
        <v>0</v>
      </c>
      <c r="J146" s="33" t="s">
        <v>231</v>
      </c>
      <c r="K146" s="33"/>
    </row>
    <row r="147" spans="1:11">
      <c r="A147" s="33"/>
      <c r="B147" s="33"/>
      <c r="C147" s="33"/>
      <c r="D147" s="33"/>
      <c r="E147" s="37"/>
      <c r="F147" s="33"/>
      <c r="G147" s="18" t="s">
        <v>773</v>
      </c>
      <c r="H147" s="18" t="s">
        <v>774</v>
      </c>
      <c r="I147" s="13">
        <f>+E146*8</f>
        <v>0</v>
      </c>
      <c r="J147" s="13" t="s">
        <v>315</v>
      </c>
      <c r="K147" s="33"/>
    </row>
    <row r="148" spans="1:11">
      <c r="A148" s="33"/>
      <c r="B148" s="33"/>
      <c r="C148" s="33"/>
      <c r="D148" s="33"/>
      <c r="E148" s="38"/>
      <c r="F148" s="33"/>
      <c r="G148" s="35" t="s">
        <v>1350</v>
      </c>
      <c r="H148" s="35" t="s">
        <v>776</v>
      </c>
      <c r="I148" s="33">
        <f>+E146*1</f>
        <v>0</v>
      </c>
      <c r="J148" s="33" t="s">
        <v>261</v>
      </c>
      <c r="K148" s="33"/>
    </row>
    <row r="149" spans="1:11">
      <c r="A149" s="33" t="s">
        <v>867</v>
      </c>
      <c r="B149" s="33">
        <v>150</v>
      </c>
      <c r="C149" s="33" t="s">
        <v>868</v>
      </c>
      <c r="D149" s="33" t="s">
        <v>874</v>
      </c>
      <c r="E149" s="34"/>
      <c r="F149" s="33" t="s">
        <v>870</v>
      </c>
      <c r="G149" s="35" t="s">
        <v>777</v>
      </c>
      <c r="H149" s="36" t="s">
        <v>872</v>
      </c>
      <c r="I149" s="33">
        <f>+E149*0.5</f>
        <v>0</v>
      </c>
      <c r="J149" s="33" t="s">
        <v>231</v>
      </c>
      <c r="K149" s="33"/>
    </row>
    <row r="150" spans="1:11">
      <c r="A150" s="33"/>
      <c r="B150" s="33"/>
      <c r="C150" s="33"/>
      <c r="D150" s="33"/>
      <c r="E150" s="37"/>
      <c r="F150" s="33"/>
      <c r="G150" s="18" t="s">
        <v>773</v>
      </c>
      <c r="H150" s="18" t="s">
        <v>774</v>
      </c>
      <c r="I150" s="13">
        <f>+E149*8</f>
        <v>0</v>
      </c>
      <c r="J150" s="13" t="s">
        <v>315</v>
      </c>
      <c r="K150" s="33"/>
    </row>
    <row r="151" spans="1:11">
      <c r="A151" s="33"/>
      <c r="B151" s="33"/>
      <c r="C151" s="33"/>
      <c r="D151" s="33"/>
      <c r="E151" s="38"/>
      <c r="F151" s="33"/>
      <c r="G151" s="35" t="s">
        <v>1350</v>
      </c>
      <c r="H151" s="35" t="s">
        <v>776</v>
      </c>
      <c r="I151" s="33">
        <f>+E149*1.5</f>
        <v>0</v>
      </c>
      <c r="J151" s="33" t="s">
        <v>261</v>
      </c>
      <c r="K151" s="33"/>
    </row>
    <row r="152" spans="1:11">
      <c r="A152" s="33" t="s">
        <v>867</v>
      </c>
      <c r="B152" s="33">
        <v>150</v>
      </c>
      <c r="C152" s="33" t="s">
        <v>876</v>
      </c>
      <c r="D152" s="33" t="s">
        <v>791</v>
      </c>
      <c r="E152" s="34"/>
      <c r="F152" s="33" t="s">
        <v>870</v>
      </c>
      <c r="G152" s="35" t="s">
        <v>777</v>
      </c>
      <c r="H152" s="36" t="s">
        <v>872</v>
      </c>
      <c r="I152" s="33">
        <f>+E152*2</f>
        <v>0</v>
      </c>
      <c r="J152" s="33" t="s">
        <v>231</v>
      </c>
      <c r="K152" s="33"/>
    </row>
    <row r="153" spans="1:11">
      <c r="A153" s="33"/>
      <c r="B153" s="33"/>
      <c r="C153" s="33"/>
      <c r="D153" s="33"/>
      <c r="E153" s="37"/>
      <c r="F153" s="33"/>
      <c r="G153" s="18" t="s">
        <v>773</v>
      </c>
      <c r="H153" s="18" t="s">
        <v>774</v>
      </c>
      <c r="I153" s="13">
        <f>+E152*8</f>
        <v>0</v>
      </c>
      <c r="J153" s="13" t="s">
        <v>315</v>
      </c>
      <c r="K153" s="33"/>
    </row>
    <row r="154" spans="1:11">
      <c r="A154" s="33"/>
      <c r="B154" s="33"/>
      <c r="C154" s="33"/>
      <c r="D154" s="33"/>
      <c r="E154" s="38"/>
      <c r="F154" s="33"/>
      <c r="G154" s="35" t="s">
        <v>1350</v>
      </c>
      <c r="H154" s="35" t="s">
        <v>776</v>
      </c>
      <c r="I154" s="33">
        <f>+E152*2.5</f>
        <v>0</v>
      </c>
      <c r="J154" s="33" t="s">
        <v>261</v>
      </c>
      <c r="K154" s="33"/>
    </row>
    <row r="155" spans="1:11">
      <c r="A155" s="13" t="s">
        <v>867</v>
      </c>
      <c r="B155" s="13" t="s">
        <v>879</v>
      </c>
      <c r="C155" s="13" t="s">
        <v>868</v>
      </c>
      <c r="D155" s="13" t="s">
        <v>795</v>
      </c>
      <c r="E155" s="15"/>
      <c r="F155" s="13" t="s">
        <v>870</v>
      </c>
      <c r="G155" s="35" t="s">
        <v>777</v>
      </c>
      <c r="H155" s="36" t="s">
        <v>872</v>
      </c>
      <c r="I155" s="33">
        <f>+E155*1</f>
        <v>0</v>
      </c>
      <c r="J155" s="33" t="s">
        <v>231</v>
      </c>
      <c r="K155" s="44"/>
    </row>
    <row r="156" spans="1:11">
      <c r="A156" s="13"/>
      <c r="B156" s="13"/>
      <c r="C156" s="13"/>
      <c r="D156" s="13"/>
      <c r="E156" s="17"/>
      <c r="F156" s="13"/>
      <c r="G156" s="18" t="s">
        <v>773</v>
      </c>
      <c r="H156" s="18" t="s">
        <v>774</v>
      </c>
      <c r="I156" s="13">
        <f>+E155*8</f>
        <v>0</v>
      </c>
      <c r="J156" s="13" t="s">
        <v>315</v>
      </c>
      <c r="K156" s="44"/>
    </row>
    <row r="157" spans="1:11">
      <c r="A157" s="13"/>
      <c r="B157" s="13"/>
      <c r="C157" s="13"/>
      <c r="D157" s="13"/>
      <c r="E157" s="19"/>
      <c r="F157" s="13"/>
      <c r="G157" s="35" t="s">
        <v>1350</v>
      </c>
      <c r="H157" s="35" t="s">
        <v>776</v>
      </c>
      <c r="I157" s="33">
        <f>+E155*2.5</f>
        <v>0</v>
      </c>
      <c r="J157" s="33" t="s">
        <v>261</v>
      </c>
      <c r="K157" s="44"/>
    </row>
    <row r="158" spans="1:11">
      <c r="A158" s="13" t="s">
        <v>880</v>
      </c>
      <c r="B158" s="13" t="s">
        <v>881</v>
      </c>
      <c r="C158" s="13" t="s">
        <v>792</v>
      </c>
      <c r="D158" s="13" t="s">
        <v>792</v>
      </c>
      <c r="E158" s="15"/>
      <c r="F158" s="13" t="s">
        <v>882</v>
      </c>
      <c r="G158" s="18" t="s">
        <v>777</v>
      </c>
      <c r="H158" s="20" t="s">
        <v>872</v>
      </c>
      <c r="I158" s="13">
        <f>+E158*0.5</f>
        <v>0</v>
      </c>
      <c r="J158" s="13" t="s">
        <v>231</v>
      </c>
      <c r="K158" s="13"/>
    </row>
    <row r="159" spans="1:11">
      <c r="A159" s="13"/>
      <c r="B159" s="13"/>
      <c r="C159" s="13"/>
      <c r="D159" s="13"/>
      <c r="E159" s="17"/>
      <c r="F159" s="13"/>
      <c r="G159" s="18" t="s">
        <v>883</v>
      </c>
      <c r="H159" s="20"/>
      <c r="I159" s="13">
        <f>+E158*5</f>
        <v>0</v>
      </c>
      <c r="J159" s="13" t="s">
        <v>181</v>
      </c>
      <c r="K159" s="13"/>
    </row>
    <row r="160" spans="1:11">
      <c r="A160" s="13"/>
      <c r="B160" s="13"/>
      <c r="C160" s="13"/>
      <c r="D160" s="13"/>
      <c r="E160" s="19"/>
      <c r="F160" s="13"/>
      <c r="G160" s="18" t="s">
        <v>1350</v>
      </c>
      <c r="H160" s="18" t="s">
        <v>776</v>
      </c>
      <c r="I160" s="13">
        <f>+E158*2.5</f>
        <v>0</v>
      </c>
      <c r="J160" s="13" t="s">
        <v>261</v>
      </c>
      <c r="K160" s="13"/>
    </row>
    <row r="161" spans="1:11">
      <c r="A161" s="13" t="s">
        <v>884</v>
      </c>
      <c r="B161" s="13" t="s">
        <v>885</v>
      </c>
      <c r="C161" s="13" t="s">
        <v>886</v>
      </c>
      <c r="D161" s="13" t="s">
        <v>792</v>
      </c>
      <c r="E161" s="15"/>
      <c r="F161" s="13" t="s">
        <v>887</v>
      </c>
      <c r="G161" s="18" t="s">
        <v>777</v>
      </c>
      <c r="H161" s="36" t="s">
        <v>872</v>
      </c>
      <c r="I161" s="13">
        <f>+E161*1</f>
        <v>0</v>
      </c>
      <c r="J161" s="13" t="s">
        <v>231</v>
      </c>
      <c r="K161" s="13" t="s">
        <v>888</v>
      </c>
    </row>
    <row r="162" spans="1:11">
      <c r="A162" s="13"/>
      <c r="B162" s="13"/>
      <c r="C162" s="13"/>
      <c r="D162" s="13"/>
      <c r="E162" s="17"/>
      <c r="F162" s="13"/>
      <c r="G162" s="18" t="s">
        <v>773</v>
      </c>
      <c r="H162" s="18" t="s">
        <v>774</v>
      </c>
      <c r="I162" s="13">
        <f>+E161*4</f>
        <v>0</v>
      </c>
      <c r="J162" s="13" t="s">
        <v>315</v>
      </c>
      <c r="K162" s="13"/>
    </row>
    <row r="163" spans="1:11">
      <c r="A163" s="13"/>
      <c r="B163" s="13"/>
      <c r="C163" s="13"/>
      <c r="D163" s="13"/>
      <c r="E163" s="19"/>
      <c r="F163" s="13"/>
      <c r="G163" s="18" t="s">
        <v>1350</v>
      </c>
      <c r="H163" s="18" t="s">
        <v>776</v>
      </c>
      <c r="I163" s="13">
        <f>+E161*3</f>
        <v>0</v>
      </c>
      <c r="J163" s="13" t="s">
        <v>261</v>
      </c>
      <c r="K163" s="13"/>
    </row>
    <row r="164" spans="1:11">
      <c r="A164" s="13" t="s">
        <v>884</v>
      </c>
      <c r="B164" s="13" t="s">
        <v>889</v>
      </c>
      <c r="C164" s="13" t="s">
        <v>886</v>
      </c>
      <c r="D164" s="13" t="s">
        <v>792</v>
      </c>
      <c r="E164" s="15"/>
      <c r="F164" s="13" t="s">
        <v>887</v>
      </c>
      <c r="G164" s="18" t="s">
        <v>777</v>
      </c>
      <c r="H164" s="36" t="s">
        <v>872</v>
      </c>
      <c r="I164" s="13">
        <f>+E164*1.5</f>
        <v>0</v>
      </c>
      <c r="J164" s="13" t="s">
        <v>231</v>
      </c>
      <c r="K164" s="13" t="s">
        <v>888</v>
      </c>
    </row>
    <row r="165" spans="1:11">
      <c r="A165" s="13"/>
      <c r="B165" s="13"/>
      <c r="C165" s="13"/>
      <c r="D165" s="13"/>
      <c r="E165" s="17"/>
      <c r="F165" s="13"/>
      <c r="G165" s="18" t="s">
        <v>773</v>
      </c>
      <c r="H165" s="18" t="s">
        <v>774</v>
      </c>
      <c r="I165" s="13">
        <f>+E164*4</f>
        <v>0</v>
      </c>
      <c r="J165" s="13" t="s">
        <v>315</v>
      </c>
      <c r="K165" s="13"/>
    </row>
    <row r="166" spans="1:11">
      <c r="A166" s="13"/>
      <c r="B166" s="13"/>
      <c r="C166" s="13"/>
      <c r="D166" s="13"/>
      <c r="E166" s="19"/>
      <c r="F166" s="13"/>
      <c r="G166" s="18" t="s">
        <v>1350</v>
      </c>
      <c r="H166" s="18" t="s">
        <v>776</v>
      </c>
      <c r="I166" s="13">
        <f>+E164*4</f>
        <v>0</v>
      </c>
      <c r="J166" s="13" t="s">
        <v>261</v>
      </c>
      <c r="K166" s="13"/>
    </row>
    <row r="167" spans="1:11">
      <c r="A167" s="13" t="s">
        <v>890</v>
      </c>
      <c r="B167" s="13" t="s">
        <v>891</v>
      </c>
      <c r="C167" s="13"/>
      <c r="D167" s="13"/>
      <c r="E167" s="15"/>
      <c r="F167" s="13" t="s">
        <v>870</v>
      </c>
      <c r="G167" s="18" t="s">
        <v>777</v>
      </c>
      <c r="H167" s="36" t="s">
        <v>872</v>
      </c>
      <c r="I167" s="13">
        <f>+E167*1.5</f>
        <v>0</v>
      </c>
      <c r="J167" s="13" t="s">
        <v>231</v>
      </c>
      <c r="K167" s="13" t="s">
        <v>888</v>
      </c>
    </row>
    <row r="168" spans="1:11">
      <c r="A168" s="13"/>
      <c r="B168" s="13"/>
      <c r="C168" s="13"/>
      <c r="D168" s="13"/>
      <c r="E168" s="19"/>
      <c r="F168" s="13"/>
      <c r="G168" s="18" t="s">
        <v>1350</v>
      </c>
      <c r="H168" s="18" t="s">
        <v>776</v>
      </c>
      <c r="I168" s="13">
        <f>+E167*4</f>
        <v>0</v>
      </c>
      <c r="J168" s="13" t="s">
        <v>261</v>
      </c>
      <c r="K168" s="13"/>
    </row>
    <row r="169" spans="1:11">
      <c r="A169" s="13" t="s">
        <v>892</v>
      </c>
      <c r="B169" s="13" t="s">
        <v>893</v>
      </c>
      <c r="C169" s="13">
        <v>50</v>
      </c>
      <c r="D169" s="13" t="s">
        <v>894</v>
      </c>
      <c r="E169" s="15"/>
      <c r="F169" s="13" t="s">
        <v>895</v>
      </c>
      <c r="G169" s="18" t="s">
        <v>871</v>
      </c>
      <c r="H169" s="20"/>
      <c r="I169" s="13">
        <f>+E169*1</f>
        <v>0</v>
      </c>
      <c r="J169" s="13" t="s">
        <v>315</v>
      </c>
      <c r="K169" s="13"/>
    </row>
    <row r="170" spans="1:11">
      <c r="A170" s="13"/>
      <c r="B170" s="13"/>
      <c r="C170" s="13"/>
      <c r="D170" s="13"/>
      <c r="E170" s="17"/>
      <c r="F170" s="13"/>
      <c r="G170" s="18" t="s">
        <v>873</v>
      </c>
      <c r="H170" s="18" t="s">
        <v>774</v>
      </c>
      <c r="I170" s="13">
        <f>+E169*4</f>
        <v>0</v>
      </c>
      <c r="J170" s="13" t="s">
        <v>315</v>
      </c>
      <c r="K170" s="13"/>
    </row>
    <row r="171" spans="1:11">
      <c r="A171" s="13"/>
      <c r="B171" s="13"/>
      <c r="C171" s="13"/>
      <c r="D171" s="13"/>
      <c r="E171" s="19"/>
      <c r="F171" s="13"/>
      <c r="G171" s="18" t="s">
        <v>1350</v>
      </c>
      <c r="H171" s="18" t="s">
        <v>776</v>
      </c>
      <c r="I171" s="13">
        <f>+E169*1.5</f>
        <v>0</v>
      </c>
      <c r="J171" s="13" t="s">
        <v>261</v>
      </c>
      <c r="K171" s="13"/>
    </row>
    <row r="172" spans="1:11">
      <c r="A172" s="13" t="s">
        <v>892</v>
      </c>
      <c r="B172" s="13" t="s">
        <v>896</v>
      </c>
      <c r="C172" s="13">
        <v>50</v>
      </c>
      <c r="D172" s="13" t="s">
        <v>894</v>
      </c>
      <c r="E172" s="15"/>
      <c r="F172" s="13" t="s">
        <v>895</v>
      </c>
      <c r="G172" s="18" t="s">
        <v>871</v>
      </c>
      <c r="H172" s="20"/>
      <c r="I172" s="13">
        <f>+E172*2</f>
        <v>0</v>
      </c>
      <c r="J172" s="13" t="s">
        <v>315</v>
      </c>
      <c r="K172" s="13"/>
    </row>
    <row r="173" spans="1:11">
      <c r="A173" s="13"/>
      <c r="B173" s="13"/>
      <c r="C173" s="13"/>
      <c r="D173" s="13"/>
      <c r="E173" s="17"/>
      <c r="F173" s="13"/>
      <c r="G173" s="18" t="s">
        <v>873</v>
      </c>
      <c r="H173" s="18" t="s">
        <v>774</v>
      </c>
      <c r="I173" s="13">
        <f>+E172*4</f>
        <v>0</v>
      </c>
      <c r="J173" s="13" t="s">
        <v>315</v>
      </c>
      <c r="K173" s="13"/>
    </row>
    <row r="174" spans="1:11">
      <c r="A174" s="13"/>
      <c r="B174" s="13"/>
      <c r="C174" s="13"/>
      <c r="D174" s="13"/>
      <c r="E174" s="19"/>
      <c r="F174" s="13"/>
      <c r="G174" s="18" t="s">
        <v>1350</v>
      </c>
      <c r="H174" s="18" t="s">
        <v>776</v>
      </c>
      <c r="I174" s="13">
        <f>+E172*2.5</f>
        <v>0</v>
      </c>
      <c r="J174" s="13" t="s">
        <v>261</v>
      </c>
      <c r="K174" s="13"/>
    </row>
    <row r="175" spans="1:11">
      <c r="A175" s="13" t="s">
        <v>892</v>
      </c>
      <c r="B175" s="13" t="s">
        <v>893</v>
      </c>
      <c r="C175" s="13">
        <v>50</v>
      </c>
      <c r="D175" s="13" t="s">
        <v>897</v>
      </c>
      <c r="E175" s="15"/>
      <c r="F175" s="13" t="s">
        <v>895</v>
      </c>
      <c r="G175" s="18" t="s">
        <v>875</v>
      </c>
      <c r="H175" s="20"/>
      <c r="I175" s="13">
        <f>+E175*1</f>
        <v>0</v>
      </c>
      <c r="J175" s="13" t="s">
        <v>315</v>
      </c>
      <c r="K175" s="13"/>
    </row>
    <row r="176" spans="1:11">
      <c r="A176" s="13"/>
      <c r="B176" s="13"/>
      <c r="C176" s="13"/>
      <c r="D176" s="13"/>
      <c r="E176" s="17"/>
      <c r="F176" s="13"/>
      <c r="G176" s="18" t="s">
        <v>873</v>
      </c>
      <c r="H176" s="18" t="s">
        <v>774</v>
      </c>
      <c r="I176" s="13">
        <f>+E175*4</f>
        <v>0</v>
      </c>
      <c r="J176" s="13" t="s">
        <v>315</v>
      </c>
      <c r="K176" s="13"/>
    </row>
    <row r="177" spans="1:11">
      <c r="A177" s="13"/>
      <c r="B177" s="13"/>
      <c r="C177" s="13"/>
      <c r="D177" s="13"/>
      <c r="E177" s="19"/>
      <c r="F177" s="13"/>
      <c r="G177" s="18" t="s">
        <v>1350</v>
      </c>
      <c r="H177" s="18" t="s">
        <v>776</v>
      </c>
      <c r="I177" s="13">
        <f>+E175*1.5</f>
        <v>0</v>
      </c>
      <c r="J177" s="13" t="s">
        <v>261</v>
      </c>
      <c r="K177" s="13"/>
    </row>
    <row r="178" spans="1:11">
      <c r="A178" s="13" t="s">
        <v>892</v>
      </c>
      <c r="B178" s="13" t="s">
        <v>896</v>
      </c>
      <c r="C178" s="13">
        <v>50</v>
      </c>
      <c r="D178" s="13" t="s">
        <v>897</v>
      </c>
      <c r="E178" s="15"/>
      <c r="F178" s="13" t="s">
        <v>895</v>
      </c>
      <c r="G178" s="18" t="s">
        <v>875</v>
      </c>
      <c r="H178" s="20"/>
      <c r="I178" s="13">
        <f>+E178*2</f>
        <v>0</v>
      </c>
      <c r="J178" s="13" t="s">
        <v>315</v>
      </c>
      <c r="K178" s="13"/>
    </row>
    <row r="179" spans="1:11">
      <c r="A179" s="13"/>
      <c r="B179" s="13"/>
      <c r="C179" s="13"/>
      <c r="D179" s="13"/>
      <c r="E179" s="17"/>
      <c r="F179" s="13"/>
      <c r="G179" s="18" t="s">
        <v>873</v>
      </c>
      <c r="H179" s="18" t="s">
        <v>774</v>
      </c>
      <c r="I179" s="13">
        <f>+E178*4</f>
        <v>0</v>
      </c>
      <c r="J179" s="13" t="s">
        <v>315</v>
      </c>
      <c r="K179" s="13"/>
    </row>
    <row r="180" spans="1:11">
      <c r="A180" s="13"/>
      <c r="B180" s="13"/>
      <c r="C180" s="13"/>
      <c r="D180" s="13"/>
      <c r="E180" s="19"/>
      <c r="F180" s="13"/>
      <c r="G180" s="18" t="s">
        <v>1350</v>
      </c>
      <c r="H180" s="18" t="s">
        <v>776</v>
      </c>
      <c r="I180" s="13">
        <f>+E178*2.5</f>
        <v>0</v>
      </c>
      <c r="J180" s="13" t="s">
        <v>261</v>
      </c>
      <c r="K180" s="13"/>
    </row>
    <row r="181" spans="1:11">
      <c r="A181" s="13" t="s">
        <v>898</v>
      </c>
      <c r="B181" s="13" t="s">
        <v>891</v>
      </c>
      <c r="C181" s="13" t="s">
        <v>891</v>
      </c>
      <c r="D181" s="13" t="s">
        <v>891</v>
      </c>
      <c r="E181" s="15"/>
      <c r="F181" s="13" t="s">
        <v>870</v>
      </c>
      <c r="G181" s="18" t="s">
        <v>777</v>
      </c>
      <c r="H181" s="36" t="s">
        <v>872</v>
      </c>
      <c r="I181" s="13">
        <f>+E181*1</f>
        <v>0</v>
      </c>
      <c r="J181" s="13" t="s">
        <v>231</v>
      </c>
      <c r="K181" s="13" t="s">
        <v>888</v>
      </c>
    </row>
    <row r="182" spans="1:11">
      <c r="A182" s="13"/>
      <c r="B182" s="13"/>
      <c r="C182" s="13"/>
      <c r="D182" s="13"/>
      <c r="E182" s="19"/>
      <c r="F182" s="13"/>
      <c r="G182" s="18" t="s">
        <v>1350</v>
      </c>
      <c r="H182" s="18" t="s">
        <v>776</v>
      </c>
      <c r="I182" s="13">
        <f>+E181*3</f>
        <v>0</v>
      </c>
      <c r="J182" s="13" t="s">
        <v>261</v>
      </c>
      <c r="K182" s="13"/>
    </row>
    <row r="183" spans="1:11">
      <c r="A183" s="13" t="s">
        <v>899</v>
      </c>
      <c r="B183" s="13" t="s">
        <v>893</v>
      </c>
      <c r="C183" s="13" t="s">
        <v>891</v>
      </c>
      <c r="D183" s="13" t="s">
        <v>833</v>
      </c>
      <c r="E183" s="15"/>
      <c r="F183" s="39" t="s">
        <v>900</v>
      </c>
      <c r="G183" s="18" t="s">
        <v>777</v>
      </c>
      <c r="H183" s="36" t="s">
        <v>872</v>
      </c>
      <c r="I183" s="13">
        <f>+E183*0.3</f>
        <v>0</v>
      </c>
      <c r="J183" s="13" t="s">
        <v>231</v>
      </c>
      <c r="K183" s="13"/>
    </row>
    <row r="184" spans="1:11">
      <c r="A184" s="13"/>
      <c r="B184" s="13"/>
      <c r="C184" s="13"/>
      <c r="D184" s="13"/>
      <c r="E184" s="17"/>
      <c r="F184" s="39"/>
      <c r="G184" s="18" t="s">
        <v>773</v>
      </c>
      <c r="H184" s="18" t="s">
        <v>774</v>
      </c>
      <c r="I184" s="13">
        <f>+E183*8</f>
        <v>0</v>
      </c>
      <c r="J184" s="13" t="s">
        <v>315</v>
      </c>
      <c r="K184" s="13"/>
    </row>
    <row r="185" spans="1:11">
      <c r="A185" s="13"/>
      <c r="B185" s="13"/>
      <c r="C185" s="13"/>
      <c r="D185" s="13"/>
      <c r="E185" s="19"/>
      <c r="F185" s="39"/>
      <c r="G185" s="18" t="s">
        <v>1350</v>
      </c>
      <c r="H185" s="18" t="s">
        <v>776</v>
      </c>
      <c r="I185" s="13">
        <f>+E183*1.5</f>
        <v>0</v>
      </c>
      <c r="J185" s="13" t="s">
        <v>261</v>
      </c>
      <c r="K185" s="13"/>
    </row>
    <row r="186" spans="1:11">
      <c r="A186" s="13" t="s">
        <v>901</v>
      </c>
      <c r="B186" s="13" t="s">
        <v>791</v>
      </c>
      <c r="C186" s="13" t="s">
        <v>902</v>
      </c>
      <c r="D186" s="13" t="s">
        <v>891</v>
      </c>
      <c r="E186" s="15"/>
      <c r="F186" s="39" t="s">
        <v>903</v>
      </c>
      <c r="G186" s="18" t="s">
        <v>777</v>
      </c>
      <c r="H186" s="36" t="s">
        <v>872</v>
      </c>
      <c r="I186" s="13">
        <f>+E186*1</f>
        <v>0</v>
      </c>
      <c r="J186" s="13" t="s">
        <v>231</v>
      </c>
      <c r="K186" s="13" t="s">
        <v>904</v>
      </c>
    </row>
    <row r="187" spans="1:11">
      <c r="A187" s="13"/>
      <c r="B187" s="13"/>
      <c r="C187" s="13"/>
      <c r="D187" s="13"/>
      <c r="E187" s="17"/>
      <c r="F187" s="39"/>
      <c r="G187" s="18" t="s">
        <v>905</v>
      </c>
      <c r="H187" s="18" t="s">
        <v>774</v>
      </c>
      <c r="I187" s="13">
        <f>+E186*4</f>
        <v>0</v>
      </c>
      <c r="J187" s="13" t="s">
        <v>315</v>
      </c>
      <c r="K187" s="13"/>
    </row>
    <row r="188" spans="1:11">
      <c r="A188" s="13"/>
      <c r="B188" s="13"/>
      <c r="C188" s="13"/>
      <c r="D188" s="13"/>
      <c r="E188" s="19"/>
      <c r="F188" s="39"/>
      <c r="G188" s="18" t="s">
        <v>1350</v>
      </c>
      <c r="H188" s="18" t="s">
        <v>776</v>
      </c>
      <c r="I188" s="13">
        <f>+E186*5</f>
        <v>0</v>
      </c>
      <c r="J188" s="13" t="s">
        <v>261</v>
      </c>
      <c r="K188" s="13"/>
    </row>
    <row r="189" spans="1:11">
      <c r="A189" s="13" t="s">
        <v>901</v>
      </c>
      <c r="B189" s="13" t="s">
        <v>906</v>
      </c>
      <c r="C189" s="13" t="s">
        <v>902</v>
      </c>
      <c r="D189" s="13" t="s">
        <v>891</v>
      </c>
      <c r="E189" s="15"/>
      <c r="F189" s="39" t="s">
        <v>895</v>
      </c>
      <c r="G189" s="18" t="s">
        <v>777</v>
      </c>
      <c r="H189" s="36" t="s">
        <v>872</v>
      </c>
      <c r="I189" s="13">
        <f>+E189*1.5</f>
        <v>0</v>
      </c>
      <c r="J189" s="13" t="s">
        <v>231</v>
      </c>
      <c r="K189" s="13" t="s">
        <v>904</v>
      </c>
    </row>
    <row r="190" spans="1:11">
      <c r="A190" s="13"/>
      <c r="B190" s="13"/>
      <c r="C190" s="13"/>
      <c r="D190" s="13"/>
      <c r="E190" s="17"/>
      <c r="F190" s="39"/>
      <c r="G190" s="18" t="s">
        <v>905</v>
      </c>
      <c r="H190" s="18" t="s">
        <v>774</v>
      </c>
      <c r="I190" s="13">
        <f>+E189*4</f>
        <v>0</v>
      </c>
      <c r="J190" s="13" t="s">
        <v>315</v>
      </c>
      <c r="K190" s="13"/>
    </row>
    <row r="191" spans="1:11">
      <c r="A191" s="21"/>
      <c r="B191" s="21"/>
      <c r="C191" s="21"/>
      <c r="D191" s="21"/>
      <c r="E191" s="17"/>
      <c r="F191" s="40"/>
      <c r="G191" s="41" t="s">
        <v>1350</v>
      </c>
      <c r="H191" s="41" t="s">
        <v>776</v>
      </c>
      <c r="I191" s="21">
        <f>+E189*5</f>
        <v>0</v>
      </c>
      <c r="J191" s="21" t="s">
        <v>261</v>
      </c>
      <c r="K191" s="21"/>
    </row>
    <row r="192" spans="1:11">
      <c r="A192" s="42"/>
      <c r="B192" s="42"/>
      <c r="C192" s="42"/>
      <c r="D192" s="42"/>
      <c r="E192" s="43"/>
      <c r="F192" s="42" t="s">
        <v>907</v>
      </c>
      <c r="G192" s="42" t="s">
        <v>1365</v>
      </c>
      <c r="H192" s="42"/>
      <c r="I192" s="42">
        <v>8</v>
      </c>
      <c r="J192" s="42" t="s">
        <v>181</v>
      </c>
      <c r="K192" s="45"/>
    </row>
    <row r="193" spans="1:1">
      <c r="A193" s="1" t="s">
        <v>468</v>
      </c>
    </row>
  </sheetData>
  <mergeCells count="376">
    <mergeCell ref="A1:K1"/>
    <mergeCell ref="A2:B2"/>
    <mergeCell ref="C2:H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tabSelected="1" view="pageBreakPreview" zoomScaleNormal="100" zoomScaleSheetLayoutView="100" topLeftCell="O1" workbookViewId="0">
      <selection activeCell="AN5" sqref="AN5"/>
    </sheetView>
  </sheetViews>
  <sheetFormatPr defaultColWidth="9" defaultRowHeight="16.5"/>
  <cols>
    <col min="1" max="5" width="4.125" style="973" customWidth="1"/>
    <col min="6" max="6" width="6.125" style="973" customWidth="1"/>
    <col min="7" max="10" width="4.125" style="973" customWidth="1"/>
    <col min="11" max="11" width="5.125" style="973" customWidth="1"/>
    <col min="12" max="15" width="4.125" style="973" customWidth="1"/>
    <col min="16" max="16" width="5.125" style="973" customWidth="1"/>
    <col min="17" max="20" width="4.125" style="973" customWidth="1"/>
    <col min="21" max="21" width="5.125" style="973" customWidth="1"/>
    <col min="22" max="25" width="4.125" style="973" customWidth="1"/>
    <col min="26" max="26" width="5.125" style="973" customWidth="1"/>
    <col min="27" max="27" width="4.125" style="973" customWidth="1"/>
    <col min="28" max="28" width="4.375" style="973" customWidth="1"/>
    <col min="29" max="29" width="5.25" style="973" customWidth="1"/>
    <col min="30" max="30" width="4.125" style="973" customWidth="1"/>
    <col min="31" max="31" width="5.125" style="973" customWidth="1"/>
    <col min="32" max="35" width="4.125" style="973" customWidth="1"/>
    <col min="36" max="36" width="5.125" style="973" customWidth="1"/>
    <col min="37" max="39" width="4.125" style="973" customWidth="1"/>
    <col min="40" max="40" width="4.125" style="995" customWidth="1"/>
    <col min="41" max="41" width="6.625" style="995" customWidth="1"/>
    <col min="42" max="42" width="5.625" style="1009" customWidth="1"/>
    <col min="43" max="43" width="9.625" style="1012" customWidth="1"/>
    <col min="44" max="46" width="11.625" style="1013" customWidth="1"/>
    <col min="47" max="47" width="11.625" style="1012" customWidth="1"/>
    <col min="48" max="48" width="10.875" style="1020" customWidth="1"/>
    <col min="49" max="49" width="10.5" style="1021" customWidth="1"/>
    <col min="50" max="52" width="10.5" style="1020" customWidth="1"/>
    <col min="53" max="53" width="26.875" style="1020" customWidth="1"/>
    <col min="54" max="54" width="38.25" style="1020" customWidth="1"/>
    <col min="55" max="55" width="21.125" style="1020" customWidth="1"/>
    <col min="56" max="56" width="16" style="1021" customWidth="1"/>
    <col min="57" max="57" width="21.375" style="1021" customWidth="1"/>
    <col min="58" max="58" width="16.375" style="1021" customWidth="1"/>
    <col min="59" max="59" width="11.5" style="1021" customWidth="1"/>
    <col min="60" max="16384" width="9" style="1020"/>
  </cols>
  <sheetData>
    <row r="1" ht="21.95" customHeight="1" spans="1:46">
      <c r="A1" s="1022" t="s">
        <v>63</v>
      </c>
      <c r="B1" s="1022"/>
      <c r="C1" s="1022"/>
      <c r="D1" s="1022"/>
      <c r="E1" s="1022"/>
      <c r="F1" s="1022"/>
      <c r="G1" s="1022"/>
      <c r="H1" s="1022"/>
      <c r="I1" s="1022"/>
      <c r="J1" s="1022"/>
      <c r="K1" s="1022"/>
      <c r="L1" s="1022"/>
      <c r="M1" s="1022"/>
      <c r="N1" s="1022"/>
      <c r="O1" s="1022"/>
      <c r="P1" s="1022"/>
      <c r="Q1" s="1022"/>
      <c r="R1" s="1022"/>
      <c r="S1" s="1022"/>
      <c r="T1" s="1022"/>
      <c r="U1" s="1022"/>
      <c r="V1" s="1022"/>
      <c r="W1" s="1022"/>
      <c r="X1" s="1022"/>
      <c r="Y1" s="1022"/>
      <c r="Z1" s="1022"/>
      <c r="AA1" s="1022"/>
      <c r="AB1" s="1022"/>
      <c r="AC1" s="1022"/>
      <c r="AD1" s="1022"/>
      <c r="AE1" s="1022"/>
      <c r="AF1" s="1022"/>
      <c r="AG1" s="1022"/>
      <c r="AH1" s="1022"/>
      <c r="AI1" s="1022"/>
      <c r="AJ1" s="1022"/>
      <c r="AK1" s="1022"/>
      <c r="AL1" s="1022"/>
      <c r="AM1" s="1022"/>
      <c r="AN1" s="1022"/>
      <c r="AO1" s="1022"/>
      <c r="AR1" s="1012"/>
      <c r="AS1" s="1012"/>
      <c r="AT1" s="1012"/>
    </row>
    <row r="2" s="1015" customFormat="1" ht="15.95" customHeight="1" spans="1:59">
      <c r="A2" s="1023" t="s">
        <v>1</v>
      </c>
      <c r="B2" s="1024"/>
      <c r="C2" s="1023"/>
      <c r="D2" s="1025"/>
      <c r="E2" s="1024"/>
      <c r="F2" s="1023" t="s">
        <v>2</v>
      </c>
      <c r="G2" s="1024"/>
      <c r="H2" s="1023"/>
      <c r="I2" s="1025"/>
      <c r="J2" s="1051"/>
      <c r="K2" s="1023" t="s">
        <v>64</v>
      </c>
      <c r="L2" s="1024"/>
      <c r="M2" s="1023" t="s">
        <v>65</v>
      </c>
      <c r="N2" s="1025"/>
      <c r="O2" s="1024"/>
      <c r="P2" s="1025" t="s">
        <v>66</v>
      </c>
      <c r="Q2" s="1068"/>
      <c r="R2" s="1023"/>
      <c r="S2" s="1025"/>
      <c r="T2" s="1024"/>
      <c r="U2" s="1023" t="s">
        <v>7</v>
      </c>
      <c r="V2" s="1024"/>
      <c r="W2" s="1023"/>
      <c r="X2" s="1025"/>
      <c r="Y2" s="1024"/>
      <c r="Z2" s="1023" t="s">
        <v>6</v>
      </c>
      <c r="AA2" s="1024"/>
      <c r="AB2" s="1069"/>
      <c r="AC2" s="1070"/>
      <c r="AD2" s="1071"/>
      <c r="AE2" s="1072" t="s">
        <v>9</v>
      </c>
      <c r="AF2" s="1071"/>
      <c r="AG2" s="1072"/>
      <c r="AH2" s="1073"/>
      <c r="AI2" s="1074"/>
      <c r="AJ2" s="1073"/>
      <c r="AK2" s="1073"/>
      <c r="AL2" s="1070"/>
      <c r="AM2" s="1070"/>
      <c r="AN2" s="1070"/>
      <c r="AO2" s="1071"/>
      <c r="AP2" s="1018" t="s">
        <v>67</v>
      </c>
      <c r="AQ2" s="1086" t="s">
        <v>68</v>
      </c>
      <c r="AR2" s="1086" t="str">
        <f>VLOOKUP(AQ2,AW2:AX35,2,0)</f>
        <v>免漆</v>
      </c>
      <c r="AS2" s="1086" t="s">
        <v>69</v>
      </c>
      <c r="AT2" s="1085"/>
      <c r="AU2" s="1085"/>
      <c r="AW2" s="1103" t="s">
        <v>70</v>
      </c>
      <c r="AX2" s="1104" t="s">
        <v>15</v>
      </c>
      <c r="BD2" s="1021"/>
      <c r="BE2" s="1021"/>
      <c r="BF2" s="1021"/>
      <c r="BG2" s="1021"/>
    </row>
    <row r="3" ht="15.95" customHeight="1" spans="1:59">
      <c r="A3" s="1026"/>
      <c r="B3" s="1027"/>
      <c r="C3" s="1027" t="s">
        <v>71</v>
      </c>
      <c r="D3" s="1027"/>
      <c r="E3" s="1028"/>
      <c r="F3" s="1026"/>
      <c r="G3" s="1029"/>
      <c r="H3" s="1029" t="s">
        <v>72</v>
      </c>
      <c r="I3" s="1029"/>
      <c r="J3" s="1052"/>
      <c r="K3" s="1026"/>
      <c r="L3" s="1029"/>
      <c r="M3" s="1029" t="s">
        <v>73</v>
      </c>
      <c r="N3" s="1029"/>
      <c r="O3" s="1052"/>
      <c r="P3" s="1026"/>
      <c r="Q3" s="1029"/>
      <c r="R3" s="1029" t="s">
        <v>74</v>
      </c>
      <c r="S3" s="1029"/>
      <c r="T3" s="1052"/>
      <c r="U3" s="1026"/>
      <c r="V3" s="1029"/>
      <c r="W3" s="1029" t="s">
        <v>75</v>
      </c>
      <c r="X3" s="1029"/>
      <c r="Y3" s="1052"/>
      <c r="Z3" s="1026"/>
      <c r="AA3" s="1029"/>
      <c r="AB3" s="1029" t="s">
        <v>76</v>
      </c>
      <c r="AC3" s="1029"/>
      <c r="AD3" s="1052"/>
      <c r="AE3" s="1026"/>
      <c r="AF3" s="1029" t="s">
        <v>77</v>
      </c>
      <c r="AG3" s="1029"/>
      <c r="AH3" s="1029"/>
      <c r="AI3" s="1052"/>
      <c r="AJ3" s="1075"/>
      <c r="AK3" s="1076"/>
      <c r="AL3" s="1029" t="s">
        <v>78</v>
      </c>
      <c r="AM3" s="1029"/>
      <c r="AN3" s="1052"/>
      <c r="AO3" s="1042" t="s">
        <v>30</v>
      </c>
      <c r="AP3" s="1009" t="s">
        <v>79</v>
      </c>
      <c r="AQ3" s="1087"/>
      <c r="AR3" s="1087" t="s">
        <v>80</v>
      </c>
      <c r="AS3" s="1087" t="s">
        <v>81</v>
      </c>
      <c r="AT3" s="1087" t="s">
        <v>78</v>
      </c>
      <c r="AU3" s="1087" t="s">
        <v>82</v>
      </c>
      <c r="AW3" s="1103" t="s">
        <v>68</v>
      </c>
      <c r="AX3" s="1104" t="s">
        <v>15</v>
      </c>
      <c r="AZ3" s="1105" t="str">
        <f>IF($M$2="","",VLOOKUP($M$2,AZ5:BG15,1,FALSE))</f>
        <v>16厚米黄</v>
      </c>
      <c r="BA3" s="1105" t="str">
        <f>IF($M$2="","",VLOOKUP($M$2,AZ5:BG15,2,FALSE))</f>
        <v>米黄麻双贴三聚氰胺E0级刨花板</v>
      </c>
      <c r="BB3" s="1105" t="str">
        <f>IF($M$2="","",VLOOKUP($M$2,AZ5:BG15,3,FALSE))</f>
        <v>米黄麻双贴三聚氰胺E1级中密度板3*1220*2440</v>
      </c>
      <c r="BC3" s="1105" t="str">
        <f>IF($M$2="","",VLOOKUP($M$2,AZ5:BG15,4,FALSE))</f>
        <v>米黄麻PVC封边条</v>
      </c>
      <c r="BD3" s="1105" t="str">
        <f>IF($M$2="","",VLOOKUP($M$2,AZ5:BG15,5,FALSE))</f>
        <v>吊码片盖（白色）</v>
      </c>
      <c r="BE3" s="1105" t="str">
        <f>IF($M$2="","",VLOOKUP($M$2,AZ5:BG15,6,FALSE))</f>
        <v>偏心件装饰盖（米黄）</v>
      </c>
      <c r="BF3" s="1116" t="str">
        <f>IF($M$2="","",VLOOKUP($M$2,AZ5:BG15,7,FALSE))</f>
        <v>排孔塞（米黄）</v>
      </c>
      <c r="BG3" s="1116">
        <f>IF($M$2="","",VLOOKUP($M$2,AZ5:BG15,8,FALSE))</f>
        <v>-0.00174717643467643</v>
      </c>
    </row>
    <row r="4" s="1016" customFormat="1" ht="20.1" customHeight="1" spans="1:59">
      <c r="A4" s="1030" t="s">
        <v>83</v>
      </c>
      <c r="B4" s="1031" t="s">
        <v>84</v>
      </c>
      <c r="C4" s="1031" t="s">
        <v>85</v>
      </c>
      <c r="D4" s="1031" t="s">
        <v>86</v>
      </c>
      <c r="E4" s="1031" t="s">
        <v>87</v>
      </c>
      <c r="F4" s="1031" t="s">
        <v>88</v>
      </c>
      <c r="G4" s="1031" t="s">
        <v>89</v>
      </c>
      <c r="H4" s="1031" t="s">
        <v>84</v>
      </c>
      <c r="I4" s="1031" t="s">
        <v>86</v>
      </c>
      <c r="J4" s="1031" t="s">
        <v>90</v>
      </c>
      <c r="K4" s="1031" t="s">
        <v>88</v>
      </c>
      <c r="L4" s="1031" t="s">
        <v>89</v>
      </c>
      <c r="M4" s="1031" t="s">
        <v>84</v>
      </c>
      <c r="N4" s="1031" t="s">
        <v>86</v>
      </c>
      <c r="O4" s="1031" t="s">
        <v>90</v>
      </c>
      <c r="P4" s="1031" t="s">
        <v>88</v>
      </c>
      <c r="Q4" s="1031" t="s">
        <v>89</v>
      </c>
      <c r="R4" s="1031" t="s">
        <v>84</v>
      </c>
      <c r="S4" s="1031" t="s">
        <v>85</v>
      </c>
      <c r="T4" s="1031" t="s">
        <v>90</v>
      </c>
      <c r="U4" s="1031" t="s">
        <v>88</v>
      </c>
      <c r="V4" s="1031" t="s">
        <v>89</v>
      </c>
      <c r="W4" s="1031" t="s">
        <v>84</v>
      </c>
      <c r="X4" s="1031" t="s">
        <v>85</v>
      </c>
      <c r="Y4" s="1031" t="s">
        <v>90</v>
      </c>
      <c r="Z4" s="1031" t="s">
        <v>88</v>
      </c>
      <c r="AA4" s="1031" t="s">
        <v>89</v>
      </c>
      <c r="AB4" s="1031" t="s">
        <v>84</v>
      </c>
      <c r="AC4" s="1031" t="s">
        <v>86</v>
      </c>
      <c r="AD4" s="1031" t="s">
        <v>90</v>
      </c>
      <c r="AE4" s="1031" t="s">
        <v>88</v>
      </c>
      <c r="AF4" s="1031" t="s">
        <v>89</v>
      </c>
      <c r="AG4" s="1031" t="s">
        <v>84</v>
      </c>
      <c r="AH4" s="1031" t="s">
        <v>86</v>
      </c>
      <c r="AI4" s="1031" t="s">
        <v>90</v>
      </c>
      <c r="AJ4" s="1031" t="s">
        <v>88</v>
      </c>
      <c r="AK4" s="1031" t="s">
        <v>89</v>
      </c>
      <c r="AL4" s="1031" t="s">
        <v>84</v>
      </c>
      <c r="AM4" s="1031" t="s">
        <v>86</v>
      </c>
      <c r="AN4" s="1031" t="s">
        <v>90</v>
      </c>
      <c r="AO4" s="1031"/>
      <c r="AP4" s="1088"/>
      <c r="AQ4" s="1087" t="s">
        <v>22</v>
      </c>
      <c r="AR4" s="1087"/>
      <c r="AS4" s="1087"/>
      <c r="AT4" s="1087"/>
      <c r="AU4" s="1087"/>
      <c r="AW4" s="1103" t="s">
        <v>91</v>
      </c>
      <c r="AX4" s="1104" t="s">
        <v>14</v>
      </c>
      <c r="AZ4" s="1106" t="s">
        <v>92</v>
      </c>
      <c r="BA4" s="1106" t="s">
        <v>93</v>
      </c>
      <c r="BB4" s="1106" t="s">
        <v>94</v>
      </c>
      <c r="BC4" s="1106" t="s">
        <v>95</v>
      </c>
      <c r="BD4" s="1106" t="s">
        <v>96</v>
      </c>
      <c r="BE4" s="1106" t="s">
        <v>97</v>
      </c>
      <c r="BF4" s="1106" t="s">
        <v>98</v>
      </c>
      <c r="BG4" s="1106" t="s">
        <v>99</v>
      </c>
    </row>
    <row r="5" ht="15.95" customHeight="1" spans="1:59">
      <c r="A5" s="1032">
        <v>1</v>
      </c>
      <c r="B5" s="1033">
        <v>2</v>
      </c>
      <c r="C5" s="1033">
        <v>3</v>
      </c>
      <c r="D5" s="1033">
        <v>4</v>
      </c>
      <c r="E5" s="1033"/>
      <c r="F5" s="1034">
        <v>1</v>
      </c>
      <c r="G5" s="1034"/>
      <c r="H5" s="1034">
        <f>C5-1</f>
        <v>2</v>
      </c>
      <c r="I5" s="1034">
        <f>D5-1</f>
        <v>3</v>
      </c>
      <c r="J5" s="1034">
        <v>2</v>
      </c>
      <c r="K5" s="1034">
        <v>1</v>
      </c>
      <c r="L5" s="1034"/>
      <c r="M5" s="1034"/>
      <c r="N5" s="1034"/>
      <c r="O5" s="1034">
        <v>3</v>
      </c>
      <c r="P5" s="1034">
        <v>1</v>
      </c>
      <c r="Q5" s="1034"/>
      <c r="R5" s="1034">
        <f>B5-34</f>
        <v>-32</v>
      </c>
      <c r="S5" s="1034">
        <f>C5-2</f>
        <v>1</v>
      </c>
      <c r="T5" s="1034">
        <v>4</v>
      </c>
      <c r="U5" s="1034">
        <v>1</v>
      </c>
      <c r="V5" s="1034"/>
      <c r="W5" s="1034">
        <f>B5-33</f>
        <v>-31</v>
      </c>
      <c r="X5" s="1034">
        <v>85</v>
      </c>
      <c r="Y5" s="1034">
        <v>5</v>
      </c>
      <c r="Z5" s="1034">
        <v>1</v>
      </c>
      <c r="AA5" s="1034"/>
      <c r="AB5" s="1034">
        <f>B5-35</f>
        <v>-33</v>
      </c>
      <c r="AC5" s="1034">
        <f>C5-47</f>
        <v>-44</v>
      </c>
      <c r="AD5" s="1034">
        <v>6</v>
      </c>
      <c r="AE5" s="1034">
        <v>1</v>
      </c>
      <c r="AF5" s="1034"/>
      <c r="AG5" s="1034"/>
      <c r="AH5" s="1034"/>
      <c r="AI5" s="1034">
        <v>7</v>
      </c>
      <c r="AJ5" s="1034">
        <v>1</v>
      </c>
      <c r="AK5" s="1034"/>
      <c r="AL5" s="1035">
        <f>B5-22</f>
        <v>-20</v>
      </c>
      <c r="AM5" s="1035">
        <f t="shared" ref="AM5:AM11" si="0">D5-12</f>
        <v>-8</v>
      </c>
      <c r="AN5" s="1077">
        <v>8</v>
      </c>
      <c r="AO5" s="1034" t="s">
        <v>100</v>
      </c>
      <c r="AP5" s="1088">
        <f t="shared" ref="AP5:AP10" si="1">IF(B5&lt;&gt;"",IF(B5&lt;950,4,6),0)*E5</f>
        <v>0</v>
      </c>
      <c r="AQ5" s="1087">
        <v>1</v>
      </c>
      <c r="AR5" s="1087">
        <f>(H5*I5*J5+M5*N5*O5+R5*T5*S5+W5*X5*Y5+AB5*AC5*AD5+AG5*AH5*AI5)/1000000</f>
        <v>-0.004579</v>
      </c>
      <c r="AS5" s="1087">
        <f>(((H5+I5)*2+240)*J5+((M5+N5)*2+240)*O5+((R5+S5)*2+240)*T5+(W5*2+240)*Y5+((AB5+AC5)*2+240)*AD5+((AG5+AH5)*2+240)*AI5)/1000</f>
        <v>5.018</v>
      </c>
      <c r="AT5" s="1087">
        <f>AL5*AM5*AN5/1000000/1.22/2.44/0.75</f>
        <v>0.000573322583534892</v>
      </c>
      <c r="AU5" s="1087">
        <f t="shared" ref="AU5:AU20" si="2">B5*E5/1000</f>
        <v>0</v>
      </c>
      <c r="AW5" s="1103" t="s">
        <v>101</v>
      </c>
      <c r="AX5" s="1104" t="s">
        <v>14</v>
      </c>
      <c r="AZ5" s="1107"/>
      <c r="BA5" s="1107"/>
      <c r="BB5" s="1107"/>
      <c r="BC5" s="1108"/>
      <c r="BD5" s="1109"/>
      <c r="BE5" s="1117"/>
      <c r="BF5" s="1117"/>
      <c r="BG5" s="1117"/>
    </row>
    <row r="6" ht="15.95" customHeight="1" spans="1:59">
      <c r="A6" s="1032">
        <v>2</v>
      </c>
      <c r="B6" s="1033">
        <v>3</v>
      </c>
      <c r="C6" s="1033">
        <v>4</v>
      </c>
      <c r="D6" s="1033">
        <v>5</v>
      </c>
      <c r="E6" s="1035"/>
      <c r="F6" s="1034">
        <v>2</v>
      </c>
      <c r="G6" s="1034"/>
      <c r="H6" s="1035">
        <f t="shared" ref="H6:I20" si="3">C6-1</f>
        <v>3</v>
      </c>
      <c r="I6" s="1035">
        <f t="shared" si="3"/>
        <v>4</v>
      </c>
      <c r="J6" s="1035">
        <f t="shared" ref="J5:J20" si="4">E6*2</f>
        <v>0</v>
      </c>
      <c r="K6" s="1035"/>
      <c r="L6" s="1035"/>
      <c r="M6" s="1035"/>
      <c r="N6" s="1035"/>
      <c r="O6" s="1035"/>
      <c r="P6" s="1034"/>
      <c r="Q6" s="1034"/>
      <c r="R6" s="1035">
        <f t="shared" ref="R6:R20" si="5">B6-34</f>
        <v>-31</v>
      </c>
      <c r="S6" s="1035">
        <f t="shared" ref="S6:S20" si="6">C6-2</f>
        <v>2</v>
      </c>
      <c r="T6" s="1035">
        <f t="shared" ref="T5:T20" si="7">E6</f>
        <v>0</v>
      </c>
      <c r="U6" s="1034"/>
      <c r="V6" s="1034"/>
      <c r="W6" s="1035">
        <f t="shared" ref="W6:W20" si="8">B6-33</f>
        <v>-30</v>
      </c>
      <c r="X6" s="1035">
        <v>85</v>
      </c>
      <c r="Y6" s="1035">
        <f t="shared" ref="Y5:Y20" si="9">E6*2</f>
        <v>0</v>
      </c>
      <c r="Z6" s="1034"/>
      <c r="AA6" s="1034"/>
      <c r="AB6" s="1035">
        <f t="shared" ref="AB6:AB20" si="10">B6-35</f>
        <v>-32</v>
      </c>
      <c r="AC6" s="1035">
        <f t="shared" ref="AC6:AC20" si="11">C6-47</f>
        <v>-43</v>
      </c>
      <c r="AD6" s="1035">
        <f t="shared" ref="AD5:AD20" si="12">E6</f>
        <v>0</v>
      </c>
      <c r="AE6" s="1034"/>
      <c r="AF6" s="1034"/>
      <c r="AG6" s="1035"/>
      <c r="AH6" s="1035"/>
      <c r="AI6" s="1035"/>
      <c r="AJ6" s="1034"/>
      <c r="AK6" s="1034"/>
      <c r="AL6" s="1035">
        <f t="shared" ref="AL6:AL20" si="13">B6-22</f>
        <v>-19</v>
      </c>
      <c r="AM6" s="1035">
        <f t="shared" si="0"/>
        <v>-7</v>
      </c>
      <c r="AN6" s="1077">
        <f t="shared" ref="AN6:AN20" si="14">E6</f>
        <v>0</v>
      </c>
      <c r="AO6" s="1035"/>
      <c r="AP6" s="1088">
        <f t="shared" si="1"/>
        <v>0</v>
      </c>
      <c r="AQ6" s="1087">
        <v>2</v>
      </c>
      <c r="AR6" s="1087">
        <f t="shared" ref="AR6:AR20" si="15">(H6*I6*J6+M6*N6*O6+R6*T6*S6+W6*X6*Y6+AB6*AC6*AD6+AG6*AH6*AI6)/1000000</f>
        <v>0</v>
      </c>
      <c r="AS6" s="1087">
        <f t="shared" ref="AS6:AS20" si="16">(((H6+I6)*2+240)*J6+((M6+N6)*2+240)*O6+((R6+S6)*2+240)*T6+(W6*2+240)*Y6+((AB6+AC6)*2+240)*AD6+((AG6+AH6)*2+240)*AI6)/1000</f>
        <v>0</v>
      </c>
      <c r="AT6" s="1087">
        <f t="shared" ref="AT6:AT20" si="17">AL6*AM6*AN6/1000000/1.22/2.44/0.75</f>
        <v>0</v>
      </c>
      <c r="AU6" s="1087">
        <f t="shared" si="2"/>
        <v>0</v>
      </c>
      <c r="AW6" s="1103" t="s">
        <v>102</v>
      </c>
      <c r="AX6" s="1104" t="s">
        <v>14</v>
      </c>
      <c r="AZ6" s="1110" t="s">
        <v>103</v>
      </c>
      <c r="BA6" s="1110" t="s">
        <v>104</v>
      </c>
      <c r="BB6" s="1110" t="s">
        <v>105</v>
      </c>
      <c r="BC6" s="1111" t="s">
        <v>106</v>
      </c>
      <c r="BD6" s="1112" t="s">
        <v>107</v>
      </c>
      <c r="BE6" s="1112" t="s">
        <v>108</v>
      </c>
      <c r="BF6" s="1112" t="s">
        <v>109</v>
      </c>
      <c r="BG6" s="1118">
        <f>$AR$47/1.2/2.4/0.91</f>
        <v>-0.00174717643467643</v>
      </c>
    </row>
    <row r="7" ht="15.95" customHeight="1" spans="1:59">
      <c r="A7" s="1032">
        <v>3</v>
      </c>
      <c r="B7" s="1033">
        <v>4</v>
      </c>
      <c r="C7" s="1033">
        <v>5</v>
      </c>
      <c r="D7" s="1033">
        <v>6</v>
      </c>
      <c r="E7" s="1035"/>
      <c r="F7" s="1034">
        <v>3</v>
      </c>
      <c r="G7" s="1034"/>
      <c r="H7" s="1035">
        <f t="shared" si="3"/>
        <v>4</v>
      </c>
      <c r="I7" s="1035">
        <f t="shared" si="3"/>
        <v>5</v>
      </c>
      <c r="J7" s="1035">
        <f t="shared" si="4"/>
        <v>0</v>
      </c>
      <c r="K7" s="1035"/>
      <c r="L7" s="1035"/>
      <c r="M7" s="1035"/>
      <c r="N7" s="1035"/>
      <c r="O7" s="1035"/>
      <c r="P7" s="1034"/>
      <c r="Q7" s="1034"/>
      <c r="R7" s="1035">
        <f t="shared" si="5"/>
        <v>-30</v>
      </c>
      <c r="S7" s="1035">
        <f t="shared" si="6"/>
        <v>3</v>
      </c>
      <c r="T7" s="1035">
        <f t="shared" si="7"/>
        <v>0</v>
      </c>
      <c r="U7" s="1034"/>
      <c r="V7" s="1034"/>
      <c r="W7" s="1035">
        <f t="shared" si="8"/>
        <v>-29</v>
      </c>
      <c r="X7" s="1035">
        <v>85</v>
      </c>
      <c r="Y7" s="1035">
        <f t="shared" si="9"/>
        <v>0</v>
      </c>
      <c r="Z7" s="1034"/>
      <c r="AA7" s="1034"/>
      <c r="AB7" s="1035">
        <f t="shared" si="10"/>
        <v>-31</v>
      </c>
      <c r="AC7" s="1035">
        <f t="shared" si="11"/>
        <v>-42</v>
      </c>
      <c r="AD7" s="1035">
        <f t="shared" si="12"/>
        <v>0</v>
      </c>
      <c r="AE7" s="1034"/>
      <c r="AF7" s="1034"/>
      <c r="AG7" s="1035"/>
      <c r="AH7" s="1035"/>
      <c r="AI7" s="1035"/>
      <c r="AJ7" s="1034"/>
      <c r="AK7" s="1034"/>
      <c r="AL7" s="1035">
        <f t="shared" si="13"/>
        <v>-18</v>
      </c>
      <c r="AM7" s="1035">
        <f t="shared" si="0"/>
        <v>-6</v>
      </c>
      <c r="AN7" s="1077">
        <f t="shared" si="14"/>
        <v>0</v>
      </c>
      <c r="AO7" s="1035"/>
      <c r="AP7" s="1088">
        <f t="shared" si="1"/>
        <v>0</v>
      </c>
      <c r="AQ7" s="1087">
        <v>3</v>
      </c>
      <c r="AR7" s="1087">
        <f t="shared" si="15"/>
        <v>0</v>
      </c>
      <c r="AS7" s="1087">
        <f t="shared" si="16"/>
        <v>0</v>
      </c>
      <c r="AT7" s="1087">
        <f t="shared" si="17"/>
        <v>0</v>
      </c>
      <c r="AU7" s="1087">
        <f t="shared" si="2"/>
        <v>0</v>
      </c>
      <c r="AZ7" s="1110"/>
      <c r="BA7" s="1110"/>
      <c r="BB7" s="1110"/>
      <c r="BC7" s="1110"/>
      <c r="BD7" s="1112"/>
      <c r="BE7" s="1112"/>
      <c r="BF7" s="1112"/>
      <c r="BG7" s="1112"/>
    </row>
    <row r="8" ht="15.95" customHeight="1" spans="1:59">
      <c r="A8" s="1032">
        <v>4</v>
      </c>
      <c r="B8" s="1033">
        <v>5</v>
      </c>
      <c r="C8" s="1033">
        <v>6</v>
      </c>
      <c r="D8" s="1033">
        <v>7</v>
      </c>
      <c r="E8" s="1035"/>
      <c r="F8" s="1034">
        <v>4</v>
      </c>
      <c r="G8" s="1034"/>
      <c r="H8" s="1035">
        <f t="shared" si="3"/>
        <v>5</v>
      </c>
      <c r="I8" s="1035">
        <f t="shared" si="3"/>
        <v>6</v>
      </c>
      <c r="J8" s="1035">
        <f t="shared" si="4"/>
        <v>0</v>
      </c>
      <c r="K8" s="1035"/>
      <c r="L8" s="1035"/>
      <c r="M8" s="1035"/>
      <c r="N8" s="1035"/>
      <c r="O8" s="1035"/>
      <c r="P8" s="1034"/>
      <c r="Q8" s="1034"/>
      <c r="R8" s="1035">
        <f t="shared" si="5"/>
        <v>-29</v>
      </c>
      <c r="S8" s="1035">
        <f t="shared" si="6"/>
        <v>4</v>
      </c>
      <c r="T8" s="1035">
        <f t="shared" si="7"/>
        <v>0</v>
      </c>
      <c r="U8" s="1034"/>
      <c r="V8" s="1034"/>
      <c r="W8" s="1035">
        <f t="shared" si="8"/>
        <v>-28</v>
      </c>
      <c r="X8" s="1035">
        <v>85</v>
      </c>
      <c r="Y8" s="1035">
        <f t="shared" si="9"/>
        <v>0</v>
      </c>
      <c r="Z8" s="1034"/>
      <c r="AA8" s="1034"/>
      <c r="AB8" s="1035">
        <f t="shared" si="10"/>
        <v>-30</v>
      </c>
      <c r="AC8" s="1035">
        <f t="shared" si="11"/>
        <v>-41</v>
      </c>
      <c r="AD8" s="1035">
        <f t="shared" si="12"/>
        <v>0</v>
      </c>
      <c r="AE8" s="1034"/>
      <c r="AF8" s="1034"/>
      <c r="AG8" s="1035"/>
      <c r="AH8" s="1035"/>
      <c r="AI8" s="1035"/>
      <c r="AJ8" s="1034"/>
      <c r="AK8" s="1034"/>
      <c r="AL8" s="1035">
        <f t="shared" si="13"/>
        <v>-17</v>
      </c>
      <c r="AM8" s="1035">
        <f t="shared" si="0"/>
        <v>-5</v>
      </c>
      <c r="AN8" s="1077">
        <f t="shared" si="14"/>
        <v>0</v>
      </c>
      <c r="AO8" s="1035"/>
      <c r="AP8" s="1088">
        <f t="shared" si="1"/>
        <v>0</v>
      </c>
      <c r="AQ8" s="1087">
        <v>4</v>
      </c>
      <c r="AR8" s="1087">
        <f t="shared" si="15"/>
        <v>0</v>
      </c>
      <c r="AS8" s="1087">
        <f t="shared" si="16"/>
        <v>0</v>
      </c>
      <c r="AT8" s="1087">
        <f t="shared" si="17"/>
        <v>0</v>
      </c>
      <c r="AU8" s="1087">
        <f t="shared" si="2"/>
        <v>0</v>
      </c>
      <c r="AW8" s="1103" t="s">
        <v>110</v>
      </c>
      <c r="AX8" s="1113" t="s">
        <v>13</v>
      </c>
      <c r="AZ8" s="1110" t="s">
        <v>111</v>
      </c>
      <c r="BA8" s="1110" t="s">
        <v>112</v>
      </c>
      <c r="BB8" s="1110" t="s">
        <v>113</v>
      </c>
      <c r="BC8" s="1111" t="s">
        <v>114</v>
      </c>
      <c r="BD8" s="1112" t="s">
        <v>115</v>
      </c>
      <c r="BE8" s="1112" t="s">
        <v>116</v>
      </c>
      <c r="BF8" s="1112" t="s">
        <v>117</v>
      </c>
      <c r="BG8" s="1118">
        <f>$AR$47/1.2/2.4/0.85</f>
        <v>-0.00187050653594771</v>
      </c>
    </row>
    <row r="9" ht="15.95" customHeight="1" spans="1:59">
      <c r="A9" s="1032">
        <v>5</v>
      </c>
      <c r="B9" s="1033">
        <v>6</v>
      </c>
      <c r="C9" s="1033">
        <v>7</v>
      </c>
      <c r="D9" s="1033">
        <v>8</v>
      </c>
      <c r="E9" s="1035"/>
      <c r="F9" s="1034">
        <v>5</v>
      </c>
      <c r="G9" s="1034"/>
      <c r="H9" s="1035">
        <f t="shared" si="3"/>
        <v>6</v>
      </c>
      <c r="I9" s="1035">
        <f t="shared" si="3"/>
        <v>7</v>
      </c>
      <c r="J9" s="1035">
        <f t="shared" si="4"/>
        <v>0</v>
      </c>
      <c r="K9" s="1035"/>
      <c r="L9" s="1035"/>
      <c r="M9" s="1035"/>
      <c r="N9" s="1035"/>
      <c r="O9" s="1035"/>
      <c r="P9" s="1034"/>
      <c r="Q9" s="1034"/>
      <c r="R9" s="1035">
        <f t="shared" si="5"/>
        <v>-28</v>
      </c>
      <c r="S9" s="1035">
        <f t="shared" si="6"/>
        <v>5</v>
      </c>
      <c r="T9" s="1035">
        <f t="shared" si="7"/>
        <v>0</v>
      </c>
      <c r="U9" s="1034"/>
      <c r="V9" s="1034"/>
      <c r="W9" s="1035">
        <f t="shared" si="8"/>
        <v>-27</v>
      </c>
      <c r="X9" s="1035">
        <v>85</v>
      </c>
      <c r="Y9" s="1035">
        <f t="shared" si="9"/>
        <v>0</v>
      </c>
      <c r="Z9" s="1034"/>
      <c r="AA9" s="1034"/>
      <c r="AB9" s="1035">
        <f t="shared" si="10"/>
        <v>-29</v>
      </c>
      <c r="AC9" s="1035">
        <f t="shared" si="11"/>
        <v>-40</v>
      </c>
      <c r="AD9" s="1035">
        <f t="shared" si="12"/>
        <v>0</v>
      </c>
      <c r="AE9" s="1034"/>
      <c r="AF9" s="1034"/>
      <c r="AG9" s="1035"/>
      <c r="AH9" s="1035"/>
      <c r="AI9" s="1035"/>
      <c r="AJ9" s="1034"/>
      <c r="AK9" s="1034"/>
      <c r="AL9" s="1035">
        <f t="shared" si="13"/>
        <v>-16</v>
      </c>
      <c r="AM9" s="1035">
        <f t="shared" si="0"/>
        <v>-4</v>
      </c>
      <c r="AN9" s="1077">
        <f t="shared" si="14"/>
        <v>0</v>
      </c>
      <c r="AO9" s="1035"/>
      <c r="AP9" s="1088">
        <f t="shared" si="1"/>
        <v>0</v>
      </c>
      <c r="AQ9" s="1087">
        <v>5</v>
      </c>
      <c r="AR9" s="1087">
        <f t="shared" si="15"/>
        <v>0</v>
      </c>
      <c r="AS9" s="1087">
        <f t="shared" si="16"/>
        <v>0</v>
      </c>
      <c r="AT9" s="1087">
        <f t="shared" si="17"/>
        <v>0</v>
      </c>
      <c r="AU9" s="1087">
        <f t="shared" si="2"/>
        <v>0</v>
      </c>
      <c r="AW9" s="1103" t="s">
        <v>118</v>
      </c>
      <c r="AX9" s="1113" t="s">
        <v>13</v>
      </c>
      <c r="AZ9" s="1110"/>
      <c r="BA9" s="1110"/>
      <c r="BB9" s="1110"/>
      <c r="BC9" s="1110"/>
      <c r="BD9" s="1112"/>
      <c r="BE9" s="1112"/>
      <c r="BF9" s="1112"/>
      <c r="BG9" s="1118"/>
    </row>
    <row r="10" ht="15.95" customHeight="1" spans="1:59">
      <c r="A10" s="1032">
        <v>6</v>
      </c>
      <c r="B10" s="1033">
        <v>7</v>
      </c>
      <c r="C10" s="1033">
        <v>8</v>
      </c>
      <c r="D10" s="1033">
        <v>9</v>
      </c>
      <c r="E10" s="1035"/>
      <c r="F10" s="1034">
        <v>6</v>
      </c>
      <c r="G10" s="1034"/>
      <c r="H10" s="1035">
        <f t="shared" si="3"/>
        <v>7</v>
      </c>
      <c r="I10" s="1035">
        <f t="shared" si="3"/>
        <v>8</v>
      </c>
      <c r="J10" s="1035">
        <f t="shared" si="4"/>
        <v>0</v>
      </c>
      <c r="K10" s="1035"/>
      <c r="L10" s="1035"/>
      <c r="M10" s="1035"/>
      <c r="N10" s="1035"/>
      <c r="O10" s="1035"/>
      <c r="P10" s="1034"/>
      <c r="Q10" s="1034"/>
      <c r="R10" s="1035">
        <f t="shared" si="5"/>
        <v>-27</v>
      </c>
      <c r="S10" s="1035">
        <f t="shared" si="6"/>
        <v>6</v>
      </c>
      <c r="T10" s="1035">
        <f t="shared" si="7"/>
        <v>0</v>
      </c>
      <c r="U10" s="1034"/>
      <c r="V10" s="1034"/>
      <c r="W10" s="1035">
        <f t="shared" si="8"/>
        <v>-26</v>
      </c>
      <c r="X10" s="1035">
        <v>85</v>
      </c>
      <c r="Y10" s="1035">
        <f t="shared" si="9"/>
        <v>0</v>
      </c>
      <c r="Z10" s="1034"/>
      <c r="AA10" s="1034"/>
      <c r="AB10" s="1035">
        <f t="shared" si="10"/>
        <v>-28</v>
      </c>
      <c r="AC10" s="1035">
        <f t="shared" si="11"/>
        <v>-39</v>
      </c>
      <c r="AD10" s="1035">
        <f t="shared" si="12"/>
        <v>0</v>
      </c>
      <c r="AE10" s="1034"/>
      <c r="AF10" s="1034"/>
      <c r="AG10" s="1035"/>
      <c r="AH10" s="1035"/>
      <c r="AI10" s="1035"/>
      <c r="AJ10" s="1034"/>
      <c r="AK10" s="1034"/>
      <c r="AL10" s="1035">
        <f t="shared" si="13"/>
        <v>-15</v>
      </c>
      <c r="AM10" s="1035">
        <f t="shared" si="0"/>
        <v>-3</v>
      </c>
      <c r="AN10" s="1077">
        <f t="shared" si="14"/>
        <v>0</v>
      </c>
      <c r="AO10" s="1035"/>
      <c r="AP10" s="1088">
        <f t="shared" si="1"/>
        <v>0</v>
      </c>
      <c r="AQ10" s="1087">
        <v>6</v>
      </c>
      <c r="AR10" s="1087">
        <f t="shared" si="15"/>
        <v>0</v>
      </c>
      <c r="AS10" s="1087">
        <f t="shared" si="16"/>
        <v>0</v>
      </c>
      <c r="AT10" s="1087">
        <f t="shared" si="17"/>
        <v>0</v>
      </c>
      <c r="AU10" s="1087">
        <f t="shared" si="2"/>
        <v>0</v>
      </c>
      <c r="AZ10" s="1110" t="s">
        <v>65</v>
      </c>
      <c r="BA10" s="1110" t="s">
        <v>119</v>
      </c>
      <c r="BB10" s="1110" t="s">
        <v>120</v>
      </c>
      <c r="BC10" s="1111" t="s">
        <v>121</v>
      </c>
      <c r="BD10" s="1112" t="s">
        <v>107</v>
      </c>
      <c r="BE10" s="1112" t="s">
        <v>122</v>
      </c>
      <c r="BF10" s="1112" t="s">
        <v>123</v>
      </c>
      <c r="BG10" s="1118">
        <f>$AR$47/1.2/2.4/0.91</f>
        <v>-0.00174717643467643</v>
      </c>
    </row>
    <row r="11" ht="15.95" customHeight="1" spans="1:59">
      <c r="A11" s="1032">
        <v>7</v>
      </c>
      <c r="B11" s="1033">
        <v>8</v>
      </c>
      <c r="C11" s="1033">
        <v>9</v>
      </c>
      <c r="D11" s="1033">
        <v>10</v>
      </c>
      <c r="E11" s="1035"/>
      <c r="F11" s="1034">
        <v>7</v>
      </c>
      <c r="G11" s="1034"/>
      <c r="H11" s="1035">
        <f t="shared" si="3"/>
        <v>8</v>
      </c>
      <c r="I11" s="1035">
        <f t="shared" si="3"/>
        <v>9</v>
      </c>
      <c r="J11" s="1035">
        <f t="shared" si="4"/>
        <v>0</v>
      </c>
      <c r="K11" s="1035"/>
      <c r="L11" s="1035"/>
      <c r="M11" s="1035"/>
      <c r="N11" s="1035"/>
      <c r="O11" s="1035"/>
      <c r="P11" s="1034"/>
      <c r="Q11" s="1034"/>
      <c r="R11" s="1035">
        <f t="shared" si="5"/>
        <v>-26</v>
      </c>
      <c r="S11" s="1035">
        <f t="shared" si="6"/>
        <v>7</v>
      </c>
      <c r="T11" s="1035">
        <f t="shared" si="7"/>
        <v>0</v>
      </c>
      <c r="U11" s="1034"/>
      <c r="V11" s="1034"/>
      <c r="W11" s="1035">
        <f t="shared" si="8"/>
        <v>-25</v>
      </c>
      <c r="X11" s="1035">
        <v>85</v>
      </c>
      <c r="Y11" s="1035">
        <f t="shared" si="9"/>
        <v>0</v>
      </c>
      <c r="Z11" s="1034"/>
      <c r="AA11" s="1034"/>
      <c r="AB11" s="1035">
        <f t="shared" si="10"/>
        <v>-27</v>
      </c>
      <c r="AC11" s="1035">
        <f t="shared" si="11"/>
        <v>-38</v>
      </c>
      <c r="AD11" s="1035">
        <f t="shared" si="12"/>
        <v>0</v>
      </c>
      <c r="AE11" s="1034"/>
      <c r="AF11" s="1034"/>
      <c r="AG11" s="1035"/>
      <c r="AH11" s="1035"/>
      <c r="AI11" s="1035"/>
      <c r="AJ11" s="1034"/>
      <c r="AK11" s="1034"/>
      <c r="AL11" s="1035">
        <f t="shared" si="13"/>
        <v>-14</v>
      </c>
      <c r="AM11" s="1035">
        <f t="shared" si="0"/>
        <v>-2</v>
      </c>
      <c r="AN11" s="1077">
        <f t="shared" si="14"/>
        <v>0</v>
      </c>
      <c r="AO11" s="1035"/>
      <c r="AP11" s="1088">
        <f t="shared" ref="AP11:AP20" si="18">IF(B11&lt;&gt;"",IF(B11&lt;950,4,6),0)*E11</f>
        <v>0</v>
      </c>
      <c r="AQ11" s="1087">
        <v>7</v>
      </c>
      <c r="AR11" s="1087">
        <f t="shared" si="15"/>
        <v>0</v>
      </c>
      <c r="AS11" s="1087">
        <f t="shared" si="16"/>
        <v>0</v>
      </c>
      <c r="AT11" s="1087">
        <f t="shared" si="17"/>
        <v>0</v>
      </c>
      <c r="AU11" s="1087">
        <f t="shared" si="2"/>
        <v>0</v>
      </c>
      <c r="AW11" s="1103" t="s">
        <v>124</v>
      </c>
      <c r="AX11" s="1113" t="s">
        <v>12</v>
      </c>
      <c r="AZ11" s="1110"/>
      <c r="BA11" s="1110"/>
      <c r="BB11" s="1110"/>
      <c r="BC11" s="1110"/>
      <c r="BD11" s="1112"/>
      <c r="BE11" s="1112"/>
      <c r="BF11" s="1112"/>
      <c r="BG11" s="1118"/>
    </row>
    <row r="12" ht="15.95" customHeight="1" spans="1:59">
      <c r="A12" s="1032">
        <v>8</v>
      </c>
      <c r="B12" s="1033">
        <v>9</v>
      </c>
      <c r="C12" s="1033">
        <v>10</v>
      </c>
      <c r="D12" s="1033">
        <v>11</v>
      </c>
      <c r="E12" s="1035"/>
      <c r="F12" s="1034">
        <v>8</v>
      </c>
      <c r="G12" s="1034"/>
      <c r="H12" s="1035">
        <f t="shared" si="3"/>
        <v>9</v>
      </c>
      <c r="I12" s="1035">
        <f t="shared" si="3"/>
        <v>10</v>
      </c>
      <c r="J12" s="1035">
        <f t="shared" si="4"/>
        <v>0</v>
      </c>
      <c r="K12" s="1035"/>
      <c r="L12" s="1035"/>
      <c r="M12" s="1035"/>
      <c r="N12" s="1035"/>
      <c r="O12" s="1035"/>
      <c r="P12" s="1034"/>
      <c r="Q12" s="1034"/>
      <c r="R12" s="1035">
        <f t="shared" si="5"/>
        <v>-25</v>
      </c>
      <c r="S12" s="1035">
        <f t="shared" si="6"/>
        <v>8</v>
      </c>
      <c r="T12" s="1035">
        <f t="shared" si="7"/>
        <v>0</v>
      </c>
      <c r="U12" s="1034"/>
      <c r="V12" s="1034"/>
      <c r="W12" s="1035">
        <f t="shared" si="8"/>
        <v>-24</v>
      </c>
      <c r="X12" s="1035">
        <v>85</v>
      </c>
      <c r="Y12" s="1035">
        <f t="shared" si="9"/>
        <v>0</v>
      </c>
      <c r="Z12" s="1034"/>
      <c r="AA12" s="1034"/>
      <c r="AB12" s="1035">
        <f t="shared" si="10"/>
        <v>-26</v>
      </c>
      <c r="AC12" s="1035">
        <f t="shared" si="11"/>
        <v>-37</v>
      </c>
      <c r="AD12" s="1035">
        <f t="shared" si="12"/>
        <v>0</v>
      </c>
      <c r="AE12" s="1034"/>
      <c r="AF12" s="1034"/>
      <c r="AG12" s="1035"/>
      <c r="AH12" s="1035"/>
      <c r="AI12" s="1035"/>
      <c r="AJ12" s="1034"/>
      <c r="AK12" s="1034"/>
      <c r="AL12" s="1035">
        <f t="shared" si="13"/>
        <v>-13</v>
      </c>
      <c r="AM12" s="1035">
        <f t="shared" ref="AM12:AM20" si="19">D12-12</f>
        <v>-1</v>
      </c>
      <c r="AN12" s="1077">
        <f t="shared" si="14"/>
        <v>0</v>
      </c>
      <c r="AO12" s="1035"/>
      <c r="AP12" s="1088">
        <f t="shared" si="18"/>
        <v>0</v>
      </c>
      <c r="AQ12" s="1087">
        <v>8</v>
      </c>
      <c r="AR12" s="1087">
        <f t="shared" si="15"/>
        <v>0</v>
      </c>
      <c r="AS12" s="1087">
        <f t="shared" si="16"/>
        <v>0</v>
      </c>
      <c r="AT12" s="1087">
        <f t="shared" si="17"/>
        <v>0</v>
      </c>
      <c r="AU12" s="1087">
        <f t="shared" si="2"/>
        <v>0</v>
      </c>
      <c r="AZ12" s="1110" t="s">
        <v>125</v>
      </c>
      <c r="BA12" s="1110" t="s">
        <v>126</v>
      </c>
      <c r="BB12" s="1110" t="s">
        <v>127</v>
      </c>
      <c r="BC12" s="1111" t="s">
        <v>128</v>
      </c>
      <c r="BD12" s="1112" t="s">
        <v>115</v>
      </c>
      <c r="BE12" s="1112" t="s">
        <v>116</v>
      </c>
      <c r="BF12" s="1112" t="s">
        <v>117</v>
      </c>
      <c r="BG12" s="1118">
        <f>$AR$47/1.83/2.4/0.85</f>
        <v>-0.00122656166291653</v>
      </c>
    </row>
    <row r="13" ht="15.95" customHeight="1" spans="1:59">
      <c r="A13" s="1032">
        <v>9</v>
      </c>
      <c r="B13" s="1033">
        <v>10</v>
      </c>
      <c r="C13" s="1033">
        <v>11</v>
      </c>
      <c r="D13" s="1033">
        <v>12</v>
      </c>
      <c r="E13" s="1035"/>
      <c r="F13" s="1034">
        <v>9</v>
      </c>
      <c r="G13" s="1034"/>
      <c r="H13" s="1035">
        <f t="shared" si="3"/>
        <v>10</v>
      </c>
      <c r="I13" s="1035">
        <f t="shared" si="3"/>
        <v>11</v>
      </c>
      <c r="J13" s="1035">
        <f t="shared" si="4"/>
        <v>0</v>
      </c>
      <c r="K13" s="1035"/>
      <c r="L13" s="1035"/>
      <c r="M13" s="1035"/>
      <c r="N13" s="1035"/>
      <c r="O13" s="1035"/>
      <c r="P13" s="1034"/>
      <c r="Q13" s="1034"/>
      <c r="R13" s="1035">
        <f t="shared" si="5"/>
        <v>-24</v>
      </c>
      <c r="S13" s="1035">
        <f t="shared" si="6"/>
        <v>9</v>
      </c>
      <c r="T13" s="1035">
        <f t="shared" si="7"/>
        <v>0</v>
      </c>
      <c r="U13" s="1034"/>
      <c r="V13" s="1034"/>
      <c r="W13" s="1035">
        <f t="shared" si="8"/>
        <v>-23</v>
      </c>
      <c r="X13" s="1035">
        <v>85</v>
      </c>
      <c r="Y13" s="1035">
        <f t="shared" si="9"/>
        <v>0</v>
      </c>
      <c r="Z13" s="1034"/>
      <c r="AA13" s="1034"/>
      <c r="AB13" s="1035">
        <f t="shared" si="10"/>
        <v>-25</v>
      </c>
      <c r="AC13" s="1035">
        <f t="shared" si="11"/>
        <v>-36</v>
      </c>
      <c r="AD13" s="1035">
        <f t="shared" si="12"/>
        <v>0</v>
      </c>
      <c r="AE13" s="1034"/>
      <c r="AF13" s="1034"/>
      <c r="AG13" s="1035"/>
      <c r="AH13" s="1035"/>
      <c r="AI13" s="1035"/>
      <c r="AJ13" s="1034"/>
      <c r="AK13" s="1034"/>
      <c r="AL13" s="1035">
        <f t="shared" si="13"/>
        <v>-12</v>
      </c>
      <c r="AM13" s="1035">
        <f t="shared" si="19"/>
        <v>0</v>
      </c>
      <c r="AN13" s="1077">
        <f t="shared" si="14"/>
        <v>0</v>
      </c>
      <c r="AO13" s="1035"/>
      <c r="AP13" s="1088">
        <f t="shared" si="18"/>
        <v>0</v>
      </c>
      <c r="AQ13" s="1087">
        <v>9</v>
      </c>
      <c r="AR13" s="1087">
        <f t="shared" si="15"/>
        <v>0</v>
      </c>
      <c r="AS13" s="1087">
        <f t="shared" si="16"/>
        <v>0</v>
      </c>
      <c r="AT13" s="1087">
        <f t="shared" si="17"/>
        <v>0</v>
      </c>
      <c r="AU13" s="1087">
        <f t="shared" si="2"/>
        <v>0</v>
      </c>
      <c r="AW13" s="1114" t="s">
        <v>129</v>
      </c>
      <c r="AX13" s="1113" t="s">
        <v>12</v>
      </c>
      <c r="AZ13" s="1110"/>
      <c r="BA13" s="1110"/>
      <c r="BB13" s="1110"/>
      <c r="BC13" s="1110"/>
      <c r="BD13" s="1112"/>
      <c r="BE13" s="1112"/>
      <c r="BF13" s="1112"/>
      <c r="BG13" s="1118"/>
    </row>
    <row r="14" ht="15.95" customHeight="1" spans="1:59">
      <c r="A14" s="1032">
        <v>10</v>
      </c>
      <c r="B14" s="1033">
        <v>11</v>
      </c>
      <c r="C14" s="1033">
        <v>12</v>
      </c>
      <c r="D14" s="1033">
        <v>13</v>
      </c>
      <c r="E14" s="1035"/>
      <c r="F14" s="1034">
        <v>10</v>
      </c>
      <c r="G14" s="1034"/>
      <c r="H14" s="1035">
        <f t="shared" si="3"/>
        <v>11</v>
      </c>
      <c r="I14" s="1035">
        <f t="shared" si="3"/>
        <v>12</v>
      </c>
      <c r="J14" s="1035">
        <f t="shared" si="4"/>
        <v>0</v>
      </c>
      <c r="K14" s="1035"/>
      <c r="L14" s="1035"/>
      <c r="M14" s="1035"/>
      <c r="N14" s="1035"/>
      <c r="O14" s="1035"/>
      <c r="P14" s="1034"/>
      <c r="Q14" s="1034"/>
      <c r="R14" s="1035">
        <f t="shared" si="5"/>
        <v>-23</v>
      </c>
      <c r="S14" s="1035">
        <f t="shared" si="6"/>
        <v>10</v>
      </c>
      <c r="T14" s="1035">
        <f t="shared" si="7"/>
        <v>0</v>
      </c>
      <c r="U14" s="1034"/>
      <c r="V14" s="1034"/>
      <c r="W14" s="1035">
        <f t="shared" si="8"/>
        <v>-22</v>
      </c>
      <c r="X14" s="1035">
        <v>85</v>
      </c>
      <c r="Y14" s="1035">
        <f t="shared" si="9"/>
        <v>0</v>
      </c>
      <c r="Z14" s="1034"/>
      <c r="AA14" s="1034"/>
      <c r="AB14" s="1035">
        <f t="shared" si="10"/>
        <v>-24</v>
      </c>
      <c r="AC14" s="1035">
        <f t="shared" si="11"/>
        <v>-35</v>
      </c>
      <c r="AD14" s="1035">
        <f t="shared" si="12"/>
        <v>0</v>
      </c>
      <c r="AE14" s="1034"/>
      <c r="AF14" s="1034"/>
      <c r="AG14" s="1035"/>
      <c r="AH14" s="1035"/>
      <c r="AI14" s="1035"/>
      <c r="AJ14" s="1034"/>
      <c r="AK14" s="1034"/>
      <c r="AL14" s="1035">
        <f t="shared" si="13"/>
        <v>-11</v>
      </c>
      <c r="AM14" s="1035">
        <f t="shared" si="19"/>
        <v>1</v>
      </c>
      <c r="AN14" s="1077">
        <f t="shared" si="14"/>
        <v>0</v>
      </c>
      <c r="AO14" s="1035"/>
      <c r="AP14" s="1088">
        <f t="shared" si="18"/>
        <v>0</v>
      </c>
      <c r="AQ14" s="1087">
        <v>10</v>
      </c>
      <c r="AR14" s="1087">
        <f t="shared" si="15"/>
        <v>0</v>
      </c>
      <c r="AS14" s="1087">
        <f t="shared" si="16"/>
        <v>0</v>
      </c>
      <c r="AT14" s="1087">
        <f t="shared" si="17"/>
        <v>0</v>
      </c>
      <c r="AU14" s="1087">
        <f t="shared" si="2"/>
        <v>0</v>
      </c>
      <c r="AW14" s="1103" t="s">
        <v>130</v>
      </c>
      <c r="AX14" s="1113" t="s">
        <v>12</v>
      </c>
      <c r="AZ14" s="1110" t="s">
        <v>131</v>
      </c>
      <c r="BA14" s="1110" t="s">
        <v>132</v>
      </c>
      <c r="BB14" s="1110" t="s">
        <v>133</v>
      </c>
      <c r="BC14" s="1111" t="s">
        <v>134</v>
      </c>
      <c r="BD14" s="1112" t="s">
        <v>107</v>
      </c>
      <c r="BE14" s="1112" t="s">
        <v>135</v>
      </c>
      <c r="BF14" s="1112" t="s">
        <v>136</v>
      </c>
      <c r="BG14" s="1118">
        <f>$AR$47/1.2/2.4/0.85</f>
        <v>-0.00187050653594771</v>
      </c>
    </row>
    <row r="15" ht="15.95" customHeight="1" spans="1:59">
      <c r="A15" s="1032">
        <v>11</v>
      </c>
      <c r="B15" s="1033">
        <v>12</v>
      </c>
      <c r="C15" s="1033">
        <v>13</v>
      </c>
      <c r="D15" s="1033">
        <v>14</v>
      </c>
      <c r="E15" s="1035"/>
      <c r="F15" s="1034">
        <v>11</v>
      </c>
      <c r="G15" s="1034"/>
      <c r="H15" s="1035">
        <f t="shared" si="3"/>
        <v>12</v>
      </c>
      <c r="I15" s="1035">
        <f t="shared" si="3"/>
        <v>13</v>
      </c>
      <c r="J15" s="1035">
        <f t="shared" si="4"/>
        <v>0</v>
      </c>
      <c r="K15" s="1035"/>
      <c r="L15" s="1035"/>
      <c r="M15" s="1035"/>
      <c r="N15" s="1035"/>
      <c r="O15" s="1035"/>
      <c r="P15" s="1034"/>
      <c r="Q15" s="1034"/>
      <c r="R15" s="1035">
        <f t="shared" si="5"/>
        <v>-22</v>
      </c>
      <c r="S15" s="1035">
        <f t="shared" si="6"/>
        <v>11</v>
      </c>
      <c r="T15" s="1035">
        <f t="shared" si="7"/>
        <v>0</v>
      </c>
      <c r="U15" s="1034"/>
      <c r="V15" s="1034"/>
      <c r="W15" s="1035">
        <f t="shared" si="8"/>
        <v>-21</v>
      </c>
      <c r="X15" s="1035">
        <v>85</v>
      </c>
      <c r="Y15" s="1035">
        <f t="shared" si="9"/>
        <v>0</v>
      </c>
      <c r="Z15" s="1034"/>
      <c r="AA15" s="1034"/>
      <c r="AB15" s="1035">
        <f t="shared" si="10"/>
        <v>-23</v>
      </c>
      <c r="AC15" s="1035">
        <f t="shared" si="11"/>
        <v>-34</v>
      </c>
      <c r="AD15" s="1035">
        <f t="shared" si="12"/>
        <v>0</v>
      </c>
      <c r="AE15" s="1034"/>
      <c r="AF15" s="1034"/>
      <c r="AG15" s="1035"/>
      <c r="AH15" s="1035"/>
      <c r="AI15" s="1035"/>
      <c r="AJ15" s="1034"/>
      <c r="AK15" s="1034"/>
      <c r="AL15" s="1035">
        <f t="shared" si="13"/>
        <v>-10</v>
      </c>
      <c r="AM15" s="1035">
        <f t="shared" si="19"/>
        <v>2</v>
      </c>
      <c r="AN15" s="1077">
        <f t="shared" si="14"/>
        <v>0</v>
      </c>
      <c r="AO15" s="1035"/>
      <c r="AP15" s="1088">
        <f t="shared" si="18"/>
        <v>0</v>
      </c>
      <c r="AQ15" s="1087">
        <v>11</v>
      </c>
      <c r="AR15" s="1087">
        <f t="shared" si="15"/>
        <v>0</v>
      </c>
      <c r="AS15" s="1087">
        <f t="shared" si="16"/>
        <v>0</v>
      </c>
      <c r="AT15" s="1087">
        <f t="shared" si="17"/>
        <v>0</v>
      </c>
      <c r="AU15" s="1087">
        <f t="shared" si="2"/>
        <v>0</v>
      </c>
      <c r="AW15" s="1103" t="s">
        <v>137</v>
      </c>
      <c r="AX15" s="1113" t="s">
        <v>12</v>
      </c>
      <c r="AZ15" s="1110"/>
      <c r="BA15" s="1110"/>
      <c r="BB15" s="1110"/>
      <c r="BC15" s="1110"/>
      <c r="BD15" s="1112"/>
      <c r="BE15" s="1112"/>
      <c r="BF15" s="1112"/>
      <c r="BG15" s="1118"/>
    </row>
    <row r="16" ht="15.95" customHeight="1" spans="1:50">
      <c r="A16" s="1032">
        <v>12</v>
      </c>
      <c r="B16" s="1033">
        <v>13</v>
      </c>
      <c r="C16" s="1033">
        <v>14</v>
      </c>
      <c r="D16" s="1033">
        <v>15</v>
      </c>
      <c r="E16" s="1035"/>
      <c r="F16" s="1034"/>
      <c r="G16" s="1034"/>
      <c r="H16" s="1035">
        <f t="shared" si="3"/>
        <v>13</v>
      </c>
      <c r="I16" s="1035">
        <f t="shared" si="3"/>
        <v>14</v>
      </c>
      <c r="J16" s="1035">
        <f t="shared" si="4"/>
        <v>0</v>
      </c>
      <c r="K16" s="1035"/>
      <c r="L16" s="1035"/>
      <c r="M16" s="1035"/>
      <c r="N16" s="1035"/>
      <c r="O16" s="1035"/>
      <c r="P16" s="1034"/>
      <c r="Q16" s="1034"/>
      <c r="R16" s="1035">
        <f t="shared" si="5"/>
        <v>-21</v>
      </c>
      <c r="S16" s="1035">
        <f t="shared" si="6"/>
        <v>12</v>
      </c>
      <c r="T16" s="1035">
        <f t="shared" si="7"/>
        <v>0</v>
      </c>
      <c r="U16" s="1034"/>
      <c r="V16" s="1034"/>
      <c r="W16" s="1035">
        <f t="shared" si="8"/>
        <v>-20</v>
      </c>
      <c r="X16" s="1035">
        <v>85</v>
      </c>
      <c r="Y16" s="1035">
        <f t="shared" si="9"/>
        <v>0</v>
      </c>
      <c r="Z16" s="1034"/>
      <c r="AA16" s="1034"/>
      <c r="AB16" s="1035">
        <f t="shared" si="10"/>
        <v>-22</v>
      </c>
      <c r="AC16" s="1035">
        <f t="shared" si="11"/>
        <v>-33</v>
      </c>
      <c r="AD16" s="1035">
        <f t="shared" si="12"/>
        <v>0</v>
      </c>
      <c r="AE16" s="1034"/>
      <c r="AF16" s="1034"/>
      <c r="AG16" s="1035"/>
      <c r="AH16" s="1035"/>
      <c r="AI16" s="1035"/>
      <c r="AJ16" s="1034"/>
      <c r="AK16" s="1034"/>
      <c r="AL16" s="1035">
        <f t="shared" si="13"/>
        <v>-9</v>
      </c>
      <c r="AM16" s="1035">
        <f t="shared" si="19"/>
        <v>3</v>
      </c>
      <c r="AN16" s="1077">
        <f t="shared" si="14"/>
        <v>0</v>
      </c>
      <c r="AO16" s="1035"/>
      <c r="AP16" s="1088">
        <f t="shared" si="18"/>
        <v>0</v>
      </c>
      <c r="AQ16" s="1087">
        <v>12</v>
      </c>
      <c r="AR16" s="1087">
        <f t="shared" si="15"/>
        <v>0</v>
      </c>
      <c r="AS16" s="1087">
        <f t="shared" si="16"/>
        <v>0</v>
      </c>
      <c r="AT16" s="1087">
        <f t="shared" si="17"/>
        <v>0</v>
      </c>
      <c r="AU16" s="1087">
        <f t="shared" si="2"/>
        <v>0</v>
      </c>
      <c r="AW16" s="1103" t="s">
        <v>138</v>
      </c>
      <c r="AX16" s="1113" t="s">
        <v>12</v>
      </c>
    </row>
    <row r="17" ht="15.95" customHeight="1" spans="1:50">
      <c r="A17" s="1032">
        <v>13</v>
      </c>
      <c r="B17" s="1033">
        <v>14</v>
      </c>
      <c r="C17" s="1033">
        <v>15</v>
      </c>
      <c r="D17" s="1033">
        <v>16</v>
      </c>
      <c r="E17" s="1035"/>
      <c r="F17" s="1034"/>
      <c r="G17" s="1034"/>
      <c r="H17" s="1035">
        <f t="shared" si="3"/>
        <v>14</v>
      </c>
      <c r="I17" s="1035">
        <f t="shared" si="3"/>
        <v>15</v>
      </c>
      <c r="J17" s="1035">
        <f t="shared" si="4"/>
        <v>0</v>
      </c>
      <c r="K17" s="1035"/>
      <c r="L17" s="1035"/>
      <c r="M17" s="1035"/>
      <c r="N17" s="1035"/>
      <c r="O17" s="1035"/>
      <c r="P17" s="1034"/>
      <c r="Q17" s="1034"/>
      <c r="R17" s="1035">
        <f t="shared" si="5"/>
        <v>-20</v>
      </c>
      <c r="S17" s="1035">
        <f t="shared" si="6"/>
        <v>13</v>
      </c>
      <c r="T17" s="1035">
        <f t="shared" si="7"/>
        <v>0</v>
      </c>
      <c r="U17" s="1034"/>
      <c r="V17" s="1034"/>
      <c r="W17" s="1035">
        <f t="shared" si="8"/>
        <v>-19</v>
      </c>
      <c r="X17" s="1035">
        <v>85</v>
      </c>
      <c r="Y17" s="1035">
        <f t="shared" si="9"/>
        <v>0</v>
      </c>
      <c r="Z17" s="1034"/>
      <c r="AA17" s="1034"/>
      <c r="AB17" s="1035">
        <f t="shared" si="10"/>
        <v>-21</v>
      </c>
      <c r="AC17" s="1035">
        <f t="shared" si="11"/>
        <v>-32</v>
      </c>
      <c r="AD17" s="1035">
        <f t="shared" si="12"/>
        <v>0</v>
      </c>
      <c r="AE17" s="1034"/>
      <c r="AF17" s="1034"/>
      <c r="AG17" s="1035"/>
      <c r="AH17" s="1035"/>
      <c r="AI17" s="1035"/>
      <c r="AJ17" s="1034"/>
      <c r="AK17" s="1034"/>
      <c r="AL17" s="1035">
        <f t="shared" si="13"/>
        <v>-8</v>
      </c>
      <c r="AM17" s="1035">
        <f t="shared" si="19"/>
        <v>4</v>
      </c>
      <c r="AN17" s="1077">
        <f t="shared" si="14"/>
        <v>0</v>
      </c>
      <c r="AO17" s="1035"/>
      <c r="AP17" s="1088">
        <f t="shared" si="18"/>
        <v>0</v>
      </c>
      <c r="AQ17" s="1087">
        <v>13</v>
      </c>
      <c r="AR17" s="1087">
        <f t="shared" si="15"/>
        <v>0</v>
      </c>
      <c r="AS17" s="1087">
        <f t="shared" si="16"/>
        <v>0</v>
      </c>
      <c r="AT17" s="1087">
        <f t="shared" si="17"/>
        <v>0</v>
      </c>
      <c r="AU17" s="1087">
        <f t="shared" si="2"/>
        <v>0</v>
      </c>
      <c r="AW17" s="1103" t="s">
        <v>139</v>
      </c>
      <c r="AX17" s="1113" t="s">
        <v>12</v>
      </c>
    </row>
    <row r="18" ht="15.95" customHeight="1" spans="1:50">
      <c r="A18" s="1032">
        <v>14</v>
      </c>
      <c r="B18" s="1033">
        <v>15</v>
      </c>
      <c r="C18" s="1033">
        <v>16</v>
      </c>
      <c r="D18" s="1033">
        <v>17</v>
      </c>
      <c r="E18" s="1035"/>
      <c r="F18" s="1034"/>
      <c r="G18" s="1034"/>
      <c r="H18" s="1035">
        <f t="shared" si="3"/>
        <v>15</v>
      </c>
      <c r="I18" s="1035">
        <f t="shared" si="3"/>
        <v>16</v>
      </c>
      <c r="J18" s="1035">
        <f t="shared" si="4"/>
        <v>0</v>
      </c>
      <c r="K18" s="1035"/>
      <c r="L18" s="1035"/>
      <c r="M18" s="1035"/>
      <c r="N18" s="1035"/>
      <c r="O18" s="1035"/>
      <c r="P18" s="1034"/>
      <c r="Q18" s="1034"/>
      <c r="R18" s="1035">
        <f t="shared" si="5"/>
        <v>-19</v>
      </c>
      <c r="S18" s="1035">
        <f t="shared" si="6"/>
        <v>14</v>
      </c>
      <c r="T18" s="1035">
        <f t="shared" si="7"/>
        <v>0</v>
      </c>
      <c r="U18" s="1034"/>
      <c r="V18" s="1034"/>
      <c r="W18" s="1035">
        <f t="shared" si="8"/>
        <v>-18</v>
      </c>
      <c r="X18" s="1035">
        <v>85</v>
      </c>
      <c r="Y18" s="1035">
        <f t="shared" si="9"/>
        <v>0</v>
      </c>
      <c r="Z18" s="1034"/>
      <c r="AA18" s="1034"/>
      <c r="AB18" s="1035">
        <f t="shared" si="10"/>
        <v>-20</v>
      </c>
      <c r="AC18" s="1035">
        <f t="shared" si="11"/>
        <v>-31</v>
      </c>
      <c r="AD18" s="1035">
        <f t="shared" si="12"/>
        <v>0</v>
      </c>
      <c r="AE18" s="1034"/>
      <c r="AF18" s="1034"/>
      <c r="AG18" s="1035"/>
      <c r="AH18" s="1035"/>
      <c r="AI18" s="1035"/>
      <c r="AJ18" s="1034"/>
      <c r="AK18" s="1034"/>
      <c r="AL18" s="1035">
        <f t="shared" si="13"/>
        <v>-7</v>
      </c>
      <c r="AM18" s="1035">
        <f t="shared" si="19"/>
        <v>5</v>
      </c>
      <c r="AN18" s="1077">
        <f t="shared" si="14"/>
        <v>0</v>
      </c>
      <c r="AO18" s="1035"/>
      <c r="AP18" s="1088">
        <f t="shared" si="18"/>
        <v>0</v>
      </c>
      <c r="AQ18" s="1087">
        <v>14</v>
      </c>
      <c r="AR18" s="1087">
        <f t="shared" si="15"/>
        <v>0</v>
      </c>
      <c r="AS18" s="1087">
        <f t="shared" si="16"/>
        <v>0</v>
      </c>
      <c r="AT18" s="1087">
        <f t="shared" si="17"/>
        <v>0</v>
      </c>
      <c r="AU18" s="1087">
        <f t="shared" si="2"/>
        <v>0</v>
      </c>
      <c r="AW18" s="1103" t="s">
        <v>140</v>
      </c>
      <c r="AX18" s="1113" t="s">
        <v>12</v>
      </c>
    </row>
    <row r="19" ht="15.95" customHeight="1" spans="1:50">
      <c r="A19" s="1032">
        <v>15</v>
      </c>
      <c r="B19" s="1033">
        <v>16</v>
      </c>
      <c r="C19" s="1033">
        <v>17</v>
      </c>
      <c r="D19" s="1033">
        <v>18</v>
      </c>
      <c r="E19" s="1035"/>
      <c r="F19" s="1034"/>
      <c r="G19" s="1034"/>
      <c r="H19" s="1035">
        <f t="shared" si="3"/>
        <v>16</v>
      </c>
      <c r="I19" s="1035">
        <f t="shared" si="3"/>
        <v>17</v>
      </c>
      <c r="J19" s="1035">
        <f t="shared" si="4"/>
        <v>0</v>
      </c>
      <c r="K19" s="1035"/>
      <c r="L19" s="1035"/>
      <c r="M19" s="1035"/>
      <c r="N19" s="1035"/>
      <c r="O19" s="1035"/>
      <c r="P19" s="1034"/>
      <c r="Q19" s="1034"/>
      <c r="R19" s="1035">
        <f t="shared" si="5"/>
        <v>-18</v>
      </c>
      <c r="S19" s="1035">
        <f t="shared" si="6"/>
        <v>15</v>
      </c>
      <c r="T19" s="1035">
        <f t="shared" si="7"/>
        <v>0</v>
      </c>
      <c r="U19" s="1034"/>
      <c r="V19" s="1034"/>
      <c r="W19" s="1035">
        <f t="shared" si="8"/>
        <v>-17</v>
      </c>
      <c r="X19" s="1035">
        <v>85</v>
      </c>
      <c r="Y19" s="1035">
        <f t="shared" si="9"/>
        <v>0</v>
      </c>
      <c r="Z19" s="1034"/>
      <c r="AA19" s="1034"/>
      <c r="AB19" s="1035">
        <f t="shared" si="10"/>
        <v>-19</v>
      </c>
      <c r="AC19" s="1035">
        <f t="shared" si="11"/>
        <v>-30</v>
      </c>
      <c r="AD19" s="1035">
        <f t="shared" si="12"/>
        <v>0</v>
      </c>
      <c r="AE19" s="1034"/>
      <c r="AF19" s="1034"/>
      <c r="AG19" s="1035"/>
      <c r="AH19" s="1035"/>
      <c r="AI19" s="1035"/>
      <c r="AJ19" s="1034"/>
      <c r="AK19" s="1034"/>
      <c r="AL19" s="1035">
        <f t="shared" si="13"/>
        <v>-6</v>
      </c>
      <c r="AM19" s="1035">
        <f t="shared" si="19"/>
        <v>6</v>
      </c>
      <c r="AN19" s="1077">
        <f t="shared" si="14"/>
        <v>0</v>
      </c>
      <c r="AO19" s="1035"/>
      <c r="AP19" s="1088">
        <f t="shared" si="18"/>
        <v>0</v>
      </c>
      <c r="AQ19" s="1087">
        <v>15</v>
      </c>
      <c r="AR19" s="1087">
        <f t="shared" si="15"/>
        <v>0</v>
      </c>
      <c r="AS19" s="1087">
        <f t="shared" si="16"/>
        <v>0</v>
      </c>
      <c r="AT19" s="1087">
        <f t="shared" si="17"/>
        <v>0</v>
      </c>
      <c r="AU19" s="1087">
        <f t="shared" si="2"/>
        <v>0</v>
      </c>
      <c r="AW19" s="1115" t="s">
        <v>141</v>
      </c>
      <c r="AX19" s="1113" t="s">
        <v>12</v>
      </c>
    </row>
    <row r="20" s="1017" customFormat="1" ht="15.95" customHeight="1" spans="1:59">
      <c r="A20" s="1036"/>
      <c r="B20" s="1033"/>
      <c r="C20" s="1033"/>
      <c r="D20" s="1033"/>
      <c r="E20" s="862"/>
      <c r="F20" s="1034"/>
      <c r="G20" s="1034"/>
      <c r="H20" s="862">
        <f t="shared" si="3"/>
        <v>-1</v>
      </c>
      <c r="I20" s="862">
        <f t="shared" si="3"/>
        <v>-1</v>
      </c>
      <c r="J20" s="862">
        <f t="shared" si="4"/>
        <v>0</v>
      </c>
      <c r="K20" s="862"/>
      <c r="L20" s="862"/>
      <c r="M20" s="862"/>
      <c r="N20" s="862"/>
      <c r="O20" s="862"/>
      <c r="P20" s="1034"/>
      <c r="Q20" s="1034"/>
      <c r="R20" s="862">
        <f t="shared" si="5"/>
        <v>-34</v>
      </c>
      <c r="S20" s="862">
        <f t="shared" si="6"/>
        <v>-2</v>
      </c>
      <c r="T20" s="862">
        <f t="shared" si="7"/>
        <v>0</v>
      </c>
      <c r="U20" s="1034"/>
      <c r="V20" s="1034"/>
      <c r="W20" s="862">
        <f t="shared" si="8"/>
        <v>-33</v>
      </c>
      <c r="X20" s="862">
        <v>85</v>
      </c>
      <c r="Y20" s="862">
        <f t="shared" si="9"/>
        <v>0</v>
      </c>
      <c r="Z20" s="1034"/>
      <c r="AA20" s="1034"/>
      <c r="AB20" s="862">
        <f t="shared" si="10"/>
        <v>-35</v>
      </c>
      <c r="AC20" s="862">
        <f t="shared" si="11"/>
        <v>-47</v>
      </c>
      <c r="AD20" s="862">
        <f t="shared" si="12"/>
        <v>0</v>
      </c>
      <c r="AE20" s="1034"/>
      <c r="AF20" s="1034"/>
      <c r="AG20" s="862">
        <f>R20</f>
        <v>-34</v>
      </c>
      <c r="AH20" s="862">
        <f>C20-25</f>
        <v>-25</v>
      </c>
      <c r="AI20" s="862"/>
      <c r="AJ20" s="1034"/>
      <c r="AK20" s="1034"/>
      <c r="AL20" s="862">
        <f t="shared" si="13"/>
        <v>-22</v>
      </c>
      <c r="AM20" s="862">
        <f t="shared" si="19"/>
        <v>-12</v>
      </c>
      <c r="AN20" s="1078">
        <f t="shared" si="14"/>
        <v>0</v>
      </c>
      <c r="AO20" s="862"/>
      <c r="AP20" s="1088">
        <f t="shared" si="18"/>
        <v>0</v>
      </c>
      <c r="AQ20" s="1087">
        <v>16</v>
      </c>
      <c r="AR20" s="1087">
        <f t="shared" si="15"/>
        <v>0</v>
      </c>
      <c r="AS20" s="1087">
        <f t="shared" si="16"/>
        <v>0</v>
      </c>
      <c r="AT20" s="1087">
        <f t="shared" si="17"/>
        <v>0</v>
      </c>
      <c r="AU20" s="1087">
        <f t="shared" si="2"/>
        <v>0</v>
      </c>
      <c r="BD20" s="1104"/>
      <c r="BE20" s="1104"/>
      <c r="BF20" s="1104"/>
      <c r="BG20" s="1104"/>
    </row>
    <row r="21" ht="15.95" customHeight="1" spans="1:50">
      <c r="A21" s="1037" t="s">
        <v>142</v>
      </c>
      <c r="B21" s="1037"/>
      <c r="C21" s="1037"/>
      <c r="D21" s="1037"/>
      <c r="E21" s="1037">
        <f>SUM(E4:E20)</f>
        <v>0</v>
      </c>
      <c r="F21" s="1037"/>
      <c r="G21" s="1037"/>
      <c r="H21" s="1037"/>
      <c r="I21" s="1037"/>
      <c r="J21" s="1037">
        <f>SUM(J5:J20)</f>
        <v>2</v>
      </c>
      <c r="K21" s="1037"/>
      <c r="L21" s="1037"/>
      <c r="M21" s="1037"/>
      <c r="N21" s="1037"/>
      <c r="O21" s="1037">
        <f>SUM(O5:O20)</f>
        <v>3</v>
      </c>
      <c r="P21" s="1037"/>
      <c r="Q21" s="1037"/>
      <c r="R21" s="1037"/>
      <c r="S21" s="1037"/>
      <c r="T21" s="1037">
        <f>SUM(T5:T20)</f>
        <v>4</v>
      </c>
      <c r="U21" s="1037"/>
      <c r="V21" s="1037"/>
      <c r="W21" s="1037"/>
      <c r="X21" s="1037"/>
      <c r="Y21" s="1037">
        <f>SUM(Y5:Y20)</f>
        <v>5</v>
      </c>
      <c r="Z21" s="1037"/>
      <c r="AA21" s="1037"/>
      <c r="AB21" s="1037"/>
      <c r="AC21" s="1037"/>
      <c r="AD21" s="1037">
        <f>SUM(AD5:AD20)</f>
        <v>6</v>
      </c>
      <c r="AE21" s="1037"/>
      <c r="AF21" s="1037"/>
      <c r="AG21" s="1037"/>
      <c r="AH21" s="1037"/>
      <c r="AI21" s="1037">
        <f>SUM(AI5:AI20)</f>
        <v>7</v>
      </c>
      <c r="AJ21" s="1037"/>
      <c r="AK21" s="1037"/>
      <c r="AL21" s="1037"/>
      <c r="AM21" s="1037"/>
      <c r="AN21" s="1037">
        <f>SUM(AN5:AN20)</f>
        <v>8</v>
      </c>
      <c r="AO21" s="1037"/>
      <c r="AP21" s="1088"/>
      <c r="AQ21" s="1089" t="s">
        <v>143</v>
      </c>
      <c r="AR21" s="1089">
        <f>SUM(AR5:AR20)</f>
        <v>-0.004579</v>
      </c>
      <c r="AS21" s="1089">
        <f>SUM(AS5:AS20)</f>
        <v>5.018</v>
      </c>
      <c r="AT21" s="1089">
        <f>SUM(AT5:AT20)</f>
        <v>0.000573322583534892</v>
      </c>
      <c r="AU21" s="1089">
        <f>SUM(AU5:AU20)</f>
        <v>0</v>
      </c>
      <c r="AW21" s="1103" t="s">
        <v>144</v>
      </c>
      <c r="AX21" s="1113" t="s">
        <v>13</v>
      </c>
    </row>
    <row r="22" s="1016" customFormat="1" ht="20.1" customHeight="1" spans="1:59">
      <c r="A22" s="1038" t="s">
        <v>145</v>
      </c>
      <c r="B22" s="1037" t="s">
        <v>84</v>
      </c>
      <c r="C22" s="1037" t="s">
        <v>85</v>
      </c>
      <c r="D22" s="1037" t="s">
        <v>86</v>
      </c>
      <c r="E22" s="1037" t="s">
        <v>87</v>
      </c>
      <c r="F22" s="1039" t="s">
        <v>88</v>
      </c>
      <c r="G22" s="1039" t="s">
        <v>89</v>
      </c>
      <c r="H22" s="1037" t="s">
        <v>84</v>
      </c>
      <c r="I22" s="1037" t="s">
        <v>86</v>
      </c>
      <c r="J22" s="1037" t="s">
        <v>90</v>
      </c>
      <c r="K22" s="1039" t="s">
        <v>88</v>
      </c>
      <c r="L22" s="1039" t="s">
        <v>89</v>
      </c>
      <c r="M22" s="1039" t="s">
        <v>84</v>
      </c>
      <c r="N22" s="1039" t="s">
        <v>85</v>
      </c>
      <c r="O22" s="1039" t="s">
        <v>90</v>
      </c>
      <c r="P22" s="1039" t="s">
        <v>88</v>
      </c>
      <c r="Q22" s="1039" t="s">
        <v>89</v>
      </c>
      <c r="R22" s="1037" t="s">
        <v>84</v>
      </c>
      <c r="S22" s="1037" t="s">
        <v>85</v>
      </c>
      <c r="T22" s="1037" t="s">
        <v>90</v>
      </c>
      <c r="U22" s="1039" t="s">
        <v>88</v>
      </c>
      <c r="V22" s="1039" t="s">
        <v>89</v>
      </c>
      <c r="W22" s="1037" t="s">
        <v>84</v>
      </c>
      <c r="X22" s="1037" t="s">
        <v>85</v>
      </c>
      <c r="Y22" s="1037" t="s">
        <v>90</v>
      </c>
      <c r="Z22" s="1039" t="s">
        <v>88</v>
      </c>
      <c r="AA22" s="1039" t="s">
        <v>89</v>
      </c>
      <c r="AB22" s="1039" t="s">
        <v>84</v>
      </c>
      <c r="AC22" s="1039" t="s">
        <v>86</v>
      </c>
      <c r="AD22" s="1039" t="s">
        <v>90</v>
      </c>
      <c r="AE22" s="1039" t="s">
        <v>88</v>
      </c>
      <c r="AF22" s="1039" t="s">
        <v>89</v>
      </c>
      <c r="AG22" s="1039" t="s">
        <v>84</v>
      </c>
      <c r="AH22" s="1039" t="s">
        <v>86</v>
      </c>
      <c r="AI22" s="1039" t="s">
        <v>90</v>
      </c>
      <c r="AJ22" s="1039" t="s">
        <v>88</v>
      </c>
      <c r="AK22" s="1039" t="s">
        <v>89</v>
      </c>
      <c r="AL22" s="1037" t="s">
        <v>84</v>
      </c>
      <c r="AM22" s="1037" t="s">
        <v>86</v>
      </c>
      <c r="AN22" s="1037" t="s">
        <v>90</v>
      </c>
      <c r="AO22" s="1037"/>
      <c r="AP22" s="1088"/>
      <c r="AQ22" s="1090"/>
      <c r="AR22" s="1090"/>
      <c r="AS22" s="1090"/>
      <c r="AT22" s="1090"/>
      <c r="AU22" s="1090"/>
      <c r="AW22" s="1021"/>
      <c r="AX22" s="1020"/>
      <c r="BD22" s="1021"/>
      <c r="BE22" s="1021"/>
      <c r="BF22" s="1021"/>
      <c r="BG22" s="1021"/>
    </row>
    <row r="23" ht="15.95" customHeight="1" spans="1:50">
      <c r="A23" s="1032">
        <v>1</v>
      </c>
      <c r="B23" s="1033">
        <v>2</v>
      </c>
      <c r="C23" s="1033">
        <v>3</v>
      </c>
      <c r="D23" s="1033">
        <v>4</v>
      </c>
      <c r="E23" s="1033"/>
      <c r="F23" s="1034">
        <v>1</v>
      </c>
      <c r="G23" s="1034"/>
      <c r="H23" s="1034">
        <f t="shared" ref="H23:I32" si="20">C23-1</f>
        <v>2</v>
      </c>
      <c r="I23" s="1034">
        <f t="shared" si="20"/>
        <v>3</v>
      </c>
      <c r="J23" s="1034">
        <f t="shared" ref="J23:J32" si="21">E23*2</f>
        <v>0</v>
      </c>
      <c r="K23" s="1034"/>
      <c r="L23" s="1034"/>
      <c r="M23" s="1034">
        <f>B23-34</f>
        <v>-32</v>
      </c>
      <c r="N23" s="1053">
        <f>C23-25</f>
        <v>-22</v>
      </c>
      <c r="O23" s="1034">
        <f t="shared" ref="O23:O32" si="22">E23</f>
        <v>0</v>
      </c>
      <c r="P23" s="1034"/>
      <c r="Q23" s="1034"/>
      <c r="R23" s="1034">
        <f>B23-34</f>
        <v>-32</v>
      </c>
      <c r="S23" s="1053">
        <f>C23-2</f>
        <v>1</v>
      </c>
      <c r="T23" s="1034">
        <f t="shared" ref="T23:T32" si="23">E23</f>
        <v>0</v>
      </c>
      <c r="U23" s="1034"/>
      <c r="V23" s="1034"/>
      <c r="W23" s="1034">
        <f t="shared" ref="W23:W32" si="24">B23-33</f>
        <v>-31</v>
      </c>
      <c r="X23" s="1034">
        <v>85</v>
      </c>
      <c r="Y23" s="1034">
        <f t="shared" ref="Y23:Y32" si="25">E23*1</f>
        <v>0</v>
      </c>
      <c r="Z23" s="1034"/>
      <c r="AA23" s="1034"/>
      <c r="AB23" s="1034">
        <f>B23-35</f>
        <v>-33</v>
      </c>
      <c r="AC23" s="1034">
        <f>C23-47</f>
        <v>-44</v>
      </c>
      <c r="AD23" s="1034">
        <f t="shared" ref="AD23:AD32" si="26">E23</f>
        <v>0</v>
      </c>
      <c r="AE23" s="1034"/>
      <c r="AF23" s="1034"/>
      <c r="AG23" s="1034"/>
      <c r="AH23" s="1034"/>
      <c r="AI23" s="1034"/>
      <c r="AJ23" s="1034"/>
      <c r="AK23" s="1034"/>
      <c r="AL23" s="1034">
        <f t="shared" ref="AL23:AL32" si="27">B23-22</f>
        <v>-20</v>
      </c>
      <c r="AM23" s="1034">
        <f t="shared" ref="AM23:AM32" si="28">D23-12</f>
        <v>-8</v>
      </c>
      <c r="AN23" s="1079">
        <f t="shared" ref="AN23:AN32" si="29">E23</f>
        <v>0</v>
      </c>
      <c r="AO23" s="1034"/>
      <c r="AP23" s="1088">
        <f t="shared" ref="AP23:AP32" si="30">IF(AND(D23&lt;&gt;"",D23&gt;=1440),IF(B23&lt;950,4,6),0)*E23</f>
        <v>0</v>
      </c>
      <c r="AQ23" s="1087">
        <v>1</v>
      </c>
      <c r="AR23" s="1087">
        <f t="shared" ref="AR23:AR32" si="31">(H23*I23*J23+M23*N23*O23+R23*T23*S23+W23*X23*Y23+AB23*AC23*AD23+AG23*AH23*AI23)/1000000</f>
        <v>0</v>
      </c>
      <c r="AS23" s="1087">
        <f t="shared" ref="AS23:AS32" si="32">(((H23+I23)*2+240)*J23+((M23+N23)*2+240)*O23+((R23+S23)*2+240)*T23+(W23*2+240)*Y23+((AB23+AC23)*2+240)*AD23+((AG23+AH23)*2+240)*AI23)/1000</f>
        <v>0</v>
      </c>
      <c r="AT23" s="1087">
        <f t="shared" ref="AT23:AT32" si="33">AL23*AM23*AN23/1000000/1.22/2.44/0.75</f>
        <v>0</v>
      </c>
      <c r="AU23" s="1087">
        <f t="shared" ref="AU23:AU32" si="34">B23*E23/1000</f>
        <v>0</v>
      </c>
      <c r="AW23" s="1103" t="s">
        <v>146</v>
      </c>
      <c r="AX23" s="1113" t="s">
        <v>12</v>
      </c>
    </row>
    <row r="24" ht="15.95" customHeight="1" spans="1:50">
      <c r="A24" s="1032">
        <v>2</v>
      </c>
      <c r="B24" s="1033">
        <v>3</v>
      </c>
      <c r="C24" s="1033">
        <v>4</v>
      </c>
      <c r="D24" s="1033">
        <v>5</v>
      </c>
      <c r="E24" s="1033"/>
      <c r="F24" s="1034">
        <v>2</v>
      </c>
      <c r="G24" s="1034"/>
      <c r="H24" s="1035">
        <f t="shared" si="20"/>
        <v>3</v>
      </c>
      <c r="I24" s="1035">
        <f t="shared" si="20"/>
        <v>4</v>
      </c>
      <c r="J24" s="1035">
        <f t="shared" si="21"/>
        <v>0</v>
      </c>
      <c r="K24" s="1034"/>
      <c r="L24" s="1034"/>
      <c r="M24" s="1035">
        <f t="shared" ref="M24:M32" si="35">B24-34</f>
        <v>-31</v>
      </c>
      <c r="N24" s="1054">
        <f t="shared" ref="N24:N32" si="36">C24-25</f>
        <v>-21</v>
      </c>
      <c r="O24" s="1035">
        <f t="shared" si="22"/>
        <v>0</v>
      </c>
      <c r="P24" s="1034"/>
      <c r="Q24" s="1034"/>
      <c r="R24" s="1035">
        <f t="shared" ref="R24:R32" si="37">B24-34</f>
        <v>-31</v>
      </c>
      <c r="S24" s="1054">
        <f t="shared" ref="S24:S32" si="38">C24-2</f>
        <v>2</v>
      </c>
      <c r="T24" s="1035">
        <f t="shared" si="23"/>
        <v>0</v>
      </c>
      <c r="U24" s="1034"/>
      <c r="V24" s="1034"/>
      <c r="W24" s="1035">
        <f t="shared" si="24"/>
        <v>-30</v>
      </c>
      <c r="X24" s="1035">
        <v>85</v>
      </c>
      <c r="Y24" s="1035">
        <f t="shared" si="25"/>
        <v>0</v>
      </c>
      <c r="Z24" s="1034"/>
      <c r="AA24" s="1034"/>
      <c r="AB24" s="1035">
        <f t="shared" ref="AB24:AB32" si="39">B24-35</f>
        <v>-32</v>
      </c>
      <c r="AC24" s="1035">
        <f t="shared" ref="AC24:AC32" si="40">C24-47</f>
        <v>-43</v>
      </c>
      <c r="AD24" s="1035">
        <f t="shared" si="26"/>
        <v>0</v>
      </c>
      <c r="AE24" s="1034"/>
      <c r="AF24" s="1034"/>
      <c r="AG24" s="1035"/>
      <c r="AH24" s="1035"/>
      <c r="AI24" s="1035"/>
      <c r="AJ24" s="1034"/>
      <c r="AK24" s="1034"/>
      <c r="AL24" s="1035">
        <f t="shared" si="27"/>
        <v>-19</v>
      </c>
      <c r="AM24" s="1035">
        <f t="shared" si="28"/>
        <v>-7</v>
      </c>
      <c r="AN24" s="1077">
        <f t="shared" si="29"/>
        <v>0</v>
      </c>
      <c r="AO24" s="1035"/>
      <c r="AP24" s="1088">
        <f t="shared" si="30"/>
        <v>0</v>
      </c>
      <c r="AQ24" s="1087">
        <v>2</v>
      </c>
      <c r="AR24" s="1087">
        <f t="shared" si="31"/>
        <v>0</v>
      </c>
      <c r="AS24" s="1087">
        <f t="shared" si="32"/>
        <v>0</v>
      </c>
      <c r="AT24" s="1087">
        <f t="shared" si="33"/>
        <v>0</v>
      </c>
      <c r="AU24" s="1087">
        <f t="shared" si="34"/>
        <v>0</v>
      </c>
      <c r="AW24" s="1103" t="s">
        <v>147</v>
      </c>
      <c r="AX24" s="1113" t="s">
        <v>11</v>
      </c>
    </row>
    <row r="25" ht="15.95" customHeight="1" spans="1:50">
      <c r="A25" s="1032">
        <v>3</v>
      </c>
      <c r="B25" s="1033">
        <v>4</v>
      </c>
      <c r="C25" s="1033">
        <v>5</v>
      </c>
      <c r="D25" s="1033">
        <v>6</v>
      </c>
      <c r="E25" s="1033"/>
      <c r="F25" s="1034">
        <v>3</v>
      </c>
      <c r="G25" s="1034"/>
      <c r="H25" s="1035">
        <f t="shared" si="20"/>
        <v>4</v>
      </c>
      <c r="I25" s="1035">
        <f t="shared" si="20"/>
        <v>5</v>
      </c>
      <c r="J25" s="1035">
        <f t="shared" si="21"/>
        <v>0</v>
      </c>
      <c r="K25" s="1034"/>
      <c r="L25" s="1034"/>
      <c r="M25" s="1035">
        <f t="shared" si="35"/>
        <v>-30</v>
      </c>
      <c r="N25" s="1054">
        <f t="shared" si="36"/>
        <v>-20</v>
      </c>
      <c r="O25" s="1035">
        <f t="shared" si="22"/>
        <v>0</v>
      </c>
      <c r="P25" s="1034"/>
      <c r="Q25" s="1034"/>
      <c r="R25" s="1035">
        <f t="shared" si="37"/>
        <v>-30</v>
      </c>
      <c r="S25" s="1054">
        <f t="shared" si="38"/>
        <v>3</v>
      </c>
      <c r="T25" s="1035">
        <f t="shared" si="23"/>
        <v>0</v>
      </c>
      <c r="U25" s="1034"/>
      <c r="V25" s="1034"/>
      <c r="W25" s="1035">
        <f t="shared" si="24"/>
        <v>-29</v>
      </c>
      <c r="X25" s="1035">
        <v>85</v>
      </c>
      <c r="Y25" s="1035">
        <f t="shared" si="25"/>
        <v>0</v>
      </c>
      <c r="Z25" s="1034"/>
      <c r="AA25" s="1034"/>
      <c r="AB25" s="1035">
        <f t="shared" si="39"/>
        <v>-31</v>
      </c>
      <c r="AC25" s="1035">
        <f t="shared" si="40"/>
        <v>-42</v>
      </c>
      <c r="AD25" s="1035">
        <f t="shared" si="26"/>
        <v>0</v>
      </c>
      <c r="AE25" s="1034"/>
      <c r="AF25" s="1034"/>
      <c r="AG25" s="1035"/>
      <c r="AH25" s="1035"/>
      <c r="AI25" s="1035"/>
      <c r="AJ25" s="1034"/>
      <c r="AK25" s="1034"/>
      <c r="AL25" s="1035">
        <f t="shared" si="27"/>
        <v>-18</v>
      </c>
      <c r="AM25" s="1035">
        <f t="shared" si="28"/>
        <v>-6</v>
      </c>
      <c r="AN25" s="1077">
        <f t="shared" si="29"/>
        <v>0</v>
      </c>
      <c r="AO25" s="1035"/>
      <c r="AP25" s="1088">
        <f t="shared" si="30"/>
        <v>0</v>
      </c>
      <c r="AQ25" s="1087">
        <v>3</v>
      </c>
      <c r="AR25" s="1087">
        <f t="shared" si="31"/>
        <v>0</v>
      </c>
      <c r="AS25" s="1087">
        <f t="shared" si="32"/>
        <v>0</v>
      </c>
      <c r="AT25" s="1087">
        <f t="shared" si="33"/>
        <v>0</v>
      </c>
      <c r="AU25" s="1087">
        <f t="shared" si="34"/>
        <v>0</v>
      </c>
      <c r="AW25" s="1103" t="s">
        <v>148</v>
      </c>
      <c r="AX25" s="1113" t="s">
        <v>11</v>
      </c>
    </row>
    <row r="26" ht="15.95" customHeight="1" spans="1:47">
      <c r="A26" s="1032">
        <v>4</v>
      </c>
      <c r="B26" s="1033">
        <v>5</v>
      </c>
      <c r="C26" s="1033">
        <v>6</v>
      </c>
      <c r="D26" s="1033">
        <v>7</v>
      </c>
      <c r="E26" s="1035"/>
      <c r="F26" s="1034">
        <v>4</v>
      </c>
      <c r="G26" s="1034"/>
      <c r="H26" s="1035">
        <f t="shared" si="20"/>
        <v>5</v>
      </c>
      <c r="I26" s="1035">
        <f t="shared" si="20"/>
        <v>6</v>
      </c>
      <c r="J26" s="1035">
        <f t="shared" si="21"/>
        <v>0</v>
      </c>
      <c r="K26" s="1034"/>
      <c r="L26" s="1034"/>
      <c r="M26" s="1035">
        <f t="shared" si="35"/>
        <v>-29</v>
      </c>
      <c r="N26" s="1054">
        <f t="shared" si="36"/>
        <v>-19</v>
      </c>
      <c r="O26" s="1035">
        <f t="shared" si="22"/>
        <v>0</v>
      </c>
      <c r="P26" s="1034"/>
      <c r="Q26" s="1034"/>
      <c r="R26" s="1035">
        <f t="shared" si="37"/>
        <v>-29</v>
      </c>
      <c r="S26" s="1054">
        <f t="shared" si="38"/>
        <v>4</v>
      </c>
      <c r="T26" s="1035">
        <f t="shared" si="23"/>
        <v>0</v>
      </c>
      <c r="U26" s="1034"/>
      <c r="V26" s="1034"/>
      <c r="W26" s="1035">
        <f t="shared" si="24"/>
        <v>-28</v>
      </c>
      <c r="X26" s="1035">
        <v>85</v>
      </c>
      <c r="Y26" s="1035">
        <f t="shared" si="25"/>
        <v>0</v>
      </c>
      <c r="Z26" s="1034"/>
      <c r="AA26" s="1034"/>
      <c r="AB26" s="1035">
        <f t="shared" si="39"/>
        <v>-30</v>
      </c>
      <c r="AC26" s="1035">
        <f t="shared" si="40"/>
        <v>-41</v>
      </c>
      <c r="AD26" s="1035">
        <f t="shared" si="26"/>
        <v>0</v>
      </c>
      <c r="AE26" s="1034"/>
      <c r="AF26" s="1034"/>
      <c r="AG26" s="1035"/>
      <c r="AH26" s="1035"/>
      <c r="AI26" s="1035"/>
      <c r="AJ26" s="1034"/>
      <c r="AK26" s="1034"/>
      <c r="AL26" s="1035">
        <f t="shared" si="27"/>
        <v>-17</v>
      </c>
      <c r="AM26" s="1035">
        <f t="shared" si="28"/>
        <v>-5</v>
      </c>
      <c r="AN26" s="1077">
        <f t="shared" si="29"/>
        <v>0</v>
      </c>
      <c r="AO26" s="1035"/>
      <c r="AP26" s="1088">
        <f t="shared" si="30"/>
        <v>0</v>
      </c>
      <c r="AQ26" s="1087">
        <v>4</v>
      </c>
      <c r="AR26" s="1087">
        <f t="shared" si="31"/>
        <v>0</v>
      </c>
      <c r="AS26" s="1087">
        <f t="shared" si="32"/>
        <v>0</v>
      </c>
      <c r="AT26" s="1087">
        <f t="shared" si="33"/>
        <v>0</v>
      </c>
      <c r="AU26" s="1087">
        <f t="shared" si="34"/>
        <v>0</v>
      </c>
    </row>
    <row r="27" s="1017" customFormat="1" ht="15.95" customHeight="1" spans="1:59">
      <c r="A27" s="1032">
        <v>5</v>
      </c>
      <c r="B27" s="1033">
        <v>6</v>
      </c>
      <c r="C27" s="1033">
        <v>7</v>
      </c>
      <c r="D27" s="1033">
        <v>8</v>
      </c>
      <c r="E27" s="842"/>
      <c r="F27" s="1034">
        <v>5</v>
      </c>
      <c r="G27" s="1034"/>
      <c r="H27" s="842">
        <f t="shared" si="20"/>
        <v>6</v>
      </c>
      <c r="I27" s="842">
        <f t="shared" si="20"/>
        <v>7</v>
      </c>
      <c r="J27" s="842">
        <f t="shared" si="21"/>
        <v>0</v>
      </c>
      <c r="K27" s="1034"/>
      <c r="L27" s="1034"/>
      <c r="M27" s="842">
        <f t="shared" si="35"/>
        <v>-28</v>
      </c>
      <c r="N27" s="1055">
        <f t="shared" si="36"/>
        <v>-18</v>
      </c>
      <c r="O27" s="842">
        <f t="shared" si="22"/>
        <v>0</v>
      </c>
      <c r="P27" s="1034"/>
      <c r="Q27" s="1034"/>
      <c r="R27" s="842">
        <f t="shared" si="37"/>
        <v>-28</v>
      </c>
      <c r="S27" s="1055">
        <f t="shared" si="38"/>
        <v>5</v>
      </c>
      <c r="T27" s="842">
        <f t="shared" si="23"/>
        <v>0</v>
      </c>
      <c r="U27" s="1034"/>
      <c r="V27" s="1034"/>
      <c r="W27" s="842">
        <f t="shared" si="24"/>
        <v>-27</v>
      </c>
      <c r="X27" s="842">
        <v>85</v>
      </c>
      <c r="Y27" s="842">
        <f t="shared" si="25"/>
        <v>0</v>
      </c>
      <c r="Z27" s="1034"/>
      <c r="AA27" s="1034"/>
      <c r="AB27" s="842">
        <f t="shared" si="39"/>
        <v>-29</v>
      </c>
      <c r="AC27" s="842">
        <f t="shared" si="40"/>
        <v>-40</v>
      </c>
      <c r="AD27" s="842">
        <f t="shared" si="26"/>
        <v>0</v>
      </c>
      <c r="AE27" s="1034"/>
      <c r="AF27" s="1034"/>
      <c r="AG27" s="842"/>
      <c r="AH27" s="842"/>
      <c r="AI27" s="842"/>
      <c r="AJ27" s="1034"/>
      <c r="AK27" s="1034"/>
      <c r="AL27" s="842">
        <f t="shared" si="27"/>
        <v>-16</v>
      </c>
      <c r="AM27" s="842">
        <f t="shared" si="28"/>
        <v>-4</v>
      </c>
      <c r="AN27" s="1080">
        <f t="shared" si="29"/>
        <v>0</v>
      </c>
      <c r="AO27" s="842"/>
      <c r="AP27" s="1088">
        <f t="shared" si="30"/>
        <v>0</v>
      </c>
      <c r="AQ27" s="1087">
        <v>5</v>
      </c>
      <c r="AR27" s="1087">
        <f t="shared" si="31"/>
        <v>0</v>
      </c>
      <c r="AS27" s="1087">
        <f t="shared" si="32"/>
        <v>0</v>
      </c>
      <c r="AT27" s="1087">
        <f t="shared" si="33"/>
        <v>0</v>
      </c>
      <c r="AU27" s="1087">
        <f t="shared" si="34"/>
        <v>0</v>
      </c>
      <c r="BD27" s="1104"/>
      <c r="BE27" s="1104"/>
      <c r="BF27" s="1104"/>
      <c r="BG27" s="1104"/>
    </row>
    <row r="28" ht="15.95" customHeight="1" spans="1:50">
      <c r="A28" s="1032">
        <v>6</v>
      </c>
      <c r="B28" s="1033">
        <v>7</v>
      </c>
      <c r="C28" s="1033">
        <v>8</v>
      </c>
      <c r="D28" s="1033">
        <v>9</v>
      </c>
      <c r="E28" s="1035"/>
      <c r="F28" s="1034">
        <v>6</v>
      </c>
      <c r="G28" s="1034"/>
      <c r="H28" s="1035">
        <f t="shared" si="20"/>
        <v>7</v>
      </c>
      <c r="I28" s="1035">
        <f t="shared" si="20"/>
        <v>8</v>
      </c>
      <c r="J28" s="1035">
        <f t="shared" si="21"/>
        <v>0</v>
      </c>
      <c r="K28" s="1034"/>
      <c r="L28" s="1034"/>
      <c r="M28" s="1035">
        <f t="shared" si="35"/>
        <v>-27</v>
      </c>
      <c r="N28" s="1054">
        <f t="shared" si="36"/>
        <v>-17</v>
      </c>
      <c r="O28" s="1035">
        <f t="shared" si="22"/>
        <v>0</v>
      </c>
      <c r="P28" s="1034"/>
      <c r="Q28" s="1034"/>
      <c r="R28" s="1035">
        <f t="shared" si="37"/>
        <v>-27</v>
      </c>
      <c r="S28" s="1054">
        <f t="shared" si="38"/>
        <v>6</v>
      </c>
      <c r="T28" s="1035">
        <f t="shared" si="23"/>
        <v>0</v>
      </c>
      <c r="U28" s="1034"/>
      <c r="V28" s="1034"/>
      <c r="W28" s="1035">
        <f t="shared" si="24"/>
        <v>-26</v>
      </c>
      <c r="X28" s="1035">
        <v>85</v>
      </c>
      <c r="Y28" s="1035">
        <f t="shared" si="25"/>
        <v>0</v>
      </c>
      <c r="Z28" s="1034"/>
      <c r="AA28" s="1034"/>
      <c r="AB28" s="1035">
        <f t="shared" si="39"/>
        <v>-28</v>
      </c>
      <c r="AC28" s="1035">
        <f t="shared" si="40"/>
        <v>-39</v>
      </c>
      <c r="AD28" s="1035">
        <f t="shared" si="26"/>
        <v>0</v>
      </c>
      <c r="AE28" s="1034"/>
      <c r="AF28" s="1034"/>
      <c r="AG28" s="1035"/>
      <c r="AH28" s="1035"/>
      <c r="AI28" s="1035"/>
      <c r="AJ28" s="1034"/>
      <c r="AK28" s="1034"/>
      <c r="AL28" s="1035">
        <f t="shared" si="27"/>
        <v>-15</v>
      </c>
      <c r="AM28" s="1035">
        <f t="shared" si="28"/>
        <v>-3</v>
      </c>
      <c r="AN28" s="1077">
        <f t="shared" si="29"/>
        <v>0</v>
      </c>
      <c r="AO28" s="1035"/>
      <c r="AP28" s="1088">
        <f t="shared" si="30"/>
        <v>0</v>
      </c>
      <c r="AQ28" s="1087">
        <v>6</v>
      </c>
      <c r="AR28" s="1087">
        <f t="shared" si="31"/>
        <v>0</v>
      </c>
      <c r="AS28" s="1087">
        <f t="shared" si="32"/>
        <v>0</v>
      </c>
      <c r="AT28" s="1087">
        <f t="shared" si="33"/>
        <v>0</v>
      </c>
      <c r="AU28" s="1087">
        <f t="shared" si="34"/>
        <v>0</v>
      </c>
      <c r="AX28" s="1104"/>
    </row>
    <row r="29" ht="15.95" customHeight="1" spans="1:50">
      <c r="A29" s="1032">
        <v>7</v>
      </c>
      <c r="B29" s="1033">
        <v>8</v>
      </c>
      <c r="C29" s="1033">
        <v>9</v>
      </c>
      <c r="D29" s="1033">
        <v>10</v>
      </c>
      <c r="E29" s="1035"/>
      <c r="F29" s="1034">
        <v>7</v>
      </c>
      <c r="G29" s="1034"/>
      <c r="H29" s="1035">
        <f t="shared" si="20"/>
        <v>8</v>
      </c>
      <c r="I29" s="1035">
        <f t="shared" si="20"/>
        <v>9</v>
      </c>
      <c r="J29" s="1035">
        <f t="shared" si="21"/>
        <v>0</v>
      </c>
      <c r="K29" s="1034"/>
      <c r="L29" s="1034"/>
      <c r="M29" s="1035">
        <f t="shared" si="35"/>
        <v>-26</v>
      </c>
      <c r="N29" s="1054">
        <f t="shared" si="36"/>
        <v>-16</v>
      </c>
      <c r="O29" s="1035">
        <f t="shared" si="22"/>
        <v>0</v>
      </c>
      <c r="P29" s="1034"/>
      <c r="Q29" s="1034"/>
      <c r="R29" s="1035">
        <f t="shared" si="37"/>
        <v>-26</v>
      </c>
      <c r="S29" s="1054">
        <f t="shared" si="38"/>
        <v>7</v>
      </c>
      <c r="T29" s="1035">
        <f t="shared" si="23"/>
        <v>0</v>
      </c>
      <c r="U29" s="1034"/>
      <c r="V29" s="1034"/>
      <c r="W29" s="1035">
        <f t="shared" si="24"/>
        <v>-25</v>
      </c>
      <c r="X29" s="1035">
        <v>85</v>
      </c>
      <c r="Y29" s="1035">
        <f t="shared" si="25"/>
        <v>0</v>
      </c>
      <c r="Z29" s="1034"/>
      <c r="AA29" s="1034"/>
      <c r="AB29" s="1035">
        <f t="shared" si="39"/>
        <v>-27</v>
      </c>
      <c r="AC29" s="1035">
        <f t="shared" si="40"/>
        <v>-38</v>
      </c>
      <c r="AD29" s="1035">
        <f t="shared" si="26"/>
        <v>0</v>
      </c>
      <c r="AE29" s="1034"/>
      <c r="AF29" s="1034"/>
      <c r="AG29" s="1035"/>
      <c r="AH29" s="1035"/>
      <c r="AI29" s="1035"/>
      <c r="AJ29" s="1034"/>
      <c r="AK29" s="1034"/>
      <c r="AL29" s="1035">
        <f t="shared" si="27"/>
        <v>-14</v>
      </c>
      <c r="AM29" s="1035">
        <f t="shared" si="28"/>
        <v>-2</v>
      </c>
      <c r="AN29" s="1077">
        <f t="shared" si="29"/>
        <v>0</v>
      </c>
      <c r="AO29" s="1035"/>
      <c r="AP29" s="1088">
        <f t="shared" si="30"/>
        <v>0</v>
      </c>
      <c r="AQ29" s="1087">
        <v>7</v>
      </c>
      <c r="AR29" s="1087">
        <f t="shared" si="31"/>
        <v>0</v>
      </c>
      <c r="AS29" s="1087">
        <f t="shared" si="32"/>
        <v>0</v>
      </c>
      <c r="AT29" s="1087">
        <f t="shared" si="33"/>
        <v>0</v>
      </c>
      <c r="AU29" s="1087">
        <f t="shared" si="34"/>
        <v>0</v>
      </c>
      <c r="AX29" s="1113"/>
    </row>
    <row r="30" ht="15.95" customHeight="1" spans="1:50">
      <c r="A30" s="1032">
        <v>8</v>
      </c>
      <c r="B30" s="1033">
        <v>9</v>
      </c>
      <c r="C30" s="1033">
        <v>10</v>
      </c>
      <c r="D30" s="1033">
        <v>11</v>
      </c>
      <c r="E30" s="1035"/>
      <c r="F30" s="1034">
        <v>8</v>
      </c>
      <c r="G30" s="1034"/>
      <c r="H30" s="1035">
        <f t="shared" si="20"/>
        <v>9</v>
      </c>
      <c r="I30" s="1035">
        <f t="shared" si="20"/>
        <v>10</v>
      </c>
      <c r="J30" s="1035">
        <f t="shared" si="21"/>
        <v>0</v>
      </c>
      <c r="K30" s="1034"/>
      <c r="L30" s="1034"/>
      <c r="M30" s="1035">
        <f t="shared" si="35"/>
        <v>-25</v>
      </c>
      <c r="N30" s="1054">
        <f t="shared" si="36"/>
        <v>-15</v>
      </c>
      <c r="O30" s="1035">
        <f t="shared" si="22"/>
        <v>0</v>
      </c>
      <c r="P30" s="1034"/>
      <c r="Q30" s="1034"/>
      <c r="R30" s="1035">
        <f t="shared" si="37"/>
        <v>-25</v>
      </c>
      <c r="S30" s="1054">
        <f t="shared" si="38"/>
        <v>8</v>
      </c>
      <c r="T30" s="1035">
        <f t="shared" si="23"/>
        <v>0</v>
      </c>
      <c r="U30" s="1034"/>
      <c r="V30" s="1034"/>
      <c r="W30" s="1035">
        <f t="shared" si="24"/>
        <v>-24</v>
      </c>
      <c r="X30" s="1035">
        <v>85</v>
      </c>
      <c r="Y30" s="1035">
        <f t="shared" si="25"/>
        <v>0</v>
      </c>
      <c r="Z30" s="1034"/>
      <c r="AA30" s="1034"/>
      <c r="AB30" s="1035">
        <f t="shared" si="39"/>
        <v>-26</v>
      </c>
      <c r="AC30" s="1035">
        <f t="shared" si="40"/>
        <v>-37</v>
      </c>
      <c r="AD30" s="1035">
        <f t="shared" si="26"/>
        <v>0</v>
      </c>
      <c r="AE30" s="1034"/>
      <c r="AF30" s="1034"/>
      <c r="AG30" s="1035"/>
      <c r="AH30" s="1035"/>
      <c r="AI30" s="1035"/>
      <c r="AJ30" s="1034"/>
      <c r="AK30" s="1034"/>
      <c r="AL30" s="1035">
        <f t="shared" si="27"/>
        <v>-13</v>
      </c>
      <c r="AM30" s="1035">
        <f t="shared" si="28"/>
        <v>-1</v>
      </c>
      <c r="AN30" s="1077">
        <f t="shared" si="29"/>
        <v>0</v>
      </c>
      <c r="AO30" s="1035"/>
      <c r="AP30" s="1088">
        <f t="shared" si="30"/>
        <v>0</v>
      </c>
      <c r="AQ30" s="1087">
        <v>8</v>
      </c>
      <c r="AR30" s="1087">
        <f t="shared" si="31"/>
        <v>0</v>
      </c>
      <c r="AS30" s="1087">
        <f t="shared" si="32"/>
        <v>0</v>
      </c>
      <c r="AT30" s="1087">
        <f t="shared" si="33"/>
        <v>0</v>
      </c>
      <c r="AU30" s="1087">
        <f t="shared" si="34"/>
        <v>0</v>
      </c>
      <c r="AX30" s="1104"/>
    </row>
    <row r="31" ht="15.95" customHeight="1" spans="1:50">
      <c r="A31" s="1032">
        <v>9</v>
      </c>
      <c r="B31" s="1033">
        <v>10</v>
      </c>
      <c r="C31" s="1033">
        <v>11</v>
      </c>
      <c r="D31" s="1033">
        <v>12</v>
      </c>
      <c r="E31" s="1035"/>
      <c r="F31" s="1034">
        <v>9</v>
      </c>
      <c r="G31" s="1034"/>
      <c r="H31" s="1035">
        <f t="shared" si="20"/>
        <v>10</v>
      </c>
      <c r="I31" s="1035">
        <f t="shared" si="20"/>
        <v>11</v>
      </c>
      <c r="J31" s="1035">
        <f t="shared" si="21"/>
        <v>0</v>
      </c>
      <c r="K31" s="1034"/>
      <c r="L31" s="1034"/>
      <c r="M31" s="1035">
        <f t="shared" si="35"/>
        <v>-24</v>
      </c>
      <c r="N31" s="1054">
        <f t="shared" si="36"/>
        <v>-14</v>
      </c>
      <c r="O31" s="1035">
        <f t="shared" si="22"/>
        <v>0</v>
      </c>
      <c r="P31" s="1034"/>
      <c r="Q31" s="1034"/>
      <c r="R31" s="1035">
        <f t="shared" si="37"/>
        <v>-24</v>
      </c>
      <c r="S31" s="1054">
        <f t="shared" si="38"/>
        <v>9</v>
      </c>
      <c r="T31" s="1035">
        <f t="shared" si="23"/>
        <v>0</v>
      </c>
      <c r="U31" s="1034"/>
      <c r="V31" s="1034"/>
      <c r="W31" s="1035">
        <f t="shared" si="24"/>
        <v>-23</v>
      </c>
      <c r="X31" s="1035">
        <v>85</v>
      </c>
      <c r="Y31" s="1035">
        <f t="shared" si="25"/>
        <v>0</v>
      </c>
      <c r="Z31" s="1034"/>
      <c r="AA31" s="1034"/>
      <c r="AB31" s="1035">
        <f t="shared" si="39"/>
        <v>-25</v>
      </c>
      <c r="AC31" s="1035">
        <f t="shared" si="40"/>
        <v>-36</v>
      </c>
      <c r="AD31" s="1035">
        <f t="shared" si="26"/>
        <v>0</v>
      </c>
      <c r="AE31" s="1034"/>
      <c r="AF31" s="1034"/>
      <c r="AG31" s="1035"/>
      <c r="AH31" s="1035"/>
      <c r="AI31" s="1035"/>
      <c r="AJ31" s="1034"/>
      <c r="AK31" s="1034"/>
      <c r="AL31" s="1035">
        <f t="shared" si="27"/>
        <v>-12</v>
      </c>
      <c r="AM31" s="1035">
        <f t="shared" si="28"/>
        <v>0</v>
      </c>
      <c r="AN31" s="1077">
        <f t="shared" si="29"/>
        <v>0</v>
      </c>
      <c r="AO31" s="1035"/>
      <c r="AP31" s="1088">
        <f t="shared" si="30"/>
        <v>0</v>
      </c>
      <c r="AQ31" s="1087">
        <v>9</v>
      </c>
      <c r="AR31" s="1087">
        <f t="shared" si="31"/>
        <v>0</v>
      </c>
      <c r="AS31" s="1087">
        <f t="shared" si="32"/>
        <v>0</v>
      </c>
      <c r="AT31" s="1087">
        <f t="shared" si="33"/>
        <v>0</v>
      </c>
      <c r="AU31" s="1087">
        <f t="shared" si="34"/>
        <v>0</v>
      </c>
      <c r="AX31" s="1104"/>
    </row>
    <row r="32" ht="15.95" customHeight="1" spans="1:50">
      <c r="A32" s="1032">
        <v>10</v>
      </c>
      <c r="B32" s="1033">
        <v>11</v>
      </c>
      <c r="C32" s="1033">
        <v>12</v>
      </c>
      <c r="D32" s="1033">
        <v>13</v>
      </c>
      <c r="E32" s="1040"/>
      <c r="F32" s="1034">
        <v>10</v>
      </c>
      <c r="G32" s="1034"/>
      <c r="H32" s="1040">
        <f t="shared" si="20"/>
        <v>11</v>
      </c>
      <c r="I32" s="1040">
        <f t="shared" si="20"/>
        <v>12</v>
      </c>
      <c r="J32" s="1040">
        <f t="shared" si="21"/>
        <v>0</v>
      </c>
      <c r="K32" s="1034"/>
      <c r="L32" s="1034"/>
      <c r="M32" s="1040">
        <f t="shared" si="35"/>
        <v>-23</v>
      </c>
      <c r="N32" s="1056">
        <f t="shared" si="36"/>
        <v>-13</v>
      </c>
      <c r="O32" s="1040">
        <f t="shared" si="22"/>
        <v>0</v>
      </c>
      <c r="P32" s="1034"/>
      <c r="Q32" s="1034"/>
      <c r="R32" s="1040">
        <f t="shared" si="37"/>
        <v>-23</v>
      </c>
      <c r="S32" s="1056">
        <f t="shared" si="38"/>
        <v>10</v>
      </c>
      <c r="T32" s="1040">
        <f t="shared" si="23"/>
        <v>0</v>
      </c>
      <c r="U32" s="1034"/>
      <c r="V32" s="1034"/>
      <c r="W32" s="1040">
        <f t="shared" si="24"/>
        <v>-22</v>
      </c>
      <c r="X32" s="1040">
        <v>85</v>
      </c>
      <c r="Y32" s="1040">
        <f t="shared" si="25"/>
        <v>0</v>
      </c>
      <c r="Z32" s="1034"/>
      <c r="AA32" s="1034"/>
      <c r="AB32" s="1040">
        <f t="shared" si="39"/>
        <v>-24</v>
      </c>
      <c r="AC32" s="1040">
        <f t="shared" si="40"/>
        <v>-35</v>
      </c>
      <c r="AD32" s="1040">
        <f t="shared" si="26"/>
        <v>0</v>
      </c>
      <c r="AE32" s="1034"/>
      <c r="AF32" s="1034"/>
      <c r="AG32" s="1040">
        <f>R32</f>
        <v>-23</v>
      </c>
      <c r="AH32" s="1040">
        <f>C32-25</f>
        <v>-13</v>
      </c>
      <c r="AI32" s="1040"/>
      <c r="AJ32" s="1034"/>
      <c r="AK32" s="1034"/>
      <c r="AL32" s="1040">
        <f t="shared" si="27"/>
        <v>-11</v>
      </c>
      <c r="AM32" s="1040">
        <f t="shared" si="28"/>
        <v>1</v>
      </c>
      <c r="AN32" s="1081">
        <f t="shared" si="29"/>
        <v>0</v>
      </c>
      <c r="AO32" s="1040"/>
      <c r="AP32" s="1088">
        <f t="shared" si="30"/>
        <v>0</v>
      </c>
      <c r="AQ32" s="1087">
        <v>10</v>
      </c>
      <c r="AR32" s="1087">
        <f t="shared" si="31"/>
        <v>0</v>
      </c>
      <c r="AS32" s="1087">
        <f t="shared" si="32"/>
        <v>0</v>
      </c>
      <c r="AT32" s="1087">
        <f t="shared" si="33"/>
        <v>0</v>
      </c>
      <c r="AU32" s="1087">
        <f t="shared" si="34"/>
        <v>0</v>
      </c>
      <c r="AX32" s="1104"/>
    </row>
    <row r="33" s="1017" customFormat="1" ht="15.95" customHeight="1" spans="1:59">
      <c r="A33" s="1037" t="s">
        <v>142</v>
      </c>
      <c r="B33" s="1037"/>
      <c r="C33" s="1037"/>
      <c r="D33" s="1037"/>
      <c r="E33" s="1037">
        <f>SUM(E23:E32)</f>
        <v>0</v>
      </c>
      <c r="F33" s="1037"/>
      <c r="G33" s="1037"/>
      <c r="H33" s="1037"/>
      <c r="I33" s="1037"/>
      <c r="J33" s="1037">
        <f>SUM(J23:J32)</f>
        <v>0</v>
      </c>
      <c r="K33" s="1037"/>
      <c r="L33" s="1037"/>
      <c r="M33" s="1037"/>
      <c r="N33" s="1037"/>
      <c r="O33" s="1037">
        <f>SUM(O23:O32)</f>
        <v>0</v>
      </c>
      <c r="P33" s="1037"/>
      <c r="Q33" s="1037"/>
      <c r="R33" s="1037"/>
      <c r="S33" s="1037"/>
      <c r="T33" s="1037">
        <f>SUM(T23:T32)</f>
        <v>0</v>
      </c>
      <c r="U33" s="1037"/>
      <c r="V33" s="1037"/>
      <c r="W33" s="1037"/>
      <c r="X33" s="1037"/>
      <c r="Y33" s="1037">
        <f>SUM(Y23:Y32)</f>
        <v>0</v>
      </c>
      <c r="Z33" s="1037"/>
      <c r="AA33" s="1037"/>
      <c r="AB33" s="1037"/>
      <c r="AC33" s="1037"/>
      <c r="AD33" s="1037">
        <f>SUM(AD23:AD32)</f>
        <v>0</v>
      </c>
      <c r="AE33" s="1037"/>
      <c r="AF33" s="1037"/>
      <c r="AG33" s="1037"/>
      <c r="AH33" s="1037"/>
      <c r="AI33" s="1037">
        <f>SUM(AI23:AI32)</f>
        <v>0</v>
      </c>
      <c r="AJ33" s="1037"/>
      <c r="AK33" s="1037"/>
      <c r="AL33" s="1037"/>
      <c r="AM33" s="1037"/>
      <c r="AN33" s="1037">
        <f>SUM(AN23:AN32)</f>
        <v>0</v>
      </c>
      <c r="AO33" s="1037"/>
      <c r="AP33" s="1088"/>
      <c r="AQ33" s="1091" t="s">
        <v>143</v>
      </c>
      <c r="AR33" s="1091">
        <f>SUM(AR23:AR32)</f>
        <v>0</v>
      </c>
      <c r="AS33" s="1091">
        <f>SUM(AS23:AS32)</f>
        <v>0</v>
      </c>
      <c r="AT33" s="1091">
        <f>SUM(AT23:AT32)</f>
        <v>0</v>
      </c>
      <c r="AU33" s="1091">
        <f>SUM(AU23:AU32)</f>
        <v>0</v>
      </c>
      <c r="AW33" s="1021"/>
      <c r="AX33" s="1113"/>
      <c r="BD33" s="1104"/>
      <c r="BE33" s="1104"/>
      <c r="BF33" s="1104"/>
      <c r="BG33" s="1104"/>
    </row>
    <row r="34" ht="15.95" customHeight="1" spans="1:53">
      <c r="A34" s="1041" t="s">
        <v>149</v>
      </c>
      <c r="B34" s="1041"/>
      <c r="C34" s="1041"/>
      <c r="D34" s="1042"/>
      <c r="E34" s="1042"/>
      <c r="F34" s="1039" t="s">
        <v>88</v>
      </c>
      <c r="G34" s="1039" t="s">
        <v>89</v>
      </c>
      <c r="H34" s="1037" t="s">
        <v>84</v>
      </c>
      <c r="I34" s="1037" t="s">
        <v>86</v>
      </c>
      <c r="J34" s="1037" t="s">
        <v>90</v>
      </c>
      <c r="K34" s="1039" t="s">
        <v>88</v>
      </c>
      <c r="L34" s="1039" t="s">
        <v>89</v>
      </c>
      <c r="M34" s="1039" t="s">
        <v>84</v>
      </c>
      <c r="N34" s="1039" t="s">
        <v>85</v>
      </c>
      <c r="O34" s="1057" t="s">
        <v>90</v>
      </c>
      <c r="P34" s="1039" t="s">
        <v>88</v>
      </c>
      <c r="Q34" s="1039" t="s">
        <v>89</v>
      </c>
      <c r="R34" s="1037" t="s">
        <v>84</v>
      </c>
      <c r="S34" s="1037" t="s">
        <v>85</v>
      </c>
      <c r="T34" s="1037" t="s">
        <v>90</v>
      </c>
      <c r="U34" s="1039" t="s">
        <v>88</v>
      </c>
      <c r="V34" s="1039" t="s">
        <v>89</v>
      </c>
      <c r="W34" s="1037" t="s">
        <v>84</v>
      </c>
      <c r="X34" s="1037" t="s">
        <v>85</v>
      </c>
      <c r="Y34" s="1037" t="s">
        <v>90</v>
      </c>
      <c r="Z34" s="1039" t="s">
        <v>88</v>
      </c>
      <c r="AA34" s="1039" t="s">
        <v>89</v>
      </c>
      <c r="AB34" s="1039" t="s">
        <v>84</v>
      </c>
      <c r="AC34" s="1039" t="s">
        <v>86</v>
      </c>
      <c r="AD34" s="1039" t="s">
        <v>90</v>
      </c>
      <c r="AE34" s="1039" t="s">
        <v>88</v>
      </c>
      <c r="AF34" s="1039" t="s">
        <v>89</v>
      </c>
      <c r="AG34" s="1039" t="s">
        <v>84</v>
      </c>
      <c r="AH34" s="1039" t="s">
        <v>86</v>
      </c>
      <c r="AI34" s="1039" t="s">
        <v>90</v>
      </c>
      <c r="AJ34" s="1039" t="s">
        <v>88</v>
      </c>
      <c r="AK34" s="1039" t="s">
        <v>89</v>
      </c>
      <c r="AL34" s="1037" t="s">
        <v>84</v>
      </c>
      <c r="AM34" s="1037" t="s">
        <v>86</v>
      </c>
      <c r="AN34" s="1037" t="s">
        <v>90</v>
      </c>
      <c r="AO34" s="1037"/>
      <c r="AR34" s="1092" t="s">
        <v>150</v>
      </c>
      <c r="AS34" s="1092" t="s">
        <v>151</v>
      </c>
      <c r="AT34" s="1092" t="s">
        <v>152</v>
      </c>
      <c r="AU34" s="1092" t="s">
        <v>153</v>
      </c>
      <c r="AV34" s="1092" t="s">
        <v>154</v>
      </c>
      <c r="AW34" s="1092" t="s">
        <v>155</v>
      </c>
      <c r="AX34" s="1092" t="s">
        <v>156</v>
      </c>
      <c r="AY34" s="1092" t="s">
        <v>157</v>
      </c>
      <c r="AZ34" s="1092" t="s">
        <v>158</v>
      </c>
      <c r="BA34" s="1012"/>
    </row>
    <row r="35" ht="15.95" customHeight="1" spans="1:52">
      <c r="A35" s="1032">
        <v>1</v>
      </c>
      <c r="B35" s="1033">
        <v>2</v>
      </c>
      <c r="C35" s="1033">
        <v>3</v>
      </c>
      <c r="D35" s="1033">
        <v>4</v>
      </c>
      <c r="E35" s="1034"/>
      <c r="F35" s="1034" t="s">
        <v>159</v>
      </c>
      <c r="G35" s="1034">
        <v>16</v>
      </c>
      <c r="H35" s="1034"/>
      <c r="I35" s="1058"/>
      <c r="J35" s="1059"/>
      <c r="K35" s="1034" t="s">
        <v>159</v>
      </c>
      <c r="L35" s="1034">
        <v>16</v>
      </c>
      <c r="M35" s="866"/>
      <c r="N35" s="866"/>
      <c r="O35" s="1060"/>
      <c r="P35" s="1061" t="s">
        <v>160</v>
      </c>
      <c r="Q35" s="866">
        <v>12</v>
      </c>
      <c r="R35" s="866"/>
      <c r="S35" s="1061"/>
      <c r="T35" s="1061"/>
      <c r="U35" s="1061" t="s">
        <v>160</v>
      </c>
      <c r="V35" s="866">
        <v>12</v>
      </c>
      <c r="W35" s="854"/>
      <c r="X35" s="866"/>
      <c r="Y35" s="866"/>
      <c r="Z35" s="1061" t="s">
        <v>160</v>
      </c>
      <c r="AA35" s="866">
        <v>18</v>
      </c>
      <c r="AB35" s="866"/>
      <c r="AC35" s="866"/>
      <c r="AD35" s="854"/>
      <c r="AE35" s="1035" t="s">
        <v>160</v>
      </c>
      <c r="AF35" s="854">
        <v>25</v>
      </c>
      <c r="AG35" s="1034"/>
      <c r="AH35" s="1034"/>
      <c r="AI35" s="1034"/>
      <c r="AJ35" s="854" t="s">
        <v>161</v>
      </c>
      <c r="AK35" s="854">
        <v>15</v>
      </c>
      <c r="AL35" s="866"/>
      <c r="AM35" s="866"/>
      <c r="AN35" s="1082"/>
      <c r="AO35" s="866"/>
      <c r="AQ35" s="1087"/>
      <c r="AR35" s="1087">
        <f>(H35*I35*J35+M35*N35*O35)/1000000</f>
        <v>0</v>
      </c>
      <c r="AS35" s="1087">
        <f>(((H35+I35)*2+240)*J35+((M35+N35)*2+240)*O35)/1000</f>
        <v>0</v>
      </c>
      <c r="AT35" s="1087">
        <f>(R35*S35*T35+W35*X35*Y35)/1000000</f>
        <v>0</v>
      </c>
      <c r="AU35" s="1087">
        <f>(((M35+N35)*2+240)*O35+((W35+X35)*2+240)*Y35)/1000</f>
        <v>0</v>
      </c>
      <c r="AV35" s="1087">
        <f>(AB35*AC35*AD35)/1000000</f>
        <v>0</v>
      </c>
      <c r="AW35" s="1087">
        <f>(((AB35+AC35)*2+240)*AD35)/1000</f>
        <v>0</v>
      </c>
      <c r="AX35" s="1087">
        <f>(AG35*AH35*AI35)/1000000</f>
        <v>0</v>
      </c>
      <c r="AY35" s="1087">
        <f>(((AL35+AM35)*2+240)*AN35)/1000</f>
        <v>0</v>
      </c>
      <c r="AZ35" s="1087">
        <f>(AL35*AM35*AN35)/1000000</f>
        <v>0</v>
      </c>
    </row>
    <row r="36" ht="15.95" customHeight="1" spans="1:52">
      <c r="A36" s="1032">
        <v>2</v>
      </c>
      <c r="B36" s="1033">
        <v>3</v>
      </c>
      <c r="C36" s="1033">
        <v>4</v>
      </c>
      <c r="D36" s="1033">
        <v>5</v>
      </c>
      <c r="E36" s="1035"/>
      <c r="F36" s="1035" t="s">
        <v>162</v>
      </c>
      <c r="G36" s="1034">
        <v>16</v>
      </c>
      <c r="H36" s="1035"/>
      <c r="I36" s="1060"/>
      <c r="J36" s="945"/>
      <c r="K36" s="1035" t="s">
        <v>162</v>
      </c>
      <c r="L36" s="1034">
        <v>16</v>
      </c>
      <c r="M36" s="842"/>
      <c r="N36" s="842"/>
      <c r="O36" s="1060"/>
      <c r="P36" s="1043" t="s">
        <v>160</v>
      </c>
      <c r="Q36" s="866">
        <v>12</v>
      </c>
      <c r="R36" s="842"/>
      <c r="S36" s="1043"/>
      <c r="T36" s="1043"/>
      <c r="U36" s="1043" t="s">
        <v>160</v>
      </c>
      <c r="V36" s="866">
        <v>12</v>
      </c>
      <c r="W36" s="836"/>
      <c r="X36" s="842"/>
      <c r="Y36" s="842"/>
      <c r="Z36" s="1043" t="s">
        <v>160</v>
      </c>
      <c r="AA36" s="866">
        <v>18</v>
      </c>
      <c r="AB36" s="842"/>
      <c r="AC36" s="842"/>
      <c r="AD36" s="836"/>
      <c r="AE36" s="1035" t="s">
        <v>160</v>
      </c>
      <c r="AF36" s="854">
        <v>25</v>
      </c>
      <c r="AG36" s="1035"/>
      <c r="AH36" s="1035"/>
      <c r="AI36" s="1035"/>
      <c r="AJ36" s="854" t="s">
        <v>161</v>
      </c>
      <c r="AK36" s="854">
        <v>15</v>
      </c>
      <c r="AL36" s="842"/>
      <c r="AM36" s="842"/>
      <c r="AN36" s="1080"/>
      <c r="AO36" s="842"/>
      <c r="AQ36" s="1087"/>
      <c r="AR36" s="1087">
        <f t="shared" ref="AR36:AR45" si="41">(H36*I36*J36+M36*N36*O36)/1000000</f>
        <v>0</v>
      </c>
      <c r="AS36" s="1087">
        <f t="shared" ref="AS36:AS45" si="42">(((H36+I36)*2+240)*J36+((M36+N36)*2+240)*O36)/1000</f>
        <v>0</v>
      </c>
      <c r="AT36" s="1087">
        <f t="shared" ref="AT36:AT45" si="43">(R36*S36*T36+W36*X36*Y36)/1000000</f>
        <v>0</v>
      </c>
      <c r="AU36" s="1087">
        <f t="shared" ref="AU36:AU45" si="44">(((M36+N36)*2+240)*O36+((W36+X36)*2+240)*Y36)/1000</f>
        <v>0</v>
      </c>
      <c r="AV36" s="1087">
        <f t="shared" ref="AV36:AV45" si="45">(AB36*AC36*AD36)/1000000</f>
        <v>0</v>
      </c>
      <c r="AW36" s="1087">
        <f t="shared" ref="AW36:AW45" si="46">(((AB36+AC36)*2+240)*AD36)/1000</f>
        <v>0</v>
      </c>
      <c r="AX36" s="1087">
        <f t="shared" ref="AX36:AX45" si="47">(AG36*AH36*AI36)/1000000</f>
        <v>0</v>
      </c>
      <c r="AY36" s="1087">
        <f t="shared" ref="AY36:AY45" si="48">(((AL36+AM36)*2+240)*AN36)/1000</f>
        <v>0</v>
      </c>
      <c r="AZ36" s="1087">
        <f t="shared" ref="AZ36:AZ45" si="49">(AL36*AM36*AN36)/1000000</f>
        <v>0</v>
      </c>
    </row>
    <row r="37" ht="15.95" customHeight="1" spans="1:52">
      <c r="A37" s="1032">
        <v>3</v>
      </c>
      <c r="B37" s="1033">
        <v>4</v>
      </c>
      <c r="C37" s="1033">
        <v>5</v>
      </c>
      <c r="D37" s="1033">
        <v>6</v>
      </c>
      <c r="E37" s="1035"/>
      <c r="F37" s="1035" t="s">
        <v>162</v>
      </c>
      <c r="G37" s="1034">
        <v>16</v>
      </c>
      <c r="H37" s="1035"/>
      <c r="I37" s="945"/>
      <c r="J37" s="945"/>
      <c r="K37" s="1035" t="s">
        <v>162</v>
      </c>
      <c r="L37" s="1034">
        <v>16</v>
      </c>
      <c r="M37" s="945"/>
      <c r="N37" s="842"/>
      <c r="O37" s="842"/>
      <c r="P37" s="1043" t="s">
        <v>160</v>
      </c>
      <c r="Q37" s="866">
        <v>12</v>
      </c>
      <c r="R37" s="842"/>
      <c r="T37" s="1043"/>
      <c r="U37" s="1043" t="s">
        <v>160</v>
      </c>
      <c r="V37" s="866">
        <v>12</v>
      </c>
      <c r="W37" s="836"/>
      <c r="X37" s="842"/>
      <c r="Y37" s="842"/>
      <c r="Z37" s="1043" t="s">
        <v>160</v>
      </c>
      <c r="AA37" s="866">
        <v>18</v>
      </c>
      <c r="AB37" s="842"/>
      <c r="AC37" s="842"/>
      <c r="AD37" s="836"/>
      <c r="AE37" s="1035" t="s">
        <v>160</v>
      </c>
      <c r="AF37" s="854">
        <v>25</v>
      </c>
      <c r="AG37" s="1035"/>
      <c r="AH37" s="1035"/>
      <c r="AI37" s="1035"/>
      <c r="AJ37" s="854" t="s">
        <v>161</v>
      </c>
      <c r="AK37" s="854">
        <v>15</v>
      </c>
      <c r="AL37" s="842"/>
      <c r="AM37" s="842"/>
      <c r="AN37" s="1080"/>
      <c r="AO37" s="842"/>
      <c r="AQ37" s="1087"/>
      <c r="AR37" s="1087">
        <f t="shared" si="41"/>
        <v>0</v>
      </c>
      <c r="AS37" s="1087">
        <f t="shared" si="42"/>
        <v>0</v>
      </c>
      <c r="AT37" s="1087">
        <f t="shared" si="43"/>
        <v>0</v>
      </c>
      <c r="AU37" s="1087">
        <f t="shared" si="44"/>
        <v>0</v>
      </c>
      <c r="AV37" s="1087">
        <f t="shared" si="45"/>
        <v>0</v>
      </c>
      <c r="AW37" s="1087">
        <f t="shared" si="46"/>
        <v>0</v>
      </c>
      <c r="AX37" s="1087">
        <f t="shared" si="47"/>
        <v>0</v>
      </c>
      <c r="AY37" s="1087">
        <f t="shared" si="48"/>
        <v>0</v>
      </c>
      <c r="AZ37" s="1087">
        <f t="shared" si="49"/>
        <v>0</v>
      </c>
    </row>
    <row r="38" ht="15.95" customHeight="1" spans="1:52">
      <c r="A38" s="1032">
        <v>4</v>
      </c>
      <c r="B38" s="1033">
        <v>5</v>
      </c>
      <c r="C38" s="1033">
        <v>6</v>
      </c>
      <c r="D38" s="1033">
        <v>7</v>
      </c>
      <c r="E38" s="1035"/>
      <c r="F38" s="1035" t="s">
        <v>162</v>
      </c>
      <c r="G38" s="1034">
        <v>16</v>
      </c>
      <c r="H38" s="1035"/>
      <c r="I38" s="945"/>
      <c r="J38" s="945"/>
      <c r="K38" s="1035" t="s">
        <v>162</v>
      </c>
      <c r="L38" s="1034">
        <v>16</v>
      </c>
      <c r="M38" s="945"/>
      <c r="N38" s="842"/>
      <c r="O38" s="842"/>
      <c r="P38" s="1043" t="s">
        <v>160</v>
      </c>
      <c r="Q38" s="866">
        <v>12</v>
      </c>
      <c r="R38" s="842"/>
      <c r="T38" s="1043"/>
      <c r="U38" s="1043" t="s">
        <v>160</v>
      </c>
      <c r="V38" s="866">
        <v>12</v>
      </c>
      <c r="W38" s="836"/>
      <c r="X38" s="1035"/>
      <c r="Y38" s="1035"/>
      <c r="Z38" s="1043" t="s">
        <v>160</v>
      </c>
      <c r="AA38" s="866">
        <v>18</v>
      </c>
      <c r="AB38" s="1035"/>
      <c r="AC38" s="842"/>
      <c r="AD38" s="836"/>
      <c r="AE38" s="1035" t="s">
        <v>160</v>
      </c>
      <c r="AF38" s="854">
        <v>25</v>
      </c>
      <c r="AG38" s="1035"/>
      <c r="AH38" s="1035"/>
      <c r="AI38" s="1035"/>
      <c r="AJ38" s="854" t="s">
        <v>161</v>
      </c>
      <c r="AK38" s="854">
        <v>15</v>
      </c>
      <c r="AL38" s="862"/>
      <c r="AM38" s="862"/>
      <c r="AN38" s="1078"/>
      <c r="AO38" s="842"/>
      <c r="AQ38" s="1087"/>
      <c r="AR38" s="1087">
        <f t="shared" si="41"/>
        <v>0</v>
      </c>
      <c r="AS38" s="1087">
        <f t="shared" si="42"/>
        <v>0</v>
      </c>
      <c r="AT38" s="1087">
        <f t="shared" si="43"/>
        <v>0</v>
      </c>
      <c r="AU38" s="1087">
        <f t="shared" si="44"/>
        <v>0</v>
      </c>
      <c r="AV38" s="1087">
        <f t="shared" si="45"/>
        <v>0</v>
      </c>
      <c r="AW38" s="1087">
        <f t="shared" si="46"/>
        <v>0</v>
      </c>
      <c r="AX38" s="1087">
        <f t="shared" si="47"/>
        <v>0</v>
      </c>
      <c r="AY38" s="1087">
        <f t="shared" si="48"/>
        <v>0</v>
      </c>
      <c r="AZ38" s="1087">
        <f t="shared" si="49"/>
        <v>0</v>
      </c>
    </row>
    <row r="39" ht="15.95" customHeight="1" spans="1:52">
      <c r="A39" s="1032">
        <v>5</v>
      </c>
      <c r="B39" s="1033">
        <v>6</v>
      </c>
      <c r="C39" s="1033">
        <v>7</v>
      </c>
      <c r="D39" s="1033">
        <v>8</v>
      </c>
      <c r="E39" s="1035"/>
      <c r="F39" s="1035" t="s">
        <v>163</v>
      </c>
      <c r="G39" s="1034">
        <v>16</v>
      </c>
      <c r="H39" s="1035"/>
      <c r="I39" s="842"/>
      <c r="J39" s="842"/>
      <c r="K39" s="1035" t="s">
        <v>160</v>
      </c>
      <c r="L39" s="1034">
        <v>16</v>
      </c>
      <c r="M39" s="945"/>
      <c r="N39" s="842"/>
      <c r="O39" s="842"/>
      <c r="P39" s="1035" t="s">
        <v>160</v>
      </c>
      <c r="Q39" s="866">
        <v>12</v>
      </c>
      <c r="R39" s="842"/>
      <c r="S39" s="1043"/>
      <c r="T39" s="1043"/>
      <c r="U39" s="1035" t="s">
        <v>160</v>
      </c>
      <c r="V39" s="866">
        <v>12</v>
      </c>
      <c r="W39" s="836"/>
      <c r="X39" s="1035"/>
      <c r="Y39" s="1035"/>
      <c r="Z39" s="1035" t="s">
        <v>160</v>
      </c>
      <c r="AA39" s="866">
        <v>18</v>
      </c>
      <c r="AB39" s="1035"/>
      <c r="AC39" s="842"/>
      <c r="AD39" s="836"/>
      <c r="AE39" s="1035" t="s">
        <v>160</v>
      </c>
      <c r="AF39" s="854">
        <v>25</v>
      </c>
      <c r="AG39" s="1035"/>
      <c r="AH39" s="1035"/>
      <c r="AI39" s="1035"/>
      <c r="AJ39" s="854" t="s">
        <v>161</v>
      </c>
      <c r="AK39" s="854">
        <v>15</v>
      </c>
      <c r="AL39" s="862"/>
      <c r="AM39" s="862"/>
      <c r="AN39" s="1078"/>
      <c r="AO39" s="842"/>
      <c r="AQ39" s="1087"/>
      <c r="AR39" s="1087">
        <f t="shared" si="41"/>
        <v>0</v>
      </c>
      <c r="AS39" s="1087">
        <f t="shared" si="42"/>
        <v>0</v>
      </c>
      <c r="AT39" s="1087">
        <f t="shared" si="43"/>
        <v>0</v>
      </c>
      <c r="AU39" s="1087">
        <f t="shared" si="44"/>
        <v>0</v>
      </c>
      <c r="AV39" s="1087">
        <f t="shared" si="45"/>
        <v>0</v>
      </c>
      <c r="AW39" s="1087">
        <f t="shared" si="46"/>
        <v>0</v>
      </c>
      <c r="AX39" s="1087">
        <f t="shared" si="47"/>
        <v>0</v>
      </c>
      <c r="AY39" s="1087">
        <f t="shared" si="48"/>
        <v>0</v>
      </c>
      <c r="AZ39" s="1087">
        <f t="shared" si="49"/>
        <v>0</v>
      </c>
    </row>
    <row r="40" ht="15.95" customHeight="1" spans="1:52">
      <c r="A40" s="1032">
        <v>6</v>
      </c>
      <c r="B40" s="1033">
        <v>7</v>
      </c>
      <c r="C40" s="1033">
        <v>8</v>
      </c>
      <c r="D40" s="1033">
        <v>9</v>
      </c>
      <c r="E40" s="1035"/>
      <c r="F40" s="1035" t="s">
        <v>163</v>
      </c>
      <c r="G40" s="1034">
        <v>16</v>
      </c>
      <c r="H40" s="1035"/>
      <c r="I40" s="842"/>
      <c r="J40" s="842"/>
      <c r="K40" s="1035" t="s">
        <v>160</v>
      </c>
      <c r="L40" s="1034">
        <v>16</v>
      </c>
      <c r="M40" s="945"/>
      <c r="N40" s="842"/>
      <c r="O40" s="842"/>
      <c r="P40" s="1035" t="s">
        <v>160</v>
      </c>
      <c r="Q40" s="866">
        <v>12</v>
      </c>
      <c r="R40" s="842"/>
      <c r="S40" s="1043"/>
      <c r="T40" s="1043"/>
      <c r="U40" s="1035" t="s">
        <v>160</v>
      </c>
      <c r="V40" s="866">
        <v>12</v>
      </c>
      <c r="W40" s="836"/>
      <c r="X40" s="1035"/>
      <c r="Y40" s="1035"/>
      <c r="Z40" s="1035" t="s">
        <v>160</v>
      </c>
      <c r="AA40" s="866">
        <v>18</v>
      </c>
      <c r="AB40" s="1035"/>
      <c r="AC40" s="842"/>
      <c r="AD40" s="836"/>
      <c r="AE40" s="1035" t="s">
        <v>160</v>
      </c>
      <c r="AF40" s="854">
        <v>25</v>
      </c>
      <c r="AG40" s="1035"/>
      <c r="AH40" s="1035"/>
      <c r="AI40" s="1035"/>
      <c r="AJ40" s="854" t="s">
        <v>161</v>
      </c>
      <c r="AK40" s="854">
        <v>15</v>
      </c>
      <c r="AL40" s="862"/>
      <c r="AM40" s="862"/>
      <c r="AN40" s="1078"/>
      <c r="AO40" s="842"/>
      <c r="AQ40" s="1087"/>
      <c r="AR40" s="1087">
        <f t="shared" si="41"/>
        <v>0</v>
      </c>
      <c r="AS40" s="1087">
        <f t="shared" si="42"/>
        <v>0</v>
      </c>
      <c r="AT40" s="1087">
        <f t="shared" si="43"/>
        <v>0</v>
      </c>
      <c r="AU40" s="1087">
        <f t="shared" si="44"/>
        <v>0</v>
      </c>
      <c r="AV40" s="1087">
        <f t="shared" si="45"/>
        <v>0</v>
      </c>
      <c r="AW40" s="1087">
        <f t="shared" si="46"/>
        <v>0</v>
      </c>
      <c r="AX40" s="1087">
        <f t="shared" si="47"/>
        <v>0</v>
      </c>
      <c r="AY40" s="1087">
        <f t="shared" si="48"/>
        <v>0</v>
      </c>
      <c r="AZ40" s="1087">
        <f t="shared" si="49"/>
        <v>0</v>
      </c>
    </row>
    <row r="41" ht="15.95" customHeight="1" spans="1:52">
      <c r="A41" s="1032">
        <v>7</v>
      </c>
      <c r="B41" s="1033">
        <v>8</v>
      </c>
      <c r="C41" s="1033">
        <v>9</v>
      </c>
      <c r="D41" s="1033">
        <v>10</v>
      </c>
      <c r="E41" s="1035"/>
      <c r="F41" s="854" t="s">
        <v>164</v>
      </c>
      <c r="G41" s="1034">
        <v>16</v>
      </c>
      <c r="H41" s="1035"/>
      <c r="I41" s="842"/>
      <c r="J41" s="842"/>
      <c r="K41" s="1035" t="s">
        <v>160</v>
      </c>
      <c r="L41" s="1034">
        <v>16</v>
      </c>
      <c r="M41" s="945"/>
      <c r="N41" s="842"/>
      <c r="O41" s="842"/>
      <c r="P41" s="1035" t="s">
        <v>160</v>
      </c>
      <c r="Q41" s="866">
        <v>12</v>
      </c>
      <c r="R41" s="842"/>
      <c r="S41" s="1043"/>
      <c r="T41" s="1043"/>
      <c r="U41" s="1035" t="s">
        <v>160</v>
      </c>
      <c r="V41" s="866">
        <v>12</v>
      </c>
      <c r="W41" s="836"/>
      <c r="X41" s="1035"/>
      <c r="Y41" s="1035"/>
      <c r="Z41" s="1035" t="s">
        <v>160</v>
      </c>
      <c r="AA41" s="866">
        <v>18</v>
      </c>
      <c r="AB41" s="1035"/>
      <c r="AC41" s="842"/>
      <c r="AD41" s="836"/>
      <c r="AE41" s="1035" t="s">
        <v>160</v>
      </c>
      <c r="AF41" s="854">
        <v>25</v>
      </c>
      <c r="AG41" s="1035"/>
      <c r="AH41" s="1035"/>
      <c r="AI41" s="1035"/>
      <c r="AJ41" s="854" t="s">
        <v>161</v>
      </c>
      <c r="AK41" s="854">
        <v>15</v>
      </c>
      <c r="AL41" s="862"/>
      <c r="AM41" s="862"/>
      <c r="AN41" s="1078"/>
      <c r="AO41" s="842"/>
      <c r="AQ41" s="1087"/>
      <c r="AR41" s="1087">
        <f t="shared" si="41"/>
        <v>0</v>
      </c>
      <c r="AS41" s="1087">
        <f t="shared" si="42"/>
        <v>0</v>
      </c>
      <c r="AT41" s="1087">
        <f t="shared" si="43"/>
        <v>0</v>
      </c>
      <c r="AU41" s="1087">
        <f t="shared" si="44"/>
        <v>0</v>
      </c>
      <c r="AV41" s="1087">
        <f t="shared" si="45"/>
        <v>0</v>
      </c>
      <c r="AW41" s="1087">
        <f t="shared" si="46"/>
        <v>0</v>
      </c>
      <c r="AX41" s="1087">
        <f t="shared" si="47"/>
        <v>0</v>
      </c>
      <c r="AY41" s="1087">
        <f t="shared" si="48"/>
        <v>0</v>
      </c>
      <c r="AZ41" s="1087">
        <f t="shared" si="49"/>
        <v>0</v>
      </c>
    </row>
    <row r="42" ht="15.95" customHeight="1" spans="1:52">
      <c r="A42" s="1032">
        <v>8</v>
      </c>
      <c r="B42" s="1033">
        <v>9</v>
      </c>
      <c r="C42" s="1033">
        <v>10</v>
      </c>
      <c r="D42" s="1033">
        <v>11</v>
      </c>
      <c r="E42" s="1035"/>
      <c r="F42" s="836" t="s">
        <v>164</v>
      </c>
      <c r="G42" s="1034">
        <v>16</v>
      </c>
      <c r="H42" s="1035"/>
      <c r="I42" s="842"/>
      <c r="J42" s="842"/>
      <c r="K42" s="1035" t="s">
        <v>160</v>
      </c>
      <c r="L42" s="1034">
        <v>16</v>
      </c>
      <c r="M42" s="945"/>
      <c r="N42" s="842"/>
      <c r="O42" s="842"/>
      <c r="P42" s="1035" t="s">
        <v>160</v>
      </c>
      <c r="Q42" s="866">
        <v>12</v>
      </c>
      <c r="R42" s="842"/>
      <c r="S42" s="1043"/>
      <c r="T42" s="1043"/>
      <c r="U42" s="1035" t="s">
        <v>160</v>
      </c>
      <c r="V42" s="866">
        <v>12</v>
      </c>
      <c r="W42" s="836"/>
      <c r="X42" s="1035"/>
      <c r="Y42" s="1035"/>
      <c r="Z42" s="1035" t="s">
        <v>160</v>
      </c>
      <c r="AA42" s="866">
        <v>18</v>
      </c>
      <c r="AB42" s="1035"/>
      <c r="AC42" s="842"/>
      <c r="AD42" s="836"/>
      <c r="AE42" s="1035" t="s">
        <v>160</v>
      </c>
      <c r="AF42" s="854">
        <v>25</v>
      </c>
      <c r="AG42" s="1035"/>
      <c r="AH42" s="1035"/>
      <c r="AI42" s="1035"/>
      <c r="AJ42" s="854" t="s">
        <v>161</v>
      </c>
      <c r="AK42" s="854">
        <v>15</v>
      </c>
      <c r="AL42" s="862"/>
      <c r="AM42" s="862"/>
      <c r="AN42" s="1078"/>
      <c r="AO42" s="842"/>
      <c r="AQ42" s="1087"/>
      <c r="AR42" s="1087">
        <f t="shared" si="41"/>
        <v>0</v>
      </c>
      <c r="AS42" s="1087">
        <f t="shared" si="42"/>
        <v>0</v>
      </c>
      <c r="AT42" s="1087">
        <f t="shared" si="43"/>
        <v>0</v>
      </c>
      <c r="AU42" s="1087">
        <f t="shared" si="44"/>
        <v>0</v>
      </c>
      <c r="AV42" s="1087">
        <f t="shared" si="45"/>
        <v>0</v>
      </c>
      <c r="AW42" s="1087">
        <f t="shared" si="46"/>
        <v>0</v>
      </c>
      <c r="AX42" s="1087">
        <f t="shared" si="47"/>
        <v>0</v>
      </c>
      <c r="AY42" s="1087">
        <f t="shared" si="48"/>
        <v>0</v>
      </c>
      <c r="AZ42" s="1087">
        <f t="shared" si="49"/>
        <v>0</v>
      </c>
    </row>
    <row r="43" ht="15.95" customHeight="1" spans="1:52">
      <c r="A43" s="1032">
        <v>9</v>
      </c>
      <c r="B43" s="1033">
        <v>10</v>
      </c>
      <c r="C43" s="1033">
        <v>11</v>
      </c>
      <c r="D43" s="1033">
        <v>12</v>
      </c>
      <c r="E43" s="1035"/>
      <c r="F43" s="836" t="s">
        <v>164</v>
      </c>
      <c r="G43" s="1034">
        <v>16</v>
      </c>
      <c r="H43" s="1035"/>
      <c r="I43" s="945"/>
      <c r="J43" s="945"/>
      <c r="K43" s="1035" t="s">
        <v>160</v>
      </c>
      <c r="L43" s="1034">
        <v>16</v>
      </c>
      <c r="M43" s="945"/>
      <c r="N43" s="842"/>
      <c r="O43" s="842"/>
      <c r="P43" s="1035" t="s">
        <v>160</v>
      </c>
      <c r="Q43" s="866">
        <v>12</v>
      </c>
      <c r="R43" s="842"/>
      <c r="S43" s="1043"/>
      <c r="T43" s="1043"/>
      <c r="U43" s="1035" t="s">
        <v>160</v>
      </c>
      <c r="V43" s="866">
        <v>12</v>
      </c>
      <c r="W43" s="836"/>
      <c r="X43" s="1035"/>
      <c r="Y43" s="1035"/>
      <c r="Z43" s="1035" t="s">
        <v>160</v>
      </c>
      <c r="AA43" s="866">
        <v>18</v>
      </c>
      <c r="AB43" s="1035"/>
      <c r="AC43" s="842"/>
      <c r="AD43" s="836"/>
      <c r="AE43" s="1035" t="s">
        <v>160</v>
      </c>
      <c r="AF43" s="854">
        <v>25</v>
      </c>
      <c r="AG43" s="1035"/>
      <c r="AH43" s="1035"/>
      <c r="AI43" s="1035"/>
      <c r="AJ43" s="854" t="s">
        <v>161</v>
      </c>
      <c r="AK43" s="854">
        <v>15</v>
      </c>
      <c r="AL43" s="862"/>
      <c r="AM43" s="862"/>
      <c r="AN43" s="1078"/>
      <c r="AO43" s="842"/>
      <c r="AQ43" s="1087"/>
      <c r="AR43" s="1087">
        <f t="shared" si="41"/>
        <v>0</v>
      </c>
      <c r="AS43" s="1087">
        <f t="shared" si="42"/>
        <v>0</v>
      </c>
      <c r="AT43" s="1087">
        <f t="shared" si="43"/>
        <v>0</v>
      </c>
      <c r="AU43" s="1087">
        <f t="shared" si="44"/>
        <v>0</v>
      </c>
      <c r="AV43" s="1087">
        <f t="shared" si="45"/>
        <v>0</v>
      </c>
      <c r="AW43" s="1087">
        <f t="shared" si="46"/>
        <v>0</v>
      </c>
      <c r="AX43" s="1087">
        <f t="shared" si="47"/>
        <v>0</v>
      </c>
      <c r="AY43" s="1087">
        <f t="shared" si="48"/>
        <v>0</v>
      </c>
      <c r="AZ43" s="1087">
        <f t="shared" si="49"/>
        <v>0</v>
      </c>
    </row>
    <row r="44" ht="15.95" customHeight="1" spans="1:52">
      <c r="A44" s="1032">
        <v>10</v>
      </c>
      <c r="B44" s="1033">
        <v>11</v>
      </c>
      <c r="C44" s="1033">
        <v>12</v>
      </c>
      <c r="D44" s="1033">
        <v>13</v>
      </c>
      <c r="E44" s="1035"/>
      <c r="F44" s="836" t="s">
        <v>164</v>
      </c>
      <c r="G44" s="1034">
        <v>16</v>
      </c>
      <c r="H44" s="1035"/>
      <c r="I44" s="1062"/>
      <c r="J44" s="1062"/>
      <c r="K44" s="1035" t="s">
        <v>160</v>
      </c>
      <c r="L44" s="1034">
        <v>16</v>
      </c>
      <c r="M44" s="1062"/>
      <c r="N44" s="1063"/>
      <c r="O44" s="1063"/>
      <c r="P44" s="1035" t="s">
        <v>160</v>
      </c>
      <c r="Q44" s="866">
        <v>12</v>
      </c>
      <c r="R44" s="1063"/>
      <c r="S44" s="945"/>
      <c r="T44" s="945"/>
      <c r="U44" s="1035" t="s">
        <v>160</v>
      </c>
      <c r="V44" s="866">
        <v>12</v>
      </c>
      <c r="W44" s="842"/>
      <c r="X44" s="842"/>
      <c r="Y44" s="842"/>
      <c r="Z44" s="1035" t="s">
        <v>160</v>
      </c>
      <c r="AA44" s="866">
        <v>18</v>
      </c>
      <c r="AB44" s="842"/>
      <c r="AC44" s="842"/>
      <c r="AD44" s="842"/>
      <c r="AE44" s="1035" t="s">
        <v>160</v>
      </c>
      <c r="AF44" s="854">
        <v>25</v>
      </c>
      <c r="AG44" s="842"/>
      <c r="AH44" s="1035"/>
      <c r="AI44" s="1035"/>
      <c r="AJ44" s="854" t="s">
        <v>161</v>
      </c>
      <c r="AK44" s="854">
        <v>15</v>
      </c>
      <c r="AL44" s="842"/>
      <c r="AM44" s="842"/>
      <c r="AN44" s="1080"/>
      <c r="AO44" s="842"/>
      <c r="AQ44" s="1087"/>
      <c r="AR44" s="1087">
        <f t="shared" si="41"/>
        <v>0</v>
      </c>
      <c r="AS44" s="1087">
        <f t="shared" si="42"/>
        <v>0</v>
      </c>
      <c r="AT44" s="1087">
        <f t="shared" si="43"/>
        <v>0</v>
      </c>
      <c r="AU44" s="1087">
        <f t="shared" si="44"/>
        <v>0</v>
      </c>
      <c r="AV44" s="1087">
        <f t="shared" si="45"/>
        <v>0</v>
      </c>
      <c r="AW44" s="1087">
        <f t="shared" si="46"/>
        <v>0</v>
      </c>
      <c r="AX44" s="1087">
        <f t="shared" si="47"/>
        <v>0</v>
      </c>
      <c r="AY44" s="1087">
        <f t="shared" si="48"/>
        <v>0</v>
      </c>
      <c r="AZ44" s="1087">
        <f t="shared" si="49"/>
        <v>0</v>
      </c>
    </row>
    <row r="45" ht="15.95" customHeight="1" spans="1:52">
      <c r="A45" s="1043"/>
      <c r="B45" s="1043"/>
      <c r="C45" s="1043"/>
      <c r="D45" s="1035"/>
      <c r="E45" s="1035"/>
      <c r="F45" s="836" t="s">
        <v>164</v>
      </c>
      <c r="G45" s="1034">
        <v>16</v>
      </c>
      <c r="H45" s="1035"/>
      <c r="I45" s="945"/>
      <c r="J45" s="945"/>
      <c r="K45" s="1035" t="s">
        <v>160</v>
      </c>
      <c r="L45" s="1034">
        <v>16</v>
      </c>
      <c r="M45" s="842"/>
      <c r="N45" s="842"/>
      <c r="O45" s="842"/>
      <c r="P45" s="1035" t="s">
        <v>160</v>
      </c>
      <c r="Q45" s="866">
        <v>12</v>
      </c>
      <c r="R45" s="842"/>
      <c r="S45" s="945"/>
      <c r="T45" s="945"/>
      <c r="U45" s="1035" t="s">
        <v>160</v>
      </c>
      <c r="V45" s="866">
        <v>12</v>
      </c>
      <c r="W45" s="842"/>
      <c r="X45" s="842"/>
      <c r="Y45" s="842"/>
      <c r="Z45" s="1035" t="s">
        <v>160</v>
      </c>
      <c r="AA45" s="866">
        <v>18</v>
      </c>
      <c r="AB45" s="842"/>
      <c r="AC45" s="842"/>
      <c r="AD45" s="842"/>
      <c r="AE45" s="1035" t="s">
        <v>160</v>
      </c>
      <c r="AF45" s="854">
        <v>25</v>
      </c>
      <c r="AG45" s="842"/>
      <c r="AH45" s="1035"/>
      <c r="AI45" s="1035"/>
      <c r="AJ45" s="854" t="s">
        <v>161</v>
      </c>
      <c r="AK45" s="854">
        <v>15</v>
      </c>
      <c r="AL45" s="842"/>
      <c r="AM45" s="842"/>
      <c r="AN45" s="1080"/>
      <c r="AO45" s="842"/>
      <c r="AQ45" s="1093"/>
      <c r="AR45" s="1087">
        <f t="shared" si="41"/>
        <v>0</v>
      </c>
      <c r="AS45" s="1087">
        <f t="shared" si="42"/>
        <v>0</v>
      </c>
      <c r="AT45" s="1087">
        <f t="shared" si="43"/>
        <v>0</v>
      </c>
      <c r="AU45" s="1087">
        <f t="shared" si="44"/>
        <v>0</v>
      </c>
      <c r="AV45" s="1087">
        <f t="shared" si="45"/>
        <v>0</v>
      </c>
      <c r="AW45" s="1087">
        <f t="shared" si="46"/>
        <v>0</v>
      </c>
      <c r="AX45" s="1087">
        <f t="shared" si="47"/>
        <v>0</v>
      </c>
      <c r="AY45" s="1087">
        <f t="shared" si="48"/>
        <v>0</v>
      </c>
      <c r="AZ45" s="1087">
        <f t="shared" si="49"/>
        <v>0</v>
      </c>
    </row>
    <row r="46" ht="15.95" customHeight="1" spans="1:52">
      <c r="A46" s="1044" t="s">
        <v>142</v>
      </c>
      <c r="B46" s="1045"/>
      <c r="C46" s="1045"/>
      <c r="D46" s="1046"/>
      <c r="E46" s="862">
        <f>SUM(E35:E45)</f>
        <v>0</v>
      </c>
      <c r="F46" s="1046"/>
      <c r="G46" s="1046"/>
      <c r="H46" s="1046"/>
      <c r="I46" s="1064"/>
      <c r="J46" s="862">
        <f>SUM(J35:J45)</f>
        <v>0</v>
      </c>
      <c r="K46" s="1046"/>
      <c r="L46" s="1046"/>
      <c r="M46" s="864"/>
      <c r="N46" s="864"/>
      <c r="O46" s="862">
        <f>SUM(O35:O45)</f>
        <v>0</v>
      </c>
      <c r="P46" s="1046"/>
      <c r="Q46" s="1046"/>
      <c r="R46" s="864"/>
      <c r="S46" s="1064"/>
      <c r="T46" s="862">
        <f>SUM(T35:T45)</f>
        <v>0</v>
      </c>
      <c r="U46" s="1046"/>
      <c r="V46" s="1046"/>
      <c r="W46" s="864"/>
      <c r="X46" s="864"/>
      <c r="Y46" s="862">
        <f>SUM(Y35:Y45)</f>
        <v>0</v>
      </c>
      <c r="Z46" s="1046"/>
      <c r="AA46" s="1046"/>
      <c r="AB46" s="864"/>
      <c r="AC46" s="864"/>
      <c r="AD46" s="862">
        <f>SUM(AD35:AD45)</f>
        <v>0</v>
      </c>
      <c r="AE46" s="1046"/>
      <c r="AF46" s="1046"/>
      <c r="AG46" s="864"/>
      <c r="AH46" s="1046"/>
      <c r="AI46" s="862">
        <f>SUM(AI35:AI45)</f>
        <v>0</v>
      </c>
      <c r="AJ46" s="1046"/>
      <c r="AK46" s="1046"/>
      <c r="AL46" s="864"/>
      <c r="AM46" s="864"/>
      <c r="AN46" s="1083"/>
      <c r="AO46" s="842"/>
      <c r="AQ46" s="1094" t="s">
        <v>143</v>
      </c>
      <c r="AR46" s="1091">
        <f>SUM(AR35:AR45)</f>
        <v>0</v>
      </c>
      <c r="AS46" s="1091">
        <f t="shared" ref="AS46" si="50">SUM(AS35:AS45)</f>
        <v>0</v>
      </c>
      <c r="AT46" s="1091">
        <f t="shared" ref="AT46" si="51">SUM(AT35:AT45)</f>
        <v>0</v>
      </c>
      <c r="AU46" s="1091">
        <f t="shared" ref="AU46" si="52">SUM(AU35:AU45)</f>
        <v>0</v>
      </c>
      <c r="AV46" s="1091">
        <f t="shared" ref="AV46" si="53">SUM(AV35:AV45)</f>
        <v>0</v>
      </c>
      <c r="AW46" s="1091">
        <f t="shared" ref="AW46" si="54">SUM(AW35:AW45)</f>
        <v>0</v>
      </c>
      <c r="AX46" s="1091">
        <f t="shared" ref="AX46" si="55">SUM(AX35:AX45)</f>
        <v>0</v>
      </c>
      <c r="AY46" s="1091">
        <f t="shared" ref="AY46" si="56">SUM(AY35:AY45)</f>
        <v>0</v>
      </c>
      <c r="AZ46" s="1091">
        <f t="shared" ref="AZ46" si="57">SUM(AZ35:AZ45)</f>
        <v>0</v>
      </c>
    </row>
    <row r="47" ht="15.95" customHeight="1" spans="1:50">
      <c r="A47" s="1047" t="s">
        <v>165</v>
      </c>
      <c r="B47" s="1048"/>
      <c r="C47" s="1048"/>
      <c r="D47" s="1048"/>
      <c r="E47" s="1048">
        <f>E21+E33+E46</f>
        <v>0</v>
      </c>
      <c r="F47" s="1048" t="s">
        <v>166</v>
      </c>
      <c r="G47" s="1048"/>
      <c r="H47" s="1048"/>
      <c r="I47" s="1048"/>
      <c r="J47" s="1048">
        <f>J21+J33+J46</f>
        <v>2</v>
      </c>
      <c r="K47" s="1048" t="s">
        <v>33</v>
      </c>
      <c r="L47" s="1048"/>
      <c r="M47" s="1048"/>
      <c r="N47" s="1048"/>
      <c r="O47" s="1048">
        <f>O21+O33+O46</f>
        <v>3</v>
      </c>
      <c r="P47" s="1048" t="s">
        <v>33</v>
      </c>
      <c r="Q47" s="1048"/>
      <c r="R47" s="1048"/>
      <c r="S47" s="1048"/>
      <c r="T47" s="1048">
        <f>T21+T33+T46</f>
        <v>4</v>
      </c>
      <c r="U47" s="1048" t="s">
        <v>33</v>
      </c>
      <c r="V47" s="1048"/>
      <c r="W47" s="1048"/>
      <c r="X47" s="1048"/>
      <c r="Y47" s="1048">
        <f>Y21+Y33+Y46</f>
        <v>5</v>
      </c>
      <c r="Z47" s="1048" t="s">
        <v>33</v>
      </c>
      <c r="AA47" s="1048"/>
      <c r="AB47" s="1048"/>
      <c r="AC47" s="1048"/>
      <c r="AD47" s="1048">
        <f>AD21+AD33+AD46</f>
        <v>6</v>
      </c>
      <c r="AE47" s="1048" t="s">
        <v>33</v>
      </c>
      <c r="AF47" s="1048"/>
      <c r="AG47" s="1048"/>
      <c r="AH47" s="1048"/>
      <c r="AI47" s="1048">
        <f>AI21+AI33+AI46</f>
        <v>7</v>
      </c>
      <c r="AJ47" s="1048" t="s">
        <v>33</v>
      </c>
      <c r="AK47" s="1048"/>
      <c r="AL47" s="1048"/>
      <c r="AM47" s="1048"/>
      <c r="AN47" s="1084">
        <f>AN21+AN33</f>
        <v>8</v>
      </c>
      <c r="AO47" s="1048" t="s">
        <v>33</v>
      </c>
      <c r="AP47" s="1095">
        <f>SUM(AP5:AP33)</f>
        <v>0</v>
      </c>
      <c r="AQ47" s="1096" t="s">
        <v>167</v>
      </c>
      <c r="AR47" s="1097">
        <f>AR21+AR33+AR46</f>
        <v>-0.004579</v>
      </c>
      <c r="AS47" s="1097">
        <f>AS21+AS33+AS46</f>
        <v>5.018</v>
      </c>
      <c r="AT47" s="1097">
        <f>AT21+AT33</f>
        <v>0.000573322583534892</v>
      </c>
      <c r="AU47" s="1097">
        <f>AU21+AU33</f>
        <v>0</v>
      </c>
      <c r="AX47" s="1113"/>
    </row>
    <row r="48" ht="15.95" customHeight="1" spans="1:50">
      <c r="A48" s="1047" t="s">
        <v>168</v>
      </c>
      <c r="B48" s="1048"/>
      <c r="C48" s="1049">
        <f>+AU47</f>
        <v>0</v>
      </c>
      <c r="D48" s="1048"/>
      <c r="E48" s="1048" t="s">
        <v>169</v>
      </c>
      <c r="F48" s="1048">
        <f>J47+O47+T47+Y47+AD47+AI47+AN47</f>
        <v>35</v>
      </c>
      <c r="G48" s="1048"/>
      <c r="H48" s="1048" t="s">
        <v>170</v>
      </c>
      <c r="I48" s="1048">
        <f>F48-AN47</f>
        <v>27</v>
      </c>
      <c r="J48" s="1048"/>
      <c r="K48" s="1048" t="s">
        <v>171</v>
      </c>
      <c r="L48" s="1048">
        <f>J47+O47</f>
        <v>5</v>
      </c>
      <c r="M48" s="1048"/>
      <c r="N48" s="1048"/>
      <c r="O48" s="1048"/>
      <c r="P48" s="1048"/>
      <c r="Q48" s="1048"/>
      <c r="R48" s="1048"/>
      <c r="S48" s="1048"/>
      <c r="T48" s="1048"/>
      <c r="U48" s="1048"/>
      <c r="V48" s="1048"/>
      <c r="W48" s="1048"/>
      <c r="X48" s="1048"/>
      <c r="Y48" s="1048"/>
      <c r="Z48" s="1048"/>
      <c r="AA48" s="1048"/>
      <c r="AB48" s="1048"/>
      <c r="AC48" s="1048"/>
      <c r="AD48" s="1048"/>
      <c r="AE48" s="1048"/>
      <c r="AF48" s="1048"/>
      <c r="AG48" s="1048"/>
      <c r="AH48" s="1048"/>
      <c r="AI48" s="1048"/>
      <c r="AJ48" s="1048"/>
      <c r="AK48" s="1048"/>
      <c r="AL48" s="1048"/>
      <c r="AM48" s="1048"/>
      <c r="AN48" s="1084"/>
      <c r="AO48" s="1098"/>
      <c r="AP48" s="1099"/>
      <c r="AQ48" s="1100"/>
      <c r="AR48" s="1012"/>
      <c r="AS48" s="1012"/>
      <c r="AT48" s="1099"/>
      <c r="AV48" s="1012"/>
      <c r="AX48" s="1113"/>
    </row>
    <row r="49" ht="14.65" customHeight="1" spans="1:45">
      <c r="A49" s="995" t="s">
        <v>172</v>
      </c>
      <c r="B49" s="995"/>
      <c r="C49" s="995"/>
      <c r="D49" s="995"/>
      <c r="E49" s="995"/>
      <c r="F49" s="995"/>
      <c r="G49" s="995"/>
      <c r="H49" s="1011"/>
      <c r="I49" s="995"/>
      <c r="J49" s="995" t="s">
        <v>173</v>
      </c>
      <c r="K49" s="995"/>
      <c r="L49" s="995"/>
      <c r="M49" s="995"/>
      <c r="N49" s="995"/>
      <c r="O49" s="995"/>
      <c r="P49" s="995"/>
      <c r="Q49" s="995"/>
      <c r="R49" s="995"/>
      <c r="S49" s="995"/>
      <c r="T49" s="995"/>
      <c r="U49" s="995"/>
      <c r="V49" s="995"/>
      <c r="W49" s="995"/>
      <c r="X49" s="995"/>
      <c r="Y49" s="995"/>
      <c r="Z49" s="995"/>
      <c r="AA49" s="995"/>
      <c r="AB49" s="995"/>
      <c r="AC49" s="995"/>
      <c r="AD49" s="995"/>
      <c r="AE49" s="995"/>
      <c r="AF49" s="995"/>
      <c r="AG49" s="995"/>
      <c r="AH49" s="995"/>
      <c r="AI49" s="995"/>
      <c r="AJ49" s="995"/>
      <c r="AK49" s="995"/>
      <c r="AL49" s="995"/>
      <c r="AM49" s="995"/>
      <c r="AQ49" s="1100"/>
      <c r="AR49" s="1012"/>
      <c r="AS49" s="1012"/>
    </row>
    <row r="50" s="1008" customFormat="1" spans="1:59">
      <c r="A50" s="1050"/>
      <c r="B50" s="1050"/>
      <c r="C50" s="1050"/>
      <c r="D50" s="1050"/>
      <c r="E50" s="1050"/>
      <c r="F50" s="1050"/>
      <c r="G50" s="1050"/>
      <c r="H50" s="1050"/>
      <c r="I50" s="1050"/>
      <c r="J50" s="1050"/>
      <c r="K50" s="1050"/>
      <c r="L50" s="1050"/>
      <c r="M50" s="1050"/>
      <c r="N50" s="1050"/>
      <c r="O50" s="1050"/>
      <c r="P50" s="1050"/>
      <c r="Q50" s="1050"/>
      <c r="R50" s="1050"/>
      <c r="S50" s="1050"/>
      <c r="T50" s="1050"/>
      <c r="U50" s="1050"/>
      <c r="V50" s="1050"/>
      <c r="W50" s="1050"/>
      <c r="X50" s="1067"/>
      <c r="Y50" s="1067"/>
      <c r="Z50" s="1067"/>
      <c r="AA50" s="1067"/>
      <c r="AB50" s="1067"/>
      <c r="AC50" s="1067"/>
      <c r="AD50" s="1067"/>
      <c r="AE50" s="1067"/>
      <c r="AF50" s="1067"/>
      <c r="AG50" s="1067"/>
      <c r="AH50" s="1067"/>
      <c r="AI50" s="1067"/>
      <c r="AJ50" s="1067"/>
      <c r="AK50" s="1067"/>
      <c r="AL50" s="1067"/>
      <c r="AM50" s="1067"/>
      <c r="AN50" s="1067"/>
      <c r="AO50" s="1067"/>
      <c r="AP50" s="1018"/>
      <c r="AQ50" s="1101" t="s">
        <v>174</v>
      </c>
      <c r="AR50" s="1102"/>
      <c r="AS50" s="1102"/>
      <c r="AT50" s="1102"/>
      <c r="AU50" s="1012"/>
      <c r="AW50" s="1009"/>
      <c r="AX50" s="1018"/>
      <c r="BD50" s="1009"/>
      <c r="BE50" s="1009"/>
      <c r="BF50" s="1009"/>
      <c r="BG50" s="1009"/>
    </row>
    <row r="51" s="1018" customFormat="1" ht="18" customHeight="1" spans="12:59">
      <c r="L51" s="1065"/>
      <c r="M51" s="1066"/>
      <c r="N51" s="1066"/>
      <c r="O51" s="1066"/>
      <c r="AM51" s="1085"/>
      <c r="AN51" s="1085"/>
      <c r="AP51" s="1019"/>
      <c r="AQ51" s="1018">
        <f>(H35*J35+M35*O35/1000/2.1/0.85)</f>
        <v>0</v>
      </c>
      <c r="AW51" s="1009"/>
      <c r="BD51" s="1009"/>
      <c r="BE51" s="1009"/>
      <c r="BF51" s="1009"/>
      <c r="BG51" s="1009"/>
    </row>
    <row r="52" s="1018" customFormat="1" ht="18" customHeight="1" spans="12:59">
      <c r="L52" s="1067"/>
      <c r="M52" s="1067"/>
      <c r="N52" s="1067"/>
      <c r="O52" s="1067"/>
      <c r="AM52" s="1085"/>
      <c r="AN52" s="1085"/>
      <c r="AP52" s="1019"/>
      <c r="AW52" s="1009"/>
      <c r="BD52" s="1009"/>
      <c r="BE52" s="1009"/>
      <c r="BF52" s="1009"/>
      <c r="BG52" s="1009"/>
    </row>
    <row r="53" s="1018" customFormat="1" ht="18" customHeight="1" spans="12:59">
      <c r="L53" s="1067"/>
      <c r="M53" s="1067"/>
      <c r="N53" s="1067"/>
      <c r="O53" s="1067"/>
      <c r="AM53" s="1085"/>
      <c r="AN53" s="1085"/>
      <c r="AP53" s="1019"/>
      <c r="AW53" s="1009"/>
      <c r="BD53" s="1009"/>
      <c r="BE53" s="1009"/>
      <c r="BF53" s="1009"/>
      <c r="BG53" s="1009"/>
    </row>
    <row r="54" s="1018" customFormat="1" ht="18" customHeight="1" spans="12:59">
      <c r="L54" s="1067"/>
      <c r="M54" s="1067"/>
      <c r="N54" s="1067"/>
      <c r="O54" s="1067"/>
      <c r="AM54" s="1085"/>
      <c r="AN54" s="1085"/>
      <c r="AP54" s="1019"/>
      <c r="AW54" s="1009"/>
      <c r="BD54" s="1009"/>
      <c r="BE54" s="1009"/>
      <c r="BF54" s="1009"/>
      <c r="BG54" s="1009"/>
    </row>
    <row r="55" s="1018" customFormat="1" ht="18" customHeight="1" spans="12:59">
      <c r="L55" s="1067"/>
      <c r="M55" s="1067"/>
      <c r="N55" s="1067"/>
      <c r="O55" s="1067"/>
      <c r="AM55" s="1085"/>
      <c r="AN55" s="1085"/>
      <c r="AP55" s="1019"/>
      <c r="AW55" s="1009"/>
      <c r="BD55" s="1009"/>
      <c r="BE55" s="1009"/>
      <c r="BF55" s="1009"/>
      <c r="BG55" s="1009"/>
    </row>
    <row r="56" s="1018" customFormat="1" ht="18" customHeight="1" spans="12:59">
      <c r="L56" s="1067"/>
      <c r="M56" s="1067"/>
      <c r="N56" s="1067"/>
      <c r="O56" s="1067"/>
      <c r="AM56" s="1085"/>
      <c r="AN56" s="1085"/>
      <c r="AP56" s="1019"/>
      <c r="AW56" s="1009"/>
      <c r="BD56" s="1009"/>
      <c r="BE56" s="1009"/>
      <c r="BF56" s="1009"/>
      <c r="BG56" s="1009"/>
    </row>
    <row r="57" s="1018" customFormat="1" ht="18" customHeight="1" spans="12:59">
      <c r="L57" s="1067"/>
      <c r="M57" s="1067"/>
      <c r="N57" s="1067"/>
      <c r="O57" s="1067"/>
      <c r="P57" s="1067"/>
      <c r="Q57" s="1067"/>
      <c r="R57" s="1067"/>
      <c r="S57" s="1067"/>
      <c r="T57" s="1067"/>
      <c r="U57" s="1067"/>
      <c r="V57" s="1067"/>
      <c r="W57" s="1067"/>
      <c r="X57" s="1067"/>
      <c r="Y57" s="1067"/>
      <c r="Z57" s="1067"/>
      <c r="AA57" s="1067"/>
      <c r="AB57" s="1067"/>
      <c r="AC57" s="1067"/>
      <c r="AD57" s="1067"/>
      <c r="AE57" s="1067"/>
      <c r="AF57" s="1067"/>
      <c r="AG57" s="1067"/>
      <c r="AH57" s="1067"/>
      <c r="AJ57" s="1085"/>
      <c r="AK57" s="1085"/>
      <c r="AL57" s="1085"/>
      <c r="AM57" s="1085"/>
      <c r="AN57" s="1085"/>
      <c r="AP57" s="1019"/>
      <c r="AW57" s="1009"/>
      <c r="BD57" s="1009"/>
      <c r="BE57" s="1009"/>
      <c r="BF57" s="1009"/>
      <c r="BG57" s="1009"/>
    </row>
    <row r="58" s="1018" customFormat="1" ht="18" customHeight="1" spans="12:59">
      <c r="L58" s="1067"/>
      <c r="M58" s="1067"/>
      <c r="N58" s="1067"/>
      <c r="O58" s="1067"/>
      <c r="P58" s="1067"/>
      <c r="Q58" s="1067"/>
      <c r="R58" s="1067"/>
      <c r="S58" s="1067"/>
      <c r="T58" s="1067"/>
      <c r="U58" s="1067"/>
      <c r="V58" s="1067"/>
      <c r="W58" s="1067"/>
      <c r="X58" s="1067"/>
      <c r="Y58" s="1067"/>
      <c r="Z58" s="1067"/>
      <c r="AA58" s="1067"/>
      <c r="AB58" s="1067"/>
      <c r="AC58" s="1067"/>
      <c r="AD58" s="1067"/>
      <c r="AE58" s="1067"/>
      <c r="AF58" s="1067"/>
      <c r="AG58" s="1067"/>
      <c r="AH58" s="1067"/>
      <c r="AJ58" s="1085"/>
      <c r="AK58" s="1085"/>
      <c r="AL58" s="1085"/>
      <c r="AM58" s="1085"/>
      <c r="AN58" s="1085"/>
      <c r="AP58" s="1019"/>
      <c r="AW58" s="1009"/>
      <c r="BD58" s="1009"/>
      <c r="BE58" s="1009"/>
      <c r="BF58" s="1009"/>
      <c r="BG58" s="1009"/>
    </row>
    <row r="59" s="1018" customFormat="1" ht="18" customHeight="1" spans="12:59">
      <c r="L59" s="1067"/>
      <c r="M59" s="1067"/>
      <c r="N59" s="1067"/>
      <c r="O59" s="1067"/>
      <c r="P59" s="1067"/>
      <c r="Q59" s="1067"/>
      <c r="R59" s="1067"/>
      <c r="S59" s="1067"/>
      <c r="T59" s="1067"/>
      <c r="U59" s="1067"/>
      <c r="V59" s="1067"/>
      <c r="W59" s="1067"/>
      <c r="X59" s="1067"/>
      <c r="Y59" s="1067"/>
      <c r="Z59" s="1067"/>
      <c r="AA59" s="1067"/>
      <c r="AB59" s="1067"/>
      <c r="AC59" s="1067"/>
      <c r="AD59" s="1067"/>
      <c r="AE59" s="1067"/>
      <c r="AF59" s="1067"/>
      <c r="AG59" s="1067"/>
      <c r="AH59" s="1067"/>
      <c r="AJ59" s="1085"/>
      <c r="AK59" s="1085"/>
      <c r="AL59" s="1085"/>
      <c r="AM59" s="1085"/>
      <c r="AN59" s="1085"/>
      <c r="AP59" s="1019"/>
      <c r="AW59" s="1009"/>
      <c r="BD59" s="1009"/>
      <c r="BE59" s="1009"/>
      <c r="BF59" s="1009"/>
      <c r="BG59" s="1009"/>
    </row>
    <row r="60" s="1018" customFormat="1" ht="18" customHeight="1" spans="12:59">
      <c r="L60" s="1067"/>
      <c r="M60" s="1067"/>
      <c r="N60" s="1067"/>
      <c r="O60" s="1067"/>
      <c r="P60" s="1067"/>
      <c r="Q60" s="1067"/>
      <c r="R60" s="1067"/>
      <c r="S60" s="1067"/>
      <c r="T60" s="1067"/>
      <c r="U60" s="1067"/>
      <c r="V60" s="1067"/>
      <c r="W60" s="1067"/>
      <c r="X60" s="1067"/>
      <c r="Y60" s="1067"/>
      <c r="Z60" s="1067"/>
      <c r="AA60" s="1067"/>
      <c r="AB60" s="1067"/>
      <c r="AC60" s="1067"/>
      <c r="AD60" s="1067"/>
      <c r="AE60" s="1067"/>
      <c r="AF60" s="1067"/>
      <c r="AG60" s="1067"/>
      <c r="AH60" s="1067"/>
      <c r="AJ60" s="1085"/>
      <c r="AK60" s="1085"/>
      <c r="AL60" s="1085"/>
      <c r="AM60" s="1085"/>
      <c r="AN60" s="1085"/>
      <c r="AP60" s="1019"/>
      <c r="AW60" s="1009"/>
      <c r="BD60" s="1009"/>
      <c r="BE60" s="1009"/>
      <c r="BF60" s="1009"/>
      <c r="BG60" s="1009"/>
    </row>
    <row r="61" s="1018" customFormat="1" ht="18" customHeight="1" spans="12:59">
      <c r="L61" s="1067"/>
      <c r="M61" s="1067"/>
      <c r="N61" s="1067"/>
      <c r="O61" s="1067"/>
      <c r="P61" s="1067"/>
      <c r="Q61" s="1067"/>
      <c r="R61" s="1067"/>
      <c r="S61" s="1067"/>
      <c r="T61" s="1067"/>
      <c r="U61" s="1067"/>
      <c r="V61" s="1067"/>
      <c r="W61" s="1067"/>
      <c r="X61" s="1067"/>
      <c r="Y61" s="1067"/>
      <c r="Z61" s="1067"/>
      <c r="AA61" s="1067"/>
      <c r="AB61" s="1067"/>
      <c r="AC61" s="1067"/>
      <c r="AD61" s="1067"/>
      <c r="AE61" s="1067"/>
      <c r="AF61" s="1067"/>
      <c r="AG61" s="1067"/>
      <c r="AH61" s="1067"/>
      <c r="AJ61" s="1085"/>
      <c r="AK61" s="1085"/>
      <c r="AL61" s="1085"/>
      <c r="AM61" s="1085"/>
      <c r="AN61" s="1085"/>
      <c r="AP61" s="1019"/>
      <c r="AQ61" s="1019"/>
      <c r="AW61" s="1009"/>
      <c r="BD61" s="1009"/>
      <c r="BE61" s="1009"/>
      <c r="BF61" s="1009"/>
      <c r="BG61" s="1009"/>
    </row>
    <row r="62" s="1018" customFormat="1" ht="18" customHeight="1" spans="12:59">
      <c r="L62" s="1067"/>
      <c r="M62" s="1067"/>
      <c r="N62" s="1067"/>
      <c r="O62" s="1067"/>
      <c r="P62" s="1067"/>
      <c r="Q62" s="1067"/>
      <c r="R62" s="1067"/>
      <c r="S62" s="1067"/>
      <c r="T62" s="1067"/>
      <c r="U62" s="1067"/>
      <c r="V62" s="1067"/>
      <c r="W62" s="1067"/>
      <c r="X62" s="1067"/>
      <c r="Y62" s="1067"/>
      <c r="Z62" s="1067"/>
      <c r="AA62" s="1067"/>
      <c r="AB62" s="1067"/>
      <c r="AC62" s="1067"/>
      <c r="AD62" s="1067"/>
      <c r="AE62" s="1067"/>
      <c r="AF62" s="1067"/>
      <c r="AG62" s="1067"/>
      <c r="AH62" s="1067"/>
      <c r="AJ62" s="1085"/>
      <c r="AK62" s="1085"/>
      <c r="AL62" s="1085"/>
      <c r="AM62" s="1085"/>
      <c r="AN62" s="1085"/>
      <c r="AP62" s="1019"/>
      <c r="AQ62" s="1019"/>
      <c r="AW62" s="1009"/>
      <c r="BD62" s="1009"/>
      <c r="BE62" s="1009"/>
      <c r="BF62" s="1009"/>
      <c r="BG62" s="1009"/>
    </row>
    <row r="63" s="1019" customFormat="1" spans="1:59">
      <c r="A63" s="976"/>
      <c r="B63" s="976"/>
      <c r="C63" s="976"/>
      <c r="D63" s="976"/>
      <c r="E63" s="976"/>
      <c r="F63" s="976"/>
      <c r="G63" s="976"/>
      <c r="H63" s="976"/>
      <c r="I63" s="976"/>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1007"/>
      <c r="AO63" s="1007"/>
      <c r="AP63" s="1009"/>
      <c r="AQ63" s="1012"/>
      <c r="AR63" s="1013"/>
      <c r="AS63" s="1013"/>
      <c r="AT63" s="1013"/>
      <c r="AU63" s="1012"/>
      <c r="AW63" s="1009"/>
      <c r="BD63" s="1009"/>
      <c r="BE63" s="1009"/>
      <c r="BF63" s="1009"/>
      <c r="BG63" s="1009"/>
    </row>
    <row r="64" s="1019" customFormat="1" spans="1:59">
      <c r="A64" s="976"/>
      <c r="B64" s="976"/>
      <c r="C64" s="976"/>
      <c r="D64" s="976"/>
      <c r="E64" s="976"/>
      <c r="F64" s="976"/>
      <c r="G64" s="976"/>
      <c r="H64" s="976"/>
      <c r="I64" s="976"/>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1007"/>
      <c r="AO64" s="1007"/>
      <c r="AP64" s="1009"/>
      <c r="AQ64" s="1012"/>
      <c r="AR64" s="1013"/>
      <c r="AS64" s="1013"/>
      <c r="AT64" s="1013"/>
      <c r="AU64" s="1012"/>
      <c r="AW64" s="1009"/>
      <c r="BD64" s="1009"/>
      <c r="BE64" s="1009"/>
      <c r="BF64" s="1009"/>
      <c r="BG64" s="1009"/>
    </row>
    <row r="65" s="1019" customFormat="1" spans="1:59">
      <c r="A65" s="976"/>
      <c r="B65" s="976"/>
      <c r="C65" s="976"/>
      <c r="D65" s="976"/>
      <c r="E65" s="976"/>
      <c r="F65" s="976"/>
      <c r="G65" s="976"/>
      <c r="H65" s="976"/>
      <c r="I65" s="976"/>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1007"/>
      <c r="AO65" s="1007"/>
      <c r="AP65" s="1009"/>
      <c r="AQ65" s="1012"/>
      <c r="AR65" s="1013"/>
      <c r="AS65" s="1013"/>
      <c r="AT65" s="1013"/>
      <c r="AU65" s="1012"/>
      <c r="AW65" s="1009"/>
      <c r="BD65" s="1009"/>
      <c r="BE65" s="1009"/>
      <c r="BF65" s="1009"/>
      <c r="BG65" s="1009"/>
    </row>
    <row r="66" s="1019" customFormat="1" spans="1:59">
      <c r="A66" s="976"/>
      <c r="B66" s="976"/>
      <c r="C66" s="976"/>
      <c r="D66" s="976"/>
      <c r="E66" s="976"/>
      <c r="F66" s="976"/>
      <c r="G66" s="976"/>
      <c r="H66" s="976"/>
      <c r="I66" s="976"/>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1007"/>
      <c r="AO66" s="1007"/>
      <c r="AP66" s="1009"/>
      <c r="AQ66" s="1012"/>
      <c r="AR66" s="1013"/>
      <c r="AS66" s="1013"/>
      <c r="AT66" s="1013"/>
      <c r="AU66" s="1012"/>
      <c r="AW66" s="1009"/>
      <c r="BD66" s="1009"/>
      <c r="BE66" s="1009"/>
      <c r="BF66" s="1009"/>
      <c r="BG66" s="1009"/>
    </row>
    <row r="67" s="1019" customFormat="1" spans="1:59">
      <c r="A67" s="976"/>
      <c r="B67" s="976"/>
      <c r="C67" s="976"/>
      <c r="D67" s="976"/>
      <c r="E67" s="976"/>
      <c r="F67" s="976"/>
      <c r="G67" s="976"/>
      <c r="H67" s="976"/>
      <c r="I67" s="976"/>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1007"/>
      <c r="AO67" s="1007"/>
      <c r="AP67" s="1009"/>
      <c r="AQ67" s="1012"/>
      <c r="AR67" s="1013"/>
      <c r="AS67" s="1013"/>
      <c r="AT67" s="1013"/>
      <c r="AU67" s="1012"/>
      <c r="AW67" s="1009"/>
      <c r="BD67" s="1009"/>
      <c r="BE67" s="1009"/>
      <c r="BF67" s="1009"/>
      <c r="BG67" s="1009"/>
    </row>
    <row r="68" s="1019" customFormat="1" spans="1:59">
      <c r="A68" s="976"/>
      <c r="B68" s="976"/>
      <c r="C68" s="976"/>
      <c r="D68" s="976"/>
      <c r="E68" s="976"/>
      <c r="F68" s="976"/>
      <c r="G68" s="976"/>
      <c r="H68" s="976"/>
      <c r="I68" s="976"/>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1007"/>
      <c r="AO68" s="1007"/>
      <c r="AP68" s="1009"/>
      <c r="AQ68" s="1012"/>
      <c r="AR68" s="1013"/>
      <c r="AS68" s="1013"/>
      <c r="AT68" s="1013"/>
      <c r="AU68" s="1012"/>
      <c r="AW68" s="1009"/>
      <c r="BD68" s="1009"/>
      <c r="BE68" s="1009"/>
      <c r="BF68" s="1009"/>
      <c r="BG68" s="1009"/>
    </row>
    <row r="69" s="1019" customFormat="1" spans="1:59">
      <c r="A69" s="976"/>
      <c r="B69" s="976"/>
      <c r="C69" s="976"/>
      <c r="D69" s="976"/>
      <c r="E69" s="976"/>
      <c r="F69" s="976"/>
      <c r="G69" s="976"/>
      <c r="H69" s="976"/>
      <c r="I69" s="976"/>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1007"/>
      <c r="AO69" s="1007"/>
      <c r="AP69" s="1009"/>
      <c r="AQ69" s="1012"/>
      <c r="AR69" s="1013"/>
      <c r="AS69" s="1013"/>
      <c r="AT69" s="1013"/>
      <c r="AU69" s="1012"/>
      <c r="AW69" s="1009"/>
      <c r="BD69" s="1009"/>
      <c r="BE69" s="1009"/>
      <c r="BF69" s="1009"/>
      <c r="BG69" s="1009"/>
    </row>
    <row r="70" s="1019" customFormat="1" spans="1:59">
      <c r="A70" s="976"/>
      <c r="B70" s="976"/>
      <c r="C70" s="976"/>
      <c r="D70" s="976"/>
      <c r="E70" s="976"/>
      <c r="F70" s="976"/>
      <c r="G70" s="976"/>
      <c r="H70" s="976"/>
      <c r="I70" s="976"/>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1007"/>
      <c r="AO70" s="1007"/>
      <c r="AP70" s="1009"/>
      <c r="AQ70" s="1012"/>
      <c r="AR70" s="1013"/>
      <c r="AS70" s="1013"/>
      <c r="AT70" s="1013"/>
      <c r="AU70" s="1012"/>
      <c r="AW70" s="1009"/>
      <c r="BD70" s="1009"/>
      <c r="BE70" s="1009"/>
      <c r="BF70" s="1009"/>
      <c r="BG70" s="1009"/>
    </row>
    <row r="71" s="1019" customFormat="1" spans="1:59">
      <c r="A71" s="976"/>
      <c r="B71" s="976"/>
      <c r="C71" s="976"/>
      <c r="D71" s="976"/>
      <c r="E71" s="976"/>
      <c r="F71" s="976"/>
      <c r="G71" s="976"/>
      <c r="H71" s="976"/>
      <c r="I71" s="976"/>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1007"/>
      <c r="AO71" s="1007"/>
      <c r="AP71" s="1009"/>
      <c r="AQ71" s="1012"/>
      <c r="AR71" s="1013"/>
      <c r="AS71" s="1013"/>
      <c r="AT71" s="1013"/>
      <c r="AU71" s="1012"/>
      <c r="AW71" s="1009"/>
      <c r="BD71" s="1009"/>
      <c r="BE71" s="1009"/>
      <c r="BF71" s="1009"/>
      <c r="BG71" s="1009"/>
    </row>
    <row r="72" s="1019" customFormat="1" spans="1:59">
      <c r="A72" s="976"/>
      <c r="B72" s="976"/>
      <c r="C72" s="976"/>
      <c r="D72" s="976"/>
      <c r="E72" s="976"/>
      <c r="F72" s="976"/>
      <c r="G72" s="976"/>
      <c r="H72" s="976"/>
      <c r="I72" s="976"/>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1007"/>
      <c r="AO72" s="1007"/>
      <c r="AP72" s="1009"/>
      <c r="AQ72" s="1012"/>
      <c r="AR72" s="1013"/>
      <c r="AS72" s="1013"/>
      <c r="AT72" s="1013"/>
      <c r="AU72" s="1012"/>
      <c r="AW72" s="1009"/>
      <c r="BD72" s="1009"/>
      <c r="BE72" s="1009"/>
      <c r="BF72" s="1009"/>
      <c r="BG72" s="1009"/>
    </row>
    <row r="73" s="1019" customFormat="1" spans="1:59">
      <c r="A73" s="976"/>
      <c r="B73" s="976"/>
      <c r="C73" s="976"/>
      <c r="D73" s="976"/>
      <c r="E73" s="976"/>
      <c r="F73" s="976"/>
      <c r="G73" s="976"/>
      <c r="H73" s="976"/>
      <c r="I73" s="976"/>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1007"/>
      <c r="AO73" s="1007"/>
      <c r="AP73" s="1009"/>
      <c r="AQ73" s="1012"/>
      <c r="AR73" s="1013"/>
      <c r="AS73" s="1013"/>
      <c r="AT73" s="1013"/>
      <c r="AU73" s="1012"/>
      <c r="AW73" s="1009"/>
      <c r="BD73" s="1009"/>
      <c r="BE73" s="1009"/>
      <c r="BF73" s="1009"/>
      <c r="BG73" s="1009"/>
    </row>
    <row r="74" s="1019" customFormat="1" spans="1:59">
      <c r="A74" s="976"/>
      <c r="B74" s="976"/>
      <c r="C74" s="976"/>
      <c r="D74" s="976"/>
      <c r="E74" s="976"/>
      <c r="F74" s="976"/>
      <c r="G74" s="976"/>
      <c r="H74" s="976"/>
      <c r="I74" s="976"/>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1007"/>
      <c r="AO74" s="1007"/>
      <c r="AP74" s="1009"/>
      <c r="AQ74" s="1012"/>
      <c r="AR74" s="1013"/>
      <c r="AS74" s="1013"/>
      <c r="AT74" s="1013"/>
      <c r="AU74" s="1012"/>
      <c r="AW74" s="1009"/>
      <c r="BD74" s="1009"/>
      <c r="BE74" s="1009"/>
      <c r="BF74" s="1009"/>
      <c r="BG74" s="1009"/>
    </row>
    <row r="75" s="1019" customFormat="1" spans="1:59">
      <c r="A75" s="976"/>
      <c r="B75" s="976"/>
      <c r="C75" s="976"/>
      <c r="D75" s="976"/>
      <c r="E75" s="976"/>
      <c r="F75" s="976"/>
      <c r="G75" s="976"/>
      <c r="H75" s="976"/>
      <c r="I75" s="976"/>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1007"/>
      <c r="AO75" s="1007"/>
      <c r="AP75" s="1009"/>
      <c r="AQ75" s="1012"/>
      <c r="AR75" s="1013"/>
      <c r="AS75" s="1013"/>
      <c r="AT75" s="1013"/>
      <c r="AU75" s="1012"/>
      <c r="AW75" s="1009"/>
      <c r="BD75" s="1009"/>
      <c r="BE75" s="1009"/>
      <c r="BF75" s="1009"/>
      <c r="BG75" s="1009"/>
    </row>
    <row r="76" s="1019" customFormat="1" spans="1:59">
      <c r="A76" s="976"/>
      <c r="B76" s="976"/>
      <c r="C76" s="976"/>
      <c r="D76" s="976"/>
      <c r="E76" s="976"/>
      <c r="F76" s="976"/>
      <c r="G76" s="976"/>
      <c r="H76" s="976"/>
      <c r="I76" s="976"/>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1007"/>
      <c r="AO76" s="1007"/>
      <c r="AP76" s="1009"/>
      <c r="AQ76" s="1012"/>
      <c r="AR76" s="1013"/>
      <c r="AS76" s="1013"/>
      <c r="AT76" s="1013"/>
      <c r="AU76" s="1012"/>
      <c r="AW76" s="1009"/>
      <c r="BD76" s="1009"/>
      <c r="BE76" s="1009"/>
      <c r="BF76" s="1009"/>
      <c r="BG76" s="1009"/>
    </row>
    <row r="77" s="1019" customFormat="1" spans="1:59">
      <c r="A77" s="976"/>
      <c r="B77" s="976"/>
      <c r="C77" s="976"/>
      <c r="D77" s="976"/>
      <c r="E77" s="976"/>
      <c r="F77" s="976"/>
      <c r="G77" s="976"/>
      <c r="H77" s="976"/>
      <c r="I77" s="976"/>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1007"/>
      <c r="AO77" s="1007"/>
      <c r="AP77" s="1009"/>
      <c r="AQ77" s="1012"/>
      <c r="AR77" s="1013"/>
      <c r="AS77" s="1013"/>
      <c r="AT77" s="1013"/>
      <c r="AU77" s="1012"/>
      <c r="AW77" s="1009"/>
      <c r="BD77" s="1009"/>
      <c r="BE77" s="1009"/>
      <c r="BF77" s="1009"/>
      <c r="BG77" s="1009"/>
    </row>
    <row r="78" s="1019" customFormat="1" spans="1:59">
      <c r="A78" s="976"/>
      <c r="B78" s="976"/>
      <c r="C78" s="976"/>
      <c r="D78" s="976"/>
      <c r="E78" s="976"/>
      <c r="F78" s="976"/>
      <c r="G78" s="976"/>
      <c r="H78" s="976"/>
      <c r="I78" s="976"/>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1007"/>
      <c r="AO78" s="1007"/>
      <c r="AP78" s="1009"/>
      <c r="AQ78" s="1012"/>
      <c r="AR78" s="1013"/>
      <c r="AS78" s="1013"/>
      <c r="AT78" s="1013"/>
      <c r="AU78" s="1012"/>
      <c r="AW78" s="1009"/>
      <c r="BD78" s="1009"/>
      <c r="BE78" s="1009"/>
      <c r="BF78" s="1009"/>
      <c r="BG78" s="1009"/>
    </row>
    <row r="79" s="1019" customFormat="1" spans="1:59">
      <c r="A79" s="976"/>
      <c r="B79" s="976"/>
      <c r="C79" s="976"/>
      <c r="D79" s="976"/>
      <c r="E79" s="976"/>
      <c r="F79" s="976"/>
      <c r="G79" s="976"/>
      <c r="H79" s="976"/>
      <c r="I79" s="976"/>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1007"/>
      <c r="AO79" s="1007"/>
      <c r="AP79" s="1009"/>
      <c r="AQ79" s="1012"/>
      <c r="AR79" s="1013"/>
      <c r="AS79" s="1013"/>
      <c r="AT79" s="1013"/>
      <c r="AU79" s="1012"/>
      <c r="AW79" s="1009"/>
      <c r="BD79" s="1009"/>
      <c r="BE79" s="1009"/>
      <c r="BF79" s="1009"/>
      <c r="BG79" s="1009"/>
    </row>
    <row r="80" s="1019" customFormat="1" spans="1:59">
      <c r="A80" s="976"/>
      <c r="B80" s="976"/>
      <c r="C80" s="976"/>
      <c r="D80" s="976"/>
      <c r="E80" s="976"/>
      <c r="F80" s="976"/>
      <c r="G80" s="976"/>
      <c r="H80" s="976"/>
      <c r="I80" s="976"/>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1007"/>
      <c r="AO80" s="1007"/>
      <c r="AP80" s="1009"/>
      <c r="AQ80" s="1012"/>
      <c r="AR80" s="1013"/>
      <c r="AS80" s="1013"/>
      <c r="AT80" s="1013"/>
      <c r="AU80" s="1012"/>
      <c r="AW80" s="1009"/>
      <c r="BD80" s="1009"/>
      <c r="BE80" s="1009"/>
      <c r="BF80" s="1009"/>
      <c r="BG80" s="1009"/>
    </row>
    <row r="81" s="1019" customFormat="1" spans="1:59">
      <c r="A81" s="976"/>
      <c r="B81" s="976"/>
      <c r="C81" s="976"/>
      <c r="D81" s="976"/>
      <c r="E81" s="976"/>
      <c r="F81" s="976"/>
      <c r="G81" s="976"/>
      <c r="H81" s="976"/>
      <c r="I81" s="976"/>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1007"/>
      <c r="AO81" s="1007"/>
      <c r="AP81" s="1009"/>
      <c r="AQ81" s="1012"/>
      <c r="AR81" s="1013"/>
      <c r="AS81" s="1013"/>
      <c r="AT81" s="1013"/>
      <c r="AU81" s="1012"/>
      <c r="AW81" s="1009"/>
      <c r="BD81" s="1009"/>
      <c r="BE81" s="1009"/>
      <c r="BF81" s="1009"/>
      <c r="BG81" s="1009"/>
    </row>
    <row r="82" s="1019" customFormat="1" spans="1:59">
      <c r="A82" s="976"/>
      <c r="B82" s="976"/>
      <c r="C82" s="976"/>
      <c r="D82" s="976"/>
      <c r="E82" s="976"/>
      <c r="F82" s="976"/>
      <c r="G82" s="976"/>
      <c r="H82" s="976"/>
      <c r="I82" s="976"/>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1007"/>
      <c r="AO82" s="1007"/>
      <c r="AP82" s="1009"/>
      <c r="AQ82" s="1012"/>
      <c r="AR82" s="1013"/>
      <c r="AS82" s="1013"/>
      <c r="AT82" s="1013"/>
      <c r="AU82" s="1012"/>
      <c r="AW82" s="1009"/>
      <c r="BD82" s="1009"/>
      <c r="BE82" s="1009"/>
      <c r="BF82" s="1009"/>
      <c r="BG82" s="1009"/>
    </row>
    <row r="83" s="1019" customFormat="1" spans="1:59">
      <c r="A83" s="976"/>
      <c r="B83" s="976"/>
      <c r="C83" s="976"/>
      <c r="D83" s="976"/>
      <c r="E83" s="976"/>
      <c r="F83" s="976"/>
      <c r="G83" s="976"/>
      <c r="H83" s="976"/>
      <c r="I83" s="976"/>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1007"/>
      <c r="AO83" s="1007"/>
      <c r="AP83" s="1009"/>
      <c r="AQ83" s="1012"/>
      <c r="AR83" s="1013"/>
      <c r="AS83" s="1013"/>
      <c r="AT83" s="1013"/>
      <c r="AU83" s="1012"/>
      <c r="AW83" s="1009"/>
      <c r="BD83" s="1009"/>
      <c r="BE83" s="1009"/>
      <c r="BF83" s="1009"/>
      <c r="BG83" s="1009"/>
    </row>
    <row r="84" s="1019" customFormat="1" spans="1:59">
      <c r="A84" s="976"/>
      <c r="B84" s="976"/>
      <c r="C84" s="976"/>
      <c r="D84" s="976"/>
      <c r="E84" s="976"/>
      <c r="F84" s="976"/>
      <c r="G84" s="976"/>
      <c r="H84" s="976"/>
      <c r="I84" s="976"/>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1007"/>
      <c r="AO84" s="1007"/>
      <c r="AP84" s="1009"/>
      <c r="AQ84" s="1012"/>
      <c r="AR84" s="1013"/>
      <c r="AS84" s="1013"/>
      <c r="AT84" s="1013"/>
      <c r="AU84" s="1012"/>
      <c r="AW84" s="1009"/>
      <c r="BD84" s="1009"/>
      <c r="BE84" s="1009"/>
      <c r="BF84" s="1009"/>
      <c r="BG84" s="1009"/>
    </row>
    <row r="85" s="1019" customFormat="1" spans="1:59">
      <c r="A85" s="976"/>
      <c r="B85" s="976"/>
      <c r="C85" s="976"/>
      <c r="D85" s="976"/>
      <c r="E85" s="976"/>
      <c r="F85" s="976"/>
      <c r="G85" s="976"/>
      <c r="H85" s="976"/>
      <c r="I85" s="976"/>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1007"/>
      <c r="AO85" s="1007"/>
      <c r="AP85" s="1009"/>
      <c r="AQ85" s="1012"/>
      <c r="AR85" s="1013"/>
      <c r="AS85" s="1013"/>
      <c r="AT85" s="1013"/>
      <c r="AU85" s="1012"/>
      <c r="AW85" s="1009"/>
      <c r="BD85" s="1009"/>
      <c r="BE85" s="1009"/>
      <c r="BF85" s="1009"/>
      <c r="BG85" s="1009"/>
    </row>
    <row r="86" s="1019" customFormat="1" spans="1:59">
      <c r="A86" s="976"/>
      <c r="B86" s="976"/>
      <c r="C86" s="976"/>
      <c r="D86" s="976"/>
      <c r="E86" s="976"/>
      <c r="F86" s="976"/>
      <c r="G86" s="976"/>
      <c r="H86" s="976"/>
      <c r="I86" s="976"/>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1007"/>
      <c r="AO86" s="1007"/>
      <c r="AP86" s="1009"/>
      <c r="AQ86" s="1012"/>
      <c r="AR86" s="1013"/>
      <c r="AS86" s="1013"/>
      <c r="AT86" s="1013"/>
      <c r="AU86" s="1012"/>
      <c r="AW86" s="1009"/>
      <c r="BD86" s="1009"/>
      <c r="BE86" s="1009"/>
      <c r="BF86" s="1009"/>
      <c r="BG86" s="1009"/>
    </row>
    <row r="87" s="1019" customFormat="1" spans="1:59">
      <c r="A87" s="976"/>
      <c r="B87" s="976"/>
      <c r="C87" s="976"/>
      <c r="D87" s="976"/>
      <c r="E87" s="976"/>
      <c r="F87" s="976"/>
      <c r="G87" s="976"/>
      <c r="H87" s="976"/>
      <c r="I87" s="976"/>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1007"/>
      <c r="AO87" s="1007"/>
      <c r="AP87" s="1009"/>
      <c r="AQ87" s="1012"/>
      <c r="AR87" s="1013"/>
      <c r="AS87" s="1013"/>
      <c r="AT87" s="1013"/>
      <c r="AU87" s="1012"/>
      <c r="AW87" s="1009"/>
      <c r="BD87" s="1009"/>
      <c r="BE87" s="1009"/>
      <c r="BF87" s="1009"/>
      <c r="BG87" s="1009"/>
    </row>
    <row r="88" s="1019" customFormat="1" spans="1:59">
      <c r="A88" s="976"/>
      <c r="B88" s="976"/>
      <c r="C88" s="976"/>
      <c r="D88" s="976"/>
      <c r="E88" s="976"/>
      <c r="F88" s="976"/>
      <c r="G88" s="976"/>
      <c r="H88" s="976"/>
      <c r="I88" s="976"/>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1007"/>
      <c r="AO88" s="1007"/>
      <c r="AP88" s="1009"/>
      <c r="AQ88" s="1012"/>
      <c r="AR88" s="1013"/>
      <c r="AS88" s="1013"/>
      <c r="AT88" s="1013"/>
      <c r="AU88" s="1012"/>
      <c r="AW88" s="1009"/>
      <c r="BD88" s="1009"/>
      <c r="BE88" s="1009"/>
      <c r="BF88" s="1009"/>
      <c r="BG88" s="1009"/>
    </row>
    <row r="89" s="1019" customFormat="1" spans="1:59">
      <c r="A89" s="976"/>
      <c r="B89" s="976"/>
      <c r="C89" s="976"/>
      <c r="D89" s="976"/>
      <c r="E89" s="976"/>
      <c r="F89" s="976"/>
      <c r="G89" s="976"/>
      <c r="H89" s="976"/>
      <c r="I89" s="976"/>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1007"/>
      <c r="AO89" s="1007"/>
      <c r="AP89" s="1009"/>
      <c r="AQ89" s="1012"/>
      <c r="AR89" s="1013"/>
      <c r="AS89" s="1013"/>
      <c r="AT89" s="1013"/>
      <c r="AU89" s="1012"/>
      <c r="AW89" s="1009"/>
      <c r="BD89" s="1009"/>
      <c r="BE89" s="1009"/>
      <c r="BF89" s="1009"/>
      <c r="BG89" s="1009"/>
    </row>
    <row r="90" s="1019" customFormat="1" spans="1:59">
      <c r="A90" s="976"/>
      <c r="B90" s="976"/>
      <c r="C90" s="976"/>
      <c r="D90" s="976"/>
      <c r="E90" s="976"/>
      <c r="F90" s="976"/>
      <c r="G90" s="976"/>
      <c r="H90" s="976"/>
      <c r="I90" s="976"/>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1007"/>
      <c r="AO90" s="1007"/>
      <c r="AP90" s="1009"/>
      <c r="AQ90" s="1012"/>
      <c r="AR90" s="1013"/>
      <c r="AS90" s="1013"/>
      <c r="AT90" s="1013"/>
      <c r="AU90" s="1012"/>
      <c r="AW90" s="1009"/>
      <c r="BD90" s="1009"/>
      <c r="BE90" s="1009"/>
      <c r="BF90" s="1009"/>
      <c r="BG90" s="1009"/>
    </row>
    <row r="91" s="1019" customFormat="1" spans="1:59">
      <c r="A91" s="976"/>
      <c r="B91" s="976"/>
      <c r="C91" s="976"/>
      <c r="D91" s="976"/>
      <c r="E91" s="976"/>
      <c r="F91" s="976"/>
      <c r="G91" s="976"/>
      <c r="H91" s="976"/>
      <c r="I91" s="976"/>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1007"/>
      <c r="AO91" s="1007"/>
      <c r="AP91" s="1009"/>
      <c r="AQ91" s="1012"/>
      <c r="AR91" s="1013"/>
      <c r="AS91" s="1013"/>
      <c r="AT91" s="1013"/>
      <c r="AU91" s="1012"/>
      <c r="AW91" s="1009"/>
      <c r="BD91" s="1009"/>
      <c r="BE91" s="1009"/>
      <c r="BF91" s="1009"/>
      <c r="BG91" s="1009"/>
    </row>
    <row r="92" s="1019" customFormat="1" spans="1:59">
      <c r="A92" s="976"/>
      <c r="B92" s="976"/>
      <c r="C92" s="976"/>
      <c r="D92" s="976"/>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1007"/>
      <c r="AO92" s="1007"/>
      <c r="AP92" s="1009"/>
      <c r="AQ92" s="1012"/>
      <c r="AR92" s="1013"/>
      <c r="AS92" s="1013"/>
      <c r="AT92" s="1013"/>
      <c r="AU92" s="1012"/>
      <c r="AW92" s="1009"/>
      <c r="BD92" s="1009"/>
      <c r="BE92" s="1009"/>
      <c r="BF92" s="1009"/>
      <c r="BG92" s="1009"/>
    </row>
    <row r="93" s="1019" customFormat="1" spans="1:59">
      <c r="A93" s="976"/>
      <c r="B93" s="976"/>
      <c r="C93" s="976"/>
      <c r="D93" s="976"/>
      <c r="E93" s="976"/>
      <c r="F93" s="976"/>
      <c r="G93" s="976"/>
      <c r="H93" s="976"/>
      <c r="I93" s="976"/>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1007"/>
      <c r="AO93" s="1007"/>
      <c r="AP93" s="1009"/>
      <c r="AQ93" s="1012"/>
      <c r="AR93" s="1013"/>
      <c r="AS93" s="1013"/>
      <c r="AT93" s="1013"/>
      <c r="AU93" s="1012"/>
      <c r="AW93" s="1009"/>
      <c r="BD93" s="1009"/>
      <c r="BE93" s="1009"/>
      <c r="BF93" s="1009"/>
      <c r="BG93" s="1009"/>
    </row>
    <row r="94" s="1019" customFormat="1" spans="1:59">
      <c r="A94" s="976"/>
      <c r="B94" s="976"/>
      <c r="C94" s="976"/>
      <c r="D94" s="976"/>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1007"/>
      <c r="AO94" s="1007"/>
      <c r="AP94" s="1009"/>
      <c r="AQ94" s="1012"/>
      <c r="AR94" s="1013"/>
      <c r="AS94" s="1013"/>
      <c r="AT94" s="1013"/>
      <c r="AU94" s="1012"/>
      <c r="AW94" s="1009"/>
      <c r="BD94" s="1009"/>
      <c r="BE94" s="1009"/>
      <c r="BF94" s="1009"/>
      <c r="BG94" s="1009"/>
    </row>
    <row r="95" s="1019" customFormat="1" spans="1:59">
      <c r="A95" s="976"/>
      <c r="B95" s="976"/>
      <c r="C95" s="976"/>
      <c r="D95" s="976"/>
      <c r="E95" s="976"/>
      <c r="F95" s="976"/>
      <c r="G95" s="976"/>
      <c r="H95" s="976"/>
      <c r="I95" s="976"/>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1007"/>
      <c r="AO95" s="1007"/>
      <c r="AP95" s="1009"/>
      <c r="AQ95" s="1012"/>
      <c r="AR95" s="1013"/>
      <c r="AS95" s="1013"/>
      <c r="AT95" s="1013"/>
      <c r="AU95" s="1012"/>
      <c r="AW95" s="1009"/>
      <c r="BD95" s="1009"/>
      <c r="BE95" s="1009"/>
      <c r="BF95" s="1009"/>
      <c r="BG95" s="1009"/>
    </row>
    <row r="96" s="1019" customFormat="1" spans="1:59">
      <c r="A96" s="976"/>
      <c r="B96" s="976"/>
      <c r="C96" s="976"/>
      <c r="D96" s="976"/>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1007"/>
      <c r="AO96" s="1007"/>
      <c r="AP96" s="1009"/>
      <c r="AQ96" s="1012"/>
      <c r="AR96" s="1013"/>
      <c r="AS96" s="1013"/>
      <c r="AT96" s="1013"/>
      <c r="AU96" s="1012"/>
      <c r="AW96" s="1009"/>
      <c r="BD96" s="1009"/>
      <c r="BE96" s="1009"/>
      <c r="BF96" s="1009"/>
      <c r="BG96" s="1009"/>
    </row>
    <row r="97" s="1019" customFormat="1" spans="1:59">
      <c r="A97" s="976"/>
      <c r="B97" s="976"/>
      <c r="C97" s="976"/>
      <c r="D97" s="976"/>
      <c r="E97" s="976"/>
      <c r="F97" s="976"/>
      <c r="G97" s="976"/>
      <c r="H97" s="976"/>
      <c r="I97" s="976"/>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1007"/>
      <c r="AO97" s="1007"/>
      <c r="AP97" s="1009"/>
      <c r="AQ97" s="1012"/>
      <c r="AR97" s="1013"/>
      <c r="AS97" s="1013"/>
      <c r="AT97" s="1013"/>
      <c r="AU97" s="1012"/>
      <c r="AW97" s="1009"/>
      <c r="BD97" s="1009"/>
      <c r="BE97" s="1009"/>
      <c r="BF97" s="1009"/>
      <c r="BG97" s="1009"/>
    </row>
    <row r="98" s="1019" customFormat="1" spans="1:59">
      <c r="A98" s="976"/>
      <c r="B98" s="976"/>
      <c r="C98" s="976"/>
      <c r="D98" s="976"/>
      <c r="E98" s="976"/>
      <c r="F98" s="976"/>
      <c r="G98" s="976"/>
      <c r="H98" s="976"/>
      <c r="I98" s="976"/>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1007"/>
      <c r="AO98" s="1007"/>
      <c r="AP98" s="1009"/>
      <c r="AQ98" s="1012"/>
      <c r="AR98" s="1013"/>
      <c r="AS98" s="1013"/>
      <c r="AT98" s="1013"/>
      <c r="AU98" s="1012"/>
      <c r="AW98" s="1009"/>
      <c r="BD98" s="1009"/>
      <c r="BE98" s="1009"/>
      <c r="BF98" s="1009"/>
      <c r="BG98" s="1009"/>
    </row>
    <row r="99" s="1019" customFormat="1" spans="1:59">
      <c r="A99" s="976"/>
      <c r="B99" s="976"/>
      <c r="C99" s="976"/>
      <c r="D99" s="976"/>
      <c r="E99" s="976"/>
      <c r="F99" s="976"/>
      <c r="G99" s="976"/>
      <c r="H99" s="976"/>
      <c r="I99" s="976"/>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1007"/>
      <c r="AO99" s="1007"/>
      <c r="AP99" s="1009"/>
      <c r="AQ99" s="1012"/>
      <c r="AR99" s="1013"/>
      <c r="AS99" s="1013"/>
      <c r="AT99" s="1013"/>
      <c r="AU99" s="1012"/>
      <c r="AW99" s="1009"/>
      <c r="BD99" s="1009"/>
      <c r="BE99" s="1009"/>
      <c r="BF99" s="1009"/>
      <c r="BG99" s="1009"/>
    </row>
    <row r="100" s="1019" customFormat="1" spans="1:59">
      <c r="A100" s="976"/>
      <c r="B100" s="976"/>
      <c r="C100" s="976"/>
      <c r="D100" s="976"/>
      <c r="E100" s="976"/>
      <c r="F100" s="976"/>
      <c r="G100" s="976"/>
      <c r="H100" s="976"/>
      <c r="I100" s="976"/>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1007"/>
      <c r="AO100" s="1007"/>
      <c r="AP100" s="1009"/>
      <c r="AQ100" s="1012"/>
      <c r="AR100" s="1013"/>
      <c r="AS100" s="1013"/>
      <c r="AT100" s="1013"/>
      <c r="AU100" s="1012"/>
      <c r="AW100" s="1009"/>
      <c r="BD100" s="1009"/>
      <c r="BE100" s="1009"/>
      <c r="BF100" s="1009"/>
      <c r="BG100" s="1009"/>
    </row>
    <row r="101" s="1019" customFormat="1" spans="1:59">
      <c r="A101" s="976"/>
      <c r="B101" s="976"/>
      <c r="C101" s="976"/>
      <c r="D101" s="976"/>
      <c r="E101" s="976"/>
      <c r="F101" s="976"/>
      <c r="G101" s="976"/>
      <c r="H101" s="976"/>
      <c r="I101" s="976"/>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1007"/>
      <c r="AO101" s="1007"/>
      <c r="AP101" s="1009"/>
      <c r="AQ101" s="1012"/>
      <c r="AR101" s="1013"/>
      <c r="AS101" s="1013"/>
      <c r="AT101" s="1013"/>
      <c r="AU101" s="1012"/>
      <c r="AW101" s="1009"/>
      <c r="BD101" s="1009"/>
      <c r="BE101" s="1009"/>
      <c r="BF101" s="1009"/>
      <c r="BG101" s="1009"/>
    </row>
    <row r="102" s="1019" customFormat="1" spans="1:59">
      <c r="A102" s="976"/>
      <c r="B102" s="976"/>
      <c r="C102" s="976"/>
      <c r="D102" s="976"/>
      <c r="E102" s="976"/>
      <c r="F102" s="976"/>
      <c r="G102" s="976"/>
      <c r="H102" s="976"/>
      <c r="I102" s="976"/>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1007"/>
      <c r="AO102" s="1007"/>
      <c r="AP102" s="1009"/>
      <c r="AQ102" s="1012"/>
      <c r="AR102" s="1013"/>
      <c r="AS102" s="1013"/>
      <c r="AT102" s="1013"/>
      <c r="AU102" s="1012"/>
      <c r="AW102" s="1009"/>
      <c r="BD102" s="1009"/>
      <c r="BE102" s="1009"/>
      <c r="BF102" s="1009"/>
      <c r="BG102" s="1009"/>
    </row>
    <row r="103" s="1019" customFormat="1" spans="1:59">
      <c r="A103" s="976"/>
      <c r="B103" s="976"/>
      <c r="C103" s="976"/>
      <c r="D103" s="976"/>
      <c r="E103" s="976"/>
      <c r="F103" s="976"/>
      <c r="G103" s="976"/>
      <c r="H103" s="976"/>
      <c r="I103" s="976"/>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1007"/>
      <c r="AO103" s="1007"/>
      <c r="AP103" s="1009"/>
      <c r="AQ103" s="1012"/>
      <c r="AR103" s="1013"/>
      <c r="AS103" s="1013"/>
      <c r="AT103" s="1013"/>
      <c r="AU103" s="1012"/>
      <c r="AW103" s="1009"/>
      <c r="BD103" s="1009"/>
      <c r="BE103" s="1009"/>
      <c r="BF103" s="1009"/>
      <c r="BG103" s="1009"/>
    </row>
    <row r="104" s="1019" customFormat="1" spans="1:59">
      <c r="A104" s="976"/>
      <c r="B104" s="976"/>
      <c r="C104" s="976"/>
      <c r="D104" s="976"/>
      <c r="E104" s="976"/>
      <c r="F104" s="976"/>
      <c r="G104" s="976"/>
      <c r="H104" s="976"/>
      <c r="I104" s="976"/>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1007"/>
      <c r="AO104" s="1007"/>
      <c r="AP104" s="1009"/>
      <c r="AQ104" s="1012"/>
      <c r="AR104" s="1013"/>
      <c r="AS104" s="1013"/>
      <c r="AT104" s="1013"/>
      <c r="AU104" s="1012"/>
      <c r="AW104" s="1009"/>
      <c r="BD104" s="1009"/>
      <c r="BE104" s="1009"/>
      <c r="BF104" s="1009"/>
      <c r="BG104" s="1009"/>
    </row>
    <row r="105" s="1019" customFormat="1" spans="1:59">
      <c r="A105" s="976"/>
      <c r="B105" s="976"/>
      <c r="C105" s="976"/>
      <c r="D105" s="976"/>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1007"/>
      <c r="AO105" s="1007"/>
      <c r="AP105" s="1009"/>
      <c r="AQ105" s="1012"/>
      <c r="AR105" s="1013"/>
      <c r="AS105" s="1013"/>
      <c r="AT105" s="1013"/>
      <c r="AU105" s="1012"/>
      <c r="AW105" s="1009"/>
      <c r="BD105" s="1009"/>
      <c r="BE105" s="1009"/>
      <c r="BF105" s="1009"/>
      <c r="BG105" s="1009"/>
    </row>
    <row r="106" s="1019" customFormat="1" spans="1:59">
      <c r="A106" s="976"/>
      <c r="B106" s="976"/>
      <c r="C106" s="976"/>
      <c r="D106" s="976"/>
      <c r="E106" s="976"/>
      <c r="F106" s="976"/>
      <c r="G106" s="976"/>
      <c r="H106" s="976"/>
      <c r="I106" s="976"/>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1007"/>
      <c r="AO106" s="1007"/>
      <c r="AP106" s="1009"/>
      <c r="AQ106" s="1012"/>
      <c r="AR106" s="1013"/>
      <c r="AS106" s="1013"/>
      <c r="AT106" s="1013"/>
      <c r="AU106" s="1012"/>
      <c r="AW106" s="1009"/>
      <c r="BD106" s="1009"/>
      <c r="BE106" s="1009"/>
      <c r="BF106" s="1009"/>
      <c r="BG106" s="1009"/>
    </row>
    <row r="107" s="1019" customFormat="1" spans="1:59">
      <c r="A107" s="976"/>
      <c r="B107" s="976"/>
      <c r="C107" s="976"/>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1007"/>
      <c r="AO107" s="1007"/>
      <c r="AP107" s="1009"/>
      <c r="AQ107" s="1012"/>
      <c r="AR107" s="1013"/>
      <c r="AS107" s="1013"/>
      <c r="AT107" s="1013"/>
      <c r="AU107" s="1012"/>
      <c r="AW107" s="1009"/>
      <c r="BD107" s="1009"/>
      <c r="BE107" s="1009"/>
      <c r="BF107" s="1009"/>
      <c r="BG107" s="1009"/>
    </row>
    <row r="108" s="1019" customFormat="1" spans="1:59">
      <c r="A108" s="976"/>
      <c r="B108" s="976"/>
      <c r="C108" s="976"/>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1007"/>
      <c r="AO108" s="1007"/>
      <c r="AP108" s="1009"/>
      <c r="AQ108" s="1012"/>
      <c r="AR108" s="1013"/>
      <c r="AS108" s="1013"/>
      <c r="AT108" s="1013"/>
      <c r="AU108" s="1012"/>
      <c r="AW108" s="1009"/>
      <c r="BD108" s="1009"/>
      <c r="BE108" s="1009"/>
      <c r="BF108" s="1009"/>
      <c r="BG108" s="1009"/>
    </row>
    <row r="109" s="1019" customFormat="1" spans="1:59">
      <c r="A109" s="976"/>
      <c r="B109" s="976"/>
      <c r="C109" s="976"/>
      <c r="D109" s="976"/>
      <c r="E109" s="976"/>
      <c r="F109" s="976"/>
      <c r="G109" s="976"/>
      <c r="H109" s="976"/>
      <c r="I109" s="976"/>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1007"/>
      <c r="AO109" s="1007"/>
      <c r="AP109" s="1009"/>
      <c r="AQ109" s="1012"/>
      <c r="AR109" s="1013"/>
      <c r="AS109" s="1013"/>
      <c r="AT109" s="1013"/>
      <c r="AU109" s="1012"/>
      <c r="AW109" s="1009"/>
      <c r="BD109" s="1009"/>
      <c r="BE109" s="1009"/>
      <c r="BF109" s="1009"/>
      <c r="BG109" s="1009"/>
    </row>
    <row r="110" s="1019" customFormat="1" spans="1:59">
      <c r="A110" s="976"/>
      <c r="B110" s="976"/>
      <c r="C110" s="976"/>
      <c r="D110" s="976"/>
      <c r="E110" s="976"/>
      <c r="F110" s="976"/>
      <c r="G110" s="976"/>
      <c r="H110" s="976"/>
      <c r="I110" s="976"/>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1007"/>
      <c r="AO110" s="1007"/>
      <c r="AP110" s="1009"/>
      <c r="AQ110" s="1012"/>
      <c r="AR110" s="1013"/>
      <c r="AS110" s="1013"/>
      <c r="AT110" s="1013"/>
      <c r="AU110" s="1012"/>
      <c r="AW110" s="1009"/>
      <c r="BD110" s="1009"/>
      <c r="BE110" s="1009"/>
      <c r="BF110" s="1009"/>
      <c r="BG110" s="1009"/>
    </row>
    <row r="111" s="1019" customFormat="1" spans="1:59">
      <c r="A111" s="976"/>
      <c r="B111" s="976"/>
      <c r="C111" s="976"/>
      <c r="D111" s="976"/>
      <c r="E111" s="976"/>
      <c r="F111" s="976"/>
      <c r="G111" s="976"/>
      <c r="H111" s="976"/>
      <c r="I111" s="976"/>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1007"/>
      <c r="AO111" s="1007"/>
      <c r="AP111" s="1009"/>
      <c r="AQ111" s="1012"/>
      <c r="AR111" s="1013"/>
      <c r="AS111" s="1013"/>
      <c r="AT111" s="1013"/>
      <c r="AU111" s="1012"/>
      <c r="AW111" s="1009"/>
      <c r="BD111" s="1009"/>
      <c r="BE111" s="1009"/>
      <c r="BF111" s="1009"/>
      <c r="BG111" s="1009"/>
    </row>
    <row r="112" s="1019" customFormat="1" spans="1:59">
      <c r="A112" s="976"/>
      <c r="B112" s="976"/>
      <c r="C112" s="976"/>
      <c r="D112" s="976"/>
      <c r="E112" s="976"/>
      <c r="F112" s="976"/>
      <c r="G112" s="976"/>
      <c r="H112" s="976"/>
      <c r="I112" s="976"/>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1007"/>
      <c r="AO112" s="1007"/>
      <c r="AP112" s="1009"/>
      <c r="AQ112" s="1012"/>
      <c r="AR112" s="1013"/>
      <c r="AS112" s="1013"/>
      <c r="AT112" s="1013"/>
      <c r="AU112" s="1012"/>
      <c r="AW112" s="1009"/>
      <c r="BD112" s="1009"/>
      <c r="BE112" s="1009"/>
      <c r="BF112" s="1009"/>
      <c r="BG112" s="1009"/>
    </row>
    <row r="113" s="1019" customFormat="1" spans="1:59">
      <c r="A113" s="976"/>
      <c r="B113" s="976"/>
      <c r="C113" s="976"/>
      <c r="D113" s="976"/>
      <c r="E113" s="976"/>
      <c r="F113" s="976"/>
      <c r="G113" s="976"/>
      <c r="H113" s="976"/>
      <c r="I113" s="976"/>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1007"/>
      <c r="AO113" s="1007"/>
      <c r="AP113" s="1009"/>
      <c r="AQ113" s="1012"/>
      <c r="AR113" s="1013"/>
      <c r="AS113" s="1013"/>
      <c r="AT113" s="1013"/>
      <c r="AU113" s="1012"/>
      <c r="AW113" s="1009"/>
      <c r="BD113" s="1009"/>
      <c r="BE113" s="1009"/>
      <c r="BF113" s="1009"/>
      <c r="BG113" s="1009"/>
    </row>
    <row r="114" s="1019" customFormat="1" spans="1:59">
      <c r="A114" s="976"/>
      <c r="B114" s="976"/>
      <c r="C114" s="976"/>
      <c r="D114" s="976"/>
      <c r="E114" s="976"/>
      <c r="F114" s="976"/>
      <c r="G114" s="976"/>
      <c r="H114" s="976"/>
      <c r="I114" s="976"/>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1007"/>
      <c r="AO114" s="1007"/>
      <c r="AP114" s="1009"/>
      <c r="AQ114" s="1012"/>
      <c r="AR114" s="1013"/>
      <c r="AS114" s="1013"/>
      <c r="AT114" s="1013"/>
      <c r="AU114" s="1012"/>
      <c r="AW114" s="1009"/>
      <c r="BD114" s="1009"/>
      <c r="BE114" s="1009"/>
      <c r="BF114" s="1009"/>
      <c r="BG114" s="1009"/>
    </row>
    <row r="115" s="1019" customFormat="1" spans="1:59">
      <c r="A115" s="976"/>
      <c r="B115" s="976"/>
      <c r="C115" s="976"/>
      <c r="D115" s="976"/>
      <c r="E115" s="976"/>
      <c r="F115" s="976"/>
      <c r="G115" s="976"/>
      <c r="H115" s="976"/>
      <c r="I115" s="976"/>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1007"/>
      <c r="AO115" s="1007"/>
      <c r="AP115" s="1009"/>
      <c r="AQ115" s="1012"/>
      <c r="AR115" s="1013"/>
      <c r="AS115" s="1013"/>
      <c r="AT115" s="1013"/>
      <c r="AU115" s="1012"/>
      <c r="AW115" s="1009"/>
      <c r="BD115" s="1009"/>
      <c r="BE115" s="1009"/>
      <c r="BF115" s="1009"/>
      <c r="BG115" s="1009"/>
    </row>
    <row r="116" s="1019" customFormat="1" spans="1:59">
      <c r="A116" s="976"/>
      <c r="B116" s="976"/>
      <c r="C116" s="976"/>
      <c r="D116" s="976"/>
      <c r="E116" s="976"/>
      <c r="F116" s="976"/>
      <c r="G116" s="976"/>
      <c r="H116" s="976"/>
      <c r="I116" s="976"/>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1007"/>
      <c r="AO116" s="1007"/>
      <c r="AP116" s="1009"/>
      <c r="AQ116" s="1012"/>
      <c r="AR116" s="1013"/>
      <c r="AS116" s="1013"/>
      <c r="AT116" s="1013"/>
      <c r="AU116" s="1012"/>
      <c r="AW116" s="1009"/>
      <c r="BD116" s="1009"/>
      <c r="BE116" s="1009"/>
      <c r="BF116" s="1009"/>
      <c r="BG116" s="1009"/>
    </row>
    <row r="117" s="1019" customFormat="1" spans="1:59">
      <c r="A117" s="976"/>
      <c r="B117" s="976"/>
      <c r="C117" s="976"/>
      <c r="D117" s="976"/>
      <c r="E117" s="976"/>
      <c r="F117" s="976"/>
      <c r="G117" s="976"/>
      <c r="H117" s="976"/>
      <c r="I117" s="976"/>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1007"/>
      <c r="AO117" s="1007"/>
      <c r="AP117" s="1009"/>
      <c r="AQ117" s="1012"/>
      <c r="AR117" s="1013"/>
      <c r="AS117" s="1013"/>
      <c r="AT117" s="1013"/>
      <c r="AU117" s="1012"/>
      <c r="AW117" s="1009"/>
      <c r="BD117" s="1009"/>
      <c r="BE117" s="1009"/>
      <c r="BF117" s="1009"/>
      <c r="BG117" s="1009"/>
    </row>
    <row r="118" s="1019" customFormat="1" spans="1:59">
      <c r="A118" s="976"/>
      <c r="B118" s="976"/>
      <c r="C118" s="976"/>
      <c r="D118" s="976"/>
      <c r="E118" s="976"/>
      <c r="F118" s="976"/>
      <c r="G118" s="976"/>
      <c r="H118" s="976"/>
      <c r="I118" s="976"/>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1007"/>
      <c r="AO118" s="1007"/>
      <c r="AP118" s="1009"/>
      <c r="AQ118" s="1012"/>
      <c r="AR118" s="1013"/>
      <c r="AS118" s="1013"/>
      <c r="AT118" s="1013"/>
      <c r="AU118" s="1012"/>
      <c r="AW118" s="1009"/>
      <c r="BD118" s="1009"/>
      <c r="BE118" s="1009"/>
      <c r="BF118" s="1009"/>
      <c r="BG118" s="1009"/>
    </row>
    <row r="119" s="1019" customFormat="1" spans="1:59">
      <c r="A119" s="976"/>
      <c r="B119" s="976"/>
      <c r="C119" s="976"/>
      <c r="D119" s="976"/>
      <c r="E119" s="976"/>
      <c r="F119" s="976"/>
      <c r="G119" s="976"/>
      <c r="H119" s="976"/>
      <c r="I119" s="976"/>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1007"/>
      <c r="AO119" s="1007"/>
      <c r="AP119" s="1009"/>
      <c r="AQ119" s="1012"/>
      <c r="AR119" s="1013"/>
      <c r="AS119" s="1013"/>
      <c r="AT119" s="1013"/>
      <c r="AU119" s="1012"/>
      <c r="AW119" s="1009"/>
      <c r="BD119" s="1009"/>
      <c r="BE119" s="1009"/>
      <c r="BF119" s="1009"/>
      <c r="BG119" s="1009"/>
    </row>
    <row r="120" s="1019" customFormat="1" spans="1:59">
      <c r="A120" s="976"/>
      <c r="B120" s="976"/>
      <c r="C120" s="976"/>
      <c r="D120" s="976"/>
      <c r="E120" s="976"/>
      <c r="F120" s="976"/>
      <c r="G120" s="976"/>
      <c r="H120" s="976"/>
      <c r="I120" s="976"/>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1007"/>
      <c r="AO120" s="1007"/>
      <c r="AP120" s="1009"/>
      <c r="AQ120" s="1012"/>
      <c r="AR120" s="1013"/>
      <c r="AS120" s="1013"/>
      <c r="AT120" s="1013"/>
      <c r="AU120" s="1012"/>
      <c r="AW120" s="1009"/>
      <c r="BD120" s="1009"/>
      <c r="BE120" s="1009"/>
      <c r="BF120" s="1009"/>
      <c r="BG120" s="1009"/>
    </row>
    <row r="121" s="1019" customFormat="1" spans="1:59">
      <c r="A121" s="976"/>
      <c r="B121" s="976"/>
      <c r="C121" s="976"/>
      <c r="D121" s="976"/>
      <c r="E121" s="976"/>
      <c r="F121" s="976"/>
      <c r="G121" s="976"/>
      <c r="H121" s="976"/>
      <c r="I121" s="976"/>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1007"/>
      <c r="AO121" s="1007"/>
      <c r="AP121" s="1009"/>
      <c r="AQ121" s="1012"/>
      <c r="AR121" s="1013"/>
      <c r="AS121" s="1013"/>
      <c r="AT121" s="1013"/>
      <c r="AU121" s="1012"/>
      <c r="AW121" s="1009"/>
      <c r="BD121" s="1009"/>
      <c r="BE121" s="1009"/>
      <c r="BF121" s="1009"/>
      <c r="BG121" s="1009"/>
    </row>
    <row r="122" s="1019" customFormat="1" spans="1:59">
      <c r="A122" s="976"/>
      <c r="B122" s="976"/>
      <c r="C122" s="976"/>
      <c r="D122" s="976"/>
      <c r="E122" s="976"/>
      <c r="F122" s="976"/>
      <c r="G122" s="976"/>
      <c r="H122" s="976"/>
      <c r="I122" s="976"/>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1007"/>
      <c r="AO122" s="1007"/>
      <c r="AP122" s="1009"/>
      <c r="AQ122" s="1012"/>
      <c r="AR122" s="1013"/>
      <c r="AS122" s="1013"/>
      <c r="AT122" s="1013"/>
      <c r="AU122" s="1012"/>
      <c r="AW122" s="1009"/>
      <c r="BD122" s="1009"/>
      <c r="BE122" s="1009"/>
      <c r="BF122" s="1009"/>
      <c r="BG122" s="1009"/>
    </row>
    <row r="123" s="1019" customFormat="1" spans="1:59">
      <c r="A123" s="976"/>
      <c r="B123" s="976"/>
      <c r="C123" s="976"/>
      <c r="D123" s="976"/>
      <c r="E123" s="976"/>
      <c r="F123" s="976"/>
      <c r="G123" s="976"/>
      <c r="H123" s="976"/>
      <c r="I123" s="976"/>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1007"/>
      <c r="AO123" s="1007"/>
      <c r="AP123" s="1009"/>
      <c r="AQ123" s="1012"/>
      <c r="AR123" s="1013"/>
      <c r="AS123" s="1013"/>
      <c r="AT123" s="1013"/>
      <c r="AU123" s="1012"/>
      <c r="AW123" s="1009"/>
      <c r="BD123" s="1009"/>
      <c r="BE123" s="1009"/>
      <c r="BF123" s="1009"/>
      <c r="BG123" s="1009"/>
    </row>
    <row r="124" s="1019" customFormat="1" spans="1:59">
      <c r="A124" s="976"/>
      <c r="B124" s="976"/>
      <c r="C124" s="976"/>
      <c r="D124" s="976"/>
      <c r="E124" s="976"/>
      <c r="F124" s="976"/>
      <c r="G124" s="976"/>
      <c r="H124" s="976"/>
      <c r="I124" s="976"/>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1007"/>
      <c r="AO124" s="1007"/>
      <c r="AP124" s="1009"/>
      <c r="AQ124" s="1012"/>
      <c r="AR124" s="1013"/>
      <c r="AS124" s="1013"/>
      <c r="AT124" s="1013"/>
      <c r="AU124" s="1012"/>
      <c r="AW124" s="1009"/>
      <c r="BD124" s="1009"/>
      <c r="BE124" s="1009"/>
      <c r="BF124" s="1009"/>
      <c r="BG124" s="1009"/>
    </row>
    <row r="125" s="1019" customFormat="1" spans="1:59">
      <c r="A125" s="976"/>
      <c r="B125" s="976"/>
      <c r="C125" s="976"/>
      <c r="D125" s="976"/>
      <c r="E125" s="976"/>
      <c r="F125" s="976"/>
      <c r="G125" s="976"/>
      <c r="H125" s="976"/>
      <c r="I125" s="976"/>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1007"/>
      <c r="AO125" s="1007"/>
      <c r="AP125" s="1009"/>
      <c r="AQ125" s="1012"/>
      <c r="AR125" s="1013"/>
      <c r="AS125" s="1013"/>
      <c r="AT125" s="1013"/>
      <c r="AU125" s="1012"/>
      <c r="AW125" s="1009"/>
      <c r="BD125" s="1009"/>
      <c r="BE125" s="1009"/>
      <c r="BF125" s="1009"/>
      <c r="BG125" s="1009"/>
    </row>
    <row r="126" s="1019" customFormat="1" spans="1:59">
      <c r="A126" s="976"/>
      <c r="B126" s="976"/>
      <c r="C126" s="976"/>
      <c r="D126" s="976"/>
      <c r="E126" s="976"/>
      <c r="F126" s="976"/>
      <c r="G126" s="976"/>
      <c r="H126" s="976"/>
      <c r="I126" s="976"/>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1007"/>
      <c r="AO126" s="1007"/>
      <c r="AP126" s="1009"/>
      <c r="AQ126" s="1012"/>
      <c r="AR126" s="1013"/>
      <c r="AS126" s="1013"/>
      <c r="AT126" s="1013"/>
      <c r="AU126" s="1012"/>
      <c r="AW126" s="1009"/>
      <c r="BD126" s="1009"/>
      <c r="BE126" s="1009"/>
      <c r="BF126" s="1009"/>
      <c r="BG126" s="1009"/>
    </row>
    <row r="127" s="1019" customFormat="1" spans="1:59">
      <c r="A127" s="976"/>
      <c r="B127" s="976"/>
      <c r="C127" s="976"/>
      <c r="D127" s="976"/>
      <c r="E127" s="976"/>
      <c r="F127" s="976"/>
      <c r="G127" s="976"/>
      <c r="H127" s="976"/>
      <c r="I127" s="976"/>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1007"/>
      <c r="AO127" s="1007"/>
      <c r="AP127" s="1009"/>
      <c r="AQ127" s="1012"/>
      <c r="AR127" s="1013"/>
      <c r="AS127" s="1013"/>
      <c r="AT127" s="1013"/>
      <c r="AU127" s="1012"/>
      <c r="AW127" s="1009"/>
      <c r="BD127" s="1009"/>
      <c r="BE127" s="1009"/>
      <c r="BF127" s="1009"/>
      <c r="BG127" s="1009"/>
    </row>
    <row r="128" s="1019" customFormat="1" spans="1:59">
      <c r="A128" s="976"/>
      <c r="B128" s="976"/>
      <c r="C128" s="976"/>
      <c r="D128" s="976"/>
      <c r="E128" s="976"/>
      <c r="F128" s="976"/>
      <c r="G128" s="976"/>
      <c r="H128" s="976"/>
      <c r="I128" s="976"/>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1007"/>
      <c r="AO128" s="1007"/>
      <c r="AP128" s="1009"/>
      <c r="AQ128" s="1012"/>
      <c r="AR128" s="1013"/>
      <c r="AS128" s="1013"/>
      <c r="AT128" s="1013"/>
      <c r="AU128" s="1012"/>
      <c r="AW128" s="1009"/>
      <c r="BD128" s="1009"/>
      <c r="BE128" s="1009"/>
      <c r="BF128" s="1009"/>
      <c r="BG128" s="1009"/>
    </row>
    <row r="129" s="1019" customFormat="1" spans="1:59">
      <c r="A129" s="976"/>
      <c r="B129" s="976"/>
      <c r="C129" s="976"/>
      <c r="D129" s="976"/>
      <c r="E129" s="976"/>
      <c r="F129" s="976"/>
      <c r="G129" s="976"/>
      <c r="H129" s="976"/>
      <c r="I129" s="976"/>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1007"/>
      <c r="AO129" s="1007"/>
      <c r="AP129" s="1009"/>
      <c r="AQ129" s="1012"/>
      <c r="AR129" s="1013"/>
      <c r="AS129" s="1013"/>
      <c r="AT129" s="1013"/>
      <c r="AU129" s="1012"/>
      <c r="AW129" s="1009"/>
      <c r="BD129" s="1009"/>
      <c r="BE129" s="1009"/>
      <c r="BF129" s="1009"/>
      <c r="BG129" s="1009"/>
    </row>
    <row r="130" s="1019" customFormat="1" spans="1:59">
      <c r="A130" s="976"/>
      <c r="B130" s="976"/>
      <c r="C130" s="976"/>
      <c r="D130" s="976"/>
      <c r="E130" s="976"/>
      <c r="F130" s="976"/>
      <c r="G130" s="976"/>
      <c r="H130" s="976"/>
      <c r="I130" s="976"/>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1007"/>
      <c r="AO130" s="1007"/>
      <c r="AP130" s="1009"/>
      <c r="AQ130" s="1012"/>
      <c r="AR130" s="1013"/>
      <c r="AS130" s="1013"/>
      <c r="AT130" s="1013"/>
      <c r="AU130" s="1012"/>
      <c r="AW130" s="1009"/>
      <c r="BD130" s="1009"/>
      <c r="BE130" s="1009"/>
      <c r="BF130" s="1009"/>
      <c r="BG130" s="1009"/>
    </row>
    <row r="131" s="1019" customFormat="1" spans="1:59">
      <c r="A131" s="976"/>
      <c r="B131" s="976"/>
      <c r="C131" s="976"/>
      <c r="D131" s="976"/>
      <c r="E131" s="976"/>
      <c r="F131" s="976"/>
      <c r="G131" s="976"/>
      <c r="H131" s="976"/>
      <c r="I131" s="976"/>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1007"/>
      <c r="AO131" s="1007"/>
      <c r="AP131" s="1009"/>
      <c r="AQ131" s="1012"/>
      <c r="AR131" s="1013"/>
      <c r="AS131" s="1013"/>
      <c r="AT131" s="1013"/>
      <c r="AU131" s="1012"/>
      <c r="AW131" s="1009"/>
      <c r="BD131" s="1009"/>
      <c r="BE131" s="1009"/>
      <c r="BF131" s="1009"/>
      <c r="BG131" s="1009"/>
    </row>
    <row r="132" s="1019" customFormat="1" spans="1:59">
      <c r="A132" s="976"/>
      <c r="B132" s="976"/>
      <c r="C132" s="976"/>
      <c r="D132" s="976"/>
      <c r="E132" s="976"/>
      <c r="F132" s="976"/>
      <c r="G132" s="976"/>
      <c r="H132" s="976"/>
      <c r="I132" s="976"/>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1007"/>
      <c r="AO132" s="1007"/>
      <c r="AP132" s="1009"/>
      <c r="AQ132" s="1012"/>
      <c r="AR132" s="1013"/>
      <c r="AS132" s="1013"/>
      <c r="AT132" s="1013"/>
      <c r="AU132" s="1012"/>
      <c r="AW132" s="1009"/>
      <c r="BD132" s="1009"/>
      <c r="BE132" s="1009"/>
      <c r="BF132" s="1009"/>
      <c r="BG132" s="1009"/>
    </row>
    <row r="133" s="1019" customFormat="1" spans="1:59">
      <c r="A133" s="976"/>
      <c r="B133" s="976"/>
      <c r="C133" s="976"/>
      <c r="D133" s="976"/>
      <c r="E133" s="976"/>
      <c r="F133" s="976"/>
      <c r="G133" s="976"/>
      <c r="H133" s="976"/>
      <c r="I133" s="976"/>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1007"/>
      <c r="AO133" s="1007"/>
      <c r="AP133" s="1009"/>
      <c r="AQ133" s="1012"/>
      <c r="AR133" s="1013"/>
      <c r="AS133" s="1013"/>
      <c r="AT133" s="1013"/>
      <c r="AU133" s="1012"/>
      <c r="AW133" s="1009"/>
      <c r="BD133" s="1009"/>
      <c r="BE133" s="1009"/>
      <c r="BF133" s="1009"/>
      <c r="BG133" s="1009"/>
    </row>
    <row r="134" s="1019" customFormat="1" spans="1:59">
      <c r="A134" s="976"/>
      <c r="B134" s="976"/>
      <c r="C134" s="976"/>
      <c r="D134" s="976"/>
      <c r="E134" s="976"/>
      <c r="F134" s="976"/>
      <c r="G134" s="976"/>
      <c r="H134" s="976"/>
      <c r="I134" s="976"/>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1007"/>
      <c r="AO134" s="1007"/>
      <c r="AP134" s="1009"/>
      <c r="AQ134" s="1012"/>
      <c r="AR134" s="1013"/>
      <c r="AS134" s="1013"/>
      <c r="AT134" s="1013"/>
      <c r="AU134" s="1012"/>
      <c r="AW134" s="1009"/>
      <c r="BD134" s="1009"/>
      <c r="BE134" s="1009"/>
      <c r="BF134" s="1009"/>
      <c r="BG134" s="1009"/>
    </row>
    <row r="135" s="1019" customFormat="1" spans="1:59">
      <c r="A135" s="976"/>
      <c r="B135" s="976"/>
      <c r="C135" s="976"/>
      <c r="D135" s="976"/>
      <c r="E135" s="976"/>
      <c r="F135" s="976"/>
      <c r="G135" s="976"/>
      <c r="H135" s="976"/>
      <c r="I135" s="976"/>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1007"/>
      <c r="AO135" s="1007"/>
      <c r="AP135" s="1009"/>
      <c r="AQ135" s="1012"/>
      <c r="AR135" s="1013"/>
      <c r="AS135" s="1013"/>
      <c r="AT135" s="1013"/>
      <c r="AU135" s="1012"/>
      <c r="AW135" s="1009"/>
      <c r="BD135" s="1009"/>
      <c r="BE135" s="1009"/>
      <c r="BF135" s="1009"/>
      <c r="BG135" s="1009"/>
    </row>
    <row r="136" s="1019" customFormat="1" spans="1:59">
      <c r="A136" s="976"/>
      <c r="B136" s="976"/>
      <c r="C136" s="976"/>
      <c r="D136" s="976"/>
      <c r="E136" s="976"/>
      <c r="F136" s="976"/>
      <c r="G136" s="976"/>
      <c r="H136" s="976"/>
      <c r="I136" s="976"/>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1007"/>
      <c r="AO136" s="1007"/>
      <c r="AP136" s="1009"/>
      <c r="AQ136" s="1012"/>
      <c r="AR136" s="1013"/>
      <c r="AS136" s="1013"/>
      <c r="AT136" s="1013"/>
      <c r="AU136" s="1012"/>
      <c r="AW136" s="1009"/>
      <c r="BD136" s="1009"/>
      <c r="BE136" s="1009"/>
      <c r="BF136" s="1009"/>
      <c r="BG136" s="1009"/>
    </row>
    <row r="137" s="1019" customFormat="1" spans="1:59">
      <c r="A137" s="976"/>
      <c r="B137" s="976"/>
      <c r="C137" s="976"/>
      <c r="D137" s="976"/>
      <c r="E137" s="976"/>
      <c r="F137" s="976"/>
      <c r="G137" s="976"/>
      <c r="H137" s="976"/>
      <c r="I137" s="976"/>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1007"/>
      <c r="AO137" s="1007"/>
      <c r="AP137" s="1009"/>
      <c r="AQ137" s="1012"/>
      <c r="AR137" s="1013"/>
      <c r="AS137" s="1013"/>
      <c r="AT137" s="1013"/>
      <c r="AU137" s="1012"/>
      <c r="AW137" s="1009"/>
      <c r="BD137" s="1009"/>
      <c r="BE137" s="1009"/>
      <c r="BF137" s="1009"/>
      <c r="BG137" s="1009"/>
    </row>
    <row r="138" s="1019" customFormat="1" spans="1:59">
      <c r="A138" s="976"/>
      <c r="B138" s="976"/>
      <c r="C138" s="976"/>
      <c r="D138" s="976"/>
      <c r="E138" s="976"/>
      <c r="F138" s="976"/>
      <c r="G138" s="976"/>
      <c r="H138" s="976"/>
      <c r="I138" s="976"/>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1007"/>
      <c r="AO138" s="1007"/>
      <c r="AP138" s="1009"/>
      <c r="AQ138" s="1012"/>
      <c r="AR138" s="1013"/>
      <c r="AS138" s="1013"/>
      <c r="AT138" s="1013"/>
      <c r="AU138" s="1012"/>
      <c r="AW138" s="1009"/>
      <c r="BD138" s="1009"/>
      <c r="BE138" s="1009"/>
      <c r="BF138" s="1009"/>
      <c r="BG138" s="1009"/>
    </row>
    <row r="139" s="1019" customFormat="1" spans="1:59">
      <c r="A139" s="976"/>
      <c r="B139" s="976"/>
      <c r="C139" s="976"/>
      <c r="D139" s="976"/>
      <c r="E139" s="976"/>
      <c r="F139" s="976"/>
      <c r="G139" s="976"/>
      <c r="H139" s="976"/>
      <c r="I139" s="976"/>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1007"/>
      <c r="AO139" s="1007"/>
      <c r="AP139" s="1009"/>
      <c r="AQ139" s="1012"/>
      <c r="AR139" s="1013"/>
      <c r="AS139" s="1013"/>
      <c r="AT139" s="1013"/>
      <c r="AU139" s="1012"/>
      <c r="AW139" s="1009"/>
      <c r="BD139" s="1009"/>
      <c r="BE139" s="1009"/>
      <c r="BF139" s="1009"/>
      <c r="BG139" s="1009"/>
    </row>
    <row r="140" s="1019" customFormat="1" spans="1:59">
      <c r="A140" s="976"/>
      <c r="B140" s="976"/>
      <c r="C140" s="976"/>
      <c r="D140" s="976"/>
      <c r="E140" s="976"/>
      <c r="F140" s="976"/>
      <c r="G140" s="976"/>
      <c r="H140" s="976"/>
      <c r="I140" s="976"/>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1007"/>
      <c r="AO140" s="1007"/>
      <c r="AP140" s="1009"/>
      <c r="AQ140" s="1012"/>
      <c r="AR140" s="1013"/>
      <c r="AS140" s="1013"/>
      <c r="AT140" s="1013"/>
      <c r="AU140" s="1012"/>
      <c r="AW140" s="1009"/>
      <c r="BD140" s="1009"/>
      <c r="BE140" s="1009"/>
      <c r="BF140" s="1009"/>
      <c r="BG140" s="1009"/>
    </row>
    <row r="141" s="1019" customFormat="1" spans="1:59">
      <c r="A141" s="976"/>
      <c r="B141" s="976"/>
      <c r="C141" s="976"/>
      <c r="D141" s="976"/>
      <c r="E141" s="976"/>
      <c r="F141" s="976"/>
      <c r="G141" s="976"/>
      <c r="H141" s="976"/>
      <c r="I141" s="976"/>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1007"/>
      <c r="AO141" s="1007"/>
      <c r="AP141" s="1009"/>
      <c r="AQ141" s="1012"/>
      <c r="AR141" s="1013"/>
      <c r="AS141" s="1013"/>
      <c r="AT141" s="1013"/>
      <c r="AU141" s="1012"/>
      <c r="AW141" s="1009"/>
      <c r="BD141" s="1009"/>
      <c r="BE141" s="1009"/>
      <c r="BF141" s="1009"/>
      <c r="BG141" s="1009"/>
    </row>
    <row r="142" s="1019" customFormat="1" spans="1:59">
      <c r="A142" s="976"/>
      <c r="B142" s="976"/>
      <c r="C142" s="976"/>
      <c r="D142" s="976"/>
      <c r="E142" s="976"/>
      <c r="F142" s="976"/>
      <c r="G142" s="976"/>
      <c r="H142" s="976"/>
      <c r="I142" s="976"/>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1007"/>
      <c r="AO142" s="1007"/>
      <c r="AP142" s="1009"/>
      <c r="AQ142" s="1012"/>
      <c r="AR142" s="1013"/>
      <c r="AS142" s="1013"/>
      <c r="AT142" s="1013"/>
      <c r="AU142" s="1012"/>
      <c r="AW142" s="1009"/>
      <c r="BD142" s="1009"/>
      <c r="BE142" s="1009"/>
      <c r="BF142" s="1009"/>
      <c r="BG142" s="1009"/>
    </row>
    <row r="143" s="1019" customFormat="1" spans="1:59">
      <c r="A143" s="976"/>
      <c r="B143" s="976"/>
      <c r="C143" s="976"/>
      <c r="D143" s="976"/>
      <c r="E143" s="976"/>
      <c r="F143" s="976"/>
      <c r="G143" s="976"/>
      <c r="H143" s="976"/>
      <c r="I143" s="976"/>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1007"/>
      <c r="AO143" s="1007"/>
      <c r="AP143" s="1009"/>
      <c r="AQ143" s="1012"/>
      <c r="AR143" s="1013"/>
      <c r="AS143" s="1013"/>
      <c r="AT143" s="1013"/>
      <c r="AU143" s="1012"/>
      <c r="AW143" s="1009"/>
      <c r="BD143" s="1009"/>
      <c r="BE143" s="1009"/>
      <c r="BF143" s="1009"/>
      <c r="BG143" s="1009"/>
    </row>
    <row r="144" s="1019" customFormat="1" spans="1:59">
      <c r="A144" s="976"/>
      <c r="B144" s="976"/>
      <c r="C144" s="976"/>
      <c r="D144" s="976"/>
      <c r="E144" s="976"/>
      <c r="F144" s="976"/>
      <c r="G144" s="976"/>
      <c r="H144" s="976"/>
      <c r="I144" s="976"/>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1007"/>
      <c r="AO144" s="1007"/>
      <c r="AP144" s="1009"/>
      <c r="AQ144" s="1012"/>
      <c r="AR144" s="1013"/>
      <c r="AS144" s="1013"/>
      <c r="AT144" s="1013"/>
      <c r="AU144" s="1012"/>
      <c r="AW144" s="1009"/>
      <c r="BD144" s="1009"/>
      <c r="BE144" s="1009"/>
      <c r="BF144" s="1009"/>
      <c r="BG144" s="1009"/>
    </row>
    <row r="145" s="1019" customFormat="1" spans="1:59">
      <c r="A145" s="976"/>
      <c r="B145" s="976"/>
      <c r="C145" s="976"/>
      <c r="D145" s="976"/>
      <c r="E145" s="976"/>
      <c r="F145" s="976"/>
      <c r="G145" s="976"/>
      <c r="H145" s="976"/>
      <c r="I145" s="976"/>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1007"/>
      <c r="AO145" s="1007"/>
      <c r="AP145" s="1009"/>
      <c r="AQ145" s="1012"/>
      <c r="AR145" s="1013"/>
      <c r="AS145" s="1013"/>
      <c r="AT145" s="1013"/>
      <c r="AU145" s="1012"/>
      <c r="AW145" s="1009"/>
      <c r="BD145" s="1009"/>
      <c r="BE145" s="1009"/>
      <c r="BF145" s="1009"/>
      <c r="BG145" s="1009"/>
    </row>
    <row r="146" s="1019" customFormat="1" spans="1:59">
      <c r="A146" s="976"/>
      <c r="B146" s="976"/>
      <c r="C146" s="976"/>
      <c r="D146" s="976"/>
      <c r="E146" s="976"/>
      <c r="F146" s="976"/>
      <c r="G146" s="976"/>
      <c r="H146" s="976"/>
      <c r="I146" s="976"/>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1007"/>
      <c r="AO146" s="1007"/>
      <c r="AP146" s="1009"/>
      <c r="AQ146" s="1012"/>
      <c r="AR146" s="1013"/>
      <c r="AS146" s="1013"/>
      <c r="AT146" s="1013"/>
      <c r="AU146" s="1012"/>
      <c r="AW146" s="1009"/>
      <c r="BD146" s="1009"/>
      <c r="BE146" s="1009"/>
      <c r="BF146" s="1009"/>
      <c r="BG146" s="1009"/>
    </row>
    <row r="147" s="1019" customFormat="1" spans="1:59">
      <c r="A147" s="976"/>
      <c r="B147" s="976"/>
      <c r="C147" s="976"/>
      <c r="D147" s="976"/>
      <c r="E147" s="976"/>
      <c r="F147" s="976"/>
      <c r="G147" s="976"/>
      <c r="H147" s="976"/>
      <c r="I147" s="976"/>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1007"/>
      <c r="AO147" s="1007"/>
      <c r="AP147" s="1009"/>
      <c r="AQ147" s="1012"/>
      <c r="AR147" s="1013"/>
      <c r="AS147" s="1013"/>
      <c r="AT147" s="1013"/>
      <c r="AU147" s="1012"/>
      <c r="AW147" s="1009"/>
      <c r="BD147" s="1009"/>
      <c r="BE147" s="1009"/>
      <c r="BF147" s="1009"/>
      <c r="BG147" s="1009"/>
    </row>
    <row r="148" s="1019" customFormat="1" spans="1:59">
      <c r="A148" s="976"/>
      <c r="B148" s="976"/>
      <c r="C148" s="976"/>
      <c r="D148" s="976"/>
      <c r="E148" s="976"/>
      <c r="F148" s="976"/>
      <c r="G148" s="976"/>
      <c r="H148" s="976"/>
      <c r="I148" s="976"/>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1007"/>
      <c r="AO148" s="1007"/>
      <c r="AP148" s="1009"/>
      <c r="AQ148" s="1012"/>
      <c r="AR148" s="1013"/>
      <c r="AS148" s="1013"/>
      <c r="AT148" s="1013"/>
      <c r="AU148" s="1012"/>
      <c r="AW148" s="1009"/>
      <c r="BD148" s="1009"/>
      <c r="BE148" s="1009"/>
      <c r="BF148" s="1009"/>
      <c r="BG148" s="1009"/>
    </row>
    <row r="149" s="1019" customFormat="1" spans="1:59">
      <c r="A149" s="976"/>
      <c r="B149" s="976"/>
      <c r="C149" s="976"/>
      <c r="D149" s="976"/>
      <c r="E149" s="976"/>
      <c r="F149" s="976"/>
      <c r="G149" s="976"/>
      <c r="H149" s="976"/>
      <c r="I149" s="976"/>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1007"/>
      <c r="AO149" s="1007"/>
      <c r="AP149" s="1009"/>
      <c r="AQ149" s="1012"/>
      <c r="AR149" s="1013"/>
      <c r="AS149" s="1013"/>
      <c r="AT149" s="1013"/>
      <c r="AU149" s="1012"/>
      <c r="AW149" s="1009"/>
      <c r="BD149" s="1009"/>
      <c r="BE149" s="1009"/>
      <c r="BF149" s="1009"/>
      <c r="BG149" s="1009"/>
    </row>
    <row r="150" s="1019" customFormat="1" spans="1:59">
      <c r="A150" s="976"/>
      <c r="B150" s="976"/>
      <c r="C150" s="976"/>
      <c r="D150" s="976"/>
      <c r="E150" s="976"/>
      <c r="F150" s="976"/>
      <c r="G150" s="976"/>
      <c r="H150" s="976"/>
      <c r="I150" s="976"/>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1007"/>
      <c r="AO150" s="1007"/>
      <c r="AP150" s="1009"/>
      <c r="AQ150" s="1012"/>
      <c r="AR150" s="1013"/>
      <c r="AS150" s="1013"/>
      <c r="AT150" s="1013"/>
      <c r="AU150" s="1012"/>
      <c r="AW150" s="1009"/>
      <c r="BD150" s="1009"/>
      <c r="BE150" s="1009"/>
      <c r="BF150" s="1009"/>
      <c r="BG150" s="1009"/>
    </row>
    <row r="151" s="1019" customFormat="1" spans="1:59">
      <c r="A151" s="976"/>
      <c r="B151" s="976"/>
      <c r="C151" s="976"/>
      <c r="D151" s="976"/>
      <c r="E151" s="976"/>
      <c r="F151" s="976"/>
      <c r="G151" s="976"/>
      <c r="H151" s="976"/>
      <c r="I151" s="976"/>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1007"/>
      <c r="AO151" s="1007"/>
      <c r="AP151" s="1009"/>
      <c r="AQ151" s="1012"/>
      <c r="AR151" s="1013"/>
      <c r="AS151" s="1013"/>
      <c r="AT151" s="1013"/>
      <c r="AU151" s="1012"/>
      <c r="AW151" s="1009"/>
      <c r="BD151" s="1009"/>
      <c r="BE151" s="1009"/>
      <c r="BF151" s="1009"/>
      <c r="BG151" s="1009"/>
    </row>
    <row r="152" s="1019" customFormat="1" spans="1:59">
      <c r="A152" s="976"/>
      <c r="B152" s="976"/>
      <c r="C152" s="976"/>
      <c r="D152" s="976"/>
      <c r="E152" s="976"/>
      <c r="F152" s="976"/>
      <c r="G152" s="976"/>
      <c r="H152" s="976"/>
      <c r="I152" s="976"/>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1007"/>
      <c r="AO152" s="1007"/>
      <c r="AP152" s="1009"/>
      <c r="AQ152" s="1012"/>
      <c r="AR152" s="1013"/>
      <c r="AS152" s="1013"/>
      <c r="AT152" s="1013"/>
      <c r="AU152" s="1012"/>
      <c r="AW152" s="1009"/>
      <c r="BD152" s="1009"/>
      <c r="BE152" s="1009"/>
      <c r="BF152" s="1009"/>
      <c r="BG152" s="1009"/>
    </row>
    <row r="153" s="1019" customFormat="1" spans="1:59">
      <c r="A153" s="976"/>
      <c r="B153" s="976"/>
      <c r="C153" s="976"/>
      <c r="D153" s="976"/>
      <c r="E153" s="976"/>
      <c r="F153" s="976"/>
      <c r="G153" s="976"/>
      <c r="H153" s="976"/>
      <c r="I153" s="976"/>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1007"/>
      <c r="AO153" s="1007"/>
      <c r="AP153" s="1009"/>
      <c r="AQ153" s="1012"/>
      <c r="AR153" s="1013"/>
      <c r="AS153" s="1013"/>
      <c r="AT153" s="1013"/>
      <c r="AU153" s="1012"/>
      <c r="AW153" s="1009"/>
      <c r="BD153" s="1009"/>
      <c r="BE153" s="1009"/>
      <c r="BF153" s="1009"/>
      <c r="BG153" s="1009"/>
    </row>
    <row r="154" s="1019" customFormat="1" spans="1:59">
      <c r="A154" s="976"/>
      <c r="B154" s="976"/>
      <c r="C154" s="976"/>
      <c r="D154" s="976"/>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1007"/>
      <c r="AO154" s="1007"/>
      <c r="AP154" s="1009"/>
      <c r="AQ154" s="1012"/>
      <c r="AR154" s="1013"/>
      <c r="AS154" s="1013"/>
      <c r="AT154" s="1013"/>
      <c r="AU154" s="1012"/>
      <c r="AW154" s="1009"/>
      <c r="BD154" s="1009"/>
      <c r="BE154" s="1009"/>
      <c r="BF154" s="1009"/>
      <c r="BG154" s="1009"/>
    </row>
    <row r="155" s="1019" customFormat="1" spans="1:59">
      <c r="A155" s="976"/>
      <c r="B155" s="976"/>
      <c r="C155" s="976"/>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1007"/>
      <c r="AO155" s="1007"/>
      <c r="AP155" s="1009"/>
      <c r="AQ155" s="1012"/>
      <c r="AR155" s="1013"/>
      <c r="AS155" s="1013"/>
      <c r="AT155" s="1013"/>
      <c r="AU155" s="1012"/>
      <c r="AW155" s="1009"/>
      <c r="BD155" s="1009"/>
      <c r="BE155" s="1009"/>
      <c r="BF155" s="1009"/>
      <c r="BG155" s="1009"/>
    </row>
    <row r="156" s="1019" customFormat="1" spans="1:59">
      <c r="A156" s="976"/>
      <c r="B156" s="976"/>
      <c r="C156" s="976"/>
      <c r="D156" s="976"/>
      <c r="E156" s="976"/>
      <c r="F156" s="976"/>
      <c r="G156" s="976"/>
      <c r="H156" s="976"/>
      <c r="I156" s="976"/>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1007"/>
      <c r="AO156" s="1007"/>
      <c r="AP156" s="1009"/>
      <c r="AQ156" s="1012"/>
      <c r="AR156" s="1013"/>
      <c r="AS156" s="1013"/>
      <c r="AT156" s="1013"/>
      <c r="AU156" s="1012"/>
      <c r="AW156" s="1009"/>
      <c r="BD156" s="1009"/>
      <c r="BE156" s="1009"/>
      <c r="BF156" s="1009"/>
      <c r="BG156" s="1009"/>
    </row>
    <row r="157" s="1019" customFormat="1" spans="1:59">
      <c r="A157" s="976"/>
      <c r="B157" s="976"/>
      <c r="C157" s="976"/>
      <c r="D157" s="976"/>
      <c r="E157" s="976"/>
      <c r="F157" s="976"/>
      <c r="G157" s="976"/>
      <c r="H157" s="976"/>
      <c r="I157" s="976"/>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1007"/>
      <c r="AO157" s="1007"/>
      <c r="AP157" s="1009"/>
      <c r="AQ157" s="1012"/>
      <c r="AR157" s="1013"/>
      <c r="AS157" s="1013"/>
      <c r="AT157" s="1013"/>
      <c r="AU157" s="1012"/>
      <c r="AW157" s="1009"/>
      <c r="BD157" s="1009"/>
      <c r="BE157" s="1009"/>
      <c r="BF157" s="1009"/>
      <c r="BG157" s="1009"/>
    </row>
    <row r="158" s="1019" customFormat="1" spans="1:59">
      <c r="A158" s="976"/>
      <c r="B158" s="976"/>
      <c r="C158" s="976"/>
      <c r="D158" s="976"/>
      <c r="E158" s="976"/>
      <c r="F158" s="976"/>
      <c r="G158" s="976"/>
      <c r="H158" s="976"/>
      <c r="I158" s="976"/>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1007"/>
      <c r="AO158" s="1007"/>
      <c r="AP158" s="1009"/>
      <c r="AQ158" s="1012"/>
      <c r="AR158" s="1013"/>
      <c r="AS158" s="1013"/>
      <c r="AT158" s="1013"/>
      <c r="AU158" s="1012"/>
      <c r="AW158" s="1009"/>
      <c r="BD158" s="1009"/>
      <c r="BE158" s="1009"/>
      <c r="BF158" s="1009"/>
      <c r="BG158" s="1009"/>
    </row>
    <row r="159" s="1019" customFormat="1" spans="1:59">
      <c r="A159" s="976"/>
      <c r="B159" s="976"/>
      <c r="C159" s="976"/>
      <c r="D159" s="976"/>
      <c r="E159" s="976"/>
      <c r="F159" s="976"/>
      <c r="G159" s="976"/>
      <c r="H159" s="976"/>
      <c r="I159" s="976"/>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1007"/>
      <c r="AO159" s="1007"/>
      <c r="AP159" s="1009"/>
      <c r="AQ159" s="1012"/>
      <c r="AR159" s="1013"/>
      <c r="AS159" s="1013"/>
      <c r="AT159" s="1013"/>
      <c r="AU159" s="1012"/>
      <c r="AW159" s="1009"/>
      <c r="BD159" s="1009"/>
      <c r="BE159" s="1009"/>
      <c r="BF159" s="1009"/>
      <c r="BG159" s="1009"/>
    </row>
    <row r="160" s="1019" customFormat="1" spans="1:59">
      <c r="A160" s="976"/>
      <c r="B160" s="976"/>
      <c r="C160" s="976"/>
      <c r="D160" s="976"/>
      <c r="E160" s="976"/>
      <c r="F160" s="976"/>
      <c r="G160" s="976"/>
      <c r="H160" s="976"/>
      <c r="I160" s="976"/>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1007"/>
      <c r="AO160" s="1007"/>
      <c r="AP160" s="1009"/>
      <c r="AQ160" s="1012"/>
      <c r="AR160" s="1013"/>
      <c r="AS160" s="1013"/>
      <c r="AT160" s="1013"/>
      <c r="AU160" s="1012"/>
      <c r="AW160" s="1009"/>
      <c r="BD160" s="1009"/>
      <c r="BE160" s="1009"/>
      <c r="BF160" s="1009"/>
      <c r="BG160" s="1009"/>
    </row>
    <row r="161" s="1019" customFormat="1" spans="1:59">
      <c r="A161" s="976"/>
      <c r="B161" s="976"/>
      <c r="C161" s="976"/>
      <c r="D161" s="976"/>
      <c r="E161" s="976"/>
      <c r="F161" s="976"/>
      <c r="G161" s="976"/>
      <c r="H161" s="976"/>
      <c r="I161" s="976"/>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1007"/>
      <c r="AO161" s="1007"/>
      <c r="AP161" s="1009"/>
      <c r="AQ161" s="1012"/>
      <c r="AR161" s="1013"/>
      <c r="AS161" s="1013"/>
      <c r="AT161" s="1013"/>
      <c r="AU161" s="1012"/>
      <c r="AW161" s="1009"/>
      <c r="BD161" s="1009"/>
      <c r="BE161" s="1009"/>
      <c r="BF161" s="1009"/>
      <c r="BG161" s="1009"/>
    </row>
    <row r="162" s="1019" customFormat="1" spans="1:59">
      <c r="A162" s="976"/>
      <c r="B162" s="976"/>
      <c r="C162" s="976"/>
      <c r="D162" s="976"/>
      <c r="E162" s="976"/>
      <c r="F162" s="976"/>
      <c r="G162" s="976"/>
      <c r="H162" s="976"/>
      <c r="I162" s="976"/>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1007"/>
      <c r="AO162" s="1007"/>
      <c r="AP162" s="1009"/>
      <c r="AQ162" s="1012"/>
      <c r="AR162" s="1013"/>
      <c r="AS162" s="1013"/>
      <c r="AT162" s="1013"/>
      <c r="AU162" s="1012"/>
      <c r="AW162" s="1009"/>
      <c r="BD162" s="1009"/>
      <c r="BE162" s="1009"/>
      <c r="BF162" s="1009"/>
      <c r="BG162" s="1009"/>
    </row>
    <row r="163" s="1019" customFormat="1" spans="1:59">
      <c r="A163" s="976"/>
      <c r="B163" s="976"/>
      <c r="C163" s="976"/>
      <c r="D163" s="976"/>
      <c r="E163" s="976"/>
      <c r="F163" s="976"/>
      <c r="G163" s="976"/>
      <c r="H163" s="976"/>
      <c r="I163" s="976"/>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1007"/>
      <c r="AO163" s="1007"/>
      <c r="AP163" s="1009"/>
      <c r="AQ163" s="1012"/>
      <c r="AR163" s="1013"/>
      <c r="AS163" s="1013"/>
      <c r="AT163" s="1013"/>
      <c r="AU163" s="1012"/>
      <c r="AW163" s="1009"/>
      <c r="BD163" s="1009"/>
      <c r="BE163" s="1009"/>
      <c r="BF163" s="1009"/>
      <c r="BG163" s="1009"/>
    </row>
    <row r="164" s="1019" customFormat="1" spans="1:59">
      <c r="A164" s="976"/>
      <c r="B164" s="976"/>
      <c r="C164" s="976"/>
      <c r="D164" s="976"/>
      <c r="E164" s="976"/>
      <c r="F164" s="976"/>
      <c r="G164" s="976"/>
      <c r="H164" s="976"/>
      <c r="I164" s="976"/>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1007"/>
      <c r="AO164" s="1007"/>
      <c r="AP164" s="1009"/>
      <c r="AQ164" s="1012"/>
      <c r="AR164" s="1013"/>
      <c r="AS164" s="1013"/>
      <c r="AT164" s="1013"/>
      <c r="AU164" s="1012"/>
      <c r="AW164" s="1009"/>
      <c r="BD164" s="1009"/>
      <c r="BE164" s="1009"/>
      <c r="BF164" s="1009"/>
      <c r="BG164" s="1009"/>
    </row>
    <row r="165" s="1019" customFormat="1" spans="1:59">
      <c r="A165" s="976"/>
      <c r="B165" s="976"/>
      <c r="C165" s="976"/>
      <c r="D165" s="976"/>
      <c r="E165" s="976"/>
      <c r="F165" s="976"/>
      <c r="G165" s="976"/>
      <c r="H165" s="976"/>
      <c r="I165" s="976"/>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1007"/>
      <c r="AO165" s="1007"/>
      <c r="AP165" s="1009"/>
      <c r="AQ165" s="1012"/>
      <c r="AR165" s="1013"/>
      <c r="AS165" s="1013"/>
      <c r="AT165" s="1013"/>
      <c r="AU165" s="1012"/>
      <c r="AW165" s="1009"/>
      <c r="BD165" s="1009"/>
      <c r="BE165" s="1009"/>
      <c r="BF165" s="1009"/>
      <c r="BG165" s="1009"/>
    </row>
    <row r="166" s="1019" customFormat="1" spans="1:59">
      <c r="A166" s="976"/>
      <c r="B166" s="976"/>
      <c r="C166" s="976"/>
      <c r="D166" s="976"/>
      <c r="E166" s="976"/>
      <c r="F166" s="976"/>
      <c r="G166" s="976"/>
      <c r="H166" s="976"/>
      <c r="I166" s="976"/>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1007"/>
      <c r="AO166" s="1007"/>
      <c r="AP166" s="1009"/>
      <c r="AQ166" s="1012"/>
      <c r="AR166" s="1013"/>
      <c r="AS166" s="1013"/>
      <c r="AT166" s="1013"/>
      <c r="AU166" s="1012"/>
      <c r="AW166" s="1009"/>
      <c r="BD166" s="1009"/>
      <c r="BE166" s="1009"/>
      <c r="BF166" s="1009"/>
      <c r="BG166" s="1009"/>
    </row>
    <row r="167" s="1019" customFormat="1" spans="1:59">
      <c r="A167" s="976"/>
      <c r="B167" s="976"/>
      <c r="C167" s="976"/>
      <c r="D167" s="976"/>
      <c r="E167" s="976"/>
      <c r="F167" s="976"/>
      <c r="G167" s="976"/>
      <c r="H167" s="976"/>
      <c r="I167" s="976"/>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1007"/>
      <c r="AO167" s="1007"/>
      <c r="AP167" s="1009"/>
      <c r="AQ167" s="1012"/>
      <c r="AR167" s="1013"/>
      <c r="AS167" s="1013"/>
      <c r="AT167" s="1013"/>
      <c r="AU167" s="1012"/>
      <c r="AW167" s="1009"/>
      <c r="BD167" s="1009"/>
      <c r="BE167" s="1009"/>
      <c r="BF167" s="1009"/>
      <c r="BG167" s="1009"/>
    </row>
    <row r="168" s="1019" customFormat="1" spans="1:59">
      <c r="A168" s="976"/>
      <c r="B168" s="976"/>
      <c r="C168" s="976"/>
      <c r="D168" s="976"/>
      <c r="E168" s="976"/>
      <c r="F168" s="976"/>
      <c r="G168" s="976"/>
      <c r="H168" s="976"/>
      <c r="I168" s="976"/>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1007"/>
      <c r="AO168" s="1007"/>
      <c r="AP168" s="1009"/>
      <c r="AQ168" s="1012"/>
      <c r="AR168" s="1013"/>
      <c r="AS168" s="1013"/>
      <c r="AT168" s="1013"/>
      <c r="AU168" s="1012"/>
      <c r="AW168" s="1009"/>
      <c r="BD168" s="1009"/>
      <c r="BE168" s="1009"/>
      <c r="BF168" s="1009"/>
      <c r="BG168" s="1009"/>
    </row>
    <row r="169" s="1019" customFormat="1" spans="1:59">
      <c r="A169" s="976"/>
      <c r="B169" s="976"/>
      <c r="C169" s="976"/>
      <c r="D169" s="976"/>
      <c r="E169" s="976"/>
      <c r="F169" s="976"/>
      <c r="G169" s="976"/>
      <c r="H169" s="976"/>
      <c r="I169" s="976"/>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1007"/>
      <c r="AO169" s="1007"/>
      <c r="AP169" s="1009"/>
      <c r="AQ169" s="1012"/>
      <c r="AR169" s="1013"/>
      <c r="AS169" s="1013"/>
      <c r="AT169" s="1013"/>
      <c r="AU169" s="1012"/>
      <c r="AW169" s="1009"/>
      <c r="BD169" s="1009"/>
      <c r="BE169" s="1009"/>
      <c r="BF169" s="1009"/>
      <c r="BG169" s="1009"/>
    </row>
    <row r="170" s="1019" customFormat="1" spans="1:59">
      <c r="A170" s="976"/>
      <c r="B170" s="976"/>
      <c r="C170" s="976"/>
      <c r="D170" s="976"/>
      <c r="E170" s="976"/>
      <c r="F170" s="976"/>
      <c r="G170" s="976"/>
      <c r="H170" s="976"/>
      <c r="I170" s="976"/>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1007"/>
      <c r="AO170" s="1007"/>
      <c r="AP170" s="1009"/>
      <c r="AQ170" s="1012"/>
      <c r="AR170" s="1013"/>
      <c r="AS170" s="1013"/>
      <c r="AT170" s="1013"/>
      <c r="AU170" s="1012"/>
      <c r="AW170" s="1009"/>
      <c r="BD170" s="1009"/>
      <c r="BE170" s="1009"/>
      <c r="BF170" s="1009"/>
      <c r="BG170" s="1009"/>
    </row>
    <row r="171" s="1019" customFormat="1" spans="1:59">
      <c r="A171" s="976"/>
      <c r="B171" s="976"/>
      <c r="C171" s="976"/>
      <c r="D171" s="976"/>
      <c r="E171" s="976"/>
      <c r="F171" s="976"/>
      <c r="G171" s="976"/>
      <c r="H171" s="976"/>
      <c r="I171" s="976"/>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1007"/>
      <c r="AO171" s="1007"/>
      <c r="AP171" s="1009"/>
      <c r="AQ171" s="1012"/>
      <c r="AR171" s="1013"/>
      <c r="AS171" s="1013"/>
      <c r="AT171" s="1013"/>
      <c r="AU171" s="1012"/>
      <c r="AW171" s="1009"/>
      <c r="BD171" s="1009"/>
      <c r="BE171" s="1009"/>
      <c r="BF171" s="1009"/>
      <c r="BG171" s="1009"/>
    </row>
    <row r="172" s="1019" customFormat="1" spans="1:59">
      <c r="A172" s="976"/>
      <c r="B172" s="976"/>
      <c r="C172" s="976"/>
      <c r="D172" s="976"/>
      <c r="E172" s="976"/>
      <c r="F172" s="976"/>
      <c r="G172" s="976"/>
      <c r="H172" s="976"/>
      <c r="I172" s="976"/>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1007"/>
      <c r="AO172" s="1007"/>
      <c r="AP172" s="1009"/>
      <c r="AQ172" s="1012"/>
      <c r="AR172" s="1013"/>
      <c r="AS172" s="1013"/>
      <c r="AT172" s="1013"/>
      <c r="AU172" s="1012"/>
      <c r="AW172" s="1009"/>
      <c r="BD172" s="1009"/>
      <c r="BE172" s="1009"/>
      <c r="BF172" s="1009"/>
      <c r="BG172" s="1009"/>
    </row>
    <row r="173" s="1019" customFormat="1" spans="1:59">
      <c r="A173" s="976"/>
      <c r="B173" s="976"/>
      <c r="C173" s="976"/>
      <c r="D173" s="976"/>
      <c r="E173" s="976"/>
      <c r="F173" s="976"/>
      <c r="G173" s="976"/>
      <c r="H173" s="976"/>
      <c r="I173" s="976"/>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1007"/>
      <c r="AO173" s="1007"/>
      <c r="AP173" s="1009"/>
      <c r="AQ173" s="1012"/>
      <c r="AR173" s="1013"/>
      <c r="AS173" s="1013"/>
      <c r="AT173" s="1013"/>
      <c r="AU173" s="1012"/>
      <c r="AW173" s="1009"/>
      <c r="BD173" s="1009"/>
      <c r="BE173" s="1009"/>
      <c r="BF173" s="1009"/>
      <c r="BG173" s="1009"/>
    </row>
    <row r="174" s="1019" customFormat="1" spans="1:59">
      <c r="A174" s="976"/>
      <c r="B174" s="976"/>
      <c r="C174" s="976"/>
      <c r="D174" s="976"/>
      <c r="E174" s="976"/>
      <c r="F174" s="976"/>
      <c r="G174" s="976"/>
      <c r="H174" s="976"/>
      <c r="I174" s="976"/>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1007"/>
      <c r="AO174" s="1007"/>
      <c r="AP174" s="1009"/>
      <c r="AQ174" s="1012"/>
      <c r="AR174" s="1013"/>
      <c r="AS174" s="1013"/>
      <c r="AT174" s="1013"/>
      <c r="AU174" s="1012"/>
      <c r="AW174" s="1009"/>
      <c r="BD174" s="1009"/>
      <c r="BE174" s="1009"/>
      <c r="BF174" s="1009"/>
      <c r="BG174" s="1009"/>
    </row>
    <row r="175" s="1019" customFormat="1" spans="1:59">
      <c r="A175" s="976"/>
      <c r="B175" s="976"/>
      <c r="C175" s="976"/>
      <c r="D175" s="976"/>
      <c r="E175" s="976"/>
      <c r="F175" s="976"/>
      <c r="G175" s="976"/>
      <c r="H175" s="976"/>
      <c r="I175" s="976"/>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1007"/>
      <c r="AO175" s="1007"/>
      <c r="AP175" s="1009"/>
      <c r="AQ175" s="1012"/>
      <c r="AR175" s="1013"/>
      <c r="AS175" s="1013"/>
      <c r="AT175" s="1013"/>
      <c r="AU175" s="1012"/>
      <c r="AW175" s="1009"/>
      <c r="BD175" s="1009"/>
      <c r="BE175" s="1009"/>
      <c r="BF175" s="1009"/>
      <c r="BG175" s="1009"/>
    </row>
    <row r="176" s="1019" customFormat="1" spans="1:59">
      <c r="A176" s="976"/>
      <c r="B176" s="976"/>
      <c r="C176" s="976"/>
      <c r="D176" s="976"/>
      <c r="E176" s="976"/>
      <c r="F176" s="976"/>
      <c r="G176" s="976"/>
      <c r="H176" s="976"/>
      <c r="I176" s="976"/>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1007"/>
      <c r="AO176" s="1007"/>
      <c r="AP176" s="1009"/>
      <c r="AQ176" s="1012"/>
      <c r="AR176" s="1013"/>
      <c r="AS176" s="1013"/>
      <c r="AT176" s="1013"/>
      <c r="AU176" s="1012"/>
      <c r="AW176" s="1009"/>
      <c r="BD176" s="1009"/>
      <c r="BE176" s="1009"/>
      <c r="BF176" s="1009"/>
      <c r="BG176" s="1009"/>
    </row>
    <row r="177" s="1019" customFormat="1" spans="1:59">
      <c r="A177" s="976"/>
      <c r="B177" s="976"/>
      <c r="C177" s="976"/>
      <c r="D177" s="976"/>
      <c r="E177" s="976"/>
      <c r="F177" s="976"/>
      <c r="G177" s="976"/>
      <c r="H177" s="976"/>
      <c r="I177" s="976"/>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1007"/>
      <c r="AO177" s="1007"/>
      <c r="AP177" s="1009"/>
      <c r="AQ177" s="1012"/>
      <c r="AR177" s="1013"/>
      <c r="AS177" s="1013"/>
      <c r="AT177" s="1013"/>
      <c r="AU177" s="1012"/>
      <c r="AW177" s="1009"/>
      <c r="BD177" s="1009"/>
      <c r="BE177" s="1009"/>
      <c r="BF177" s="1009"/>
      <c r="BG177" s="1009"/>
    </row>
    <row r="178" s="1019" customFormat="1" spans="1:59">
      <c r="A178" s="976"/>
      <c r="B178" s="976"/>
      <c r="C178" s="976"/>
      <c r="D178" s="976"/>
      <c r="E178" s="976"/>
      <c r="F178" s="976"/>
      <c r="G178" s="976"/>
      <c r="H178" s="976"/>
      <c r="I178" s="976"/>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1007"/>
      <c r="AO178" s="1007"/>
      <c r="AP178" s="1009"/>
      <c r="AQ178" s="1012"/>
      <c r="AR178" s="1013"/>
      <c r="AS178" s="1013"/>
      <c r="AT178" s="1013"/>
      <c r="AU178" s="1012"/>
      <c r="AW178" s="1009"/>
      <c r="BD178" s="1009"/>
      <c r="BE178" s="1009"/>
      <c r="BF178" s="1009"/>
      <c r="BG178" s="1009"/>
    </row>
    <row r="179" s="1019" customFormat="1" spans="1:59">
      <c r="A179" s="976"/>
      <c r="B179" s="976"/>
      <c r="C179" s="976"/>
      <c r="D179" s="976"/>
      <c r="E179" s="976"/>
      <c r="F179" s="976"/>
      <c r="G179" s="976"/>
      <c r="H179" s="976"/>
      <c r="I179" s="976"/>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1007"/>
      <c r="AO179" s="1007"/>
      <c r="AP179" s="1009"/>
      <c r="AQ179" s="1012"/>
      <c r="AR179" s="1013"/>
      <c r="AS179" s="1013"/>
      <c r="AT179" s="1013"/>
      <c r="AU179" s="1012"/>
      <c r="AW179" s="1009"/>
      <c r="BD179" s="1009"/>
      <c r="BE179" s="1009"/>
      <c r="BF179" s="1009"/>
      <c r="BG179" s="1009"/>
    </row>
    <row r="180" s="1019" customFormat="1" spans="1:59">
      <c r="A180" s="976"/>
      <c r="B180" s="976"/>
      <c r="C180" s="976"/>
      <c r="D180" s="976"/>
      <c r="E180" s="976"/>
      <c r="F180" s="976"/>
      <c r="G180" s="976"/>
      <c r="H180" s="976"/>
      <c r="I180" s="976"/>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1007"/>
      <c r="AO180" s="1007"/>
      <c r="AP180" s="1009"/>
      <c r="AQ180" s="1012"/>
      <c r="AR180" s="1013"/>
      <c r="AS180" s="1013"/>
      <c r="AT180" s="1013"/>
      <c r="AU180" s="1012"/>
      <c r="AW180" s="1009"/>
      <c r="BD180" s="1009"/>
      <c r="BE180" s="1009"/>
      <c r="BF180" s="1009"/>
      <c r="BG180" s="1009"/>
    </row>
    <row r="181" s="1019" customFormat="1" spans="1:59">
      <c r="A181" s="976"/>
      <c r="B181" s="976"/>
      <c r="C181" s="976"/>
      <c r="D181" s="976"/>
      <c r="E181" s="976"/>
      <c r="F181" s="976"/>
      <c r="G181" s="976"/>
      <c r="H181" s="976"/>
      <c r="I181" s="976"/>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1007"/>
      <c r="AO181" s="1007"/>
      <c r="AP181" s="1009"/>
      <c r="AQ181" s="1012"/>
      <c r="AR181" s="1013"/>
      <c r="AS181" s="1013"/>
      <c r="AT181" s="1013"/>
      <c r="AU181" s="1012"/>
      <c r="AW181" s="1009"/>
      <c r="BD181" s="1009"/>
      <c r="BE181" s="1009"/>
      <c r="BF181" s="1009"/>
      <c r="BG181" s="1009"/>
    </row>
    <row r="182" s="1019" customFormat="1" spans="1:59">
      <c r="A182" s="976"/>
      <c r="B182" s="976"/>
      <c r="C182" s="976"/>
      <c r="D182" s="976"/>
      <c r="E182" s="976"/>
      <c r="F182" s="976"/>
      <c r="G182" s="976"/>
      <c r="H182" s="976"/>
      <c r="I182" s="976"/>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1007"/>
      <c r="AO182" s="1007"/>
      <c r="AP182" s="1009"/>
      <c r="AQ182" s="1012"/>
      <c r="AR182" s="1013"/>
      <c r="AS182" s="1013"/>
      <c r="AT182" s="1013"/>
      <c r="AU182" s="1012"/>
      <c r="AW182" s="1009"/>
      <c r="BD182" s="1009"/>
      <c r="BE182" s="1009"/>
      <c r="BF182" s="1009"/>
      <c r="BG182" s="1009"/>
    </row>
    <row r="183" s="1019" customFormat="1" spans="1:59">
      <c r="A183" s="976"/>
      <c r="B183" s="976"/>
      <c r="C183" s="976"/>
      <c r="D183" s="976"/>
      <c r="E183" s="976"/>
      <c r="F183" s="976"/>
      <c r="G183" s="976"/>
      <c r="H183" s="976"/>
      <c r="I183" s="976"/>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1007"/>
      <c r="AO183" s="1007"/>
      <c r="AP183" s="1009"/>
      <c r="AQ183" s="1012"/>
      <c r="AR183" s="1013"/>
      <c r="AS183" s="1013"/>
      <c r="AT183" s="1013"/>
      <c r="AU183" s="1012"/>
      <c r="AW183" s="1009"/>
      <c r="BD183" s="1009"/>
      <c r="BE183" s="1009"/>
      <c r="BF183" s="1009"/>
      <c r="BG183" s="1009"/>
    </row>
    <row r="184" s="1019" customFormat="1" spans="1:59">
      <c r="A184" s="976"/>
      <c r="B184" s="976"/>
      <c r="C184" s="976"/>
      <c r="D184" s="976"/>
      <c r="E184" s="976"/>
      <c r="F184" s="976"/>
      <c r="G184" s="976"/>
      <c r="H184" s="976"/>
      <c r="I184" s="976"/>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1007"/>
      <c r="AO184" s="1007"/>
      <c r="AP184" s="1009"/>
      <c r="AQ184" s="1012"/>
      <c r="AR184" s="1013"/>
      <c r="AS184" s="1013"/>
      <c r="AT184" s="1013"/>
      <c r="AU184" s="1012"/>
      <c r="AW184" s="1009"/>
      <c r="BD184" s="1009"/>
      <c r="BE184" s="1009"/>
      <c r="BF184" s="1009"/>
      <c r="BG184" s="1009"/>
    </row>
    <row r="185" s="1019" customFormat="1" spans="1:59">
      <c r="A185" s="976"/>
      <c r="B185" s="976"/>
      <c r="C185" s="976"/>
      <c r="D185" s="976"/>
      <c r="E185" s="976"/>
      <c r="F185" s="976"/>
      <c r="G185" s="976"/>
      <c r="H185" s="976"/>
      <c r="I185" s="976"/>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1007"/>
      <c r="AO185" s="1007"/>
      <c r="AP185" s="1009"/>
      <c r="AQ185" s="1012"/>
      <c r="AR185" s="1013"/>
      <c r="AS185" s="1013"/>
      <c r="AT185" s="1013"/>
      <c r="AU185" s="1012"/>
      <c r="AW185" s="1009"/>
      <c r="BD185" s="1009"/>
      <c r="BE185" s="1009"/>
      <c r="BF185" s="1009"/>
      <c r="BG185" s="1009"/>
    </row>
    <row r="186" s="1019" customFormat="1" spans="1:59">
      <c r="A186" s="976"/>
      <c r="B186" s="976"/>
      <c r="C186" s="976"/>
      <c r="D186" s="976"/>
      <c r="E186" s="976"/>
      <c r="F186" s="976"/>
      <c r="G186" s="976"/>
      <c r="H186" s="976"/>
      <c r="I186" s="976"/>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1007"/>
      <c r="AO186" s="1007"/>
      <c r="AP186" s="1009"/>
      <c r="AQ186" s="1012"/>
      <c r="AR186" s="1013"/>
      <c r="AS186" s="1013"/>
      <c r="AT186" s="1013"/>
      <c r="AU186" s="1012"/>
      <c r="AW186" s="1009"/>
      <c r="BD186" s="1009"/>
      <c r="BE186" s="1009"/>
      <c r="BF186" s="1009"/>
      <c r="BG186" s="1009"/>
    </row>
    <row r="187" s="1019" customFormat="1" spans="1:59">
      <c r="A187" s="976"/>
      <c r="B187" s="976"/>
      <c r="C187" s="976"/>
      <c r="D187" s="976"/>
      <c r="E187" s="976"/>
      <c r="F187" s="976"/>
      <c r="G187" s="976"/>
      <c r="H187" s="976"/>
      <c r="I187" s="976"/>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1007"/>
      <c r="AO187" s="1007"/>
      <c r="AP187" s="1009"/>
      <c r="AQ187" s="1012"/>
      <c r="AR187" s="1013"/>
      <c r="AS187" s="1013"/>
      <c r="AT187" s="1013"/>
      <c r="AU187" s="1012"/>
      <c r="AW187" s="1009"/>
      <c r="BD187" s="1009"/>
      <c r="BE187" s="1009"/>
      <c r="BF187" s="1009"/>
      <c r="BG187" s="1009"/>
    </row>
    <row r="188" s="1019" customFormat="1" spans="1:59">
      <c r="A188" s="976"/>
      <c r="B188" s="976"/>
      <c r="C188" s="976"/>
      <c r="D188" s="976"/>
      <c r="E188" s="976"/>
      <c r="F188" s="976"/>
      <c r="G188" s="976"/>
      <c r="H188" s="976"/>
      <c r="I188" s="976"/>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1007"/>
      <c r="AO188" s="1007"/>
      <c r="AP188" s="1009"/>
      <c r="AQ188" s="1012"/>
      <c r="AR188" s="1013"/>
      <c r="AS188" s="1013"/>
      <c r="AT188" s="1013"/>
      <c r="AU188" s="1012"/>
      <c r="AW188" s="1009"/>
      <c r="BD188" s="1009"/>
      <c r="BE188" s="1009"/>
      <c r="BF188" s="1009"/>
      <c r="BG188" s="1009"/>
    </row>
    <row r="189" s="1019" customFormat="1" spans="1:59">
      <c r="A189" s="976"/>
      <c r="B189" s="976"/>
      <c r="C189" s="976"/>
      <c r="D189" s="976"/>
      <c r="E189" s="976"/>
      <c r="F189" s="976"/>
      <c r="G189" s="976"/>
      <c r="H189" s="976"/>
      <c r="I189" s="976"/>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1007"/>
      <c r="AO189" s="1007"/>
      <c r="AP189" s="1009"/>
      <c r="AQ189" s="1012"/>
      <c r="AR189" s="1013"/>
      <c r="AS189" s="1013"/>
      <c r="AT189" s="1013"/>
      <c r="AU189" s="1012"/>
      <c r="AW189" s="1009"/>
      <c r="BD189" s="1009"/>
      <c r="BE189" s="1009"/>
      <c r="BF189" s="1009"/>
      <c r="BG189" s="1009"/>
    </row>
    <row r="190" s="1019" customFormat="1" spans="1:59">
      <c r="A190" s="976"/>
      <c r="B190" s="976"/>
      <c r="C190" s="976"/>
      <c r="D190" s="976"/>
      <c r="E190" s="976"/>
      <c r="F190" s="976"/>
      <c r="G190" s="976"/>
      <c r="H190" s="976"/>
      <c r="I190" s="976"/>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1007"/>
      <c r="AO190" s="1007"/>
      <c r="AP190" s="1009"/>
      <c r="AQ190" s="1012"/>
      <c r="AR190" s="1013"/>
      <c r="AS190" s="1013"/>
      <c r="AT190" s="1013"/>
      <c r="AU190" s="1012"/>
      <c r="AW190" s="1009"/>
      <c r="BD190" s="1009"/>
      <c r="BE190" s="1009"/>
      <c r="BF190" s="1009"/>
      <c r="BG190" s="1009"/>
    </row>
    <row r="191" s="1019" customFormat="1" spans="1:59">
      <c r="A191" s="976"/>
      <c r="B191" s="976"/>
      <c r="C191" s="976"/>
      <c r="D191" s="976"/>
      <c r="E191" s="976"/>
      <c r="F191" s="976"/>
      <c r="G191" s="976"/>
      <c r="H191" s="976"/>
      <c r="I191" s="976"/>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1007"/>
      <c r="AO191" s="1007"/>
      <c r="AP191" s="1009"/>
      <c r="AQ191" s="1012"/>
      <c r="AR191" s="1013"/>
      <c r="AS191" s="1013"/>
      <c r="AT191" s="1013"/>
      <c r="AU191" s="1012"/>
      <c r="AW191" s="1009"/>
      <c r="BD191" s="1009"/>
      <c r="BE191" s="1009"/>
      <c r="BF191" s="1009"/>
      <c r="BG191" s="1009"/>
    </row>
    <row r="192" s="1019" customFormat="1" spans="1:59">
      <c r="A192" s="976"/>
      <c r="B192" s="976"/>
      <c r="C192" s="976"/>
      <c r="D192" s="976"/>
      <c r="E192" s="976"/>
      <c r="F192" s="976"/>
      <c r="G192" s="976"/>
      <c r="H192" s="976"/>
      <c r="I192" s="976"/>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1007"/>
      <c r="AO192" s="1007"/>
      <c r="AP192" s="1009"/>
      <c r="AQ192" s="1012"/>
      <c r="AR192" s="1013"/>
      <c r="AS192" s="1013"/>
      <c r="AT192" s="1013"/>
      <c r="AU192" s="1012"/>
      <c r="AW192" s="1009"/>
      <c r="BD192" s="1009"/>
      <c r="BE192" s="1009"/>
      <c r="BF192" s="1009"/>
      <c r="BG192" s="1009"/>
    </row>
    <row r="193" s="1019" customFormat="1" spans="1:59">
      <c r="A193" s="976"/>
      <c r="B193" s="976"/>
      <c r="C193" s="976"/>
      <c r="D193" s="976"/>
      <c r="E193" s="976"/>
      <c r="F193" s="976"/>
      <c r="G193" s="976"/>
      <c r="H193" s="976"/>
      <c r="I193" s="976"/>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1007"/>
      <c r="AO193" s="1007"/>
      <c r="AP193" s="1009"/>
      <c r="AQ193" s="1012"/>
      <c r="AR193" s="1013"/>
      <c r="AS193" s="1013"/>
      <c r="AT193" s="1013"/>
      <c r="AU193" s="1012"/>
      <c r="AW193" s="1009"/>
      <c r="BD193" s="1009"/>
      <c r="BE193" s="1009"/>
      <c r="BF193" s="1009"/>
      <c r="BG193" s="1009"/>
    </row>
    <row r="194" s="1019" customFormat="1" spans="1:59">
      <c r="A194" s="976"/>
      <c r="B194" s="976"/>
      <c r="C194" s="976"/>
      <c r="D194" s="976"/>
      <c r="E194" s="976"/>
      <c r="F194" s="976"/>
      <c r="G194" s="976"/>
      <c r="H194" s="976"/>
      <c r="I194" s="976"/>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1007"/>
      <c r="AO194" s="1007"/>
      <c r="AP194" s="1009"/>
      <c r="AQ194" s="1012"/>
      <c r="AR194" s="1013"/>
      <c r="AS194" s="1013"/>
      <c r="AT194" s="1013"/>
      <c r="AU194" s="1012"/>
      <c r="AW194" s="1009"/>
      <c r="BD194" s="1009"/>
      <c r="BE194" s="1009"/>
      <c r="BF194" s="1009"/>
      <c r="BG194" s="1009"/>
    </row>
    <row r="195" s="1019" customFormat="1" spans="1:59">
      <c r="A195" s="976"/>
      <c r="B195" s="976"/>
      <c r="C195" s="976"/>
      <c r="D195" s="976"/>
      <c r="E195" s="976"/>
      <c r="F195" s="976"/>
      <c r="G195" s="976"/>
      <c r="H195" s="976"/>
      <c r="I195" s="976"/>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1007"/>
      <c r="AO195" s="1007"/>
      <c r="AP195" s="1009"/>
      <c r="AQ195" s="1012"/>
      <c r="AR195" s="1013"/>
      <c r="AS195" s="1013"/>
      <c r="AT195" s="1013"/>
      <c r="AU195" s="1012"/>
      <c r="AW195" s="1009"/>
      <c r="BD195" s="1009"/>
      <c r="BE195" s="1009"/>
      <c r="BF195" s="1009"/>
      <c r="BG195" s="1009"/>
    </row>
    <row r="196" s="1019" customFormat="1" spans="1:59">
      <c r="A196" s="976"/>
      <c r="B196" s="976"/>
      <c r="C196" s="976"/>
      <c r="D196" s="976"/>
      <c r="E196" s="976"/>
      <c r="F196" s="976"/>
      <c r="G196" s="976"/>
      <c r="H196" s="976"/>
      <c r="I196" s="976"/>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1007"/>
      <c r="AO196" s="1007"/>
      <c r="AP196" s="1009"/>
      <c r="AQ196" s="1012"/>
      <c r="AR196" s="1013"/>
      <c r="AS196" s="1013"/>
      <c r="AT196" s="1013"/>
      <c r="AU196" s="1012"/>
      <c r="AW196" s="1009"/>
      <c r="BD196" s="1009"/>
      <c r="BE196" s="1009"/>
      <c r="BF196" s="1009"/>
      <c r="BG196" s="1009"/>
    </row>
    <row r="197" s="1019" customFormat="1" spans="1:59">
      <c r="A197" s="976"/>
      <c r="B197" s="976"/>
      <c r="C197" s="976"/>
      <c r="D197" s="976"/>
      <c r="E197" s="976"/>
      <c r="F197" s="976"/>
      <c r="G197" s="976"/>
      <c r="H197" s="976"/>
      <c r="I197" s="976"/>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1007"/>
      <c r="AO197" s="1007"/>
      <c r="AP197" s="1009"/>
      <c r="AQ197" s="1012"/>
      <c r="AR197" s="1013"/>
      <c r="AS197" s="1013"/>
      <c r="AT197" s="1013"/>
      <c r="AU197" s="1012"/>
      <c r="AW197" s="1009"/>
      <c r="BD197" s="1009"/>
      <c r="BE197" s="1009"/>
      <c r="BF197" s="1009"/>
      <c r="BG197" s="1009"/>
    </row>
    <row r="198" s="1019" customFormat="1" spans="1:59">
      <c r="A198" s="976"/>
      <c r="B198" s="976"/>
      <c r="C198" s="976"/>
      <c r="D198" s="976"/>
      <c r="E198" s="976"/>
      <c r="F198" s="976"/>
      <c r="G198" s="976"/>
      <c r="H198" s="976"/>
      <c r="I198" s="976"/>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1007"/>
      <c r="AO198" s="1007"/>
      <c r="AP198" s="1009"/>
      <c r="AQ198" s="1012"/>
      <c r="AR198" s="1013"/>
      <c r="AS198" s="1013"/>
      <c r="AT198" s="1013"/>
      <c r="AU198" s="1012"/>
      <c r="AW198" s="1009"/>
      <c r="BD198" s="1009"/>
      <c r="BE198" s="1009"/>
      <c r="BF198" s="1009"/>
      <c r="BG198" s="1009"/>
    </row>
    <row r="199" s="1019" customFormat="1" spans="1:59">
      <c r="A199" s="976"/>
      <c r="B199" s="976"/>
      <c r="C199" s="976"/>
      <c r="D199" s="976"/>
      <c r="E199" s="976"/>
      <c r="F199" s="976"/>
      <c r="G199" s="976"/>
      <c r="H199" s="976"/>
      <c r="I199" s="976"/>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1007"/>
      <c r="AO199" s="1007"/>
      <c r="AP199" s="1009"/>
      <c r="AQ199" s="1012"/>
      <c r="AR199" s="1013"/>
      <c r="AS199" s="1013"/>
      <c r="AT199" s="1013"/>
      <c r="AU199" s="1012"/>
      <c r="AW199" s="1009"/>
      <c r="BD199" s="1009"/>
      <c r="BE199" s="1009"/>
      <c r="BF199" s="1009"/>
      <c r="BG199" s="1009"/>
    </row>
    <row r="200" s="1019" customFormat="1" spans="1:59">
      <c r="A200" s="976"/>
      <c r="B200" s="976"/>
      <c r="C200" s="976"/>
      <c r="D200" s="976"/>
      <c r="E200" s="976"/>
      <c r="F200" s="976"/>
      <c r="G200" s="976"/>
      <c r="H200" s="976"/>
      <c r="I200" s="976"/>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1007"/>
      <c r="AO200" s="1007"/>
      <c r="AP200" s="1009"/>
      <c r="AQ200" s="1012"/>
      <c r="AR200" s="1013"/>
      <c r="AS200" s="1013"/>
      <c r="AT200" s="1013"/>
      <c r="AU200" s="1012"/>
      <c r="AW200" s="1009"/>
      <c r="BD200" s="1009"/>
      <c r="BE200" s="1009"/>
      <c r="BF200" s="1009"/>
      <c r="BG200" s="1009"/>
    </row>
    <row r="201" s="1019" customFormat="1" spans="1:59">
      <c r="A201" s="976"/>
      <c r="B201" s="976"/>
      <c r="C201" s="976"/>
      <c r="D201" s="976"/>
      <c r="E201" s="976"/>
      <c r="F201" s="976"/>
      <c r="G201" s="976"/>
      <c r="H201" s="976"/>
      <c r="I201" s="976"/>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1007"/>
      <c r="AO201" s="1007"/>
      <c r="AP201" s="1009"/>
      <c r="AQ201" s="1012"/>
      <c r="AR201" s="1013"/>
      <c r="AS201" s="1013"/>
      <c r="AT201" s="1013"/>
      <c r="AU201" s="1012"/>
      <c r="AW201" s="1009"/>
      <c r="BD201" s="1009"/>
      <c r="BE201" s="1009"/>
      <c r="BF201" s="1009"/>
      <c r="BG201" s="1009"/>
    </row>
    <row r="202" s="1019" customFormat="1" spans="1:59">
      <c r="A202" s="976"/>
      <c r="B202" s="976"/>
      <c r="C202" s="976"/>
      <c r="D202" s="976"/>
      <c r="E202" s="976"/>
      <c r="F202" s="976"/>
      <c r="G202" s="976"/>
      <c r="H202" s="976"/>
      <c r="I202" s="976"/>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1007"/>
      <c r="AO202" s="1007"/>
      <c r="AP202" s="1009"/>
      <c r="AQ202" s="1012"/>
      <c r="AR202" s="1013"/>
      <c r="AS202" s="1013"/>
      <c r="AT202" s="1013"/>
      <c r="AU202" s="1012"/>
      <c r="AW202" s="1009"/>
      <c r="BD202" s="1009"/>
      <c r="BE202" s="1009"/>
      <c r="BF202" s="1009"/>
      <c r="BG202" s="1009"/>
    </row>
    <row r="203" s="1019" customFormat="1" spans="1:59">
      <c r="A203" s="976"/>
      <c r="B203" s="976"/>
      <c r="C203" s="976"/>
      <c r="D203" s="976"/>
      <c r="E203" s="976"/>
      <c r="F203" s="976"/>
      <c r="G203" s="976"/>
      <c r="H203" s="976"/>
      <c r="I203" s="976"/>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1007"/>
      <c r="AO203" s="1007"/>
      <c r="AP203" s="1009"/>
      <c r="AQ203" s="1012"/>
      <c r="AR203" s="1013"/>
      <c r="AS203" s="1013"/>
      <c r="AT203" s="1013"/>
      <c r="AU203" s="1012"/>
      <c r="AW203" s="1009"/>
      <c r="BD203" s="1009"/>
      <c r="BE203" s="1009"/>
      <c r="BF203" s="1009"/>
      <c r="BG203" s="1009"/>
    </row>
    <row r="204" s="1019" customFormat="1" spans="1:59">
      <c r="A204" s="976"/>
      <c r="B204" s="976"/>
      <c r="C204" s="976"/>
      <c r="D204" s="976"/>
      <c r="E204" s="976"/>
      <c r="F204" s="976"/>
      <c r="G204" s="976"/>
      <c r="H204" s="976"/>
      <c r="I204" s="976"/>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1007"/>
      <c r="AO204" s="1007"/>
      <c r="AP204" s="1009"/>
      <c r="AQ204" s="1012"/>
      <c r="AR204" s="1013"/>
      <c r="AS204" s="1013"/>
      <c r="AT204" s="1013"/>
      <c r="AU204" s="1012"/>
      <c r="AW204" s="1009"/>
      <c r="BD204" s="1009"/>
      <c r="BE204" s="1009"/>
      <c r="BF204" s="1009"/>
      <c r="BG204" s="1009"/>
    </row>
    <row r="205" s="1019" customFormat="1" spans="1:59">
      <c r="A205" s="976"/>
      <c r="B205" s="976"/>
      <c r="C205" s="976"/>
      <c r="D205" s="976"/>
      <c r="E205" s="976"/>
      <c r="F205" s="976"/>
      <c r="G205" s="976"/>
      <c r="H205" s="976"/>
      <c r="I205" s="976"/>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1007"/>
      <c r="AO205" s="1007"/>
      <c r="AP205" s="1009"/>
      <c r="AQ205" s="1012"/>
      <c r="AR205" s="1013"/>
      <c r="AS205" s="1013"/>
      <c r="AT205" s="1013"/>
      <c r="AU205" s="1012"/>
      <c r="AW205" s="1009"/>
      <c r="BD205" s="1009"/>
      <c r="BE205" s="1009"/>
      <c r="BF205" s="1009"/>
      <c r="BG205" s="1009"/>
    </row>
    <row r="206" s="1019" customFormat="1" spans="1:59">
      <c r="A206" s="976"/>
      <c r="B206" s="976"/>
      <c r="C206" s="976"/>
      <c r="D206" s="976"/>
      <c r="E206" s="976"/>
      <c r="F206" s="976"/>
      <c r="G206" s="976"/>
      <c r="H206" s="976"/>
      <c r="I206" s="976"/>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1007"/>
      <c r="AO206" s="1007"/>
      <c r="AP206" s="1009"/>
      <c r="AQ206" s="1012"/>
      <c r="AR206" s="1013"/>
      <c r="AS206" s="1013"/>
      <c r="AT206" s="1013"/>
      <c r="AU206" s="1012"/>
      <c r="AW206" s="1009"/>
      <c r="BD206" s="1009"/>
      <c r="BE206" s="1009"/>
      <c r="BF206" s="1009"/>
      <c r="BG206" s="1009"/>
    </row>
    <row r="207" s="1019" customFormat="1" spans="1:59">
      <c r="A207" s="976"/>
      <c r="B207" s="976"/>
      <c r="C207" s="976"/>
      <c r="D207" s="976"/>
      <c r="E207" s="976"/>
      <c r="F207" s="976"/>
      <c r="G207" s="976"/>
      <c r="H207" s="976"/>
      <c r="I207" s="976"/>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1007"/>
      <c r="AO207" s="1007"/>
      <c r="AP207" s="1009"/>
      <c r="AQ207" s="1012"/>
      <c r="AR207" s="1013"/>
      <c r="AS207" s="1013"/>
      <c r="AT207" s="1013"/>
      <c r="AU207" s="1012"/>
      <c r="AW207" s="1009"/>
      <c r="BD207" s="1009"/>
      <c r="BE207" s="1009"/>
      <c r="BF207" s="1009"/>
      <c r="BG207" s="1009"/>
    </row>
    <row r="208" s="1019" customFormat="1" spans="1:59">
      <c r="A208" s="976"/>
      <c r="B208" s="976"/>
      <c r="C208" s="976"/>
      <c r="D208" s="976"/>
      <c r="E208" s="976"/>
      <c r="F208" s="976"/>
      <c r="G208" s="976"/>
      <c r="H208" s="976"/>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1007"/>
      <c r="AO208" s="1007"/>
      <c r="AP208" s="1009"/>
      <c r="AQ208" s="1012"/>
      <c r="AR208" s="1013"/>
      <c r="AS208" s="1013"/>
      <c r="AT208" s="1013"/>
      <c r="AU208" s="1012"/>
      <c r="AW208" s="1009"/>
      <c r="BD208" s="1009"/>
      <c r="BE208" s="1009"/>
      <c r="BF208" s="1009"/>
      <c r="BG208" s="1009"/>
    </row>
    <row r="209" s="1019" customFormat="1" spans="1:59">
      <c r="A209" s="976"/>
      <c r="B209" s="976"/>
      <c r="C209" s="976"/>
      <c r="D209" s="976"/>
      <c r="E209" s="976"/>
      <c r="F209" s="976"/>
      <c r="G209" s="976"/>
      <c r="H209" s="976"/>
      <c r="I209" s="976"/>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1007"/>
      <c r="AO209" s="1007"/>
      <c r="AP209" s="1009"/>
      <c r="AQ209" s="1012"/>
      <c r="AR209" s="1013"/>
      <c r="AS209" s="1013"/>
      <c r="AT209" s="1013"/>
      <c r="AU209" s="1012"/>
      <c r="AW209" s="1009"/>
      <c r="BD209" s="1009"/>
      <c r="BE209" s="1009"/>
      <c r="BF209" s="1009"/>
      <c r="BG209" s="1009"/>
    </row>
    <row r="210" s="1019" customFormat="1" spans="1:59">
      <c r="A210" s="976"/>
      <c r="B210" s="976"/>
      <c r="C210" s="976"/>
      <c r="D210" s="976"/>
      <c r="E210" s="976"/>
      <c r="F210" s="976"/>
      <c r="G210" s="976"/>
      <c r="H210" s="976"/>
      <c r="I210" s="976"/>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1007"/>
      <c r="AO210" s="1007"/>
      <c r="AP210" s="1009"/>
      <c r="AQ210" s="1012"/>
      <c r="AR210" s="1013"/>
      <c r="AS210" s="1013"/>
      <c r="AT210" s="1013"/>
      <c r="AU210" s="1012"/>
      <c r="AW210" s="1009"/>
      <c r="BD210" s="1009"/>
      <c r="BE210" s="1009"/>
      <c r="BF210" s="1009"/>
      <c r="BG210" s="1009"/>
    </row>
    <row r="211" s="1019" customFormat="1" spans="1:59">
      <c r="A211" s="976"/>
      <c r="B211" s="976"/>
      <c r="C211" s="976"/>
      <c r="D211" s="976"/>
      <c r="E211" s="976"/>
      <c r="F211" s="976"/>
      <c r="G211" s="976"/>
      <c r="H211" s="976"/>
      <c r="I211" s="976"/>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1007"/>
      <c r="AO211" s="1007"/>
      <c r="AP211" s="1009"/>
      <c r="AQ211" s="1012"/>
      <c r="AR211" s="1013"/>
      <c r="AS211" s="1013"/>
      <c r="AT211" s="1013"/>
      <c r="AU211" s="1012"/>
      <c r="AW211" s="1009"/>
      <c r="BD211" s="1009"/>
      <c r="BE211" s="1009"/>
      <c r="BF211" s="1009"/>
      <c r="BG211" s="1009"/>
    </row>
    <row r="212" s="1019" customFormat="1" spans="1:59">
      <c r="A212" s="976"/>
      <c r="B212" s="976"/>
      <c r="C212" s="976"/>
      <c r="D212" s="976"/>
      <c r="E212" s="976"/>
      <c r="F212" s="976"/>
      <c r="G212" s="976"/>
      <c r="H212" s="976"/>
      <c r="I212" s="976"/>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1007"/>
      <c r="AO212" s="1007"/>
      <c r="AP212" s="1009"/>
      <c r="AQ212" s="1012"/>
      <c r="AR212" s="1013"/>
      <c r="AS212" s="1013"/>
      <c r="AT212" s="1013"/>
      <c r="AU212" s="1012"/>
      <c r="AW212" s="1009"/>
      <c r="BD212" s="1009"/>
      <c r="BE212" s="1009"/>
      <c r="BF212" s="1009"/>
      <c r="BG212" s="1009"/>
    </row>
    <row r="213" s="1019" customFormat="1" spans="1:59">
      <c r="A213" s="976"/>
      <c r="B213" s="976"/>
      <c r="C213" s="976"/>
      <c r="D213" s="976"/>
      <c r="E213" s="976"/>
      <c r="F213" s="976"/>
      <c r="G213" s="976"/>
      <c r="H213" s="976"/>
      <c r="I213" s="976"/>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1007"/>
      <c r="AO213" s="1007"/>
      <c r="AP213" s="1009"/>
      <c r="AQ213" s="1012"/>
      <c r="AR213" s="1013"/>
      <c r="AS213" s="1013"/>
      <c r="AT213" s="1013"/>
      <c r="AU213" s="1012"/>
      <c r="AW213" s="1009"/>
      <c r="BD213" s="1009"/>
      <c r="BE213" s="1009"/>
      <c r="BF213" s="1009"/>
      <c r="BG213" s="1009"/>
    </row>
    <row r="214" s="1019" customFormat="1" spans="1:59">
      <c r="A214" s="976"/>
      <c r="B214" s="976"/>
      <c r="C214" s="976"/>
      <c r="D214" s="976"/>
      <c r="E214" s="976"/>
      <c r="F214" s="976"/>
      <c r="G214" s="976"/>
      <c r="H214" s="976"/>
      <c r="I214" s="976"/>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1007"/>
      <c r="AO214" s="1007"/>
      <c r="AP214" s="1009"/>
      <c r="AQ214" s="1012"/>
      <c r="AR214" s="1013"/>
      <c r="AS214" s="1013"/>
      <c r="AT214" s="1013"/>
      <c r="AU214" s="1012"/>
      <c r="AW214" s="1009"/>
      <c r="BD214" s="1009"/>
      <c r="BE214" s="1009"/>
      <c r="BF214" s="1009"/>
      <c r="BG214" s="1009"/>
    </row>
    <row r="215" s="1019" customFormat="1" spans="1:59">
      <c r="A215" s="976"/>
      <c r="B215" s="976"/>
      <c r="C215" s="976"/>
      <c r="D215" s="976"/>
      <c r="E215" s="976"/>
      <c r="F215" s="976"/>
      <c r="G215" s="976"/>
      <c r="H215" s="976"/>
      <c r="I215" s="976"/>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1007"/>
      <c r="AO215" s="1007"/>
      <c r="AP215" s="1009"/>
      <c r="AQ215" s="1012"/>
      <c r="AR215" s="1013"/>
      <c r="AS215" s="1013"/>
      <c r="AT215" s="1013"/>
      <c r="AU215" s="1012"/>
      <c r="AW215" s="1009"/>
      <c r="BD215" s="1009"/>
      <c r="BE215" s="1009"/>
      <c r="BF215" s="1009"/>
      <c r="BG215" s="1009"/>
    </row>
    <row r="216" s="1019" customFormat="1" spans="1:59">
      <c r="A216" s="976"/>
      <c r="B216" s="976"/>
      <c r="C216" s="976"/>
      <c r="D216" s="976"/>
      <c r="E216" s="976"/>
      <c r="F216" s="976"/>
      <c r="G216" s="976"/>
      <c r="H216" s="976"/>
      <c r="I216" s="976"/>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1007"/>
      <c r="AO216" s="1007"/>
      <c r="AP216" s="1009"/>
      <c r="AQ216" s="1012"/>
      <c r="AR216" s="1013"/>
      <c r="AS216" s="1013"/>
      <c r="AT216" s="1013"/>
      <c r="AU216" s="1012"/>
      <c r="AW216" s="1009"/>
      <c r="BD216" s="1009"/>
      <c r="BE216" s="1009"/>
      <c r="BF216" s="1009"/>
      <c r="BG216" s="1009"/>
    </row>
    <row r="217" s="1019" customFormat="1" spans="1:59">
      <c r="A217" s="976"/>
      <c r="B217" s="976"/>
      <c r="C217" s="976"/>
      <c r="D217" s="976"/>
      <c r="E217" s="976"/>
      <c r="F217" s="976"/>
      <c r="G217" s="976"/>
      <c r="H217" s="976"/>
      <c r="I217" s="976"/>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1007"/>
      <c r="AO217" s="1007"/>
      <c r="AP217" s="1009"/>
      <c r="AQ217" s="1012"/>
      <c r="AR217" s="1013"/>
      <c r="AS217" s="1013"/>
      <c r="AT217" s="1013"/>
      <c r="AU217" s="1012"/>
      <c r="AW217" s="1009"/>
      <c r="BD217" s="1009"/>
      <c r="BE217" s="1009"/>
      <c r="BF217" s="1009"/>
      <c r="BG217" s="1009"/>
    </row>
    <row r="218" s="1019" customFormat="1" spans="1:59">
      <c r="A218" s="976"/>
      <c r="B218" s="976"/>
      <c r="C218" s="976"/>
      <c r="D218" s="976"/>
      <c r="E218" s="976"/>
      <c r="F218" s="976"/>
      <c r="G218" s="976"/>
      <c r="H218" s="976"/>
      <c r="I218" s="976"/>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1007"/>
      <c r="AO218" s="1007"/>
      <c r="AP218" s="1009"/>
      <c r="AQ218" s="1012"/>
      <c r="AR218" s="1013"/>
      <c r="AS218" s="1013"/>
      <c r="AT218" s="1013"/>
      <c r="AU218" s="1012"/>
      <c r="AW218" s="1009"/>
      <c r="BD218" s="1009"/>
      <c r="BE218" s="1009"/>
      <c r="BF218" s="1009"/>
      <c r="BG218" s="1009"/>
    </row>
    <row r="219" s="1019" customFormat="1" spans="1:59">
      <c r="A219" s="976"/>
      <c r="B219" s="976"/>
      <c r="C219" s="976"/>
      <c r="D219" s="976"/>
      <c r="E219" s="976"/>
      <c r="F219" s="976"/>
      <c r="G219" s="976"/>
      <c r="H219" s="976"/>
      <c r="I219" s="976"/>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1007"/>
      <c r="AO219" s="1007"/>
      <c r="AP219" s="1009"/>
      <c r="AQ219" s="1012"/>
      <c r="AR219" s="1013"/>
      <c r="AS219" s="1013"/>
      <c r="AT219" s="1013"/>
      <c r="AU219" s="1012"/>
      <c r="AW219" s="1009"/>
      <c r="BD219" s="1009"/>
      <c r="BE219" s="1009"/>
      <c r="BF219" s="1009"/>
      <c r="BG219" s="1009"/>
    </row>
    <row r="220" s="1019" customFormat="1" spans="1:59">
      <c r="A220" s="976"/>
      <c r="B220" s="976"/>
      <c r="C220" s="976"/>
      <c r="D220" s="976"/>
      <c r="E220" s="976"/>
      <c r="F220" s="976"/>
      <c r="G220" s="976"/>
      <c r="H220" s="976"/>
      <c r="I220" s="976"/>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1007"/>
      <c r="AO220" s="1007"/>
      <c r="AP220" s="1009"/>
      <c r="AQ220" s="1012"/>
      <c r="AR220" s="1013"/>
      <c r="AS220" s="1013"/>
      <c r="AT220" s="1013"/>
      <c r="AU220" s="1012"/>
      <c r="AW220" s="1009"/>
      <c r="BD220" s="1009"/>
      <c r="BE220" s="1009"/>
      <c r="BF220" s="1009"/>
      <c r="BG220" s="1009"/>
    </row>
    <row r="221" s="1019" customFormat="1" spans="1:59">
      <c r="A221" s="976"/>
      <c r="B221" s="976"/>
      <c r="C221" s="976"/>
      <c r="D221" s="976"/>
      <c r="E221" s="976"/>
      <c r="F221" s="976"/>
      <c r="G221" s="976"/>
      <c r="H221" s="976"/>
      <c r="I221" s="976"/>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1007"/>
      <c r="AO221" s="1007"/>
      <c r="AP221" s="1009"/>
      <c r="AQ221" s="1012"/>
      <c r="AR221" s="1013"/>
      <c r="AS221" s="1013"/>
      <c r="AT221" s="1013"/>
      <c r="AU221" s="1012"/>
      <c r="AW221" s="1009"/>
      <c r="BD221" s="1009"/>
      <c r="BE221" s="1009"/>
      <c r="BF221" s="1009"/>
      <c r="BG221" s="1009"/>
    </row>
    <row r="222" s="1019" customFormat="1" spans="1:59">
      <c r="A222" s="976"/>
      <c r="B222" s="976"/>
      <c r="C222" s="976"/>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1007"/>
      <c r="AO222" s="1007"/>
      <c r="AP222" s="1009"/>
      <c r="AQ222" s="1012"/>
      <c r="AR222" s="1013"/>
      <c r="AS222" s="1013"/>
      <c r="AT222" s="1013"/>
      <c r="AU222" s="1012"/>
      <c r="AW222" s="1009"/>
      <c r="BD222" s="1009"/>
      <c r="BE222" s="1009"/>
      <c r="BF222" s="1009"/>
      <c r="BG222" s="1009"/>
    </row>
    <row r="223" s="1019" customFormat="1" spans="1:59">
      <c r="A223" s="976"/>
      <c r="B223" s="976"/>
      <c r="C223" s="976"/>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1007"/>
      <c r="AO223" s="1007"/>
      <c r="AP223" s="1009"/>
      <c r="AQ223" s="1012"/>
      <c r="AR223" s="1013"/>
      <c r="AS223" s="1013"/>
      <c r="AT223" s="1013"/>
      <c r="AU223" s="1012"/>
      <c r="AW223" s="1009"/>
      <c r="BD223" s="1009"/>
      <c r="BE223" s="1009"/>
      <c r="BF223" s="1009"/>
      <c r="BG223" s="1009"/>
    </row>
    <row r="224" s="1019" customFormat="1" spans="1:59">
      <c r="A224" s="976"/>
      <c r="B224" s="976"/>
      <c r="C224" s="976"/>
      <c r="D224" s="976"/>
      <c r="E224" s="976"/>
      <c r="F224" s="976"/>
      <c r="G224" s="976"/>
      <c r="H224" s="976"/>
      <c r="I224" s="976"/>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1007"/>
      <c r="AO224" s="1007"/>
      <c r="AP224" s="1009"/>
      <c r="AQ224" s="1012"/>
      <c r="AR224" s="1013"/>
      <c r="AS224" s="1013"/>
      <c r="AT224" s="1013"/>
      <c r="AU224" s="1012"/>
      <c r="AW224" s="1009"/>
      <c r="BD224" s="1009"/>
      <c r="BE224" s="1009"/>
      <c r="BF224" s="1009"/>
      <c r="BG224" s="1009"/>
    </row>
    <row r="225" s="1019" customFormat="1" spans="1:59">
      <c r="A225" s="976"/>
      <c r="B225" s="976"/>
      <c r="C225" s="976"/>
      <c r="D225" s="976"/>
      <c r="E225" s="976"/>
      <c r="F225" s="976"/>
      <c r="G225" s="976"/>
      <c r="H225" s="976"/>
      <c r="I225" s="976"/>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1007"/>
      <c r="AO225" s="1007"/>
      <c r="AP225" s="1009"/>
      <c r="AQ225" s="1012"/>
      <c r="AR225" s="1013"/>
      <c r="AS225" s="1013"/>
      <c r="AT225" s="1013"/>
      <c r="AU225" s="1012"/>
      <c r="AW225" s="1009"/>
      <c r="BD225" s="1009"/>
      <c r="BE225" s="1009"/>
      <c r="BF225" s="1009"/>
      <c r="BG225" s="1009"/>
    </row>
    <row r="226" s="1019" customFormat="1" spans="1:59">
      <c r="A226" s="976"/>
      <c r="B226" s="976"/>
      <c r="C226" s="976"/>
      <c r="D226" s="976"/>
      <c r="E226" s="976"/>
      <c r="F226" s="976"/>
      <c r="G226" s="976"/>
      <c r="H226" s="976"/>
      <c r="I226" s="976"/>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1007"/>
      <c r="AO226" s="1007"/>
      <c r="AP226" s="1009"/>
      <c r="AQ226" s="1012"/>
      <c r="AR226" s="1013"/>
      <c r="AS226" s="1013"/>
      <c r="AT226" s="1013"/>
      <c r="AU226" s="1012"/>
      <c r="AW226" s="1009"/>
      <c r="BD226" s="1009"/>
      <c r="BE226" s="1009"/>
      <c r="BF226" s="1009"/>
      <c r="BG226" s="1009"/>
    </row>
    <row r="227" s="1019" customFormat="1" spans="1:59">
      <c r="A227" s="976"/>
      <c r="B227" s="976"/>
      <c r="C227" s="976"/>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1007"/>
      <c r="AO227" s="1007"/>
      <c r="AP227" s="1009"/>
      <c r="AQ227" s="1012"/>
      <c r="AR227" s="1013"/>
      <c r="AS227" s="1013"/>
      <c r="AT227" s="1013"/>
      <c r="AU227" s="1012"/>
      <c r="AW227" s="1009"/>
      <c r="BD227" s="1009"/>
      <c r="BE227" s="1009"/>
      <c r="BF227" s="1009"/>
      <c r="BG227" s="1009"/>
    </row>
    <row r="228" s="1019" customFormat="1" spans="1:59">
      <c r="A228" s="976"/>
      <c r="B228" s="976"/>
      <c r="C228" s="976"/>
      <c r="D228" s="976"/>
      <c r="E228" s="976"/>
      <c r="F228" s="976"/>
      <c r="G228" s="976"/>
      <c r="H228" s="976"/>
      <c r="I228" s="976"/>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1007"/>
      <c r="AO228" s="1007"/>
      <c r="AP228" s="1009"/>
      <c r="AQ228" s="1012"/>
      <c r="AR228" s="1013"/>
      <c r="AS228" s="1013"/>
      <c r="AT228" s="1013"/>
      <c r="AU228" s="1012"/>
      <c r="AW228" s="1009"/>
      <c r="BD228" s="1009"/>
      <c r="BE228" s="1009"/>
      <c r="BF228" s="1009"/>
      <c r="BG228" s="1009"/>
    </row>
    <row r="229" s="1019" customFormat="1" spans="1:59">
      <c r="A229" s="976"/>
      <c r="B229" s="976"/>
      <c r="C229" s="976"/>
      <c r="D229" s="976"/>
      <c r="E229" s="976"/>
      <c r="F229" s="976"/>
      <c r="G229" s="976"/>
      <c r="H229" s="976"/>
      <c r="I229" s="976"/>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1007"/>
      <c r="AO229" s="1007"/>
      <c r="AP229" s="1009"/>
      <c r="AQ229" s="1012"/>
      <c r="AR229" s="1013"/>
      <c r="AS229" s="1013"/>
      <c r="AT229" s="1013"/>
      <c r="AU229" s="1012"/>
      <c r="AW229" s="1009"/>
      <c r="BD229" s="1009"/>
      <c r="BE229" s="1009"/>
      <c r="BF229" s="1009"/>
      <c r="BG229" s="1009"/>
    </row>
    <row r="230" s="1019" customFormat="1" spans="1:59">
      <c r="A230" s="976"/>
      <c r="B230" s="976"/>
      <c r="C230" s="976"/>
      <c r="D230" s="976"/>
      <c r="E230" s="976"/>
      <c r="F230" s="976"/>
      <c r="G230" s="976"/>
      <c r="H230" s="976"/>
      <c r="I230" s="976"/>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1007"/>
      <c r="AO230" s="1007"/>
      <c r="AP230" s="1009"/>
      <c r="AQ230" s="1012"/>
      <c r="AR230" s="1013"/>
      <c r="AS230" s="1013"/>
      <c r="AT230" s="1013"/>
      <c r="AU230" s="1012"/>
      <c r="AW230" s="1009"/>
      <c r="BD230" s="1009"/>
      <c r="BE230" s="1009"/>
      <c r="BF230" s="1009"/>
      <c r="BG230" s="1009"/>
    </row>
    <row r="231" s="1019" customFormat="1" spans="1:59">
      <c r="A231" s="976"/>
      <c r="B231" s="976"/>
      <c r="C231" s="976"/>
      <c r="D231" s="976"/>
      <c r="E231" s="976"/>
      <c r="F231" s="976"/>
      <c r="G231" s="976"/>
      <c r="H231" s="976"/>
      <c r="I231" s="976"/>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1007"/>
      <c r="AO231" s="1007"/>
      <c r="AP231" s="1009"/>
      <c r="AQ231" s="1012"/>
      <c r="AR231" s="1013"/>
      <c r="AS231" s="1013"/>
      <c r="AT231" s="1013"/>
      <c r="AU231" s="1012"/>
      <c r="AW231" s="1009"/>
      <c r="BD231" s="1009"/>
      <c r="BE231" s="1009"/>
      <c r="BF231" s="1009"/>
      <c r="BG231" s="1009"/>
    </row>
    <row r="232" s="1019" customFormat="1" spans="1:59">
      <c r="A232" s="976"/>
      <c r="B232" s="976"/>
      <c r="C232" s="976"/>
      <c r="D232" s="976"/>
      <c r="E232" s="976"/>
      <c r="F232" s="976"/>
      <c r="G232" s="976"/>
      <c r="H232" s="976"/>
      <c r="I232" s="976"/>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1007"/>
      <c r="AO232" s="1007"/>
      <c r="AP232" s="1009"/>
      <c r="AQ232" s="1012"/>
      <c r="AR232" s="1013"/>
      <c r="AS232" s="1013"/>
      <c r="AT232" s="1013"/>
      <c r="AU232" s="1012"/>
      <c r="AW232" s="1009"/>
      <c r="BD232" s="1009"/>
      <c r="BE232" s="1009"/>
      <c r="BF232" s="1009"/>
      <c r="BG232" s="1009"/>
    </row>
    <row r="233" s="1019" customFormat="1" spans="1:59">
      <c r="A233" s="976"/>
      <c r="B233" s="976"/>
      <c r="C233" s="976"/>
      <c r="D233" s="976"/>
      <c r="E233" s="976"/>
      <c r="F233" s="976"/>
      <c r="G233" s="976"/>
      <c r="H233" s="976"/>
      <c r="I233" s="976"/>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1007"/>
      <c r="AO233" s="1007"/>
      <c r="AP233" s="1009"/>
      <c r="AQ233" s="1012"/>
      <c r="AR233" s="1013"/>
      <c r="AS233" s="1013"/>
      <c r="AT233" s="1013"/>
      <c r="AU233" s="1012"/>
      <c r="AW233" s="1009"/>
      <c r="BD233" s="1009"/>
      <c r="BE233" s="1009"/>
      <c r="BF233" s="1009"/>
      <c r="BG233" s="1009"/>
    </row>
    <row r="234" s="1019" customFormat="1" spans="1:59">
      <c r="A234" s="976"/>
      <c r="B234" s="976"/>
      <c r="C234" s="976"/>
      <c r="D234" s="976"/>
      <c r="E234" s="976"/>
      <c r="F234" s="976"/>
      <c r="G234" s="976"/>
      <c r="H234" s="976"/>
      <c r="I234" s="976"/>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1007"/>
      <c r="AO234" s="1007"/>
      <c r="AP234" s="1009"/>
      <c r="AQ234" s="1012"/>
      <c r="AR234" s="1013"/>
      <c r="AS234" s="1013"/>
      <c r="AT234" s="1013"/>
      <c r="AU234" s="1012"/>
      <c r="AW234" s="1009"/>
      <c r="BD234" s="1009"/>
      <c r="BE234" s="1009"/>
      <c r="BF234" s="1009"/>
      <c r="BG234" s="1009"/>
    </row>
    <row r="235" s="1019" customFormat="1" spans="1:59">
      <c r="A235" s="976"/>
      <c r="B235" s="976"/>
      <c r="C235" s="976"/>
      <c r="D235" s="976"/>
      <c r="E235" s="976"/>
      <c r="F235" s="976"/>
      <c r="G235" s="976"/>
      <c r="H235" s="976"/>
      <c r="I235" s="976"/>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1007"/>
      <c r="AO235" s="1007"/>
      <c r="AP235" s="1009"/>
      <c r="AQ235" s="1012"/>
      <c r="AR235" s="1013"/>
      <c r="AS235" s="1013"/>
      <c r="AT235" s="1013"/>
      <c r="AU235" s="1012"/>
      <c r="AW235" s="1009"/>
      <c r="BD235" s="1009"/>
      <c r="BE235" s="1009"/>
      <c r="BF235" s="1009"/>
      <c r="BG235" s="1009"/>
    </row>
    <row r="236" s="1019" customFormat="1" spans="1:59">
      <c r="A236" s="976"/>
      <c r="B236" s="976"/>
      <c r="C236" s="976"/>
      <c r="D236" s="976"/>
      <c r="E236" s="976"/>
      <c r="F236" s="976"/>
      <c r="G236" s="976"/>
      <c r="H236" s="976"/>
      <c r="I236" s="976"/>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1007"/>
      <c r="AO236" s="1007"/>
      <c r="AP236" s="1009"/>
      <c r="AQ236" s="1012"/>
      <c r="AR236" s="1013"/>
      <c r="AS236" s="1013"/>
      <c r="AT236" s="1013"/>
      <c r="AU236" s="1012"/>
      <c r="AW236" s="1009"/>
      <c r="BD236" s="1009"/>
      <c r="BE236" s="1009"/>
      <c r="BF236" s="1009"/>
      <c r="BG236" s="1009"/>
    </row>
    <row r="237" s="1019" customFormat="1" spans="1:59">
      <c r="A237" s="976"/>
      <c r="B237" s="976"/>
      <c r="C237" s="976"/>
      <c r="D237" s="976"/>
      <c r="E237" s="976"/>
      <c r="F237" s="976"/>
      <c r="G237" s="976"/>
      <c r="H237" s="976"/>
      <c r="I237" s="976"/>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1007"/>
      <c r="AO237" s="1007"/>
      <c r="AP237" s="1009"/>
      <c r="AQ237" s="1012"/>
      <c r="AR237" s="1013"/>
      <c r="AS237" s="1013"/>
      <c r="AT237" s="1013"/>
      <c r="AU237" s="1012"/>
      <c r="AW237" s="1009"/>
      <c r="BD237" s="1009"/>
      <c r="BE237" s="1009"/>
      <c r="BF237" s="1009"/>
      <c r="BG237" s="1009"/>
    </row>
    <row r="238" s="1019" customFormat="1" spans="1:59">
      <c r="A238" s="976"/>
      <c r="B238" s="976"/>
      <c r="C238" s="976"/>
      <c r="D238" s="976"/>
      <c r="E238" s="976"/>
      <c r="F238" s="976"/>
      <c r="G238" s="976"/>
      <c r="H238" s="976"/>
      <c r="I238" s="976"/>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1007"/>
      <c r="AO238" s="1007"/>
      <c r="AP238" s="1009"/>
      <c r="AQ238" s="1012"/>
      <c r="AR238" s="1013"/>
      <c r="AS238" s="1013"/>
      <c r="AT238" s="1013"/>
      <c r="AU238" s="1012"/>
      <c r="AW238" s="1009"/>
      <c r="BD238" s="1009"/>
      <c r="BE238" s="1009"/>
      <c r="BF238" s="1009"/>
      <c r="BG238" s="1009"/>
    </row>
    <row r="239" s="1019" customFormat="1" spans="1:59">
      <c r="A239" s="976"/>
      <c r="B239" s="976"/>
      <c r="C239" s="976"/>
      <c r="D239" s="976"/>
      <c r="E239" s="976"/>
      <c r="F239" s="976"/>
      <c r="G239" s="976"/>
      <c r="H239" s="976"/>
      <c r="I239" s="976"/>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1007"/>
      <c r="AO239" s="1007"/>
      <c r="AP239" s="1009"/>
      <c r="AQ239" s="1012"/>
      <c r="AR239" s="1013"/>
      <c r="AS239" s="1013"/>
      <c r="AT239" s="1013"/>
      <c r="AU239" s="1012"/>
      <c r="AW239" s="1009"/>
      <c r="BD239" s="1009"/>
      <c r="BE239" s="1009"/>
      <c r="BF239" s="1009"/>
      <c r="BG239" s="1009"/>
    </row>
    <row r="240" s="1019" customFormat="1" spans="1:59">
      <c r="A240" s="976"/>
      <c r="B240" s="976"/>
      <c r="C240" s="976"/>
      <c r="D240" s="976"/>
      <c r="E240" s="976"/>
      <c r="F240" s="976"/>
      <c r="G240" s="976"/>
      <c r="H240" s="976"/>
      <c r="I240" s="976"/>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1007"/>
      <c r="AO240" s="1007"/>
      <c r="AP240" s="1009"/>
      <c r="AQ240" s="1012"/>
      <c r="AR240" s="1013"/>
      <c r="AS240" s="1013"/>
      <c r="AT240" s="1013"/>
      <c r="AU240" s="1012"/>
      <c r="AW240" s="1009"/>
      <c r="BD240" s="1009"/>
      <c r="BE240" s="1009"/>
      <c r="BF240" s="1009"/>
      <c r="BG240" s="1009"/>
    </row>
    <row r="241" s="1019" customFormat="1" spans="1:59">
      <c r="A241" s="976"/>
      <c r="B241" s="976"/>
      <c r="C241" s="976"/>
      <c r="D241" s="976"/>
      <c r="E241" s="976"/>
      <c r="F241" s="976"/>
      <c r="G241" s="976"/>
      <c r="H241" s="976"/>
      <c r="I241" s="976"/>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1007"/>
      <c r="AO241" s="1007"/>
      <c r="AP241" s="1009"/>
      <c r="AQ241" s="1012"/>
      <c r="AR241" s="1013"/>
      <c r="AS241" s="1013"/>
      <c r="AT241" s="1013"/>
      <c r="AU241" s="1012"/>
      <c r="AW241" s="1009"/>
      <c r="BD241" s="1009"/>
      <c r="BE241" s="1009"/>
      <c r="BF241" s="1009"/>
      <c r="BG241" s="1009"/>
    </row>
    <row r="242" s="1019" customFormat="1" spans="1:59">
      <c r="A242" s="976"/>
      <c r="B242" s="976"/>
      <c r="C242" s="976"/>
      <c r="D242" s="976"/>
      <c r="E242" s="976"/>
      <c r="F242" s="976"/>
      <c r="G242" s="976"/>
      <c r="H242" s="976"/>
      <c r="I242" s="976"/>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1007"/>
      <c r="AO242" s="1007"/>
      <c r="AP242" s="1009"/>
      <c r="AQ242" s="1012"/>
      <c r="AR242" s="1013"/>
      <c r="AS242" s="1013"/>
      <c r="AT242" s="1013"/>
      <c r="AU242" s="1012"/>
      <c r="AW242" s="1009"/>
      <c r="BD242" s="1009"/>
      <c r="BE242" s="1009"/>
      <c r="BF242" s="1009"/>
      <c r="BG242" s="1009"/>
    </row>
    <row r="243" s="1019" customFormat="1" spans="1:59">
      <c r="A243" s="976"/>
      <c r="B243" s="976"/>
      <c r="C243" s="976"/>
      <c r="D243" s="976"/>
      <c r="E243" s="976"/>
      <c r="F243" s="976"/>
      <c r="G243" s="976"/>
      <c r="H243" s="976"/>
      <c r="I243" s="976"/>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1007"/>
      <c r="AO243" s="1007"/>
      <c r="AP243" s="1009"/>
      <c r="AQ243" s="1012"/>
      <c r="AR243" s="1013"/>
      <c r="AS243" s="1013"/>
      <c r="AT243" s="1013"/>
      <c r="AU243" s="1012"/>
      <c r="AW243" s="1009"/>
      <c r="BD243" s="1009"/>
      <c r="BE243" s="1009"/>
      <c r="BF243" s="1009"/>
      <c r="BG243" s="1009"/>
    </row>
    <row r="244" s="1019" customFormat="1" spans="1:59">
      <c r="A244" s="976"/>
      <c r="B244" s="976"/>
      <c r="C244" s="976"/>
      <c r="D244" s="976"/>
      <c r="E244" s="976"/>
      <c r="F244" s="976"/>
      <c r="G244" s="976"/>
      <c r="H244" s="976"/>
      <c r="I244" s="976"/>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1007"/>
      <c r="AO244" s="1007"/>
      <c r="AP244" s="1009"/>
      <c r="AQ244" s="1012"/>
      <c r="AR244" s="1013"/>
      <c r="AS244" s="1013"/>
      <c r="AT244" s="1013"/>
      <c r="AU244" s="1012"/>
      <c r="AW244" s="1009"/>
      <c r="BD244" s="1009"/>
      <c r="BE244" s="1009"/>
      <c r="BF244" s="1009"/>
      <c r="BG244" s="1009"/>
    </row>
    <row r="245" s="1019" customFormat="1" spans="1:59">
      <c r="A245" s="976"/>
      <c r="B245" s="976"/>
      <c r="C245" s="976"/>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1007"/>
      <c r="AO245" s="1007"/>
      <c r="AP245" s="1009"/>
      <c r="AQ245" s="1012"/>
      <c r="AR245" s="1013"/>
      <c r="AS245" s="1013"/>
      <c r="AT245" s="1013"/>
      <c r="AU245" s="1012"/>
      <c r="AW245" s="1009"/>
      <c r="BD245" s="1009"/>
      <c r="BE245" s="1009"/>
      <c r="BF245" s="1009"/>
      <c r="BG245" s="1009"/>
    </row>
    <row r="246" s="1019" customFormat="1" spans="1:59">
      <c r="A246" s="976"/>
      <c r="B246" s="976"/>
      <c r="C246" s="976"/>
      <c r="D246" s="976"/>
      <c r="E246" s="976"/>
      <c r="F246" s="976"/>
      <c r="G246" s="976"/>
      <c r="H246" s="976"/>
      <c r="I246" s="976"/>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1007"/>
      <c r="AO246" s="1007"/>
      <c r="AP246" s="1009"/>
      <c r="AQ246" s="1012"/>
      <c r="AR246" s="1013"/>
      <c r="AS246" s="1013"/>
      <c r="AT246" s="1013"/>
      <c r="AU246" s="1012"/>
      <c r="AW246" s="1009"/>
      <c r="BD246" s="1009"/>
      <c r="BE246" s="1009"/>
      <c r="BF246" s="1009"/>
      <c r="BG246" s="1009"/>
    </row>
    <row r="247" s="1019" customFormat="1" spans="1:59">
      <c r="A247" s="976"/>
      <c r="B247" s="976"/>
      <c r="C247" s="976"/>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1007"/>
      <c r="AO247" s="1007"/>
      <c r="AP247" s="1009"/>
      <c r="AQ247" s="1012"/>
      <c r="AR247" s="1013"/>
      <c r="AS247" s="1013"/>
      <c r="AT247" s="1013"/>
      <c r="AU247" s="1012"/>
      <c r="AW247" s="1009"/>
      <c r="BD247" s="1009"/>
      <c r="BE247" s="1009"/>
      <c r="BF247" s="1009"/>
      <c r="BG247" s="1009"/>
    </row>
    <row r="248" s="1019" customFormat="1" spans="1:59">
      <c r="A248" s="976"/>
      <c r="B248" s="976"/>
      <c r="C248" s="976"/>
      <c r="D248" s="976"/>
      <c r="E248" s="976"/>
      <c r="F248" s="976"/>
      <c r="G248" s="976"/>
      <c r="H248" s="976"/>
      <c r="I248" s="976"/>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1007"/>
      <c r="AO248" s="1007"/>
      <c r="AP248" s="1009"/>
      <c r="AQ248" s="1012"/>
      <c r="AR248" s="1013"/>
      <c r="AS248" s="1013"/>
      <c r="AT248" s="1013"/>
      <c r="AU248" s="1012"/>
      <c r="AW248" s="1009"/>
      <c r="BD248" s="1009"/>
      <c r="BE248" s="1009"/>
      <c r="BF248" s="1009"/>
      <c r="BG248" s="1009"/>
    </row>
    <row r="249" s="1019" customFormat="1" spans="1:59">
      <c r="A249" s="976"/>
      <c r="B249" s="976"/>
      <c r="C249" s="976"/>
      <c r="D249" s="976"/>
      <c r="E249" s="976"/>
      <c r="F249" s="976"/>
      <c r="G249" s="976"/>
      <c r="H249" s="976"/>
      <c r="I249" s="976"/>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1007"/>
      <c r="AO249" s="1007"/>
      <c r="AP249" s="1009"/>
      <c r="AQ249" s="1012"/>
      <c r="AR249" s="1013"/>
      <c r="AS249" s="1013"/>
      <c r="AT249" s="1013"/>
      <c r="AU249" s="1012"/>
      <c r="AW249" s="1009"/>
      <c r="BD249" s="1009"/>
      <c r="BE249" s="1009"/>
      <c r="BF249" s="1009"/>
      <c r="BG249" s="1009"/>
    </row>
    <row r="250" s="1019" customFormat="1" spans="1:59">
      <c r="A250" s="976"/>
      <c r="B250" s="976"/>
      <c r="C250" s="976"/>
      <c r="D250" s="976"/>
      <c r="E250" s="976"/>
      <c r="F250" s="976"/>
      <c r="G250" s="976"/>
      <c r="H250" s="976"/>
      <c r="I250" s="976"/>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1007"/>
      <c r="AO250" s="1007"/>
      <c r="AP250" s="1009"/>
      <c r="AQ250" s="1012"/>
      <c r="AR250" s="1013"/>
      <c r="AS250" s="1013"/>
      <c r="AT250" s="1013"/>
      <c r="AU250" s="1012"/>
      <c r="AW250" s="1009"/>
      <c r="BD250" s="1009"/>
      <c r="BE250" s="1009"/>
      <c r="BF250" s="1009"/>
      <c r="BG250" s="1009"/>
    </row>
    <row r="251" s="1019" customFormat="1" spans="1:59">
      <c r="A251" s="976"/>
      <c r="B251" s="976"/>
      <c r="C251" s="976"/>
      <c r="D251" s="976"/>
      <c r="E251" s="976"/>
      <c r="F251" s="976"/>
      <c r="G251" s="976"/>
      <c r="H251" s="976"/>
      <c r="I251" s="976"/>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1007"/>
      <c r="AO251" s="1007"/>
      <c r="AP251" s="1009"/>
      <c r="AQ251" s="1012"/>
      <c r="AR251" s="1013"/>
      <c r="AS251" s="1013"/>
      <c r="AT251" s="1013"/>
      <c r="AU251" s="1012"/>
      <c r="AW251" s="1009"/>
      <c r="BD251" s="1009"/>
      <c r="BE251" s="1009"/>
      <c r="BF251" s="1009"/>
      <c r="BG251" s="1009"/>
    </row>
    <row r="252" s="1019" customFormat="1" spans="1:59">
      <c r="A252" s="976"/>
      <c r="B252" s="976"/>
      <c r="C252" s="976"/>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6"/>
      <c r="AM252" s="976"/>
      <c r="AN252" s="1007"/>
      <c r="AO252" s="1007"/>
      <c r="AP252" s="1009"/>
      <c r="AQ252" s="1012"/>
      <c r="AR252" s="1013"/>
      <c r="AS252" s="1013"/>
      <c r="AT252" s="1013"/>
      <c r="AU252" s="1012"/>
      <c r="AW252" s="1009"/>
      <c r="BD252" s="1009"/>
      <c r="BE252" s="1009"/>
      <c r="BF252" s="1009"/>
      <c r="BG252" s="1009"/>
    </row>
    <row r="253" s="1019" customFormat="1" spans="1:59">
      <c r="A253" s="976"/>
      <c r="B253" s="976"/>
      <c r="C253" s="976"/>
      <c r="D253" s="976"/>
      <c r="E253" s="976"/>
      <c r="F253" s="976"/>
      <c r="G253" s="976"/>
      <c r="H253" s="976"/>
      <c r="I253" s="976"/>
      <c r="J253" s="976"/>
      <c r="K253" s="976"/>
      <c r="L253" s="976"/>
      <c r="M253" s="976"/>
      <c r="N253" s="976"/>
      <c r="O253" s="976"/>
      <c r="P253" s="976"/>
      <c r="Q253" s="976"/>
      <c r="R253" s="976"/>
      <c r="S253" s="976"/>
      <c r="T253" s="976"/>
      <c r="U253" s="976"/>
      <c r="V253" s="976"/>
      <c r="W253" s="976"/>
      <c r="X253" s="976"/>
      <c r="Y253" s="976"/>
      <c r="Z253" s="976"/>
      <c r="AA253" s="976"/>
      <c r="AB253" s="976"/>
      <c r="AC253" s="976"/>
      <c r="AD253" s="976"/>
      <c r="AE253" s="976"/>
      <c r="AF253" s="976"/>
      <c r="AG253" s="976"/>
      <c r="AH253" s="976"/>
      <c r="AI253" s="976"/>
      <c r="AJ253" s="976"/>
      <c r="AK253" s="976"/>
      <c r="AL253" s="976"/>
      <c r="AM253" s="976"/>
      <c r="AN253" s="1007"/>
      <c r="AO253" s="1007"/>
      <c r="AP253" s="1009"/>
      <c r="AQ253" s="1012"/>
      <c r="AR253" s="1013"/>
      <c r="AS253" s="1013"/>
      <c r="AT253" s="1013"/>
      <c r="AU253" s="1012"/>
      <c r="AW253" s="1009"/>
      <c r="BD253" s="1009"/>
      <c r="BE253" s="1009"/>
      <c r="BF253" s="1009"/>
      <c r="BG253" s="1009"/>
    </row>
    <row r="254" s="1019" customFormat="1" spans="1:59">
      <c r="A254" s="976"/>
      <c r="B254" s="976"/>
      <c r="C254" s="976"/>
      <c r="D254" s="976"/>
      <c r="E254" s="976"/>
      <c r="F254" s="976"/>
      <c r="G254" s="976"/>
      <c r="H254" s="976"/>
      <c r="I254" s="976"/>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6"/>
      <c r="AJ254" s="976"/>
      <c r="AK254" s="976"/>
      <c r="AL254" s="976"/>
      <c r="AM254" s="976"/>
      <c r="AN254" s="1007"/>
      <c r="AO254" s="1007"/>
      <c r="AP254" s="1009"/>
      <c r="AQ254" s="1012"/>
      <c r="AR254" s="1013"/>
      <c r="AS254" s="1013"/>
      <c r="AT254" s="1013"/>
      <c r="AU254" s="1012"/>
      <c r="AW254" s="1009"/>
      <c r="BD254" s="1009"/>
      <c r="BE254" s="1009"/>
      <c r="BF254" s="1009"/>
      <c r="BG254" s="1009"/>
    </row>
    <row r="255" s="1019" customFormat="1" spans="1:59">
      <c r="A255" s="976"/>
      <c r="B255" s="976"/>
      <c r="C255" s="976"/>
      <c r="D255" s="976"/>
      <c r="E255" s="976"/>
      <c r="F255" s="976"/>
      <c r="G255" s="976"/>
      <c r="H255" s="976"/>
      <c r="I255" s="976"/>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1007"/>
      <c r="AO255" s="1007"/>
      <c r="AP255" s="1009"/>
      <c r="AQ255" s="1012"/>
      <c r="AR255" s="1013"/>
      <c r="AS255" s="1013"/>
      <c r="AT255" s="1013"/>
      <c r="AU255" s="1012"/>
      <c r="AW255" s="1009"/>
      <c r="BD255" s="1009"/>
      <c r="BE255" s="1009"/>
      <c r="BF255" s="1009"/>
      <c r="BG255" s="1009"/>
    </row>
    <row r="256" s="1019" customFormat="1" spans="1:59">
      <c r="A256" s="976"/>
      <c r="B256" s="976"/>
      <c r="C256" s="976"/>
      <c r="D256" s="976"/>
      <c r="E256" s="976"/>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1007"/>
      <c r="AO256" s="1007"/>
      <c r="AP256" s="1009"/>
      <c r="AQ256" s="1012"/>
      <c r="AR256" s="1013"/>
      <c r="AS256" s="1013"/>
      <c r="AT256" s="1013"/>
      <c r="AU256" s="1012"/>
      <c r="AW256" s="1009"/>
      <c r="BD256" s="1009"/>
      <c r="BE256" s="1009"/>
      <c r="BF256" s="1009"/>
      <c r="BG256" s="1009"/>
    </row>
    <row r="257" s="1019" customFormat="1" spans="1:59">
      <c r="A257" s="976"/>
      <c r="B257" s="976"/>
      <c r="C257" s="976"/>
      <c r="D257" s="976"/>
      <c r="E257" s="976"/>
      <c r="F257" s="976"/>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6"/>
      <c r="AJ257" s="976"/>
      <c r="AK257" s="976"/>
      <c r="AL257" s="976"/>
      <c r="AM257" s="976"/>
      <c r="AN257" s="1007"/>
      <c r="AO257" s="1007"/>
      <c r="AP257" s="1009"/>
      <c r="AQ257" s="1012"/>
      <c r="AR257" s="1013"/>
      <c r="AS257" s="1013"/>
      <c r="AT257" s="1013"/>
      <c r="AU257" s="1012"/>
      <c r="AW257" s="1009"/>
      <c r="BD257" s="1009"/>
      <c r="BE257" s="1009"/>
      <c r="BF257" s="1009"/>
      <c r="BG257" s="1009"/>
    </row>
    <row r="258" s="1019" customFormat="1" spans="1:59">
      <c r="A258" s="976"/>
      <c r="B258" s="976"/>
      <c r="C258" s="976"/>
      <c r="D258" s="976"/>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6"/>
      <c r="AJ258" s="976"/>
      <c r="AK258" s="976"/>
      <c r="AL258" s="976"/>
      <c r="AM258" s="976"/>
      <c r="AN258" s="1007"/>
      <c r="AO258" s="1007"/>
      <c r="AP258" s="1009"/>
      <c r="AQ258" s="1012"/>
      <c r="AR258" s="1013"/>
      <c r="AS258" s="1013"/>
      <c r="AT258" s="1013"/>
      <c r="AU258" s="1012"/>
      <c r="AW258" s="1009"/>
      <c r="BD258" s="1009"/>
      <c r="BE258" s="1009"/>
      <c r="BF258" s="1009"/>
      <c r="BG258" s="1009"/>
    </row>
    <row r="259" s="1019" customFormat="1" spans="1:59">
      <c r="A259" s="976"/>
      <c r="B259" s="976"/>
      <c r="C259" s="976"/>
      <c r="D259" s="976"/>
      <c r="E259" s="976"/>
      <c r="F259" s="976"/>
      <c r="G259" s="976"/>
      <c r="H259" s="976"/>
      <c r="I259" s="976"/>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6"/>
      <c r="AJ259" s="976"/>
      <c r="AK259" s="976"/>
      <c r="AL259" s="976"/>
      <c r="AM259" s="976"/>
      <c r="AN259" s="1007"/>
      <c r="AO259" s="1007"/>
      <c r="AP259" s="1009"/>
      <c r="AQ259" s="1012"/>
      <c r="AR259" s="1013"/>
      <c r="AS259" s="1013"/>
      <c r="AT259" s="1013"/>
      <c r="AU259" s="1012"/>
      <c r="AW259" s="1009"/>
      <c r="BD259" s="1009"/>
      <c r="BE259" s="1009"/>
      <c r="BF259" s="1009"/>
      <c r="BG259" s="1009"/>
    </row>
    <row r="260" s="1019" customFormat="1" spans="1:59">
      <c r="A260" s="976"/>
      <c r="B260" s="976"/>
      <c r="C260" s="976"/>
      <c r="D260" s="976"/>
      <c r="E260" s="976"/>
      <c r="F260" s="976"/>
      <c r="G260" s="976"/>
      <c r="H260" s="976"/>
      <c r="I260" s="976"/>
      <c r="J260" s="976"/>
      <c r="K260" s="976"/>
      <c r="L260" s="976"/>
      <c r="M260" s="976"/>
      <c r="N260" s="97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6"/>
      <c r="AJ260" s="976"/>
      <c r="AK260" s="976"/>
      <c r="AL260" s="976"/>
      <c r="AM260" s="976"/>
      <c r="AN260" s="1007"/>
      <c r="AO260" s="1007"/>
      <c r="AP260" s="1009"/>
      <c r="AQ260" s="1012"/>
      <c r="AR260" s="1013"/>
      <c r="AS260" s="1013"/>
      <c r="AT260" s="1013"/>
      <c r="AU260" s="1012"/>
      <c r="AW260" s="1009"/>
      <c r="BD260" s="1009"/>
      <c r="BE260" s="1009"/>
      <c r="BF260" s="1009"/>
      <c r="BG260" s="1009"/>
    </row>
    <row r="261" s="1019" customFormat="1" spans="1:59">
      <c r="A261" s="976"/>
      <c r="B261" s="976"/>
      <c r="C261" s="976"/>
      <c r="D261" s="976"/>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6"/>
      <c r="AJ261" s="976"/>
      <c r="AK261" s="976"/>
      <c r="AL261" s="976"/>
      <c r="AM261" s="976"/>
      <c r="AN261" s="1007"/>
      <c r="AO261" s="1007"/>
      <c r="AP261" s="1009"/>
      <c r="AQ261" s="1012"/>
      <c r="AR261" s="1013"/>
      <c r="AS261" s="1013"/>
      <c r="AT261" s="1013"/>
      <c r="AU261" s="1012"/>
      <c r="AW261" s="1009"/>
      <c r="BD261" s="1009"/>
      <c r="BE261" s="1009"/>
      <c r="BF261" s="1009"/>
      <c r="BG261" s="1009"/>
    </row>
    <row r="262" s="1019" customFormat="1" spans="1:59">
      <c r="A262" s="976"/>
      <c r="B262" s="976"/>
      <c r="C262" s="976"/>
      <c r="D262" s="976"/>
      <c r="E262" s="976"/>
      <c r="F262" s="976"/>
      <c r="G262" s="976"/>
      <c r="H262" s="976"/>
      <c r="I262" s="976"/>
      <c r="J262" s="976"/>
      <c r="K262" s="976"/>
      <c r="L262" s="976"/>
      <c r="M262" s="976"/>
      <c r="N262" s="976"/>
      <c r="O262" s="976"/>
      <c r="P262" s="976"/>
      <c r="Q262" s="976"/>
      <c r="R262" s="976"/>
      <c r="S262" s="976"/>
      <c r="T262" s="976"/>
      <c r="U262" s="976"/>
      <c r="V262" s="976"/>
      <c r="W262" s="976"/>
      <c r="X262" s="976"/>
      <c r="Y262" s="976"/>
      <c r="Z262" s="976"/>
      <c r="AA262" s="976"/>
      <c r="AB262" s="976"/>
      <c r="AC262" s="976"/>
      <c r="AD262" s="976"/>
      <c r="AE262" s="976"/>
      <c r="AF262" s="976"/>
      <c r="AG262" s="976"/>
      <c r="AH262" s="976"/>
      <c r="AI262" s="976"/>
      <c r="AJ262" s="976"/>
      <c r="AK262" s="976"/>
      <c r="AL262" s="976"/>
      <c r="AM262" s="976"/>
      <c r="AN262" s="1007"/>
      <c r="AO262" s="1007"/>
      <c r="AP262" s="1009"/>
      <c r="AQ262" s="1012"/>
      <c r="AR262" s="1013"/>
      <c r="AS262" s="1013"/>
      <c r="AT262" s="1013"/>
      <c r="AU262" s="1012"/>
      <c r="AW262" s="1009"/>
      <c r="BD262" s="1009"/>
      <c r="BE262" s="1009"/>
      <c r="BF262" s="1009"/>
      <c r="BG262" s="1009"/>
    </row>
    <row r="263" s="1019" customFormat="1" spans="1:59">
      <c r="A263" s="976"/>
      <c r="B263" s="976"/>
      <c r="C263" s="976"/>
      <c r="D263" s="976"/>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6"/>
      <c r="AJ263" s="976"/>
      <c r="AK263" s="976"/>
      <c r="AL263" s="976"/>
      <c r="AM263" s="976"/>
      <c r="AN263" s="1007"/>
      <c r="AO263" s="1007"/>
      <c r="AP263" s="1009"/>
      <c r="AQ263" s="1012"/>
      <c r="AR263" s="1013"/>
      <c r="AS263" s="1013"/>
      <c r="AT263" s="1013"/>
      <c r="AU263" s="1012"/>
      <c r="AW263" s="1009"/>
      <c r="BD263" s="1009"/>
      <c r="BE263" s="1009"/>
      <c r="BF263" s="1009"/>
      <c r="BG263" s="1009"/>
    </row>
    <row r="264" s="1019" customFormat="1" spans="1:59">
      <c r="A264" s="976"/>
      <c r="B264" s="976"/>
      <c r="C264" s="976"/>
      <c r="D264" s="976"/>
      <c r="E264" s="976"/>
      <c r="F264" s="976"/>
      <c r="G264" s="976"/>
      <c r="H264" s="976"/>
      <c r="I264" s="976"/>
      <c r="J264" s="976"/>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6"/>
      <c r="AJ264" s="976"/>
      <c r="AK264" s="976"/>
      <c r="AL264" s="976"/>
      <c r="AM264" s="976"/>
      <c r="AN264" s="1007"/>
      <c r="AO264" s="1007"/>
      <c r="AP264" s="1009"/>
      <c r="AQ264" s="1012"/>
      <c r="AR264" s="1013"/>
      <c r="AS264" s="1013"/>
      <c r="AT264" s="1013"/>
      <c r="AU264" s="1012"/>
      <c r="AW264" s="1009"/>
      <c r="BD264" s="1009"/>
      <c r="BE264" s="1009"/>
      <c r="BF264" s="1009"/>
      <c r="BG264" s="1009"/>
    </row>
    <row r="265" s="1019" customFormat="1" spans="1:59">
      <c r="A265" s="976"/>
      <c r="B265" s="976"/>
      <c r="C265" s="976"/>
      <c r="D265" s="976"/>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6"/>
      <c r="AJ265" s="976"/>
      <c r="AK265" s="976"/>
      <c r="AL265" s="976"/>
      <c r="AM265" s="976"/>
      <c r="AN265" s="1007"/>
      <c r="AO265" s="1007"/>
      <c r="AP265" s="1009"/>
      <c r="AQ265" s="1012"/>
      <c r="AR265" s="1013"/>
      <c r="AS265" s="1013"/>
      <c r="AT265" s="1013"/>
      <c r="AU265" s="1012"/>
      <c r="AW265" s="1009"/>
      <c r="BD265" s="1009"/>
      <c r="BE265" s="1009"/>
      <c r="BF265" s="1009"/>
      <c r="BG265" s="1009"/>
    </row>
    <row r="266" s="1019" customFormat="1" spans="1:59">
      <c r="A266" s="976"/>
      <c r="B266" s="976"/>
      <c r="C266" s="976"/>
      <c r="D266" s="976"/>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6"/>
      <c r="AJ266" s="976"/>
      <c r="AK266" s="976"/>
      <c r="AL266" s="976"/>
      <c r="AM266" s="976"/>
      <c r="AN266" s="1007"/>
      <c r="AO266" s="1007"/>
      <c r="AP266" s="1009"/>
      <c r="AQ266" s="1012"/>
      <c r="AR266" s="1013"/>
      <c r="AS266" s="1013"/>
      <c r="AT266" s="1013"/>
      <c r="AU266" s="1012"/>
      <c r="AW266" s="1009"/>
      <c r="BD266" s="1009"/>
      <c r="BE266" s="1009"/>
      <c r="BF266" s="1009"/>
      <c r="BG266" s="1009"/>
    </row>
    <row r="267" s="1019" customFormat="1" spans="1:59">
      <c r="A267" s="976"/>
      <c r="B267" s="976"/>
      <c r="C267" s="976"/>
      <c r="D267" s="976"/>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6"/>
      <c r="AJ267" s="976"/>
      <c r="AK267" s="976"/>
      <c r="AL267" s="976"/>
      <c r="AM267" s="976"/>
      <c r="AN267" s="1007"/>
      <c r="AO267" s="1007"/>
      <c r="AP267" s="1009"/>
      <c r="AQ267" s="1012"/>
      <c r="AR267" s="1013"/>
      <c r="AS267" s="1013"/>
      <c r="AT267" s="1013"/>
      <c r="AU267" s="1012"/>
      <c r="AW267" s="1009"/>
      <c r="BD267" s="1009"/>
      <c r="BE267" s="1009"/>
      <c r="BF267" s="1009"/>
      <c r="BG267" s="1009"/>
    </row>
    <row r="268" s="1019" customFormat="1" spans="1:59">
      <c r="A268" s="976"/>
      <c r="B268" s="976"/>
      <c r="C268" s="976"/>
      <c r="D268" s="976"/>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6"/>
      <c r="AJ268" s="976"/>
      <c r="AK268" s="976"/>
      <c r="AL268" s="976"/>
      <c r="AM268" s="976"/>
      <c r="AN268" s="1007"/>
      <c r="AO268" s="1007"/>
      <c r="AP268" s="1009"/>
      <c r="AQ268" s="1012"/>
      <c r="AR268" s="1013"/>
      <c r="AS268" s="1013"/>
      <c r="AT268" s="1013"/>
      <c r="AU268" s="1012"/>
      <c r="AW268" s="1009"/>
      <c r="BD268" s="1009"/>
      <c r="BE268" s="1009"/>
      <c r="BF268" s="1009"/>
      <c r="BG268" s="1009"/>
    </row>
    <row r="269" s="1019" customFormat="1" spans="1:59">
      <c r="A269" s="976"/>
      <c r="B269" s="976"/>
      <c r="C269" s="976"/>
      <c r="D269" s="976"/>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6"/>
      <c r="AJ269" s="976"/>
      <c r="AK269" s="976"/>
      <c r="AL269" s="976"/>
      <c r="AM269" s="976"/>
      <c r="AN269" s="1007"/>
      <c r="AO269" s="1007"/>
      <c r="AP269" s="1009"/>
      <c r="AQ269" s="1012"/>
      <c r="AR269" s="1013"/>
      <c r="AS269" s="1013"/>
      <c r="AT269" s="1013"/>
      <c r="AU269" s="1012"/>
      <c r="AW269" s="1009"/>
      <c r="BD269" s="1009"/>
      <c r="BE269" s="1009"/>
      <c r="BF269" s="1009"/>
      <c r="BG269" s="1009"/>
    </row>
    <row r="270" s="1019" customFormat="1" spans="1:59">
      <c r="A270" s="976"/>
      <c r="B270" s="976"/>
      <c r="C270" s="976"/>
      <c r="D270" s="976"/>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6"/>
      <c r="AJ270" s="976"/>
      <c r="AK270" s="976"/>
      <c r="AL270" s="976"/>
      <c r="AM270" s="976"/>
      <c r="AN270" s="1007"/>
      <c r="AO270" s="1007"/>
      <c r="AP270" s="1009"/>
      <c r="AQ270" s="1012"/>
      <c r="AR270" s="1013"/>
      <c r="AS270" s="1013"/>
      <c r="AT270" s="1013"/>
      <c r="AU270" s="1012"/>
      <c r="AW270" s="1009"/>
      <c r="BD270" s="1009"/>
      <c r="BE270" s="1009"/>
      <c r="BF270" s="1009"/>
      <c r="BG270" s="1009"/>
    </row>
    <row r="271" s="1019" customFormat="1" spans="1:59">
      <c r="A271" s="976"/>
      <c r="B271" s="976"/>
      <c r="C271" s="976"/>
      <c r="D271" s="976"/>
      <c r="E271" s="976"/>
      <c r="F271" s="976"/>
      <c r="G271" s="976"/>
      <c r="H271" s="976"/>
      <c r="I271" s="976"/>
      <c r="J271" s="976"/>
      <c r="K271" s="976"/>
      <c r="L271" s="976"/>
      <c r="M271" s="976"/>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6"/>
      <c r="AJ271" s="976"/>
      <c r="AK271" s="976"/>
      <c r="AL271" s="976"/>
      <c r="AM271" s="976"/>
      <c r="AN271" s="1007"/>
      <c r="AO271" s="1007"/>
      <c r="AP271" s="1009"/>
      <c r="AQ271" s="1012"/>
      <c r="AR271" s="1013"/>
      <c r="AS271" s="1013"/>
      <c r="AT271" s="1013"/>
      <c r="AU271" s="1012"/>
      <c r="AW271" s="1009"/>
      <c r="BD271" s="1009"/>
      <c r="BE271" s="1009"/>
      <c r="BF271" s="1009"/>
      <c r="BG271" s="1009"/>
    </row>
    <row r="272" s="1019" customFormat="1" spans="1:59">
      <c r="A272" s="976"/>
      <c r="B272" s="976"/>
      <c r="C272" s="976"/>
      <c r="D272" s="976"/>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6"/>
      <c r="AJ272" s="976"/>
      <c r="AK272" s="976"/>
      <c r="AL272" s="976"/>
      <c r="AM272" s="976"/>
      <c r="AN272" s="1007"/>
      <c r="AO272" s="1007"/>
      <c r="AP272" s="1009"/>
      <c r="AQ272" s="1012"/>
      <c r="AR272" s="1013"/>
      <c r="AS272" s="1013"/>
      <c r="AT272" s="1013"/>
      <c r="AU272" s="1012"/>
      <c r="AW272" s="1009"/>
      <c r="BD272" s="1009"/>
      <c r="BE272" s="1009"/>
      <c r="BF272" s="1009"/>
      <c r="BG272" s="1009"/>
    </row>
    <row r="273" s="1019" customFormat="1" spans="1:59">
      <c r="A273" s="976"/>
      <c r="B273" s="976"/>
      <c r="C273" s="976"/>
      <c r="D273" s="976"/>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6"/>
      <c r="AJ273" s="976"/>
      <c r="AK273" s="976"/>
      <c r="AL273" s="976"/>
      <c r="AM273" s="976"/>
      <c r="AN273" s="1007"/>
      <c r="AO273" s="1007"/>
      <c r="AP273" s="1009"/>
      <c r="AQ273" s="1012"/>
      <c r="AR273" s="1013"/>
      <c r="AS273" s="1013"/>
      <c r="AT273" s="1013"/>
      <c r="AU273" s="1012"/>
      <c r="AW273" s="1009"/>
      <c r="BD273" s="1009"/>
      <c r="BE273" s="1009"/>
      <c r="BF273" s="1009"/>
      <c r="BG273" s="1009"/>
    </row>
    <row r="274" s="1019" customFormat="1" spans="1:59">
      <c r="A274" s="976"/>
      <c r="B274" s="976"/>
      <c r="C274" s="976"/>
      <c r="D274" s="976"/>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6"/>
      <c r="AJ274" s="976"/>
      <c r="AK274" s="976"/>
      <c r="AL274" s="976"/>
      <c r="AM274" s="976"/>
      <c r="AN274" s="1007"/>
      <c r="AO274" s="1007"/>
      <c r="AP274" s="1009"/>
      <c r="AQ274" s="1012"/>
      <c r="AR274" s="1013"/>
      <c r="AS274" s="1013"/>
      <c r="AT274" s="1013"/>
      <c r="AU274" s="1012"/>
      <c r="AW274" s="1009"/>
      <c r="BD274" s="1009"/>
      <c r="BE274" s="1009"/>
      <c r="BF274" s="1009"/>
      <c r="BG274" s="1009"/>
    </row>
    <row r="275" s="1019" customFormat="1" spans="1:59">
      <c r="A275" s="976"/>
      <c r="B275" s="976"/>
      <c r="C275" s="976"/>
      <c r="D275" s="976"/>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6"/>
      <c r="AJ275" s="976"/>
      <c r="AK275" s="976"/>
      <c r="AL275" s="976"/>
      <c r="AM275" s="976"/>
      <c r="AN275" s="1007"/>
      <c r="AO275" s="1007"/>
      <c r="AP275" s="1009"/>
      <c r="AQ275" s="1012"/>
      <c r="AR275" s="1013"/>
      <c r="AS275" s="1013"/>
      <c r="AT275" s="1013"/>
      <c r="AU275" s="1012"/>
      <c r="AW275" s="1009"/>
      <c r="BD275" s="1009"/>
      <c r="BE275" s="1009"/>
      <c r="BF275" s="1009"/>
      <c r="BG275" s="1009"/>
    </row>
    <row r="276" s="1019" customFormat="1" spans="1:59">
      <c r="A276" s="976"/>
      <c r="B276" s="976"/>
      <c r="C276" s="976"/>
      <c r="D276" s="976"/>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6"/>
      <c r="AJ276" s="976"/>
      <c r="AK276" s="976"/>
      <c r="AL276" s="976"/>
      <c r="AM276" s="976"/>
      <c r="AN276" s="1007"/>
      <c r="AO276" s="1007"/>
      <c r="AP276" s="1009"/>
      <c r="AQ276" s="1012"/>
      <c r="AR276" s="1013"/>
      <c r="AS276" s="1013"/>
      <c r="AT276" s="1013"/>
      <c r="AU276" s="1012"/>
      <c r="AW276" s="1009"/>
      <c r="BD276" s="1009"/>
      <c r="BE276" s="1009"/>
      <c r="BF276" s="1009"/>
      <c r="BG276" s="1009"/>
    </row>
    <row r="277" s="1019" customFormat="1" spans="1:59">
      <c r="A277" s="976"/>
      <c r="B277" s="976"/>
      <c r="C277" s="976"/>
      <c r="D277" s="976"/>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6"/>
      <c r="AJ277" s="976"/>
      <c r="AK277" s="976"/>
      <c r="AL277" s="976"/>
      <c r="AM277" s="976"/>
      <c r="AN277" s="1007"/>
      <c r="AO277" s="1007"/>
      <c r="AP277" s="1009"/>
      <c r="AQ277" s="1012"/>
      <c r="AR277" s="1013"/>
      <c r="AS277" s="1013"/>
      <c r="AT277" s="1013"/>
      <c r="AU277" s="1012"/>
      <c r="AW277" s="1009"/>
      <c r="BD277" s="1009"/>
      <c r="BE277" s="1009"/>
      <c r="BF277" s="1009"/>
      <c r="BG277" s="1009"/>
    </row>
    <row r="278" s="1019" customFormat="1" spans="1:59">
      <c r="A278" s="976"/>
      <c r="B278" s="976"/>
      <c r="C278" s="976"/>
      <c r="D278" s="976"/>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6"/>
      <c r="AJ278" s="976"/>
      <c r="AK278" s="976"/>
      <c r="AL278" s="976"/>
      <c r="AM278" s="976"/>
      <c r="AN278" s="1007"/>
      <c r="AO278" s="1007"/>
      <c r="AP278" s="1009"/>
      <c r="AQ278" s="1012"/>
      <c r="AR278" s="1013"/>
      <c r="AS278" s="1013"/>
      <c r="AT278" s="1013"/>
      <c r="AU278" s="1012"/>
      <c r="AW278" s="1009"/>
      <c r="BD278" s="1009"/>
      <c r="BE278" s="1009"/>
      <c r="BF278" s="1009"/>
      <c r="BG278" s="1009"/>
    </row>
    <row r="279" s="1019" customFormat="1" spans="1:59">
      <c r="A279" s="976"/>
      <c r="B279" s="976"/>
      <c r="C279" s="976"/>
      <c r="D279" s="976"/>
      <c r="E279" s="976"/>
      <c r="F279" s="976"/>
      <c r="G279" s="976"/>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6"/>
      <c r="AJ279" s="976"/>
      <c r="AK279" s="976"/>
      <c r="AL279" s="976"/>
      <c r="AM279" s="976"/>
      <c r="AN279" s="1007"/>
      <c r="AO279" s="1007"/>
      <c r="AP279" s="1009"/>
      <c r="AQ279" s="1012"/>
      <c r="AR279" s="1013"/>
      <c r="AS279" s="1013"/>
      <c r="AT279" s="1013"/>
      <c r="AU279" s="1012"/>
      <c r="AW279" s="1009"/>
      <c r="BD279" s="1009"/>
      <c r="BE279" s="1009"/>
      <c r="BF279" s="1009"/>
      <c r="BG279" s="1009"/>
    </row>
    <row r="280" s="1019" customFormat="1" spans="1:59">
      <c r="A280" s="976"/>
      <c r="B280" s="976"/>
      <c r="C280" s="976"/>
      <c r="D280" s="976"/>
      <c r="E280" s="976"/>
      <c r="F280" s="976"/>
      <c r="G280" s="976"/>
      <c r="H280" s="976"/>
      <c r="I280" s="976"/>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6"/>
      <c r="AJ280" s="976"/>
      <c r="AK280" s="976"/>
      <c r="AL280" s="976"/>
      <c r="AM280" s="976"/>
      <c r="AN280" s="1007"/>
      <c r="AO280" s="1007"/>
      <c r="AP280" s="1009"/>
      <c r="AQ280" s="1012"/>
      <c r="AR280" s="1013"/>
      <c r="AS280" s="1013"/>
      <c r="AT280" s="1013"/>
      <c r="AU280" s="1012"/>
      <c r="AW280" s="1009"/>
      <c r="BD280" s="1009"/>
      <c r="BE280" s="1009"/>
      <c r="BF280" s="1009"/>
      <c r="BG280" s="1009"/>
    </row>
    <row r="281" s="1019" customFormat="1" spans="1:59">
      <c r="A281" s="976"/>
      <c r="B281" s="976"/>
      <c r="C281" s="976"/>
      <c r="D281" s="976"/>
      <c r="E281" s="976"/>
      <c r="F281" s="976"/>
      <c r="G281" s="976"/>
      <c r="H281" s="976"/>
      <c r="I281" s="976"/>
      <c r="J281" s="976"/>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6"/>
      <c r="AJ281" s="976"/>
      <c r="AK281" s="976"/>
      <c r="AL281" s="976"/>
      <c r="AM281" s="976"/>
      <c r="AN281" s="1007"/>
      <c r="AO281" s="1007"/>
      <c r="AP281" s="1009"/>
      <c r="AQ281" s="1012"/>
      <c r="AR281" s="1013"/>
      <c r="AS281" s="1013"/>
      <c r="AT281" s="1013"/>
      <c r="AU281" s="1012"/>
      <c r="AW281" s="1009"/>
      <c r="BD281" s="1009"/>
      <c r="BE281" s="1009"/>
      <c r="BF281" s="1009"/>
      <c r="BG281" s="1009"/>
    </row>
    <row r="282" s="1019" customFormat="1" spans="1:59">
      <c r="A282" s="976"/>
      <c r="B282" s="976"/>
      <c r="C282" s="976"/>
      <c r="D282" s="976"/>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6"/>
      <c r="AJ282" s="976"/>
      <c r="AK282" s="976"/>
      <c r="AL282" s="976"/>
      <c r="AM282" s="976"/>
      <c r="AN282" s="1007"/>
      <c r="AO282" s="1007"/>
      <c r="AP282" s="1009"/>
      <c r="AQ282" s="1012"/>
      <c r="AR282" s="1013"/>
      <c r="AS282" s="1013"/>
      <c r="AT282" s="1013"/>
      <c r="AU282" s="1012"/>
      <c r="AW282" s="1009"/>
      <c r="BD282" s="1009"/>
      <c r="BE282" s="1009"/>
      <c r="BF282" s="1009"/>
      <c r="BG282" s="1009"/>
    </row>
    <row r="283" s="1019" customFormat="1" spans="1:59">
      <c r="A283" s="976"/>
      <c r="B283" s="976"/>
      <c r="C283" s="976"/>
      <c r="D283" s="976"/>
      <c r="E283" s="976"/>
      <c r="F283" s="976"/>
      <c r="G283" s="976"/>
      <c r="H283" s="976"/>
      <c r="I283" s="976"/>
      <c r="J283" s="976"/>
      <c r="K283" s="976"/>
      <c r="L283" s="976"/>
      <c r="M283" s="976"/>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6"/>
      <c r="AJ283" s="976"/>
      <c r="AK283" s="976"/>
      <c r="AL283" s="976"/>
      <c r="AM283" s="976"/>
      <c r="AN283" s="1007"/>
      <c r="AO283" s="1007"/>
      <c r="AP283" s="1009"/>
      <c r="AQ283" s="1012"/>
      <c r="AR283" s="1013"/>
      <c r="AS283" s="1013"/>
      <c r="AT283" s="1013"/>
      <c r="AU283" s="1012"/>
      <c r="AW283" s="1009"/>
      <c r="BD283" s="1009"/>
      <c r="BE283" s="1009"/>
      <c r="BF283" s="1009"/>
      <c r="BG283" s="1009"/>
    </row>
    <row r="284" s="1019" customFormat="1" spans="1:59">
      <c r="A284" s="976"/>
      <c r="B284" s="976"/>
      <c r="C284" s="976"/>
      <c r="D284" s="976"/>
      <c r="E284" s="976"/>
      <c r="F284" s="976"/>
      <c r="G284" s="976"/>
      <c r="H284" s="976"/>
      <c r="I284" s="976"/>
      <c r="J284" s="976"/>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6"/>
      <c r="AJ284" s="976"/>
      <c r="AK284" s="976"/>
      <c r="AL284" s="976"/>
      <c r="AM284" s="976"/>
      <c r="AN284" s="1007"/>
      <c r="AO284" s="1007"/>
      <c r="AP284" s="1009"/>
      <c r="AQ284" s="1012"/>
      <c r="AR284" s="1013"/>
      <c r="AS284" s="1013"/>
      <c r="AT284" s="1013"/>
      <c r="AU284" s="1012"/>
      <c r="AW284" s="1009"/>
      <c r="BD284" s="1009"/>
      <c r="BE284" s="1009"/>
      <c r="BF284" s="1009"/>
      <c r="BG284" s="1009"/>
    </row>
    <row r="285" s="1019" customFormat="1" spans="1:59">
      <c r="A285" s="976"/>
      <c r="B285" s="976"/>
      <c r="C285" s="976"/>
      <c r="D285" s="976"/>
      <c r="E285" s="976"/>
      <c r="F285" s="976"/>
      <c r="G285" s="976"/>
      <c r="H285" s="976"/>
      <c r="I285" s="976"/>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6"/>
      <c r="AJ285" s="976"/>
      <c r="AK285" s="976"/>
      <c r="AL285" s="976"/>
      <c r="AM285" s="976"/>
      <c r="AN285" s="1007"/>
      <c r="AO285" s="1007"/>
      <c r="AP285" s="1009"/>
      <c r="AQ285" s="1012"/>
      <c r="AR285" s="1013"/>
      <c r="AS285" s="1013"/>
      <c r="AT285" s="1013"/>
      <c r="AU285" s="1012"/>
      <c r="AW285" s="1009"/>
      <c r="BD285" s="1009"/>
      <c r="BE285" s="1009"/>
      <c r="BF285" s="1009"/>
      <c r="BG285" s="1009"/>
    </row>
    <row r="286" s="1019" customFormat="1" spans="1:59">
      <c r="A286" s="976"/>
      <c r="B286" s="976"/>
      <c r="C286" s="976"/>
      <c r="D286" s="976"/>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6"/>
      <c r="AJ286" s="976"/>
      <c r="AK286" s="976"/>
      <c r="AL286" s="976"/>
      <c r="AM286" s="976"/>
      <c r="AN286" s="1007"/>
      <c r="AO286" s="1007"/>
      <c r="AP286" s="1009"/>
      <c r="AQ286" s="1012"/>
      <c r="AR286" s="1013"/>
      <c r="AS286" s="1013"/>
      <c r="AT286" s="1013"/>
      <c r="AU286" s="1012"/>
      <c r="AW286" s="1009"/>
      <c r="BD286" s="1009"/>
      <c r="BE286" s="1009"/>
      <c r="BF286" s="1009"/>
      <c r="BG286" s="1009"/>
    </row>
    <row r="287" s="1019" customFormat="1" spans="1:59">
      <c r="A287" s="976"/>
      <c r="B287" s="976"/>
      <c r="C287" s="976"/>
      <c r="D287" s="976"/>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6"/>
      <c r="AJ287" s="976"/>
      <c r="AK287" s="976"/>
      <c r="AL287" s="976"/>
      <c r="AM287" s="976"/>
      <c r="AN287" s="1007"/>
      <c r="AO287" s="1007"/>
      <c r="AP287" s="1009"/>
      <c r="AQ287" s="1012"/>
      <c r="AR287" s="1013"/>
      <c r="AS287" s="1013"/>
      <c r="AT287" s="1013"/>
      <c r="AU287" s="1012"/>
      <c r="AW287" s="1009"/>
      <c r="BD287" s="1009"/>
      <c r="BE287" s="1009"/>
      <c r="BF287" s="1009"/>
      <c r="BG287" s="1009"/>
    </row>
    <row r="288" s="1019" customFormat="1" spans="1:59">
      <c r="A288" s="976"/>
      <c r="B288" s="976"/>
      <c r="C288" s="976"/>
      <c r="D288" s="976"/>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6"/>
      <c r="AJ288" s="976"/>
      <c r="AK288" s="976"/>
      <c r="AL288" s="976"/>
      <c r="AM288" s="976"/>
      <c r="AN288" s="1007"/>
      <c r="AO288" s="1007"/>
      <c r="AP288" s="1009"/>
      <c r="AQ288" s="1012"/>
      <c r="AR288" s="1013"/>
      <c r="AS288" s="1013"/>
      <c r="AT288" s="1013"/>
      <c r="AU288" s="1012"/>
      <c r="AW288" s="1009"/>
      <c r="BD288" s="1009"/>
      <c r="BE288" s="1009"/>
      <c r="BF288" s="1009"/>
      <c r="BG288" s="1009"/>
    </row>
    <row r="289" s="1019" customFormat="1" spans="1:59">
      <c r="A289" s="976"/>
      <c r="B289" s="976"/>
      <c r="C289" s="976"/>
      <c r="D289" s="976"/>
      <c r="E289" s="976"/>
      <c r="F289" s="976"/>
      <c r="G289" s="976"/>
      <c r="H289" s="976"/>
      <c r="I289" s="976"/>
      <c r="J289" s="976"/>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6"/>
      <c r="AJ289" s="976"/>
      <c r="AK289" s="976"/>
      <c r="AL289" s="976"/>
      <c r="AM289" s="976"/>
      <c r="AN289" s="1007"/>
      <c r="AO289" s="1007"/>
      <c r="AP289" s="1009"/>
      <c r="AQ289" s="1012"/>
      <c r="AR289" s="1013"/>
      <c r="AS289" s="1013"/>
      <c r="AT289" s="1013"/>
      <c r="AU289" s="1012"/>
      <c r="AW289" s="1009"/>
      <c r="BD289" s="1009"/>
      <c r="BE289" s="1009"/>
      <c r="BF289" s="1009"/>
      <c r="BG289" s="1009"/>
    </row>
    <row r="290" s="1019" customFormat="1" spans="1:59">
      <c r="A290" s="976"/>
      <c r="B290" s="976"/>
      <c r="C290" s="976"/>
      <c r="D290" s="976"/>
      <c r="E290" s="976"/>
      <c r="F290" s="976"/>
      <c r="G290" s="976"/>
      <c r="H290" s="976"/>
      <c r="I290" s="976"/>
      <c r="J290" s="976"/>
      <c r="K290" s="976"/>
      <c r="L290" s="976"/>
      <c r="M290" s="976"/>
      <c r="N290" s="976"/>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6"/>
      <c r="AJ290" s="976"/>
      <c r="AK290" s="976"/>
      <c r="AL290" s="976"/>
      <c r="AM290" s="976"/>
      <c r="AN290" s="1007"/>
      <c r="AO290" s="1007"/>
      <c r="AP290" s="1009"/>
      <c r="AQ290" s="1012"/>
      <c r="AR290" s="1013"/>
      <c r="AS290" s="1013"/>
      <c r="AT290" s="1013"/>
      <c r="AU290" s="1012"/>
      <c r="AW290" s="1009"/>
      <c r="BD290" s="1009"/>
      <c r="BE290" s="1009"/>
      <c r="BF290" s="1009"/>
      <c r="BG290" s="1009"/>
    </row>
    <row r="291" s="1019" customFormat="1" spans="1:59">
      <c r="A291" s="976"/>
      <c r="B291" s="976"/>
      <c r="C291" s="976"/>
      <c r="D291" s="976"/>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6"/>
      <c r="AJ291" s="976"/>
      <c r="AK291" s="976"/>
      <c r="AL291" s="976"/>
      <c r="AM291" s="976"/>
      <c r="AN291" s="1007"/>
      <c r="AO291" s="1007"/>
      <c r="AP291" s="1009"/>
      <c r="AQ291" s="1012"/>
      <c r="AR291" s="1013"/>
      <c r="AS291" s="1013"/>
      <c r="AT291" s="1013"/>
      <c r="AU291" s="1012"/>
      <c r="AW291" s="1009"/>
      <c r="BD291" s="1009"/>
      <c r="BE291" s="1009"/>
      <c r="BF291" s="1009"/>
      <c r="BG291" s="1009"/>
    </row>
    <row r="292" s="1019" customFormat="1" spans="1:59">
      <c r="A292" s="976"/>
      <c r="B292" s="976"/>
      <c r="C292" s="976"/>
      <c r="D292" s="976"/>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6"/>
      <c r="AJ292" s="976"/>
      <c r="AK292" s="976"/>
      <c r="AL292" s="976"/>
      <c r="AM292" s="976"/>
      <c r="AN292" s="1007"/>
      <c r="AO292" s="1007"/>
      <c r="AP292" s="1009"/>
      <c r="AQ292" s="1012"/>
      <c r="AR292" s="1013"/>
      <c r="AS292" s="1013"/>
      <c r="AT292" s="1013"/>
      <c r="AU292" s="1012"/>
      <c r="AW292" s="1009"/>
      <c r="BD292" s="1009"/>
      <c r="BE292" s="1009"/>
      <c r="BF292" s="1009"/>
      <c r="BG292" s="1009"/>
    </row>
    <row r="293" s="1019" customFormat="1" spans="1:59">
      <c r="A293" s="976"/>
      <c r="B293" s="976"/>
      <c r="C293" s="976"/>
      <c r="D293" s="976"/>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6"/>
      <c r="AJ293" s="976"/>
      <c r="AK293" s="976"/>
      <c r="AL293" s="976"/>
      <c r="AM293" s="976"/>
      <c r="AN293" s="1007"/>
      <c r="AO293" s="1007"/>
      <c r="AP293" s="1009"/>
      <c r="AQ293" s="1012"/>
      <c r="AR293" s="1013"/>
      <c r="AS293" s="1013"/>
      <c r="AT293" s="1013"/>
      <c r="AU293" s="1012"/>
      <c r="AW293" s="1009"/>
      <c r="BD293" s="1009"/>
      <c r="BE293" s="1009"/>
      <c r="BF293" s="1009"/>
      <c r="BG293" s="1009"/>
    </row>
    <row r="294" s="1019" customFormat="1" spans="1:59">
      <c r="A294" s="976"/>
      <c r="B294" s="976"/>
      <c r="C294" s="976"/>
      <c r="D294" s="976"/>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6"/>
      <c r="AJ294" s="976"/>
      <c r="AK294" s="976"/>
      <c r="AL294" s="976"/>
      <c r="AM294" s="976"/>
      <c r="AN294" s="1007"/>
      <c r="AO294" s="1007"/>
      <c r="AP294" s="1009"/>
      <c r="AQ294" s="1012"/>
      <c r="AR294" s="1013"/>
      <c r="AS294" s="1013"/>
      <c r="AT294" s="1013"/>
      <c r="AU294" s="1012"/>
      <c r="AW294" s="1009"/>
      <c r="BD294" s="1009"/>
      <c r="BE294" s="1009"/>
      <c r="BF294" s="1009"/>
      <c r="BG294" s="1009"/>
    </row>
    <row r="295" s="1019" customFormat="1" spans="1:59">
      <c r="A295" s="976"/>
      <c r="B295" s="976"/>
      <c r="C295" s="976"/>
      <c r="D295" s="976"/>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6"/>
      <c r="AJ295" s="976"/>
      <c r="AK295" s="976"/>
      <c r="AL295" s="976"/>
      <c r="AM295" s="976"/>
      <c r="AN295" s="1007"/>
      <c r="AO295" s="1007"/>
      <c r="AP295" s="1009"/>
      <c r="AQ295" s="1012"/>
      <c r="AR295" s="1013"/>
      <c r="AS295" s="1013"/>
      <c r="AT295" s="1013"/>
      <c r="AU295" s="1012"/>
      <c r="AW295" s="1009"/>
      <c r="BD295" s="1009"/>
      <c r="BE295" s="1009"/>
      <c r="BF295" s="1009"/>
      <c r="BG295" s="1009"/>
    </row>
    <row r="296" s="1019" customFormat="1" spans="1:59">
      <c r="A296" s="976"/>
      <c r="B296" s="976"/>
      <c r="C296" s="976"/>
      <c r="D296" s="976"/>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6"/>
      <c r="AJ296" s="976"/>
      <c r="AK296" s="976"/>
      <c r="AL296" s="976"/>
      <c r="AM296" s="976"/>
      <c r="AN296" s="1007"/>
      <c r="AO296" s="1007"/>
      <c r="AP296" s="1009"/>
      <c r="AQ296" s="1012"/>
      <c r="AR296" s="1013"/>
      <c r="AS296" s="1013"/>
      <c r="AT296" s="1013"/>
      <c r="AU296" s="1012"/>
      <c r="AW296" s="1009"/>
      <c r="BD296" s="1009"/>
      <c r="BE296" s="1009"/>
      <c r="BF296" s="1009"/>
      <c r="BG296" s="1009"/>
    </row>
    <row r="297" s="1019" customFormat="1" spans="1:59">
      <c r="A297" s="976"/>
      <c r="B297" s="976"/>
      <c r="C297" s="976"/>
      <c r="D297" s="976"/>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6"/>
      <c r="AJ297" s="976"/>
      <c r="AK297" s="976"/>
      <c r="AL297" s="976"/>
      <c r="AM297" s="976"/>
      <c r="AN297" s="1007"/>
      <c r="AO297" s="1007"/>
      <c r="AP297" s="1009"/>
      <c r="AQ297" s="1012"/>
      <c r="AR297" s="1013"/>
      <c r="AS297" s="1013"/>
      <c r="AT297" s="1013"/>
      <c r="AU297" s="1012"/>
      <c r="AW297" s="1009"/>
      <c r="BD297" s="1009"/>
      <c r="BE297" s="1009"/>
      <c r="BF297" s="1009"/>
      <c r="BG297" s="1009"/>
    </row>
    <row r="298" s="1019" customFormat="1" spans="1:59">
      <c r="A298" s="976"/>
      <c r="B298" s="976"/>
      <c r="C298" s="976"/>
      <c r="D298" s="976"/>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6"/>
      <c r="AD298" s="976"/>
      <c r="AE298" s="976"/>
      <c r="AF298" s="976"/>
      <c r="AG298" s="976"/>
      <c r="AH298" s="976"/>
      <c r="AI298" s="976"/>
      <c r="AJ298" s="976"/>
      <c r="AK298" s="976"/>
      <c r="AL298" s="976"/>
      <c r="AM298" s="976"/>
      <c r="AN298" s="1007"/>
      <c r="AO298" s="1007"/>
      <c r="AP298" s="1009"/>
      <c r="AQ298" s="1012"/>
      <c r="AR298" s="1013"/>
      <c r="AS298" s="1013"/>
      <c r="AT298" s="1013"/>
      <c r="AU298" s="1012"/>
      <c r="AW298" s="1009"/>
      <c r="BD298" s="1009"/>
      <c r="BE298" s="1009"/>
      <c r="BF298" s="1009"/>
      <c r="BG298" s="1009"/>
    </row>
    <row r="299" s="1019" customFormat="1" spans="1:59">
      <c r="A299" s="976"/>
      <c r="B299" s="976"/>
      <c r="C299" s="976"/>
      <c r="D299" s="976"/>
      <c r="E299" s="976"/>
      <c r="F299" s="976"/>
      <c r="G299" s="976"/>
      <c r="H299" s="976"/>
      <c r="I299" s="976"/>
      <c r="J299" s="976"/>
      <c r="K299" s="976"/>
      <c r="L299" s="976"/>
      <c r="M299" s="976"/>
      <c r="N299" s="976"/>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6"/>
      <c r="AJ299" s="976"/>
      <c r="AK299" s="976"/>
      <c r="AL299" s="976"/>
      <c r="AM299" s="976"/>
      <c r="AN299" s="1007"/>
      <c r="AO299" s="1007"/>
      <c r="AP299" s="1009"/>
      <c r="AQ299" s="1012"/>
      <c r="AR299" s="1013"/>
      <c r="AS299" s="1013"/>
      <c r="AT299" s="1013"/>
      <c r="AU299" s="1012"/>
      <c r="AW299" s="1009"/>
      <c r="BD299" s="1009"/>
      <c r="BE299" s="1009"/>
      <c r="BF299" s="1009"/>
      <c r="BG299" s="1009"/>
    </row>
    <row r="300" s="1019" customFormat="1" spans="1:59">
      <c r="A300" s="976"/>
      <c r="B300" s="976"/>
      <c r="C300" s="976"/>
      <c r="D300" s="976"/>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6"/>
      <c r="AJ300" s="976"/>
      <c r="AK300" s="976"/>
      <c r="AL300" s="976"/>
      <c r="AM300" s="976"/>
      <c r="AN300" s="1007"/>
      <c r="AO300" s="1007"/>
      <c r="AP300" s="1009"/>
      <c r="AQ300" s="1012"/>
      <c r="AR300" s="1013"/>
      <c r="AS300" s="1013"/>
      <c r="AT300" s="1013"/>
      <c r="AU300" s="1012"/>
      <c r="AW300" s="1009"/>
      <c r="BD300" s="1009"/>
      <c r="BE300" s="1009"/>
      <c r="BF300" s="1009"/>
      <c r="BG300" s="1009"/>
    </row>
    <row r="301" s="1019" customFormat="1" spans="1:59">
      <c r="A301" s="976"/>
      <c r="B301" s="976"/>
      <c r="C301" s="976"/>
      <c r="D301" s="976"/>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6"/>
      <c r="AJ301" s="976"/>
      <c r="AK301" s="976"/>
      <c r="AL301" s="976"/>
      <c r="AM301" s="976"/>
      <c r="AN301" s="1007"/>
      <c r="AO301" s="1007"/>
      <c r="AP301" s="1009"/>
      <c r="AQ301" s="1012"/>
      <c r="AR301" s="1013"/>
      <c r="AS301" s="1013"/>
      <c r="AT301" s="1013"/>
      <c r="AU301" s="1012"/>
      <c r="AW301" s="1009"/>
      <c r="BD301" s="1009"/>
      <c r="BE301" s="1009"/>
      <c r="BF301" s="1009"/>
      <c r="BG301" s="1009"/>
    </row>
    <row r="302" s="1019" customFormat="1" spans="1:59">
      <c r="A302" s="976"/>
      <c r="B302" s="976"/>
      <c r="C302" s="976"/>
      <c r="D302" s="976"/>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6"/>
      <c r="AJ302" s="976"/>
      <c r="AK302" s="976"/>
      <c r="AL302" s="976"/>
      <c r="AM302" s="976"/>
      <c r="AN302" s="1007"/>
      <c r="AO302" s="1007"/>
      <c r="AP302" s="1009"/>
      <c r="AQ302" s="1012"/>
      <c r="AR302" s="1013"/>
      <c r="AS302" s="1013"/>
      <c r="AT302" s="1013"/>
      <c r="AU302" s="1012"/>
      <c r="AW302" s="1009"/>
      <c r="BD302" s="1009"/>
      <c r="BE302" s="1009"/>
      <c r="BF302" s="1009"/>
      <c r="BG302" s="1009"/>
    </row>
    <row r="303" s="1019" customFormat="1" spans="1:59">
      <c r="A303" s="976"/>
      <c r="B303" s="976"/>
      <c r="C303" s="976"/>
      <c r="D303" s="976"/>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6"/>
      <c r="AJ303" s="976"/>
      <c r="AK303" s="976"/>
      <c r="AL303" s="976"/>
      <c r="AM303" s="976"/>
      <c r="AN303" s="1007"/>
      <c r="AO303" s="1007"/>
      <c r="AP303" s="1009"/>
      <c r="AQ303" s="1012"/>
      <c r="AR303" s="1013"/>
      <c r="AS303" s="1013"/>
      <c r="AT303" s="1013"/>
      <c r="AU303" s="1012"/>
      <c r="AW303" s="1009"/>
      <c r="BD303" s="1009"/>
      <c r="BE303" s="1009"/>
      <c r="BF303" s="1009"/>
      <c r="BG303" s="1009"/>
    </row>
    <row r="304" s="1019" customFormat="1" spans="1:59">
      <c r="A304" s="976"/>
      <c r="B304" s="976"/>
      <c r="C304" s="976"/>
      <c r="D304" s="976"/>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6"/>
      <c r="AJ304" s="976"/>
      <c r="AK304" s="976"/>
      <c r="AL304" s="976"/>
      <c r="AM304" s="976"/>
      <c r="AN304" s="1007"/>
      <c r="AO304" s="1007"/>
      <c r="AP304" s="1009"/>
      <c r="AQ304" s="1012"/>
      <c r="AR304" s="1013"/>
      <c r="AS304" s="1013"/>
      <c r="AT304" s="1013"/>
      <c r="AU304" s="1012"/>
      <c r="AW304" s="1009"/>
      <c r="BD304" s="1009"/>
      <c r="BE304" s="1009"/>
      <c r="BF304" s="1009"/>
      <c r="BG304" s="1009"/>
    </row>
    <row r="305" s="1019" customFormat="1" spans="1:59">
      <c r="A305" s="976"/>
      <c r="B305" s="976"/>
      <c r="C305" s="976"/>
      <c r="D305" s="976"/>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6"/>
      <c r="AJ305" s="976"/>
      <c r="AK305" s="976"/>
      <c r="AL305" s="976"/>
      <c r="AM305" s="976"/>
      <c r="AN305" s="1007"/>
      <c r="AO305" s="1007"/>
      <c r="AP305" s="1009"/>
      <c r="AQ305" s="1012"/>
      <c r="AR305" s="1013"/>
      <c r="AS305" s="1013"/>
      <c r="AT305" s="1013"/>
      <c r="AU305" s="1012"/>
      <c r="AW305" s="1009"/>
      <c r="BD305" s="1009"/>
      <c r="BE305" s="1009"/>
      <c r="BF305" s="1009"/>
      <c r="BG305" s="1009"/>
    </row>
    <row r="306" s="1019" customFormat="1" spans="1:59">
      <c r="A306" s="976"/>
      <c r="B306" s="976"/>
      <c r="C306" s="976"/>
      <c r="D306" s="976"/>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6"/>
      <c r="AJ306" s="976"/>
      <c r="AK306" s="976"/>
      <c r="AL306" s="976"/>
      <c r="AM306" s="976"/>
      <c r="AN306" s="1007"/>
      <c r="AO306" s="1007"/>
      <c r="AP306" s="1009"/>
      <c r="AQ306" s="1012"/>
      <c r="AR306" s="1013"/>
      <c r="AS306" s="1013"/>
      <c r="AT306" s="1013"/>
      <c r="AU306" s="1012"/>
      <c r="AW306" s="1009"/>
      <c r="BD306" s="1009"/>
      <c r="BE306" s="1009"/>
      <c r="BF306" s="1009"/>
      <c r="BG306" s="1009"/>
    </row>
    <row r="307" s="1019" customFormat="1" spans="1:59">
      <c r="A307" s="976"/>
      <c r="B307" s="976"/>
      <c r="C307" s="976"/>
      <c r="D307" s="976"/>
      <c r="E307" s="976"/>
      <c r="F307" s="976"/>
      <c r="G307" s="976"/>
      <c r="H307" s="976"/>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6"/>
      <c r="AE307" s="976"/>
      <c r="AF307" s="976"/>
      <c r="AG307" s="976"/>
      <c r="AH307" s="976"/>
      <c r="AI307" s="976"/>
      <c r="AJ307" s="976"/>
      <c r="AK307" s="976"/>
      <c r="AL307" s="976"/>
      <c r="AM307" s="976"/>
      <c r="AN307" s="1007"/>
      <c r="AO307" s="1007"/>
      <c r="AP307" s="1009"/>
      <c r="AQ307" s="1012"/>
      <c r="AR307" s="1013"/>
      <c r="AS307" s="1013"/>
      <c r="AT307" s="1013"/>
      <c r="AU307" s="1012"/>
      <c r="AW307" s="1009"/>
      <c r="BD307" s="1009"/>
      <c r="BE307" s="1009"/>
      <c r="BF307" s="1009"/>
      <c r="BG307" s="1009"/>
    </row>
    <row r="308" s="1019" customFormat="1" spans="1:59">
      <c r="A308" s="976"/>
      <c r="B308" s="976"/>
      <c r="C308" s="976"/>
      <c r="D308" s="976"/>
      <c r="E308" s="976"/>
      <c r="F308" s="976"/>
      <c r="G308" s="976"/>
      <c r="H308" s="976"/>
      <c r="I308" s="976"/>
      <c r="J308" s="976"/>
      <c r="K308" s="976"/>
      <c r="L308" s="976"/>
      <c r="M308" s="976"/>
      <c r="N308" s="976"/>
      <c r="O308" s="976"/>
      <c r="P308" s="976"/>
      <c r="Q308" s="976"/>
      <c r="R308" s="976"/>
      <c r="S308" s="976"/>
      <c r="T308" s="976"/>
      <c r="U308" s="976"/>
      <c r="V308" s="976"/>
      <c r="W308" s="976"/>
      <c r="X308" s="976"/>
      <c r="Y308" s="976"/>
      <c r="Z308" s="976"/>
      <c r="AA308" s="976"/>
      <c r="AB308" s="976"/>
      <c r="AC308" s="976"/>
      <c r="AD308" s="976"/>
      <c r="AE308" s="976"/>
      <c r="AF308" s="976"/>
      <c r="AG308" s="976"/>
      <c r="AH308" s="976"/>
      <c r="AI308" s="976"/>
      <c r="AJ308" s="976"/>
      <c r="AK308" s="976"/>
      <c r="AL308" s="976"/>
      <c r="AM308" s="976"/>
      <c r="AN308" s="1007"/>
      <c r="AO308" s="1007"/>
      <c r="AP308" s="1009"/>
      <c r="AQ308" s="1012"/>
      <c r="AR308" s="1013"/>
      <c r="AS308" s="1013"/>
      <c r="AT308" s="1013"/>
      <c r="AU308" s="1012"/>
      <c r="AW308" s="1009"/>
      <c r="BD308" s="1009"/>
      <c r="BE308" s="1009"/>
      <c r="BF308" s="1009"/>
      <c r="BG308" s="1009"/>
    </row>
    <row r="309" s="1019" customFormat="1" spans="1:59">
      <c r="A309" s="976"/>
      <c r="B309" s="976"/>
      <c r="C309" s="976"/>
      <c r="D309" s="976"/>
      <c r="E309" s="976"/>
      <c r="F309" s="976"/>
      <c r="G309" s="976"/>
      <c r="H309" s="976"/>
      <c r="I309" s="976"/>
      <c r="J309" s="976"/>
      <c r="K309" s="976"/>
      <c r="L309" s="976"/>
      <c r="M309" s="976"/>
      <c r="N309" s="976"/>
      <c r="O309" s="976"/>
      <c r="P309" s="976"/>
      <c r="Q309" s="976"/>
      <c r="R309" s="976"/>
      <c r="S309" s="976"/>
      <c r="T309" s="976"/>
      <c r="U309" s="976"/>
      <c r="V309" s="976"/>
      <c r="W309" s="976"/>
      <c r="X309" s="976"/>
      <c r="Y309" s="976"/>
      <c r="Z309" s="976"/>
      <c r="AA309" s="976"/>
      <c r="AB309" s="976"/>
      <c r="AC309" s="976"/>
      <c r="AD309" s="976"/>
      <c r="AE309" s="976"/>
      <c r="AF309" s="976"/>
      <c r="AG309" s="976"/>
      <c r="AH309" s="976"/>
      <c r="AI309" s="976"/>
      <c r="AJ309" s="976"/>
      <c r="AK309" s="976"/>
      <c r="AL309" s="976"/>
      <c r="AM309" s="976"/>
      <c r="AN309" s="1007"/>
      <c r="AO309" s="1007"/>
      <c r="AP309" s="1009"/>
      <c r="AQ309" s="1012"/>
      <c r="AR309" s="1013"/>
      <c r="AS309" s="1013"/>
      <c r="AT309" s="1013"/>
      <c r="AU309" s="1012"/>
      <c r="AW309" s="1009"/>
      <c r="BD309" s="1009"/>
      <c r="BE309" s="1009"/>
      <c r="BF309" s="1009"/>
      <c r="BG309" s="1009"/>
    </row>
    <row r="310" s="1019" customFormat="1" spans="1:59">
      <c r="A310" s="976"/>
      <c r="B310" s="976"/>
      <c r="C310" s="976"/>
      <c r="D310" s="976"/>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6"/>
      <c r="AJ310" s="976"/>
      <c r="AK310" s="976"/>
      <c r="AL310" s="976"/>
      <c r="AM310" s="976"/>
      <c r="AN310" s="1007"/>
      <c r="AO310" s="1007"/>
      <c r="AP310" s="1009"/>
      <c r="AQ310" s="1012"/>
      <c r="AR310" s="1013"/>
      <c r="AS310" s="1013"/>
      <c r="AT310" s="1013"/>
      <c r="AU310" s="1012"/>
      <c r="AW310" s="1009"/>
      <c r="BD310" s="1009"/>
      <c r="BE310" s="1009"/>
      <c r="BF310" s="1009"/>
      <c r="BG310" s="1009"/>
    </row>
    <row r="311" s="1019" customFormat="1" spans="1:59">
      <c r="A311" s="976"/>
      <c r="B311" s="976"/>
      <c r="C311" s="976"/>
      <c r="D311" s="976"/>
      <c r="E311" s="976"/>
      <c r="F311" s="976"/>
      <c r="G311" s="976"/>
      <c r="H311" s="976"/>
      <c r="I311" s="976"/>
      <c r="J311" s="976"/>
      <c r="K311" s="976"/>
      <c r="L311" s="976"/>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6"/>
      <c r="AJ311" s="976"/>
      <c r="AK311" s="976"/>
      <c r="AL311" s="976"/>
      <c r="AM311" s="976"/>
      <c r="AN311" s="1007"/>
      <c r="AO311" s="1007"/>
      <c r="AP311" s="1009"/>
      <c r="AQ311" s="1012"/>
      <c r="AR311" s="1013"/>
      <c r="AS311" s="1013"/>
      <c r="AT311" s="1013"/>
      <c r="AU311" s="1012"/>
      <c r="AW311" s="1009"/>
      <c r="BD311" s="1009"/>
      <c r="BE311" s="1009"/>
      <c r="BF311" s="1009"/>
      <c r="BG311" s="1009"/>
    </row>
    <row r="312" s="1019" customFormat="1" spans="1:59">
      <c r="A312" s="976"/>
      <c r="B312" s="976"/>
      <c r="C312" s="976"/>
      <c r="D312" s="976"/>
      <c r="E312" s="976"/>
      <c r="F312" s="976"/>
      <c r="G312" s="976"/>
      <c r="H312" s="976"/>
      <c r="I312" s="976"/>
      <c r="J312" s="976"/>
      <c r="K312" s="976"/>
      <c r="L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6"/>
      <c r="AJ312" s="976"/>
      <c r="AK312" s="976"/>
      <c r="AL312" s="976"/>
      <c r="AM312" s="976"/>
      <c r="AN312" s="1007"/>
      <c r="AO312" s="1007"/>
      <c r="AP312" s="1009"/>
      <c r="AQ312" s="1012"/>
      <c r="AR312" s="1013"/>
      <c r="AS312" s="1013"/>
      <c r="AT312" s="1013"/>
      <c r="AU312" s="1012"/>
      <c r="AW312" s="1009"/>
      <c r="BD312" s="1009"/>
      <c r="BE312" s="1009"/>
      <c r="BF312" s="1009"/>
      <c r="BG312" s="1009"/>
    </row>
    <row r="313" s="1019" customFormat="1" spans="1:59">
      <c r="A313" s="976"/>
      <c r="B313" s="976"/>
      <c r="C313" s="976"/>
      <c r="D313" s="976"/>
      <c r="E313" s="976"/>
      <c r="F313" s="976"/>
      <c r="G313" s="976"/>
      <c r="H313" s="976"/>
      <c r="I313" s="976"/>
      <c r="J313" s="976"/>
      <c r="K313" s="976"/>
      <c r="L313" s="976"/>
      <c r="M313" s="976"/>
      <c r="N313" s="976"/>
      <c r="O313" s="976"/>
      <c r="P313" s="976"/>
      <c r="Q313" s="976"/>
      <c r="R313" s="976"/>
      <c r="S313" s="976"/>
      <c r="T313" s="976"/>
      <c r="U313" s="976"/>
      <c r="V313" s="976"/>
      <c r="W313" s="976"/>
      <c r="X313" s="976"/>
      <c r="Y313" s="976"/>
      <c r="Z313" s="976"/>
      <c r="AA313" s="976"/>
      <c r="AB313" s="976"/>
      <c r="AC313" s="976"/>
      <c r="AD313" s="976"/>
      <c r="AE313" s="976"/>
      <c r="AF313" s="976"/>
      <c r="AG313" s="976"/>
      <c r="AH313" s="976"/>
      <c r="AI313" s="976"/>
      <c r="AJ313" s="976"/>
      <c r="AK313" s="976"/>
      <c r="AL313" s="976"/>
      <c r="AM313" s="976"/>
      <c r="AN313" s="1007"/>
      <c r="AO313" s="1007"/>
      <c r="AP313" s="1009"/>
      <c r="AQ313" s="1012"/>
      <c r="AR313" s="1013"/>
      <c r="AS313" s="1013"/>
      <c r="AT313" s="1013"/>
      <c r="AU313" s="1012"/>
      <c r="AW313" s="1009"/>
      <c r="BD313" s="1009"/>
      <c r="BE313" s="1009"/>
      <c r="BF313" s="1009"/>
      <c r="BG313" s="1009"/>
    </row>
    <row r="314" s="1019" customFormat="1" spans="1:59">
      <c r="A314" s="976"/>
      <c r="B314" s="976"/>
      <c r="C314" s="976"/>
      <c r="D314" s="976"/>
      <c r="E314" s="976"/>
      <c r="F314" s="976"/>
      <c r="G314" s="976"/>
      <c r="H314" s="976"/>
      <c r="I314" s="976"/>
      <c r="J314" s="976"/>
      <c r="K314" s="976"/>
      <c r="L314" s="976"/>
      <c r="M314" s="976"/>
      <c r="N314" s="976"/>
      <c r="O314" s="976"/>
      <c r="P314" s="976"/>
      <c r="Q314" s="976"/>
      <c r="R314" s="976"/>
      <c r="S314" s="976"/>
      <c r="T314" s="976"/>
      <c r="U314" s="976"/>
      <c r="V314" s="976"/>
      <c r="W314" s="976"/>
      <c r="X314" s="976"/>
      <c r="Y314" s="976"/>
      <c r="Z314" s="976"/>
      <c r="AA314" s="976"/>
      <c r="AB314" s="976"/>
      <c r="AC314" s="976"/>
      <c r="AD314" s="976"/>
      <c r="AE314" s="976"/>
      <c r="AF314" s="976"/>
      <c r="AG314" s="976"/>
      <c r="AH314" s="976"/>
      <c r="AI314" s="976"/>
      <c r="AJ314" s="976"/>
      <c r="AK314" s="976"/>
      <c r="AL314" s="976"/>
      <c r="AM314" s="976"/>
      <c r="AN314" s="1007"/>
      <c r="AO314" s="1007"/>
      <c r="AP314" s="1009"/>
      <c r="AQ314" s="1012"/>
      <c r="AR314" s="1013"/>
      <c r="AS314" s="1013"/>
      <c r="AT314" s="1013"/>
      <c r="AU314" s="1012"/>
      <c r="AW314" s="1009"/>
      <c r="BD314" s="1009"/>
      <c r="BE314" s="1009"/>
      <c r="BF314" s="1009"/>
      <c r="BG314" s="1009"/>
    </row>
    <row r="315" s="1019" customFormat="1" spans="1:59">
      <c r="A315" s="976"/>
      <c r="B315" s="976"/>
      <c r="C315" s="976"/>
      <c r="D315" s="976"/>
      <c r="E315" s="976"/>
      <c r="F315" s="976"/>
      <c r="G315" s="976"/>
      <c r="H315" s="976"/>
      <c r="I315" s="976"/>
      <c r="J315" s="976"/>
      <c r="K315" s="976"/>
      <c r="L315" s="976"/>
      <c r="M315" s="976"/>
      <c r="N315" s="976"/>
      <c r="O315" s="976"/>
      <c r="P315" s="976"/>
      <c r="Q315" s="976"/>
      <c r="R315" s="976"/>
      <c r="S315" s="976"/>
      <c r="T315" s="976"/>
      <c r="U315" s="976"/>
      <c r="V315" s="976"/>
      <c r="W315" s="976"/>
      <c r="X315" s="976"/>
      <c r="Y315" s="976"/>
      <c r="Z315" s="976"/>
      <c r="AA315" s="976"/>
      <c r="AB315" s="976"/>
      <c r="AC315" s="976"/>
      <c r="AD315" s="976"/>
      <c r="AE315" s="976"/>
      <c r="AF315" s="976"/>
      <c r="AG315" s="976"/>
      <c r="AH315" s="976"/>
      <c r="AI315" s="976"/>
      <c r="AJ315" s="976"/>
      <c r="AK315" s="976"/>
      <c r="AL315" s="976"/>
      <c r="AM315" s="976"/>
      <c r="AN315" s="1007"/>
      <c r="AO315" s="1007"/>
      <c r="AP315" s="1009"/>
      <c r="AQ315" s="1012"/>
      <c r="AR315" s="1013"/>
      <c r="AS315" s="1013"/>
      <c r="AT315" s="1013"/>
      <c r="AU315" s="1012"/>
      <c r="AW315" s="1009"/>
      <c r="BD315" s="1009"/>
      <c r="BE315" s="1009"/>
      <c r="BF315" s="1009"/>
      <c r="BG315" s="1009"/>
    </row>
    <row r="316" s="1019" customFormat="1" spans="1:59">
      <c r="A316" s="976"/>
      <c r="B316" s="976"/>
      <c r="C316" s="976"/>
      <c r="D316" s="976"/>
      <c r="E316" s="976"/>
      <c r="F316" s="976"/>
      <c r="G316" s="976"/>
      <c r="H316" s="976"/>
      <c r="I316" s="976"/>
      <c r="J316" s="976"/>
      <c r="K316" s="976"/>
      <c r="L316" s="976"/>
      <c r="M316" s="976"/>
      <c r="N316" s="976"/>
      <c r="O316" s="976"/>
      <c r="P316" s="976"/>
      <c r="Q316" s="976"/>
      <c r="R316" s="976"/>
      <c r="S316" s="976"/>
      <c r="T316" s="976"/>
      <c r="U316" s="976"/>
      <c r="V316" s="976"/>
      <c r="W316" s="976"/>
      <c r="X316" s="976"/>
      <c r="Y316" s="976"/>
      <c r="Z316" s="976"/>
      <c r="AA316" s="976"/>
      <c r="AB316" s="976"/>
      <c r="AC316" s="976"/>
      <c r="AD316" s="976"/>
      <c r="AE316" s="976"/>
      <c r="AF316" s="976"/>
      <c r="AG316" s="976"/>
      <c r="AH316" s="976"/>
      <c r="AI316" s="976"/>
      <c r="AJ316" s="976"/>
      <c r="AK316" s="976"/>
      <c r="AL316" s="976"/>
      <c r="AM316" s="976"/>
      <c r="AN316" s="1007"/>
      <c r="AO316" s="1007"/>
      <c r="AP316" s="1009"/>
      <c r="AQ316" s="1012"/>
      <c r="AR316" s="1013"/>
      <c r="AS316" s="1013"/>
      <c r="AT316" s="1013"/>
      <c r="AU316" s="1012"/>
      <c r="AW316" s="1009"/>
      <c r="BD316" s="1009"/>
      <c r="BE316" s="1009"/>
      <c r="BF316" s="1009"/>
      <c r="BG316" s="1009"/>
    </row>
    <row r="317" s="1019" customFormat="1" spans="1:59">
      <c r="A317" s="976"/>
      <c r="B317" s="976"/>
      <c r="C317" s="976"/>
      <c r="D317" s="976"/>
      <c r="E317" s="976"/>
      <c r="F317" s="976"/>
      <c r="G317" s="976"/>
      <c r="H317" s="976"/>
      <c r="I317" s="976"/>
      <c r="J317" s="976"/>
      <c r="K317" s="976"/>
      <c r="L317" s="976"/>
      <c r="M317" s="976"/>
      <c r="N317" s="976"/>
      <c r="O317" s="976"/>
      <c r="P317" s="976"/>
      <c r="Q317" s="976"/>
      <c r="R317" s="976"/>
      <c r="S317" s="976"/>
      <c r="T317" s="976"/>
      <c r="U317" s="976"/>
      <c r="V317" s="976"/>
      <c r="W317" s="976"/>
      <c r="X317" s="976"/>
      <c r="Y317" s="976"/>
      <c r="Z317" s="976"/>
      <c r="AA317" s="976"/>
      <c r="AB317" s="976"/>
      <c r="AC317" s="976"/>
      <c r="AD317" s="976"/>
      <c r="AE317" s="976"/>
      <c r="AF317" s="976"/>
      <c r="AG317" s="976"/>
      <c r="AH317" s="976"/>
      <c r="AI317" s="976"/>
      <c r="AJ317" s="976"/>
      <c r="AK317" s="976"/>
      <c r="AL317" s="976"/>
      <c r="AM317" s="976"/>
      <c r="AN317" s="1007"/>
      <c r="AO317" s="1007"/>
      <c r="AP317" s="1009"/>
      <c r="AQ317" s="1012"/>
      <c r="AR317" s="1013"/>
      <c r="AS317" s="1013"/>
      <c r="AT317" s="1013"/>
      <c r="AU317" s="1012"/>
      <c r="AW317" s="1009"/>
      <c r="BD317" s="1009"/>
      <c r="BE317" s="1009"/>
      <c r="BF317" s="1009"/>
      <c r="BG317" s="1009"/>
    </row>
    <row r="318" s="1019" customFormat="1" spans="1:59">
      <c r="A318" s="976"/>
      <c r="B318" s="976"/>
      <c r="C318" s="976"/>
      <c r="D318" s="976"/>
      <c r="E318" s="976"/>
      <c r="F318" s="976"/>
      <c r="G318" s="976"/>
      <c r="H318" s="976"/>
      <c r="I318" s="976"/>
      <c r="J318" s="976"/>
      <c r="K318" s="976"/>
      <c r="L318" s="976"/>
      <c r="M318" s="976"/>
      <c r="N318" s="976"/>
      <c r="O318" s="976"/>
      <c r="P318" s="976"/>
      <c r="Q318" s="976"/>
      <c r="R318" s="976"/>
      <c r="S318" s="976"/>
      <c r="T318" s="976"/>
      <c r="U318" s="976"/>
      <c r="V318" s="976"/>
      <c r="W318" s="976"/>
      <c r="X318" s="976"/>
      <c r="Y318" s="976"/>
      <c r="Z318" s="976"/>
      <c r="AA318" s="976"/>
      <c r="AB318" s="976"/>
      <c r="AC318" s="976"/>
      <c r="AD318" s="976"/>
      <c r="AE318" s="976"/>
      <c r="AF318" s="976"/>
      <c r="AG318" s="976"/>
      <c r="AH318" s="976"/>
      <c r="AI318" s="976"/>
      <c r="AJ318" s="976"/>
      <c r="AK318" s="976"/>
      <c r="AL318" s="976"/>
      <c r="AM318" s="976"/>
      <c r="AN318" s="1007"/>
      <c r="AO318" s="1007"/>
      <c r="AP318" s="1009"/>
      <c r="AQ318" s="1012"/>
      <c r="AR318" s="1013"/>
      <c r="AS318" s="1013"/>
      <c r="AT318" s="1013"/>
      <c r="AU318" s="1012"/>
      <c r="AW318" s="1009"/>
      <c r="BD318" s="1009"/>
      <c r="BE318" s="1009"/>
      <c r="BF318" s="1009"/>
      <c r="BG318" s="1009"/>
    </row>
    <row r="319" s="1019" customFormat="1" spans="1:59">
      <c r="A319" s="976"/>
      <c r="B319" s="976"/>
      <c r="C319" s="976"/>
      <c r="D319" s="976"/>
      <c r="E319" s="976"/>
      <c r="F319" s="976"/>
      <c r="G319" s="976"/>
      <c r="H319" s="976"/>
      <c r="I319" s="976"/>
      <c r="J319" s="976"/>
      <c r="K319" s="976"/>
      <c r="L319" s="976"/>
      <c r="M319" s="976"/>
      <c r="N319" s="976"/>
      <c r="O319" s="976"/>
      <c r="P319" s="976"/>
      <c r="Q319" s="976"/>
      <c r="R319" s="976"/>
      <c r="S319" s="976"/>
      <c r="T319" s="976"/>
      <c r="U319" s="976"/>
      <c r="V319" s="976"/>
      <c r="W319" s="976"/>
      <c r="X319" s="976"/>
      <c r="Y319" s="976"/>
      <c r="Z319" s="976"/>
      <c r="AA319" s="976"/>
      <c r="AB319" s="976"/>
      <c r="AC319" s="976"/>
      <c r="AD319" s="976"/>
      <c r="AE319" s="976"/>
      <c r="AF319" s="976"/>
      <c r="AG319" s="976"/>
      <c r="AH319" s="976"/>
      <c r="AI319" s="976"/>
      <c r="AJ319" s="976"/>
      <c r="AK319" s="976"/>
      <c r="AL319" s="976"/>
      <c r="AM319" s="976"/>
      <c r="AN319" s="1007"/>
      <c r="AO319" s="1007"/>
      <c r="AP319" s="1009"/>
      <c r="AQ319" s="1012"/>
      <c r="AR319" s="1013"/>
      <c r="AS319" s="1013"/>
      <c r="AT319" s="1013"/>
      <c r="AU319" s="1012"/>
      <c r="AW319" s="1009"/>
      <c r="BD319" s="1009"/>
      <c r="BE319" s="1009"/>
      <c r="BF319" s="1009"/>
      <c r="BG319" s="1009"/>
    </row>
    <row r="320" s="1019" customFormat="1" spans="1:59">
      <c r="A320" s="976"/>
      <c r="B320" s="976"/>
      <c r="C320" s="976"/>
      <c r="D320" s="976"/>
      <c r="E320" s="976"/>
      <c r="F320" s="976"/>
      <c r="G320" s="976"/>
      <c r="H320" s="976"/>
      <c r="I320" s="976"/>
      <c r="J320" s="976"/>
      <c r="K320" s="976"/>
      <c r="L320" s="976"/>
      <c r="M320" s="976"/>
      <c r="N320" s="976"/>
      <c r="O320" s="976"/>
      <c r="P320" s="976"/>
      <c r="Q320" s="976"/>
      <c r="R320" s="976"/>
      <c r="S320" s="976"/>
      <c r="T320" s="976"/>
      <c r="U320" s="976"/>
      <c r="V320" s="976"/>
      <c r="W320" s="976"/>
      <c r="X320" s="976"/>
      <c r="Y320" s="976"/>
      <c r="Z320" s="976"/>
      <c r="AA320" s="976"/>
      <c r="AB320" s="976"/>
      <c r="AC320" s="976"/>
      <c r="AD320" s="976"/>
      <c r="AE320" s="976"/>
      <c r="AF320" s="976"/>
      <c r="AG320" s="976"/>
      <c r="AH320" s="976"/>
      <c r="AI320" s="976"/>
      <c r="AJ320" s="976"/>
      <c r="AK320" s="976"/>
      <c r="AL320" s="976"/>
      <c r="AM320" s="976"/>
      <c r="AN320" s="1007"/>
      <c r="AO320" s="1007"/>
      <c r="AP320" s="1009"/>
      <c r="AQ320" s="1012"/>
      <c r="AR320" s="1013"/>
      <c r="AS320" s="1013"/>
      <c r="AT320" s="1013"/>
      <c r="AU320" s="1012"/>
      <c r="AW320" s="1009"/>
      <c r="BD320" s="1009"/>
      <c r="BE320" s="1009"/>
      <c r="BF320" s="1009"/>
      <c r="BG320" s="1009"/>
    </row>
    <row r="321" s="1019" customFormat="1" spans="1:59">
      <c r="A321" s="976"/>
      <c r="B321" s="976"/>
      <c r="C321" s="976"/>
      <c r="D321" s="976"/>
      <c r="E321" s="976"/>
      <c r="F321" s="976"/>
      <c r="G321" s="976"/>
      <c r="H321" s="976"/>
      <c r="I321" s="976"/>
      <c r="J321" s="976"/>
      <c r="K321" s="976"/>
      <c r="L321" s="976"/>
      <c r="M321" s="976"/>
      <c r="N321" s="976"/>
      <c r="O321" s="976"/>
      <c r="P321" s="976"/>
      <c r="Q321" s="976"/>
      <c r="R321" s="976"/>
      <c r="S321" s="976"/>
      <c r="T321" s="976"/>
      <c r="U321" s="976"/>
      <c r="V321" s="976"/>
      <c r="W321" s="976"/>
      <c r="X321" s="976"/>
      <c r="Y321" s="976"/>
      <c r="Z321" s="976"/>
      <c r="AA321" s="976"/>
      <c r="AB321" s="976"/>
      <c r="AC321" s="976"/>
      <c r="AD321" s="976"/>
      <c r="AE321" s="976"/>
      <c r="AF321" s="976"/>
      <c r="AG321" s="976"/>
      <c r="AH321" s="976"/>
      <c r="AI321" s="976"/>
      <c r="AJ321" s="976"/>
      <c r="AK321" s="976"/>
      <c r="AL321" s="976"/>
      <c r="AM321" s="976"/>
      <c r="AN321" s="1007"/>
      <c r="AO321" s="1007"/>
      <c r="AP321" s="1009"/>
      <c r="AQ321" s="1012"/>
      <c r="AR321" s="1013"/>
      <c r="AS321" s="1013"/>
      <c r="AT321" s="1013"/>
      <c r="AU321" s="1012"/>
      <c r="AW321" s="1009"/>
      <c r="BD321" s="1009"/>
      <c r="BE321" s="1009"/>
      <c r="BF321" s="1009"/>
      <c r="BG321" s="1009"/>
    </row>
    <row r="322" s="1019" customFormat="1" spans="1:59">
      <c r="A322" s="976"/>
      <c r="B322" s="976"/>
      <c r="C322" s="976"/>
      <c r="D322" s="976"/>
      <c r="E322" s="976"/>
      <c r="F322" s="976"/>
      <c r="G322" s="976"/>
      <c r="H322" s="976"/>
      <c r="I322" s="976"/>
      <c r="J322" s="976"/>
      <c r="K322" s="976"/>
      <c r="L322" s="976"/>
      <c r="M322" s="976"/>
      <c r="N322" s="976"/>
      <c r="O322" s="976"/>
      <c r="P322" s="976"/>
      <c r="Q322" s="976"/>
      <c r="R322" s="976"/>
      <c r="S322" s="976"/>
      <c r="T322" s="976"/>
      <c r="U322" s="976"/>
      <c r="V322" s="976"/>
      <c r="W322" s="976"/>
      <c r="X322" s="976"/>
      <c r="Y322" s="976"/>
      <c r="Z322" s="976"/>
      <c r="AA322" s="976"/>
      <c r="AB322" s="976"/>
      <c r="AC322" s="976"/>
      <c r="AD322" s="976"/>
      <c r="AE322" s="976"/>
      <c r="AF322" s="976"/>
      <c r="AG322" s="976"/>
      <c r="AH322" s="976"/>
      <c r="AI322" s="976"/>
      <c r="AJ322" s="976"/>
      <c r="AK322" s="976"/>
      <c r="AL322" s="976"/>
      <c r="AM322" s="976"/>
      <c r="AN322" s="1007"/>
      <c r="AO322" s="1007"/>
      <c r="AP322" s="1009"/>
      <c r="AQ322" s="1012"/>
      <c r="AR322" s="1013"/>
      <c r="AS322" s="1013"/>
      <c r="AT322" s="1013"/>
      <c r="AU322" s="1012"/>
      <c r="AW322" s="1009"/>
      <c r="BD322" s="1009"/>
      <c r="BE322" s="1009"/>
      <c r="BF322" s="1009"/>
      <c r="BG322" s="1009"/>
    </row>
    <row r="323" s="1019" customFormat="1" spans="1:59">
      <c r="A323" s="976"/>
      <c r="B323" s="976"/>
      <c r="C323" s="976"/>
      <c r="D323" s="976"/>
      <c r="E323" s="976"/>
      <c r="F323" s="976"/>
      <c r="G323" s="976"/>
      <c r="H323" s="976"/>
      <c r="I323" s="976"/>
      <c r="J323" s="976"/>
      <c r="K323" s="976"/>
      <c r="L323" s="976"/>
      <c r="M323" s="976"/>
      <c r="N323" s="976"/>
      <c r="O323" s="976"/>
      <c r="P323" s="976"/>
      <c r="Q323" s="976"/>
      <c r="R323" s="976"/>
      <c r="S323" s="976"/>
      <c r="T323" s="976"/>
      <c r="U323" s="976"/>
      <c r="V323" s="976"/>
      <c r="W323" s="976"/>
      <c r="X323" s="976"/>
      <c r="Y323" s="976"/>
      <c r="Z323" s="976"/>
      <c r="AA323" s="976"/>
      <c r="AB323" s="976"/>
      <c r="AC323" s="976"/>
      <c r="AD323" s="976"/>
      <c r="AE323" s="976"/>
      <c r="AF323" s="976"/>
      <c r="AG323" s="976"/>
      <c r="AH323" s="976"/>
      <c r="AI323" s="976"/>
      <c r="AJ323" s="976"/>
      <c r="AK323" s="976"/>
      <c r="AL323" s="976"/>
      <c r="AM323" s="976"/>
      <c r="AN323" s="1007"/>
      <c r="AO323" s="1007"/>
      <c r="AP323" s="1009"/>
      <c r="AQ323" s="1012"/>
      <c r="AR323" s="1013"/>
      <c r="AS323" s="1013"/>
      <c r="AT323" s="1013"/>
      <c r="AU323" s="1012"/>
      <c r="AW323" s="1009"/>
      <c r="BD323" s="1009"/>
      <c r="BE323" s="1009"/>
      <c r="BF323" s="1009"/>
      <c r="BG323" s="1009"/>
    </row>
    <row r="324" s="1019" customFormat="1" spans="1:59">
      <c r="A324" s="976"/>
      <c r="B324" s="976"/>
      <c r="C324" s="976"/>
      <c r="D324" s="976"/>
      <c r="E324" s="976"/>
      <c r="F324" s="976"/>
      <c r="G324" s="976"/>
      <c r="H324" s="976"/>
      <c r="I324" s="976"/>
      <c r="J324" s="976"/>
      <c r="K324" s="976"/>
      <c r="L324" s="976"/>
      <c r="M324" s="976"/>
      <c r="N324" s="976"/>
      <c r="O324" s="976"/>
      <c r="P324" s="976"/>
      <c r="Q324" s="976"/>
      <c r="R324" s="976"/>
      <c r="S324" s="976"/>
      <c r="T324" s="976"/>
      <c r="U324" s="976"/>
      <c r="V324" s="976"/>
      <c r="W324" s="976"/>
      <c r="X324" s="976"/>
      <c r="Y324" s="976"/>
      <c r="Z324" s="976"/>
      <c r="AA324" s="976"/>
      <c r="AB324" s="976"/>
      <c r="AC324" s="976"/>
      <c r="AD324" s="976"/>
      <c r="AE324" s="976"/>
      <c r="AF324" s="976"/>
      <c r="AG324" s="976"/>
      <c r="AH324" s="976"/>
      <c r="AI324" s="976"/>
      <c r="AJ324" s="976"/>
      <c r="AK324" s="976"/>
      <c r="AL324" s="976"/>
      <c r="AM324" s="976"/>
      <c r="AN324" s="1007"/>
      <c r="AO324" s="1007"/>
      <c r="AP324" s="1009"/>
      <c r="AQ324" s="1012"/>
      <c r="AR324" s="1013"/>
      <c r="AS324" s="1013"/>
      <c r="AT324" s="1013"/>
      <c r="AU324" s="1012"/>
      <c r="AW324" s="1009"/>
      <c r="BD324" s="1009"/>
      <c r="BE324" s="1009"/>
      <c r="BF324" s="1009"/>
      <c r="BG324" s="1009"/>
    </row>
    <row r="325" s="1019" customFormat="1" spans="1:59">
      <c r="A325" s="976"/>
      <c r="B325" s="976"/>
      <c r="C325" s="976"/>
      <c r="D325" s="976"/>
      <c r="E325" s="976"/>
      <c r="F325" s="976"/>
      <c r="G325" s="976"/>
      <c r="H325" s="976"/>
      <c r="I325" s="976"/>
      <c r="J325" s="976"/>
      <c r="K325" s="976"/>
      <c r="L325" s="976"/>
      <c r="M325" s="976"/>
      <c r="N325" s="976"/>
      <c r="O325" s="976"/>
      <c r="P325" s="976"/>
      <c r="Q325" s="976"/>
      <c r="R325" s="976"/>
      <c r="S325" s="976"/>
      <c r="T325" s="976"/>
      <c r="U325" s="976"/>
      <c r="V325" s="976"/>
      <c r="W325" s="976"/>
      <c r="X325" s="976"/>
      <c r="Y325" s="976"/>
      <c r="Z325" s="976"/>
      <c r="AA325" s="976"/>
      <c r="AB325" s="976"/>
      <c r="AC325" s="976"/>
      <c r="AD325" s="976"/>
      <c r="AE325" s="976"/>
      <c r="AF325" s="976"/>
      <c r="AG325" s="976"/>
      <c r="AH325" s="976"/>
      <c r="AI325" s="976"/>
      <c r="AJ325" s="976"/>
      <c r="AK325" s="976"/>
      <c r="AL325" s="976"/>
      <c r="AM325" s="976"/>
      <c r="AN325" s="1007"/>
      <c r="AO325" s="1007"/>
      <c r="AP325" s="1009"/>
      <c r="AQ325" s="1012"/>
      <c r="AR325" s="1013"/>
      <c r="AS325" s="1013"/>
      <c r="AT325" s="1013"/>
      <c r="AU325" s="1012"/>
      <c r="AW325" s="1009"/>
      <c r="BD325" s="1009"/>
      <c r="BE325" s="1009"/>
      <c r="BF325" s="1009"/>
      <c r="BG325" s="1009"/>
    </row>
    <row r="326" s="1019" customFormat="1" spans="1:59">
      <c r="A326" s="976"/>
      <c r="B326" s="976"/>
      <c r="C326" s="976"/>
      <c r="D326" s="976"/>
      <c r="E326" s="976"/>
      <c r="F326" s="976"/>
      <c r="G326" s="976"/>
      <c r="H326" s="976"/>
      <c r="I326" s="976"/>
      <c r="J326" s="976"/>
      <c r="K326" s="976"/>
      <c r="L326" s="976"/>
      <c r="M326" s="976"/>
      <c r="N326" s="976"/>
      <c r="O326" s="976"/>
      <c r="P326" s="976"/>
      <c r="Q326" s="976"/>
      <c r="R326" s="976"/>
      <c r="S326" s="976"/>
      <c r="T326" s="976"/>
      <c r="U326" s="976"/>
      <c r="V326" s="976"/>
      <c r="W326" s="976"/>
      <c r="X326" s="976"/>
      <c r="Y326" s="976"/>
      <c r="Z326" s="976"/>
      <c r="AA326" s="976"/>
      <c r="AB326" s="976"/>
      <c r="AC326" s="976"/>
      <c r="AD326" s="976"/>
      <c r="AE326" s="976"/>
      <c r="AF326" s="976"/>
      <c r="AG326" s="976"/>
      <c r="AH326" s="976"/>
      <c r="AI326" s="976"/>
      <c r="AJ326" s="976"/>
      <c r="AK326" s="976"/>
      <c r="AL326" s="976"/>
      <c r="AM326" s="976"/>
      <c r="AN326" s="1007"/>
      <c r="AO326" s="1007"/>
      <c r="AP326" s="1009"/>
      <c r="AQ326" s="1012"/>
      <c r="AR326" s="1013"/>
      <c r="AS326" s="1013"/>
      <c r="AT326" s="1013"/>
      <c r="AU326" s="1012"/>
      <c r="AW326" s="1009"/>
      <c r="BD326" s="1009"/>
      <c r="BE326" s="1009"/>
      <c r="BF326" s="1009"/>
      <c r="BG326" s="1009"/>
    </row>
    <row r="327" s="1019" customFormat="1" spans="1:59">
      <c r="A327" s="976"/>
      <c r="B327" s="976"/>
      <c r="C327" s="976"/>
      <c r="D327" s="976"/>
      <c r="E327" s="976"/>
      <c r="F327" s="976"/>
      <c r="G327" s="976"/>
      <c r="H327" s="976"/>
      <c r="I327" s="976"/>
      <c r="J327" s="976"/>
      <c r="K327" s="976"/>
      <c r="L327" s="976"/>
      <c r="M327" s="976"/>
      <c r="N327" s="976"/>
      <c r="O327" s="976"/>
      <c r="P327" s="976"/>
      <c r="Q327" s="976"/>
      <c r="R327" s="976"/>
      <c r="S327" s="976"/>
      <c r="T327" s="976"/>
      <c r="U327" s="976"/>
      <c r="V327" s="976"/>
      <c r="W327" s="976"/>
      <c r="X327" s="976"/>
      <c r="Y327" s="976"/>
      <c r="Z327" s="976"/>
      <c r="AA327" s="976"/>
      <c r="AB327" s="976"/>
      <c r="AC327" s="976"/>
      <c r="AD327" s="976"/>
      <c r="AE327" s="976"/>
      <c r="AF327" s="976"/>
      <c r="AG327" s="976"/>
      <c r="AH327" s="976"/>
      <c r="AI327" s="976"/>
      <c r="AJ327" s="976"/>
      <c r="AK327" s="976"/>
      <c r="AL327" s="976"/>
      <c r="AM327" s="976"/>
      <c r="AN327" s="1007"/>
      <c r="AO327" s="1007"/>
      <c r="AP327" s="1009"/>
      <c r="AQ327" s="1012"/>
      <c r="AR327" s="1013"/>
      <c r="AS327" s="1013"/>
      <c r="AT327" s="1013"/>
      <c r="AU327" s="1012"/>
      <c r="AW327" s="1009"/>
      <c r="BD327" s="1009"/>
      <c r="BE327" s="1009"/>
      <c r="BF327" s="1009"/>
      <c r="BG327" s="1009"/>
    </row>
    <row r="328" s="1019" customFormat="1" spans="1:59">
      <c r="A328" s="976"/>
      <c r="B328" s="976"/>
      <c r="C328" s="976"/>
      <c r="D328" s="976"/>
      <c r="E328" s="976"/>
      <c r="F328" s="976"/>
      <c r="G328" s="976"/>
      <c r="H328" s="976"/>
      <c r="I328" s="976"/>
      <c r="J328" s="976"/>
      <c r="K328" s="976"/>
      <c r="L328" s="976"/>
      <c r="M328" s="976"/>
      <c r="N328" s="976"/>
      <c r="O328" s="976"/>
      <c r="P328" s="976"/>
      <c r="Q328" s="976"/>
      <c r="R328" s="976"/>
      <c r="S328" s="976"/>
      <c r="T328" s="976"/>
      <c r="U328" s="976"/>
      <c r="V328" s="976"/>
      <c r="W328" s="976"/>
      <c r="X328" s="976"/>
      <c r="Y328" s="976"/>
      <c r="Z328" s="976"/>
      <c r="AA328" s="976"/>
      <c r="AB328" s="976"/>
      <c r="AC328" s="976"/>
      <c r="AD328" s="976"/>
      <c r="AE328" s="976"/>
      <c r="AF328" s="976"/>
      <c r="AG328" s="976"/>
      <c r="AH328" s="976"/>
      <c r="AI328" s="976"/>
      <c r="AJ328" s="976"/>
      <c r="AK328" s="976"/>
      <c r="AL328" s="976"/>
      <c r="AM328" s="976"/>
      <c r="AN328" s="1007"/>
      <c r="AO328" s="1007"/>
      <c r="AP328" s="1009"/>
      <c r="AQ328" s="1012"/>
      <c r="AR328" s="1013"/>
      <c r="AS328" s="1013"/>
      <c r="AT328" s="1013"/>
      <c r="AU328" s="1012"/>
      <c r="AW328" s="1009"/>
      <c r="BD328" s="1009"/>
      <c r="BE328" s="1009"/>
      <c r="BF328" s="1009"/>
      <c r="BG328" s="1009"/>
    </row>
    <row r="329" s="1019" customFormat="1" spans="1:59">
      <c r="A329" s="976"/>
      <c r="B329" s="976"/>
      <c r="C329" s="976"/>
      <c r="D329" s="976"/>
      <c r="E329" s="976"/>
      <c r="F329" s="976"/>
      <c r="G329" s="976"/>
      <c r="H329" s="976"/>
      <c r="I329" s="976"/>
      <c r="J329" s="976"/>
      <c r="K329" s="976"/>
      <c r="L329" s="976"/>
      <c r="M329" s="976"/>
      <c r="N329" s="976"/>
      <c r="O329" s="976"/>
      <c r="P329" s="976"/>
      <c r="Q329" s="976"/>
      <c r="R329" s="976"/>
      <c r="S329" s="976"/>
      <c r="T329" s="976"/>
      <c r="U329" s="976"/>
      <c r="V329" s="976"/>
      <c r="W329" s="976"/>
      <c r="X329" s="976"/>
      <c r="Y329" s="976"/>
      <c r="Z329" s="976"/>
      <c r="AA329" s="976"/>
      <c r="AB329" s="976"/>
      <c r="AC329" s="976"/>
      <c r="AD329" s="976"/>
      <c r="AE329" s="976"/>
      <c r="AF329" s="976"/>
      <c r="AG329" s="976"/>
      <c r="AH329" s="976"/>
      <c r="AI329" s="976"/>
      <c r="AJ329" s="976"/>
      <c r="AK329" s="976"/>
      <c r="AL329" s="976"/>
      <c r="AM329" s="976"/>
      <c r="AN329" s="1007"/>
      <c r="AO329" s="1007"/>
      <c r="AP329" s="1009"/>
      <c r="AQ329" s="1012"/>
      <c r="AR329" s="1013"/>
      <c r="AS329" s="1013"/>
      <c r="AT329" s="1013"/>
      <c r="AU329" s="1012"/>
      <c r="AW329" s="1009"/>
      <c r="BD329" s="1009"/>
      <c r="BE329" s="1009"/>
      <c r="BF329" s="1009"/>
      <c r="BG329" s="1009"/>
    </row>
    <row r="330" s="1019" customFormat="1" spans="1:59">
      <c r="A330" s="976"/>
      <c r="B330" s="976"/>
      <c r="C330" s="976"/>
      <c r="D330" s="976"/>
      <c r="E330" s="976"/>
      <c r="F330" s="976"/>
      <c r="G330" s="976"/>
      <c r="H330" s="976"/>
      <c r="I330" s="976"/>
      <c r="J330" s="976"/>
      <c r="K330" s="976"/>
      <c r="L330" s="976"/>
      <c r="M330" s="976"/>
      <c r="N330" s="976"/>
      <c r="O330" s="976"/>
      <c r="P330" s="976"/>
      <c r="Q330" s="976"/>
      <c r="R330" s="976"/>
      <c r="S330" s="976"/>
      <c r="T330" s="976"/>
      <c r="U330" s="976"/>
      <c r="V330" s="976"/>
      <c r="W330" s="976"/>
      <c r="X330" s="976"/>
      <c r="Y330" s="976"/>
      <c r="Z330" s="976"/>
      <c r="AA330" s="976"/>
      <c r="AB330" s="976"/>
      <c r="AC330" s="976"/>
      <c r="AD330" s="976"/>
      <c r="AE330" s="976"/>
      <c r="AF330" s="976"/>
      <c r="AG330" s="976"/>
      <c r="AH330" s="976"/>
      <c r="AI330" s="976"/>
      <c r="AJ330" s="976"/>
      <c r="AK330" s="976"/>
      <c r="AL330" s="976"/>
      <c r="AM330" s="976"/>
      <c r="AN330" s="1007"/>
      <c r="AO330" s="1007"/>
      <c r="AP330" s="1009"/>
      <c r="AQ330" s="1012"/>
      <c r="AR330" s="1013"/>
      <c r="AS330" s="1013"/>
      <c r="AT330" s="1013"/>
      <c r="AU330" s="1012"/>
      <c r="AW330" s="1009"/>
      <c r="BD330" s="1009"/>
      <c r="BE330" s="1009"/>
      <c r="BF330" s="1009"/>
      <c r="BG330" s="1009"/>
    </row>
    <row r="331" s="1019" customFormat="1" spans="1:59">
      <c r="A331" s="976"/>
      <c r="B331" s="976"/>
      <c r="C331" s="976"/>
      <c r="D331" s="976"/>
      <c r="E331" s="976"/>
      <c r="F331" s="976"/>
      <c r="G331" s="976"/>
      <c r="H331" s="976"/>
      <c r="I331" s="976"/>
      <c r="J331" s="976"/>
      <c r="K331" s="976"/>
      <c r="L331" s="976"/>
      <c r="M331" s="976"/>
      <c r="N331" s="976"/>
      <c r="O331" s="976"/>
      <c r="P331" s="976"/>
      <c r="Q331" s="976"/>
      <c r="R331" s="976"/>
      <c r="S331" s="976"/>
      <c r="T331" s="976"/>
      <c r="U331" s="976"/>
      <c r="V331" s="976"/>
      <c r="W331" s="976"/>
      <c r="X331" s="976"/>
      <c r="Y331" s="976"/>
      <c r="Z331" s="976"/>
      <c r="AA331" s="976"/>
      <c r="AB331" s="976"/>
      <c r="AC331" s="976"/>
      <c r="AD331" s="976"/>
      <c r="AE331" s="976"/>
      <c r="AF331" s="976"/>
      <c r="AG331" s="976"/>
      <c r="AH331" s="976"/>
      <c r="AI331" s="976"/>
      <c r="AJ331" s="976"/>
      <c r="AK331" s="976"/>
      <c r="AL331" s="976"/>
      <c r="AM331" s="976"/>
      <c r="AN331" s="1007"/>
      <c r="AO331" s="1007"/>
      <c r="AP331" s="1009"/>
      <c r="AQ331" s="1012"/>
      <c r="AR331" s="1013"/>
      <c r="AS331" s="1013"/>
      <c r="AT331" s="1013"/>
      <c r="AU331" s="1012"/>
      <c r="AW331" s="1009"/>
      <c r="BD331" s="1009"/>
      <c r="BE331" s="1009"/>
      <c r="BF331" s="1009"/>
      <c r="BG331" s="1009"/>
    </row>
    <row r="332" s="1019" customFormat="1" spans="1:59">
      <c r="A332" s="976"/>
      <c r="B332" s="976"/>
      <c r="C332" s="976"/>
      <c r="D332" s="976"/>
      <c r="E332" s="976"/>
      <c r="F332" s="976"/>
      <c r="G332" s="976"/>
      <c r="H332" s="976"/>
      <c r="I332" s="976"/>
      <c r="J332" s="976"/>
      <c r="K332" s="976"/>
      <c r="L332" s="976"/>
      <c r="M332" s="976"/>
      <c r="N332" s="976"/>
      <c r="O332" s="976"/>
      <c r="P332" s="976"/>
      <c r="Q332" s="976"/>
      <c r="R332" s="976"/>
      <c r="S332" s="976"/>
      <c r="T332" s="976"/>
      <c r="U332" s="976"/>
      <c r="V332" s="976"/>
      <c r="W332" s="976"/>
      <c r="X332" s="976"/>
      <c r="Y332" s="976"/>
      <c r="Z332" s="976"/>
      <c r="AA332" s="976"/>
      <c r="AB332" s="976"/>
      <c r="AC332" s="976"/>
      <c r="AD332" s="976"/>
      <c r="AE332" s="976"/>
      <c r="AF332" s="976"/>
      <c r="AG332" s="976"/>
      <c r="AH332" s="976"/>
      <c r="AI332" s="976"/>
      <c r="AJ332" s="976"/>
      <c r="AK332" s="976"/>
      <c r="AL332" s="976"/>
      <c r="AM332" s="976"/>
      <c r="AN332" s="1007"/>
      <c r="AO332" s="1007"/>
      <c r="AP332" s="1009"/>
      <c r="AQ332" s="1012"/>
      <c r="AR332" s="1013"/>
      <c r="AS332" s="1013"/>
      <c r="AT332" s="1013"/>
      <c r="AU332" s="1012"/>
      <c r="AW332" s="1009"/>
      <c r="BD332" s="1009"/>
      <c r="BE332" s="1009"/>
      <c r="BF332" s="1009"/>
      <c r="BG332" s="1009"/>
    </row>
    <row r="333" s="1019" customFormat="1" spans="1:59">
      <c r="A333" s="976"/>
      <c r="B333" s="976"/>
      <c r="C333" s="976"/>
      <c r="D333" s="976"/>
      <c r="E333" s="976"/>
      <c r="F333" s="976"/>
      <c r="G333" s="976"/>
      <c r="H333" s="976"/>
      <c r="I333" s="976"/>
      <c r="J333" s="976"/>
      <c r="K333" s="976"/>
      <c r="L333" s="976"/>
      <c r="M333" s="976"/>
      <c r="N333" s="976"/>
      <c r="O333" s="976"/>
      <c r="P333" s="976"/>
      <c r="Q333" s="976"/>
      <c r="R333" s="976"/>
      <c r="S333" s="976"/>
      <c r="T333" s="976"/>
      <c r="U333" s="976"/>
      <c r="V333" s="976"/>
      <c r="W333" s="976"/>
      <c r="X333" s="976"/>
      <c r="Y333" s="976"/>
      <c r="Z333" s="976"/>
      <c r="AA333" s="976"/>
      <c r="AB333" s="976"/>
      <c r="AC333" s="976"/>
      <c r="AD333" s="976"/>
      <c r="AE333" s="976"/>
      <c r="AF333" s="976"/>
      <c r="AG333" s="976"/>
      <c r="AH333" s="976"/>
      <c r="AI333" s="976"/>
      <c r="AJ333" s="976"/>
      <c r="AK333" s="976"/>
      <c r="AL333" s="976"/>
      <c r="AM333" s="976"/>
      <c r="AN333" s="1007"/>
      <c r="AO333" s="1007"/>
      <c r="AP333" s="1009"/>
      <c r="AQ333" s="1012"/>
      <c r="AR333" s="1013"/>
      <c r="AS333" s="1013"/>
      <c r="AT333" s="1013"/>
      <c r="AU333" s="1012"/>
      <c r="AW333" s="1009"/>
      <c r="BD333" s="1009"/>
      <c r="BE333" s="1009"/>
      <c r="BF333" s="1009"/>
      <c r="BG333" s="1009"/>
    </row>
    <row r="334" s="1019" customFormat="1" spans="1:59">
      <c r="A334" s="976"/>
      <c r="B334" s="976"/>
      <c r="C334" s="976"/>
      <c r="D334" s="976"/>
      <c r="E334" s="976"/>
      <c r="F334" s="976"/>
      <c r="G334" s="976"/>
      <c r="H334" s="976"/>
      <c r="I334" s="976"/>
      <c r="J334" s="976"/>
      <c r="K334" s="976"/>
      <c r="L334" s="976"/>
      <c r="M334" s="976"/>
      <c r="N334" s="976"/>
      <c r="O334" s="976"/>
      <c r="P334" s="976"/>
      <c r="Q334" s="976"/>
      <c r="R334" s="976"/>
      <c r="S334" s="976"/>
      <c r="T334" s="976"/>
      <c r="U334" s="976"/>
      <c r="V334" s="976"/>
      <c r="W334" s="976"/>
      <c r="X334" s="976"/>
      <c r="Y334" s="976"/>
      <c r="Z334" s="976"/>
      <c r="AA334" s="976"/>
      <c r="AB334" s="976"/>
      <c r="AC334" s="976"/>
      <c r="AD334" s="976"/>
      <c r="AE334" s="976"/>
      <c r="AF334" s="976"/>
      <c r="AG334" s="976"/>
      <c r="AH334" s="976"/>
      <c r="AI334" s="976"/>
      <c r="AJ334" s="976"/>
      <c r="AK334" s="976"/>
      <c r="AL334" s="976"/>
      <c r="AM334" s="976"/>
      <c r="AN334" s="1007"/>
      <c r="AO334" s="1007"/>
      <c r="AP334" s="1009"/>
      <c r="AQ334" s="1012"/>
      <c r="AR334" s="1013"/>
      <c r="AS334" s="1013"/>
      <c r="AT334" s="1013"/>
      <c r="AU334" s="1012"/>
      <c r="AW334" s="1009"/>
      <c r="BD334" s="1009"/>
      <c r="BE334" s="1009"/>
      <c r="BF334" s="1009"/>
      <c r="BG334" s="1009"/>
    </row>
    <row r="335" s="1019" customFormat="1" spans="1:59">
      <c r="A335" s="976"/>
      <c r="B335" s="976"/>
      <c r="C335" s="976"/>
      <c r="D335" s="976"/>
      <c r="E335" s="976"/>
      <c r="F335" s="976"/>
      <c r="G335" s="976"/>
      <c r="H335" s="976"/>
      <c r="I335" s="976"/>
      <c r="J335" s="976"/>
      <c r="K335" s="976"/>
      <c r="L335" s="976"/>
      <c r="M335" s="976"/>
      <c r="N335" s="976"/>
      <c r="O335" s="976"/>
      <c r="P335" s="976"/>
      <c r="Q335" s="976"/>
      <c r="R335" s="976"/>
      <c r="S335" s="976"/>
      <c r="T335" s="976"/>
      <c r="U335" s="976"/>
      <c r="V335" s="976"/>
      <c r="W335" s="976"/>
      <c r="X335" s="976"/>
      <c r="Y335" s="976"/>
      <c r="Z335" s="976"/>
      <c r="AA335" s="976"/>
      <c r="AB335" s="976"/>
      <c r="AC335" s="976"/>
      <c r="AD335" s="976"/>
      <c r="AE335" s="976"/>
      <c r="AF335" s="976"/>
      <c r="AG335" s="976"/>
      <c r="AH335" s="976"/>
      <c r="AI335" s="976"/>
      <c r="AJ335" s="976"/>
      <c r="AK335" s="976"/>
      <c r="AL335" s="976"/>
      <c r="AM335" s="976"/>
      <c r="AN335" s="1007"/>
      <c r="AO335" s="1007"/>
      <c r="AP335" s="1009"/>
      <c r="AQ335" s="1012"/>
      <c r="AR335" s="1013"/>
      <c r="AS335" s="1013"/>
      <c r="AT335" s="1013"/>
      <c r="AU335" s="1012"/>
      <c r="AW335" s="1009"/>
      <c r="BD335" s="1009"/>
      <c r="BE335" s="1009"/>
      <c r="BF335" s="1009"/>
      <c r="BG335" s="1009"/>
    </row>
    <row r="336" s="1019" customFormat="1" spans="1:59">
      <c r="A336" s="976"/>
      <c r="B336" s="976"/>
      <c r="C336" s="976"/>
      <c r="D336" s="976"/>
      <c r="E336" s="976"/>
      <c r="F336" s="976"/>
      <c r="G336" s="976"/>
      <c r="H336" s="976"/>
      <c r="I336" s="976"/>
      <c r="J336" s="976"/>
      <c r="K336" s="976"/>
      <c r="L336" s="976"/>
      <c r="M336" s="976"/>
      <c r="N336" s="976"/>
      <c r="O336" s="976"/>
      <c r="P336" s="976"/>
      <c r="Q336" s="976"/>
      <c r="R336" s="976"/>
      <c r="S336" s="976"/>
      <c r="T336" s="976"/>
      <c r="U336" s="976"/>
      <c r="V336" s="976"/>
      <c r="W336" s="976"/>
      <c r="X336" s="976"/>
      <c r="Y336" s="976"/>
      <c r="Z336" s="976"/>
      <c r="AA336" s="976"/>
      <c r="AB336" s="976"/>
      <c r="AC336" s="976"/>
      <c r="AD336" s="976"/>
      <c r="AE336" s="976"/>
      <c r="AF336" s="976"/>
      <c r="AG336" s="976"/>
      <c r="AH336" s="976"/>
      <c r="AI336" s="976"/>
      <c r="AJ336" s="976"/>
      <c r="AK336" s="976"/>
      <c r="AL336" s="976"/>
      <c r="AM336" s="976"/>
      <c r="AN336" s="1007"/>
      <c r="AO336" s="1007"/>
      <c r="AP336" s="1009"/>
      <c r="AQ336" s="1012"/>
      <c r="AR336" s="1013"/>
      <c r="AS336" s="1013"/>
      <c r="AT336" s="1013"/>
      <c r="AU336" s="1012"/>
      <c r="AW336" s="1009"/>
      <c r="BD336" s="1009"/>
      <c r="BE336" s="1009"/>
      <c r="BF336" s="1009"/>
      <c r="BG336" s="1009"/>
    </row>
    <row r="337" s="1019" customFormat="1" spans="1:59">
      <c r="A337" s="976"/>
      <c r="B337" s="976"/>
      <c r="C337" s="976"/>
      <c r="D337" s="976"/>
      <c r="E337" s="976"/>
      <c r="F337" s="976"/>
      <c r="G337" s="976"/>
      <c r="H337" s="976"/>
      <c r="I337" s="976"/>
      <c r="J337" s="976"/>
      <c r="K337" s="976"/>
      <c r="L337" s="976"/>
      <c r="M337" s="976"/>
      <c r="N337" s="976"/>
      <c r="O337" s="976"/>
      <c r="P337" s="976"/>
      <c r="Q337" s="976"/>
      <c r="R337" s="976"/>
      <c r="S337" s="976"/>
      <c r="T337" s="976"/>
      <c r="U337" s="976"/>
      <c r="V337" s="976"/>
      <c r="W337" s="976"/>
      <c r="X337" s="976"/>
      <c r="Y337" s="976"/>
      <c r="Z337" s="976"/>
      <c r="AA337" s="976"/>
      <c r="AB337" s="976"/>
      <c r="AC337" s="976"/>
      <c r="AD337" s="976"/>
      <c r="AE337" s="976"/>
      <c r="AF337" s="976"/>
      <c r="AG337" s="976"/>
      <c r="AH337" s="976"/>
      <c r="AI337" s="976"/>
      <c r="AJ337" s="976"/>
      <c r="AK337" s="976"/>
      <c r="AL337" s="976"/>
      <c r="AM337" s="976"/>
      <c r="AN337" s="1007"/>
      <c r="AO337" s="1007"/>
      <c r="AP337" s="1009"/>
      <c r="AQ337" s="1012"/>
      <c r="AR337" s="1013"/>
      <c r="AS337" s="1013"/>
      <c r="AT337" s="1013"/>
      <c r="AU337" s="1012"/>
      <c r="AW337" s="1009"/>
      <c r="BD337" s="1009"/>
      <c r="BE337" s="1009"/>
      <c r="BF337" s="1009"/>
      <c r="BG337" s="1009"/>
    </row>
    <row r="338" s="1019" customFormat="1" spans="1:59">
      <c r="A338" s="976"/>
      <c r="B338" s="976"/>
      <c r="C338" s="976"/>
      <c r="D338" s="976"/>
      <c r="E338" s="976"/>
      <c r="F338" s="976"/>
      <c r="G338" s="976"/>
      <c r="H338" s="976"/>
      <c r="I338" s="976"/>
      <c r="J338" s="976"/>
      <c r="K338" s="976"/>
      <c r="L338" s="976"/>
      <c r="M338" s="976"/>
      <c r="N338" s="976"/>
      <c r="O338" s="976"/>
      <c r="P338" s="976"/>
      <c r="Q338" s="976"/>
      <c r="R338" s="976"/>
      <c r="S338" s="976"/>
      <c r="T338" s="976"/>
      <c r="U338" s="976"/>
      <c r="V338" s="976"/>
      <c r="W338" s="976"/>
      <c r="X338" s="976"/>
      <c r="Y338" s="976"/>
      <c r="Z338" s="976"/>
      <c r="AA338" s="976"/>
      <c r="AB338" s="976"/>
      <c r="AC338" s="976"/>
      <c r="AD338" s="976"/>
      <c r="AE338" s="976"/>
      <c r="AF338" s="976"/>
      <c r="AG338" s="976"/>
      <c r="AH338" s="976"/>
      <c r="AI338" s="976"/>
      <c r="AJ338" s="976"/>
      <c r="AK338" s="976"/>
      <c r="AL338" s="976"/>
      <c r="AM338" s="976"/>
      <c r="AN338" s="1007"/>
      <c r="AO338" s="1007"/>
      <c r="AP338" s="1009"/>
      <c r="AQ338" s="1012"/>
      <c r="AR338" s="1013"/>
      <c r="AS338" s="1013"/>
      <c r="AT338" s="1013"/>
      <c r="AU338" s="1012"/>
      <c r="AW338" s="1009"/>
      <c r="BD338" s="1009"/>
      <c r="BE338" s="1009"/>
      <c r="BF338" s="1009"/>
      <c r="BG338" s="1009"/>
    </row>
    <row r="339" s="1019" customFormat="1" spans="1:59">
      <c r="A339" s="976"/>
      <c r="B339" s="976"/>
      <c r="C339" s="976"/>
      <c r="D339" s="976"/>
      <c r="E339" s="976"/>
      <c r="F339" s="976"/>
      <c r="G339" s="976"/>
      <c r="H339" s="976"/>
      <c r="I339" s="976"/>
      <c r="J339" s="976"/>
      <c r="K339" s="976"/>
      <c r="L339" s="976"/>
      <c r="M339" s="976"/>
      <c r="N339" s="976"/>
      <c r="O339" s="976"/>
      <c r="P339" s="976"/>
      <c r="Q339" s="976"/>
      <c r="R339" s="976"/>
      <c r="S339" s="976"/>
      <c r="T339" s="976"/>
      <c r="U339" s="976"/>
      <c r="V339" s="976"/>
      <c r="W339" s="976"/>
      <c r="X339" s="976"/>
      <c r="Y339" s="976"/>
      <c r="Z339" s="976"/>
      <c r="AA339" s="976"/>
      <c r="AB339" s="976"/>
      <c r="AC339" s="976"/>
      <c r="AD339" s="976"/>
      <c r="AE339" s="976"/>
      <c r="AF339" s="976"/>
      <c r="AG339" s="976"/>
      <c r="AH339" s="976"/>
      <c r="AI339" s="976"/>
      <c r="AJ339" s="976"/>
      <c r="AK339" s="976"/>
      <c r="AL339" s="976"/>
      <c r="AM339" s="976"/>
      <c r="AN339" s="1007"/>
      <c r="AO339" s="1007"/>
      <c r="AP339" s="1009"/>
      <c r="AQ339" s="1012"/>
      <c r="AR339" s="1013"/>
      <c r="AS339" s="1013"/>
      <c r="AT339" s="1013"/>
      <c r="AU339" s="1012"/>
      <c r="AW339" s="1009"/>
      <c r="BD339" s="1009"/>
      <c r="BE339" s="1009"/>
      <c r="BF339" s="1009"/>
      <c r="BG339" s="1009"/>
    </row>
    <row r="340" s="1019" customFormat="1" spans="1:59">
      <c r="A340" s="976"/>
      <c r="B340" s="976"/>
      <c r="C340" s="976"/>
      <c r="D340" s="976"/>
      <c r="E340" s="976"/>
      <c r="F340" s="976"/>
      <c r="G340" s="976"/>
      <c r="H340" s="976"/>
      <c r="I340" s="976"/>
      <c r="J340" s="976"/>
      <c r="K340" s="976"/>
      <c r="L340" s="976"/>
      <c r="M340" s="976"/>
      <c r="N340" s="976"/>
      <c r="O340" s="976"/>
      <c r="P340" s="976"/>
      <c r="Q340" s="976"/>
      <c r="R340" s="976"/>
      <c r="S340" s="976"/>
      <c r="T340" s="976"/>
      <c r="U340" s="976"/>
      <c r="V340" s="976"/>
      <c r="W340" s="976"/>
      <c r="X340" s="976"/>
      <c r="Y340" s="976"/>
      <c r="Z340" s="976"/>
      <c r="AA340" s="976"/>
      <c r="AB340" s="976"/>
      <c r="AC340" s="976"/>
      <c r="AD340" s="976"/>
      <c r="AE340" s="976"/>
      <c r="AF340" s="976"/>
      <c r="AG340" s="976"/>
      <c r="AH340" s="976"/>
      <c r="AI340" s="976"/>
      <c r="AJ340" s="976"/>
      <c r="AK340" s="976"/>
      <c r="AL340" s="976"/>
      <c r="AM340" s="976"/>
      <c r="AN340" s="1007"/>
      <c r="AO340" s="1007"/>
      <c r="AP340" s="1009"/>
      <c r="AQ340" s="1012"/>
      <c r="AR340" s="1013"/>
      <c r="AS340" s="1013"/>
      <c r="AT340" s="1013"/>
      <c r="AU340" s="1012"/>
      <c r="AW340" s="1009"/>
      <c r="BD340" s="1009"/>
      <c r="BE340" s="1009"/>
      <c r="BF340" s="1009"/>
      <c r="BG340" s="1009"/>
    </row>
    <row r="341" s="1019" customFormat="1" spans="1:59">
      <c r="A341" s="976"/>
      <c r="B341" s="976"/>
      <c r="C341" s="976"/>
      <c r="D341" s="976"/>
      <c r="E341" s="976"/>
      <c r="F341" s="976"/>
      <c r="G341" s="976"/>
      <c r="H341" s="976"/>
      <c r="I341" s="976"/>
      <c r="J341" s="976"/>
      <c r="K341" s="976"/>
      <c r="L341" s="976"/>
      <c r="M341" s="976"/>
      <c r="N341" s="976"/>
      <c r="O341" s="976"/>
      <c r="P341" s="976"/>
      <c r="Q341" s="976"/>
      <c r="R341" s="976"/>
      <c r="S341" s="976"/>
      <c r="T341" s="976"/>
      <c r="U341" s="976"/>
      <c r="V341" s="976"/>
      <c r="W341" s="976"/>
      <c r="X341" s="976"/>
      <c r="Y341" s="976"/>
      <c r="Z341" s="976"/>
      <c r="AA341" s="976"/>
      <c r="AB341" s="976"/>
      <c r="AC341" s="976"/>
      <c r="AD341" s="976"/>
      <c r="AE341" s="976"/>
      <c r="AF341" s="976"/>
      <c r="AG341" s="976"/>
      <c r="AH341" s="976"/>
      <c r="AI341" s="976"/>
      <c r="AJ341" s="976"/>
      <c r="AK341" s="976"/>
      <c r="AL341" s="976"/>
      <c r="AM341" s="976"/>
      <c r="AN341" s="1007"/>
      <c r="AO341" s="1007"/>
      <c r="AP341" s="1009"/>
      <c r="AQ341" s="1012"/>
      <c r="AR341" s="1013"/>
      <c r="AS341" s="1013"/>
      <c r="AT341" s="1013"/>
      <c r="AU341" s="1012"/>
      <c r="AW341" s="1009"/>
      <c r="BD341" s="1009"/>
      <c r="BE341" s="1009"/>
      <c r="BF341" s="1009"/>
      <c r="BG341" s="1009"/>
    </row>
    <row r="342" s="1019" customFormat="1" spans="1:59">
      <c r="A342" s="976"/>
      <c r="B342" s="976"/>
      <c r="C342" s="976"/>
      <c r="D342" s="976"/>
      <c r="E342" s="976"/>
      <c r="F342" s="976"/>
      <c r="G342" s="976"/>
      <c r="H342" s="976"/>
      <c r="I342" s="976"/>
      <c r="J342" s="976"/>
      <c r="K342" s="976"/>
      <c r="L342" s="976"/>
      <c r="M342" s="976"/>
      <c r="N342" s="976"/>
      <c r="O342" s="976"/>
      <c r="P342" s="976"/>
      <c r="Q342" s="976"/>
      <c r="R342" s="976"/>
      <c r="S342" s="976"/>
      <c r="T342" s="976"/>
      <c r="U342" s="976"/>
      <c r="V342" s="976"/>
      <c r="W342" s="976"/>
      <c r="X342" s="976"/>
      <c r="Y342" s="976"/>
      <c r="Z342" s="976"/>
      <c r="AA342" s="976"/>
      <c r="AB342" s="976"/>
      <c r="AC342" s="976"/>
      <c r="AD342" s="976"/>
      <c r="AE342" s="976"/>
      <c r="AF342" s="976"/>
      <c r="AG342" s="976"/>
      <c r="AH342" s="976"/>
      <c r="AI342" s="976"/>
      <c r="AJ342" s="976"/>
      <c r="AK342" s="976"/>
      <c r="AL342" s="976"/>
      <c r="AM342" s="976"/>
      <c r="AN342" s="1007"/>
      <c r="AO342" s="1007"/>
      <c r="AP342" s="1009"/>
      <c r="AQ342" s="1012"/>
      <c r="AR342" s="1013"/>
      <c r="AS342" s="1013"/>
      <c r="AT342" s="1013"/>
      <c r="AU342" s="1012"/>
      <c r="AW342" s="1009"/>
      <c r="BD342" s="1009"/>
      <c r="BE342" s="1009"/>
      <c r="BF342" s="1009"/>
      <c r="BG342" s="1009"/>
    </row>
    <row r="343" s="1019" customFormat="1" spans="1:59">
      <c r="A343" s="976"/>
      <c r="B343" s="976"/>
      <c r="C343" s="976"/>
      <c r="D343" s="976"/>
      <c r="E343" s="976"/>
      <c r="F343" s="976"/>
      <c r="G343" s="976"/>
      <c r="H343" s="976"/>
      <c r="I343" s="976"/>
      <c r="J343" s="976"/>
      <c r="K343" s="976"/>
      <c r="L343" s="976"/>
      <c r="M343" s="976"/>
      <c r="N343" s="976"/>
      <c r="O343" s="976"/>
      <c r="P343" s="976"/>
      <c r="Q343" s="976"/>
      <c r="R343" s="976"/>
      <c r="S343" s="976"/>
      <c r="T343" s="976"/>
      <c r="U343" s="976"/>
      <c r="V343" s="976"/>
      <c r="W343" s="976"/>
      <c r="X343" s="976"/>
      <c r="Y343" s="976"/>
      <c r="Z343" s="976"/>
      <c r="AA343" s="976"/>
      <c r="AB343" s="976"/>
      <c r="AC343" s="976"/>
      <c r="AD343" s="976"/>
      <c r="AE343" s="976"/>
      <c r="AF343" s="976"/>
      <c r="AG343" s="976"/>
      <c r="AH343" s="976"/>
      <c r="AI343" s="976"/>
      <c r="AJ343" s="976"/>
      <c r="AK343" s="976"/>
      <c r="AL343" s="976"/>
      <c r="AM343" s="976"/>
      <c r="AN343" s="1007"/>
      <c r="AO343" s="1007"/>
      <c r="AP343" s="1009"/>
      <c r="AQ343" s="1012"/>
      <c r="AR343" s="1013"/>
      <c r="AS343" s="1013"/>
      <c r="AT343" s="1013"/>
      <c r="AU343" s="1012"/>
      <c r="AW343" s="1009"/>
      <c r="BD343" s="1009"/>
      <c r="BE343" s="1009"/>
      <c r="BF343" s="1009"/>
      <c r="BG343" s="1009"/>
    </row>
    <row r="344" s="1019" customFormat="1" spans="1:59">
      <c r="A344" s="976"/>
      <c r="B344" s="976"/>
      <c r="C344" s="976"/>
      <c r="D344" s="976"/>
      <c r="E344" s="976"/>
      <c r="F344" s="976"/>
      <c r="G344" s="976"/>
      <c r="H344" s="976"/>
      <c r="I344" s="976"/>
      <c r="J344" s="976"/>
      <c r="K344" s="976"/>
      <c r="L344" s="976"/>
      <c r="M344" s="976"/>
      <c r="N344" s="976"/>
      <c r="O344" s="976"/>
      <c r="P344" s="976"/>
      <c r="Q344" s="976"/>
      <c r="R344" s="976"/>
      <c r="S344" s="976"/>
      <c r="T344" s="976"/>
      <c r="U344" s="976"/>
      <c r="V344" s="976"/>
      <c r="W344" s="976"/>
      <c r="X344" s="976"/>
      <c r="Y344" s="976"/>
      <c r="Z344" s="976"/>
      <c r="AA344" s="976"/>
      <c r="AB344" s="976"/>
      <c r="AC344" s="976"/>
      <c r="AD344" s="976"/>
      <c r="AE344" s="976"/>
      <c r="AF344" s="976"/>
      <c r="AG344" s="976"/>
      <c r="AH344" s="976"/>
      <c r="AI344" s="976"/>
      <c r="AJ344" s="976"/>
      <c r="AK344" s="976"/>
      <c r="AL344" s="976"/>
      <c r="AM344" s="976"/>
      <c r="AN344" s="1007"/>
      <c r="AO344" s="1007"/>
      <c r="AP344" s="1009"/>
      <c r="AQ344" s="1012"/>
      <c r="AR344" s="1013"/>
      <c r="AS344" s="1013"/>
      <c r="AT344" s="1013"/>
      <c r="AU344" s="1012"/>
      <c r="AW344" s="1009"/>
      <c r="BD344" s="1009"/>
      <c r="BE344" s="1009"/>
      <c r="BF344" s="1009"/>
      <c r="BG344" s="1009"/>
    </row>
    <row r="345" s="1019" customFormat="1" spans="1:59">
      <c r="A345" s="976"/>
      <c r="B345" s="976"/>
      <c r="C345" s="976"/>
      <c r="D345" s="976"/>
      <c r="E345" s="976"/>
      <c r="F345" s="976"/>
      <c r="G345" s="976"/>
      <c r="H345" s="976"/>
      <c r="I345" s="976"/>
      <c r="J345" s="976"/>
      <c r="K345" s="976"/>
      <c r="L345" s="976"/>
      <c r="M345" s="976"/>
      <c r="N345" s="976"/>
      <c r="O345" s="976"/>
      <c r="P345" s="976"/>
      <c r="Q345" s="976"/>
      <c r="R345" s="976"/>
      <c r="S345" s="976"/>
      <c r="T345" s="976"/>
      <c r="U345" s="976"/>
      <c r="V345" s="976"/>
      <c r="W345" s="976"/>
      <c r="X345" s="976"/>
      <c r="Y345" s="976"/>
      <c r="Z345" s="976"/>
      <c r="AA345" s="976"/>
      <c r="AB345" s="976"/>
      <c r="AC345" s="976"/>
      <c r="AD345" s="976"/>
      <c r="AE345" s="976"/>
      <c r="AF345" s="976"/>
      <c r="AG345" s="976"/>
      <c r="AH345" s="976"/>
      <c r="AI345" s="976"/>
      <c r="AJ345" s="976"/>
      <c r="AK345" s="976"/>
      <c r="AL345" s="976"/>
      <c r="AM345" s="976"/>
      <c r="AN345" s="1007"/>
      <c r="AO345" s="1007"/>
      <c r="AP345" s="1009"/>
      <c r="AQ345" s="1012"/>
      <c r="AR345" s="1013"/>
      <c r="AS345" s="1013"/>
      <c r="AT345" s="1013"/>
      <c r="AU345" s="1012"/>
      <c r="AW345" s="1009"/>
      <c r="BD345" s="1009"/>
      <c r="BE345" s="1009"/>
      <c r="BF345" s="1009"/>
      <c r="BG345" s="1009"/>
    </row>
    <row r="346" s="1019" customFormat="1" spans="1:59">
      <c r="A346" s="976"/>
      <c r="B346" s="976"/>
      <c r="C346" s="976"/>
      <c r="D346" s="976"/>
      <c r="E346" s="976"/>
      <c r="F346" s="976"/>
      <c r="G346" s="976"/>
      <c r="H346" s="976"/>
      <c r="I346" s="976"/>
      <c r="J346" s="976"/>
      <c r="K346" s="976"/>
      <c r="L346" s="976"/>
      <c r="M346" s="976"/>
      <c r="N346" s="976"/>
      <c r="O346" s="976"/>
      <c r="P346" s="976"/>
      <c r="Q346" s="976"/>
      <c r="R346" s="976"/>
      <c r="S346" s="976"/>
      <c r="T346" s="976"/>
      <c r="U346" s="976"/>
      <c r="V346" s="976"/>
      <c r="W346" s="976"/>
      <c r="X346" s="976"/>
      <c r="Y346" s="976"/>
      <c r="Z346" s="976"/>
      <c r="AA346" s="976"/>
      <c r="AB346" s="976"/>
      <c r="AC346" s="976"/>
      <c r="AD346" s="976"/>
      <c r="AE346" s="976"/>
      <c r="AF346" s="976"/>
      <c r="AG346" s="976"/>
      <c r="AH346" s="976"/>
      <c r="AI346" s="976"/>
      <c r="AJ346" s="976"/>
      <c r="AK346" s="976"/>
      <c r="AL346" s="976"/>
      <c r="AM346" s="976"/>
      <c r="AN346" s="1007"/>
      <c r="AO346" s="1007"/>
      <c r="AP346" s="1009"/>
      <c r="AQ346" s="1012"/>
      <c r="AR346" s="1013"/>
      <c r="AS346" s="1013"/>
      <c r="AT346" s="1013"/>
      <c r="AU346" s="1012"/>
      <c r="AW346" s="1009"/>
      <c r="BD346" s="1009"/>
      <c r="BE346" s="1009"/>
      <c r="BF346" s="1009"/>
      <c r="BG346" s="1009"/>
    </row>
    <row r="347" s="1019" customFormat="1" spans="1:59">
      <c r="A347" s="976"/>
      <c r="B347" s="976"/>
      <c r="C347" s="976"/>
      <c r="D347" s="976"/>
      <c r="E347" s="976"/>
      <c r="F347" s="976"/>
      <c r="G347" s="976"/>
      <c r="H347" s="976"/>
      <c r="I347" s="976"/>
      <c r="J347" s="976"/>
      <c r="K347" s="976"/>
      <c r="L347" s="976"/>
      <c r="M347" s="976"/>
      <c r="N347" s="976"/>
      <c r="O347" s="976"/>
      <c r="P347" s="976"/>
      <c r="Q347" s="976"/>
      <c r="R347" s="976"/>
      <c r="S347" s="976"/>
      <c r="T347" s="976"/>
      <c r="U347" s="976"/>
      <c r="V347" s="976"/>
      <c r="W347" s="976"/>
      <c r="X347" s="976"/>
      <c r="Y347" s="976"/>
      <c r="Z347" s="976"/>
      <c r="AA347" s="976"/>
      <c r="AB347" s="976"/>
      <c r="AC347" s="976"/>
      <c r="AD347" s="976"/>
      <c r="AE347" s="976"/>
      <c r="AF347" s="976"/>
      <c r="AG347" s="976"/>
      <c r="AH347" s="976"/>
      <c r="AI347" s="976"/>
      <c r="AJ347" s="976"/>
      <c r="AK347" s="976"/>
      <c r="AL347" s="976"/>
      <c r="AM347" s="976"/>
      <c r="AN347" s="1007"/>
      <c r="AO347" s="1007"/>
      <c r="AP347" s="1009"/>
      <c r="AQ347" s="1012"/>
      <c r="AR347" s="1013"/>
      <c r="AS347" s="1013"/>
      <c r="AT347" s="1013"/>
      <c r="AU347" s="1012"/>
      <c r="AW347" s="1009"/>
      <c r="BD347" s="1009"/>
      <c r="BE347" s="1009"/>
      <c r="BF347" s="1009"/>
      <c r="BG347" s="1009"/>
    </row>
    <row r="348" s="1019" customFormat="1" spans="1:59">
      <c r="A348" s="976"/>
      <c r="B348" s="976"/>
      <c r="C348" s="976"/>
      <c r="D348" s="976"/>
      <c r="E348" s="976"/>
      <c r="F348" s="976"/>
      <c r="G348" s="976"/>
      <c r="H348" s="976"/>
      <c r="I348" s="976"/>
      <c r="J348" s="976"/>
      <c r="K348" s="976"/>
      <c r="L348" s="976"/>
      <c r="M348" s="976"/>
      <c r="N348" s="976"/>
      <c r="O348" s="976"/>
      <c r="P348" s="976"/>
      <c r="Q348" s="976"/>
      <c r="R348" s="976"/>
      <c r="S348" s="976"/>
      <c r="T348" s="976"/>
      <c r="U348" s="976"/>
      <c r="V348" s="976"/>
      <c r="W348" s="976"/>
      <c r="X348" s="976"/>
      <c r="Y348" s="976"/>
      <c r="Z348" s="976"/>
      <c r="AA348" s="976"/>
      <c r="AB348" s="976"/>
      <c r="AC348" s="976"/>
      <c r="AD348" s="976"/>
      <c r="AE348" s="976"/>
      <c r="AF348" s="976"/>
      <c r="AG348" s="976"/>
      <c r="AH348" s="976"/>
      <c r="AI348" s="976"/>
      <c r="AJ348" s="976"/>
      <c r="AK348" s="976"/>
      <c r="AL348" s="976"/>
      <c r="AM348" s="976"/>
      <c r="AN348" s="1007"/>
      <c r="AO348" s="1007"/>
      <c r="AP348" s="1009"/>
      <c r="AQ348" s="1012"/>
      <c r="AR348" s="1013"/>
      <c r="AS348" s="1013"/>
      <c r="AT348" s="1013"/>
      <c r="AU348" s="1012"/>
      <c r="AW348" s="1009"/>
      <c r="BD348" s="1009"/>
      <c r="BE348" s="1009"/>
      <c r="BF348" s="1009"/>
      <c r="BG348" s="1009"/>
    </row>
    <row r="349" s="1019" customFormat="1" spans="1:59">
      <c r="A349" s="976"/>
      <c r="B349" s="976"/>
      <c r="C349" s="976"/>
      <c r="D349" s="976"/>
      <c r="E349" s="976"/>
      <c r="F349" s="976"/>
      <c r="G349" s="976"/>
      <c r="H349" s="976"/>
      <c r="I349" s="976"/>
      <c r="J349" s="976"/>
      <c r="K349" s="976"/>
      <c r="L349" s="976"/>
      <c r="M349" s="976"/>
      <c r="N349" s="976"/>
      <c r="O349" s="976"/>
      <c r="P349" s="976"/>
      <c r="Q349" s="976"/>
      <c r="R349" s="976"/>
      <c r="S349" s="976"/>
      <c r="T349" s="976"/>
      <c r="U349" s="976"/>
      <c r="V349" s="976"/>
      <c r="W349" s="976"/>
      <c r="X349" s="976"/>
      <c r="Y349" s="976"/>
      <c r="Z349" s="976"/>
      <c r="AA349" s="976"/>
      <c r="AB349" s="976"/>
      <c r="AC349" s="976"/>
      <c r="AD349" s="976"/>
      <c r="AE349" s="976"/>
      <c r="AF349" s="976"/>
      <c r="AG349" s="976"/>
      <c r="AH349" s="976"/>
      <c r="AI349" s="976"/>
      <c r="AJ349" s="976"/>
      <c r="AK349" s="976"/>
      <c r="AL349" s="976"/>
      <c r="AM349" s="976"/>
      <c r="AN349" s="1007"/>
      <c r="AO349" s="1007"/>
      <c r="AP349" s="1009"/>
      <c r="AQ349" s="1012"/>
      <c r="AR349" s="1013"/>
      <c r="AS349" s="1013"/>
      <c r="AT349" s="1013"/>
      <c r="AU349" s="1012"/>
      <c r="AW349" s="1009"/>
      <c r="BD349" s="1009"/>
      <c r="BE349" s="1009"/>
      <c r="BF349" s="1009"/>
      <c r="BG349" s="1009"/>
    </row>
    <row r="350" s="1019" customFormat="1" spans="1:59">
      <c r="A350" s="976"/>
      <c r="B350" s="976"/>
      <c r="C350" s="976"/>
      <c r="D350" s="976"/>
      <c r="E350" s="976"/>
      <c r="F350" s="976"/>
      <c r="G350" s="976"/>
      <c r="H350" s="976"/>
      <c r="I350" s="976"/>
      <c r="J350" s="976"/>
      <c r="K350" s="976"/>
      <c r="L350" s="976"/>
      <c r="M350" s="976"/>
      <c r="N350" s="976"/>
      <c r="O350" s="976"/>
      <c r="P350" s="976"/>
      <c r="Q350" s="976"/>
      <c r="R350" s="976"/>
      <c r="S350" s="976"/>
      <c r="T350" s="976"/>
      <c r="U350" s="976"/>
      <c r="V350" s="976"/>
      <c r="W350" s="976"/>
      <c r="X350" s="976"/>
      <c r="Y350" s="976"/>
      <c r="Z350" s="976"/>
      <c r="AA350" s="976"/>
      <c r="AB350" s="976"/>
      <c r="AC350" s="976"/>
      <c r="AD350" s="976"/>
      <c r="AE350" s="976"/>
      <c r="AF350" s="976"/>
      <c r="AG350" s="976"/>
      <c r="AH350" s="976"/>
      <c r="AI350" s="976"/>
      <c r="AJ350" s="976"/>
      <c r="AK350" s="976"/>
      <c r="AL350" s="976"/>
      <c r="AM350" s="976"/>
      <c r="AN350" s="1007"/>
      <c r="AO350" s="1007"/>
      <c r="AP350" s="1009"/>
      <c r="AQ350" s="1012"/>
      <c r="AR350" s="1013"/>
      <c r="AS350" s="1013"/>
      <c r="AT350" s="1013"/>
      <c r="AU350" s="1012"/>
      <c r="AW350" s="1009"/>
      <c r="BD350" s="1009"/>
      <c r="BE350" s="1009"/>
      <c r="BF350" s="1009"/>
      <c r="BG350" s="1009"/>
    </row>
    <row r="351" s="1019" customFormat="1" spans="1:59">
      <c r="A351" s="976"/>
      <c r="B351" s="976"/>
      <c r="C351" s="976"/>
      <c r="D351" s="976"/>
      <c r="E351" s="976"/>
      <c r="F351" s="976"/>
      <c r="G351" s="976"/>
      <c r="H351" s="976"/>
      <c r="I351" s="976"/>
      <c r="J351" s="976"/>
      <c r="K351" s="976"/>
      <c r="L351" s="976"/>
      <c r="M351" s="976"/>
      <c r="N351" s="976"/>
      <c r="O351" s="976"/>
      <c r="P351" s="976"/>
      <c r="Q351" s="976"/>
      <c r="R351" s="976"/>
      <c r="S351" s="976"/>
      <c r="T351" s="976"/>
      <c r="U351" s="976"/>
      <c r="V351" s="976"/>
      <c r="W351" s="976"/>
      <c r="X351" s="976"/>
      <c r="Y351" s="976"/>
      <c r="Z351" s="976"/>
      <c r="AA351" s="976"/>
      <c r="AB351" s="976"/>
      <c r="AC351" s="976"/>
      <c r="AD351" s="976"/>
      <c r="AE351" s="976"/>
      <c r="AF351" s="976"/>
      <c r="AG351" s="976"/>
      <c r="AH351" s="976"/>
      <c r="AI351" s="976"/>
      <c r="AJ351" s="976"/>
      <c r="AK351" s="976"/>
      <c r="AL351" s="976"/>
      <c r="AM351" s="976"/>
      <c r="AN351" s="1007"/>
      <c r="AO351" s="1007"/>
      <c r="AP351" s="1009"/>
      <c r="AQ351" s="1012"/>
      <c r="AR351" s="1013"/>
      <c r="AS351" s="1013"/>
      <c r="AT351" s="1013"/>
      <c r="AU351" s="1012"/>
      <c r="AW351" s="1009"/>
      <c r="BD351" s="1009"/>
      <c r="BE351" s="1009"/>
      <c r="BF351" s="1009"/>
      <c r="BG351" s="1009"/>
    </row>
    <row r="352" s="1019" customFormat="1" spans="1:59">
      <c r="A352" s="976"/>
      <c r="B352" s="976"/>
      <c r="C352" s="976"/>
      <c r="D352" s="976"/>
      <c r="E352" s="976"/>
      <c r="F352" s="976"/>
      <c r="G352" s="976"/>
      <c r="H352" s="976"/>
      <c r="I352" s="976"/>
      <c r="J352" s="976"/>
      <c r="K352" s="976"/>
      <c r="L352" s="976"/>
      <c r="M352" s="976"/>
      <c r="N352" s="976"/>
      <c r="O352" s="976"/>
      <c r="P352" s="976"/>
      <c r="Q352" s="976"/>
      <c r="R352" s="976"/>
      <c r="S352" s="976"/>
      <c r="T352" s="976"/>
      <c r="U352" s="976"/>
      <c r="V352" s="976"/>
      <c r="W352" s="976"/>
      <c r="X352" s="976"/>
      <c r="Y352" s="976"/>
      <c r="Z352" s="976"/>
      <c r="AA352" s="976"/>
      <c r="AB352" s="976"/>
      <c r="AC352" s="976"/>
      <c r="AD352" s="976"/>
      <c r="AE352" s="976"/>
      <c r="AF352" s="976"/>
      <c r="AG352" s="976"/>
      <c r="AH352" s="976"/>
      <c r="AI352" s="976"/>
      <c r="AJ352" s="976"/>
      <c r="AK352" s="976"/>
      <c r="AL352" s="976"/>
      <c r="AM352" s="976"/>
      <c r="AN352" s="1007"/>
      <c r="AO352" s="1007"/>
      <c r="AP352" s="1009"/>
      <c r="AQ352" s="1012"/>
      <c r="AR352" s="1013"/>
      <c r="AS352" s="1013"/>
      <c r="AT352" s="1013"/>
      <c r="AU352" s="1012"/>
      <c r="AW352" s="1009"/>
      <c r="BD352" s="1009"/>
      <c r="BE352" s="1009"/>
      <c r="BF352" s="1009"/>
      <c r="BG352" s="1009"/>
    </row>
    <row r="353" s="1019" customFormat="1" spans="1:59">
      <c r="A353" s="976"/>
      <c r="B353" s="976"/>
      <c r="C353" s="976"/>
      <c r="D353" s="976"/>
      <c r="E353" s="976"/>
      <c r="F353" s="976"/>
      <c r="G353" s="976"/>
      <c r="H353" s="976"/>
      <c r="I353" s="976"/>
      <c r="J353" s="976"/>
      <c r="K353" s="976"/>
      <c r="L353" s="976"/>
      <c r="M353" s="976"/>
      <c r="N353" s="976"/>
      <c r="O353" s="976"/>
      <c r="P353" s="976"/>
      <c r="Q353" s="976"/>
      <c r="R353" s="976"/>
      <c r="S353" s="976"/>
      <c r="T353" s="976"/>
      <c r="U353" s="976"/>
      <c r="V353" s="976"/>
      <c r="W353" s="976"/>
      <c r="X353" s="976"/>
      <c r="Y353" s="976"/>
      <c r="Z353" s="976"/>
      <c r="AA353" s="976"/>
      <c r="AB353" s="976"/>
      <c r="AC353" s="976"/>
      <c r="AD353" s="976"/>
      <c r="AE353" s="976"/>
      <c r="AF353" s="976"/>
      <c r="AG353" s="976"/>
      <c r="AH353" s="976"/>
      <c r="AI353" s="976"/>
      <c r="AJ353" s="976"/>
      <c r="AK353" s="976"/>
      <c r="AL353" s="976"/>
      <c r="AM353" s="976"/>
      <c r="AN353" s="1007"/>
      <c r="AO353" s="1007"/>
      <c r="AP353" s="1009"/>
      <c r="AQ353" s="1012"/>
      <c r="AR353" s="1013"/>
      <c r="AS353" s="1013"/>
      <c r="AT353" s="1013"/>
      <c r="AU353" s="1012"/>
      <c r="AW353" s="1009"/>
      <c r="BD353" s="1009"/>
      <c r="BE353" s="1009"/>
      <c r="BF353" s="1009"/>
      <c r="BG353" s="1009"/>
    </row>
    <row r="354" s="1019" customFormat="1" spans="1:59">
      <c r="A354" s="976"/>
      <c r="B354" s="976"/>
      <c r="C354" s="976"/>
      <c r="D354" s="976"/>
      <c r="E354" s="976"/>
      <c r="F354" s="976"/>
      <c r="G354" s="976"/>
      <c r="H354" s="976"/>
      <c r="I354" s="976"/>
      <c r="J354" s="976"/>
      <c r="K354" s="976"/>
      <c r="L354" s="976"/>
      <c r="M354" s="976"/>
      <c r="N354" s="976"/>
      <c r="O354" s="976"/>
      <c r="P354" s="976"/>
      <c r="Q354" s="976"/>
      <c r="R354" s="976"/>
      <c r="S354" s="976"/>
      <c r="T354" s="976"/>
      <c r="U354" s="976"/>
      <c r="V354" s="976"/>
      <c r="W354" s="976"/>
      <c r="X354" s="976"/>
      <c r="Y354" s="976"/>
      <c r="Z354" s="976"/>
      <c r="AA354" s="976"/>
      <c r="AB354" s="976"/>
      <c r="AC354" s="976"/>
      <c r="AD354" s="976"/>
      <c r="AE354" s="976"/>
      <c r="AF354" s="976"/>
      <c r="AG354" s="976"/>
      <c r="AH354" s="976"/>
      <c r="AI354" s="976"/>
      <c r="AJ354" s="976"/>
      <c r="AK354" s="976"/>
      <c r="AL354" s="976"/>
      <c r="AM354" s="976"/>
      <c r="AN354" s="1007"/>
      <c r="AO354" s="1007"/>
      <c r="AP354" s="1009"/>
      <c r="AQ354" s="1012"/>
      <c r="AR354" s="1013"/>
      <c r="AS354" s="1013"/>
      <c r="AT354" s="1013"/>
      <c r="AU354" s="1012"/>
      <c r="AW354" s="1009"/>
      <c r="BD354" s="1009"/>
      <c r="BE354" s="1009"/>
      <c r="BF354" s="1009"/>
      <c r="BG354" s="1009"/>
    </row>
    <row r="355" s="1019" customFormat="1" spans="1:59">
      <c r="A355" s="976"/>
      <c r="B355" s="976"/>
      <c r="C355" s="976"/>
      <c r="D355" s="976"/>
      <c r="E355" s="976"/>
      <c r="F355" s="976"/>
      <c r="G355" s="976"/>
      <c r="H355" s="976"/>
      <c r="I355" s="976"/>
      <c r="J355" s="976"/>
      <c r="K355" s="976"/>
      <c r="L355" s="976"/>
      <c r="M355" s="976"/>
      <c r="N355" s="976"/>
      <c r="O355" s="976"/>
      <c r="P355" s="976"/>
      <c r="Q355" s="976"/>
      <c r="R355" s="976"/>
      <c r="S355" s="976"/>
      <c r="T355" s="976"/>
      <c r="U355" s="976"/>
      <c r="V355" s="976"/>
      <c r="W355" s="976"/>
      <c r="X355" s="976"/>
      <c r="Y355" s="976"/>
      <c r="Z355" s="976"/>
      <c r="AA355" s="976"/>
      <c r="AB355" s="976"/>
      <c r="AC355" s="976"/>
      <c r="AD355" s="976"/>
      <c r="AE355" s="976"/>
      <c r="AF355" s="976"/>
      <c r="AG355" s="976"/>
      <c r="AH355" s="976"/>
      <c r="AI355" s="976"/>
      <c r="AJ355" s="976"/>
      <c r="AK355" s="976"/>
      <c r="AL355" s="976"/>
      <c r="AM355" s="976"/>
      <c r="AN355" s="1007"/>
      <c r="AO355" s="1007"/>
      <c r="AP355" s="1009"/>
      <c r="AQ355" s="1012"/>
      <c r="AR355" s="1013"/>
      <c r="AS355" s="1013"/>
      <c r="AT355" s="1013"/>
      <c r="AU355" s="1012"/>
      <c r="AW355" s="1009"/>
      <c r="BD355" s="1009"/>
      <c r="BE355" s="1009"/>
      <c r="BF355" s="1009"/>
      <c r="BG355" s="1009"/>
    </row>
    <row r="356" s="1019" customFormat="1" spans="1:59">
      <c r="A356" s="976"/>
      <c r="B356" s="976"/>
      <c r="C356" s="976"/>
      <c r="D356" s="976"/>
      <c r="E356" s="976"/>
      <c r="F356" s="976"/>
      <c r="G356" s="976"/>
      <c r="H356" s="976"/>
      <c r="I356" s="976"/>
      <c r="J356" s="976"/>
      <c r="K356" s="976"/>
      <c r="L356" s="976"/>
      <c r="M356" s="976"/>
      <c r="N356" s="976"/>
      <c r="O356" s="976"/>
      <c r="P356" s="976"/>
      <c r="Q356" s="976"/>
      <c r="R356" s="976"/>
      <c r="S356" s="976"/>
      <c r="T356" s="976"/>
      <c r="U356" s="976"/>
      <c r="V356" s="976"/>
      <c r="W356" s="976"/>
      <c r="X356" s="976"/>
      <c r="Y356" s="976"/>
      <c r="Z356" s="976"/>
      <c r="AA356" s="976"/>
      <c r="AB356" s="976"/>
      <c r="AC356" s="976"/>
      <c r="AD356" s="976"/>
      <c r="AE356" s="976"/>
      <c r="AF356" s="976"/>
      <c r="AG356" s="976"/>
      <c r="AH356" s="976"/>
      <c r="AI356" s="976"/>
      <c r="AJ356" s="976"/>
      <c r="AK356" s="976"/>
      <c r="AL356" s="976"/>
      <c r="AM356" s="976"/>
      <c r="AN356" s="1007"/>
      <c r="AO356" s="1007"/>
      <c r="AP356" s="1009"/>
      <c r="AQ356" s="1012"/>
      <c r="AR356" s="1013"/>
      <c r="AS356" s="1013"/>
      <c r="AT356" s="1013"/>
      <c r="AU356" s="1012"/>
      <c r="AW356" s="1009"/>
      <c r="BD356" s="1009"/>
      <c r="BE356" s="1009"/>
      <c r="BF356" s="1009"/>
      <c r="BG356" s="1009"/>
    </row>
    <row r="357" s="1019" customFormat="1" spans="1:59">
      <c r="A357" s="976"/>
      <c r="B357" s="976"/>
      <c r="C357" s="976"/>
      <c r="D357" s="976"/>
      <c r="E357" s="976"/>
      <c r="F357" s="976"/>
      <c r="G357" s="976"/>
      <c r="H357" s="976"/>
      <c r="I357" s="976"/>
      <c r="J357" s="976"/>
      <c r="K357" s="976"/>
      <c r="L357" s="976"/>
      <c r="M357" s="976"/>
      <c r="N357" s="976"/>
      <c r="O357" s="976"/>
      <c r="P357" s="976"/>
      <c r="Q357" s="976"/>
      <c r="R357" s="976"/>
      <c r="S357" s="976"/>
      <c r="T357" s="976"/>
      <c r="U357" s="976"/>
      <c r="V357" s="976"/>
      <c r="W357" s="976"/>
      <c r="X357" s="976"/>
      <c r="Y357" s="976"/>
      <c r="Z357" s="976"/>
      <c r="AA357" s="976"/>
      <c r="AB357" s="976"/>
      <c r="AC357" s="976"/>
      <c r="AD357" s="976"/>
      <c r="AE357" s="976"/>
      <c r="AF357" s="976"/>
      <c r="AG357" s="976"/>
      <c r="AH357" s="976"/>
      <c r="AI357" s="976"/>
      <c r="AJ357" s="976"/>
      <c r="AK357" s="976"/>
      <c r="AL357" s="976"/>
      <c r="AM357" s="976"/>
      <c r="AN357" s="1007"/>
      <c r="AO357" s="1007"/>
      <c r="AP357" s="1009"/>
      <c r="AQ357" s="1012"/>
      <c r="AR357" s="1013"/>
      <c r="AS357" s="1013"/>
      <c r="AT357" s="1013"/>
      <c r="AU357" s="1012"/>
      <c r="AW357" s="1009"/>
      <c r="BD357" s="1009"/>
      <c r="BE357" s="1009"/>
      <c r="BF357" s="1009"/>
      <c r="BG357" s="1009"/>
    </row>
    <row r="358" s="1019" customFormat="1" spans="1:59">
      <c r="A358" s="976"/>
      <c r="B358" s="976"/>
      <c r="C358" s="976"/>
      <c r="D358" s="976"/>
      <c r="E358" s="976"/>
      <c r="F358" s="976"/>
      <c r="G358" s="976"/>
      <c r="H358" s="976"/>
      <c r="I358" s="976"/>
      <c r="J358" s="976"/>
      <c r="K358" s="976"/>
      <c r="L358" s="976"/>
      <c r="M358" s="976"/>
      <c r="N358" s="976"/>
      <c r="O358" s="976"/>
      <c r="P358" s="976"/>
      <c r="Q358" s="976"/>
      <c r="R358" s="976"/>
      <c r="S358" s="976"/>
      <c r="T358" s="976"/>
      <c r="U358" s="976"/>
      <c r="V358" s="976"/>
      <c r="W358" s="976"/>
      <c r="X358" s="976"/>
      <c r="Y358" s="976"/>
      <c r="Z358" s="976"/>
      <c r="AA358" s="976"/>
      <c r="AB358" s="976"/>
      <c r="AC358" s="976"/>
      <c r="AD358" s="976"/>
      <c r="AE358" s="976"/>
      <c r="AF358" s="976"/>
      <c r="AG358" s="976"/>
      <c r="AH358" s="976"/>
      <c r="AI358" s="976"/>
      <c r="AJ358" s="976"/>
      <c r="AK358" s="976"/>
      <c r="AL358" s="976"/>
      <c r="AM358" s="976"/>
      <c r="AN358" s="1007"/>
      <c r="AO358" s="1007"/>
      <c r="AP358" s="1009"/>
      <c r="AQ358" s="1012"/>
      <c r="AR358" s="1013"/>
      <c r="AS358" s="1013"/>
      <c r="AT358" s="1013"/>
      <c r="AU358" s="1012"/>
      <c r="AW358" s="1009"/>
      <c r="BD358" s="1009"/>
      <c r="BE358" s="1009"/>
      <c r="BF358" s="1009"/>
      <c r="BG358" s="1009"/>
    </row>
    <row r="359" s="1019" customFormat="1" spans="1:59">
      <c r="A359" s="976"/>
      <c r="B359" s="976"/>
      <c r="C359" s="976"/>
      <c r="D359" s="976"/>
      <c r="E359" s="976"/>
      <c r="F359" s="976"/>
      <c r="G359" s="976"/>
      <c r="H359" s="976"/>
      <c r="I359" s="976"/>
      <c r="J359" s="976"/>
      <c r="K359" s="976"/>
      <c r="L359" s="976"/>
      <c r="M359" s="976"/>
      <c r="N359" s="976"/>
      <c r="O359" s="976"/>
      <c r="P359" s="976"/>
      <c r="Q359" s="976"/>
      <c r="R359" s="976"/>
      <c r="S359" s="976"/>
      <c r="T359" s="976"/>
      <c r="U359" s="976"/>
      <c r="V359" s="976"/>
      <c r="W359" s="976"/>
      <c r="X359" s="976"/>
      <c r="Y359" s="976"/>
      <c r="Z359" s="976"/>
      <c r="AA359" s="976"/>
      <c r="AB359" s="976"/>
      <c r="AC359" s="976"/>
      <c r="AD359" s="976"/>
      <c r="AE359" s="976"/>
      <c r="AF359" s="976"/>
      <c r="AG359" s="976"/>
      <c r="AH359" s="976"/>
      <c r="AI359" s="976"/>
      <c r="AJ359" s="976"/>
      <c r="AK359" s="976"/>
      <c r="AL359" s="976"/>
      <c r="AM359" s="976"/>
      <c r="AN359" s="1007"/>
      <c r="AO359" s="1007"/>
      <c r="AP359" s="1009"/>
      <c r="AQ359" s="1012"/>
      <c r="AR359" s="1013"/>
      <c r="AS359" s="1013"/>
      <c r="AT359" s="1013"/>
      <c r="AU359" s="1012"/>
      <c r="AW359" s="1009"/>
      <c r="BD359" s="1009"/>
      <c r="BE359" s="1009"/>
      <c r="BF359" s="1009"/>
      <c r="BG359" s="1009"/>
    </row>
    <row r="360" s="1019" customFormat="1" spans="1:59">
      <c r="A360" s="976"/>
      <c r="B360" s="976"/>
      <c r="C360" s="976"/>
      <c r="D360" s="976"/>
      <c r="E360" s="976"/>
      <c r="F360" s="976"/>
      <c r="G360" s="976"/>
      <c r="H360" s="976"/>
      <c r="I360" s="976"/>
      <c r="J360" s="976"/>
      <c r="K360" s="976"/>
      <c r="L360" s="976"/>
      <c r="M360" s="976"/>
      <c r="N360" s="976"/>
      <c r="O360" s="976"/>
      <c r="P360" s="976"/>
      <c r="Q360" s="976"/>
      <c r="R360" s="976"/>
      <c r="S360" s="976"/>
      <c r="T360" s="976"/>
      <c r="U360" s="976"/>
      <c r="V360" s="976"/>
      <c r="W360" s="976"/>
      <c r="X360" s="976"/>
      <c r="Y360" s="976"/>
      <c r="Z360" s="976"/>
      <c r="AA360" s="976"/>
      <c r="AB360" s="976"/>
      <c r="AC360" s="976"/>
      <c r="AD360" s="976"/>
      <c r="AE360" s="976"/>
      <c r="AF360" s="976"/>
      <c r="AG360" s="976"/>
      <c r="AH360" s="976"/>
      <c r="AI360" s="976"/>
      <c r="AJ360" s="976"/>
      <c r="AK360" s="976"/>
      <c r="AL360" s="976"/>
      <c r="AM360" s="976"/>
      <c r="AN360" s="1007"/>
      <c r="AO360" s="1007"/>
      <c r="AP360" s="1009"/>
      <c r="AQ360" s="1012"/>
      <c r="AR360" s="1013"/>
      <c r="AS360" s="1013"/>
      <c r="AT360" s="1013"/>
      <c r="AU360" s="1012"/>
      <c r="AW360" s="1009"/>
      <c r="BD360" s="1009"/>
      <c r="BE360" s="1009"/>
      <c r="BF360" s="1009"/>
      <c r="BG360" s="1009"/>
    </row>
    <row r="361" s="1019" customFormat="1" spans="1:59">
      <c r="A361" s="976"/>
      <c r="B361" s="976"/>
      <c r="C361" s="976"/>
      <c r="D361" s="976"/>
      <c r="E361" s="976"/>
      <c r="F361" s="976"/>
      <c r="G361" s="976"/>
      <c r="H361" s="976"/>
      <c r="I361" s="976"/>
      <c r="J361" s="976"/>
      <c r="K361" s="976"/>
      <c r="L361" s="976"/>
      <c r="M361" s="976"/>
      <c r="N361" s="976"/>
      <c r="O361" s="976"/>
      <c r="P361" s="976"/>
      <c r="Q361" s="976"/>
      <c r="R361" s="976"/>
      <c r="S361" s="976"/>
      <c r="T361" s="976"/>
      <c r="U361" s="976"/>
      <c r="V361" s="976"/>
      <c r="W361" s="976"/>
      <c r="X361" s="976"/>
      <c r="Y361" s="976"/>
      <c r="Z361" s="976"/>
      <c r="AA361" s="976"/>
      <c r="AB361" s="976"/>
      <c r="AC361" s="976"/>
      <c r="AD361" s="976"/>
      <c r="AE361" s="976"/>
      <c r="AF361" s="976"/>
      <c r="AG361" s="976"/>
      <c r="AH361" s="976"/>
      <c r="AI361" s="976"/>
      <c r="AJ361" s="976"/>
      <c r="AK361" s="976"/>
      <c r="AL361" s="976"/>
      <c r="AM361" s="976"/>
      <c r="AN361" s="1007"/>
      <c r="AO361" s="1007"/>
      <c r="AP361" s="1009"/>
      <c r="AQ361" s="1012"/>
      <c r="AR361" s="1013"/>
      <c r="AS361" s="1013"/>
      <c r="AT361" s="1013"/>
      <c r="AU361" s="1012"/>
      <c r="AW361" s="1009"/>
      <c r="BD361" s="1009"/>
      <c r="BE361" s="1009"/>
      <c r="BF361" s="1009"/>
      <c r="BG361" s="1009"/>
    </row>
    <row r="362" s="1019" customFormat="1" spans="1:59">
      <c r="A362" s="976"/>
      <c r="B362" s="976"/>
      <c r="C362" s="976"/>
      <c r="D362" s="976"/>
      <c r="E362" s="976"/>
      <c r="F362" s="976"/>
      <c r="G362" s="976"/>
      <c r="H362" s="976"/>
      <c r="I362" s="976"/>
      <c r="J362" s="976"/>
      <c r="K362" s="976"/>
      <c r="L362" s="976"/>
      <c r="M362" s="976"/>
      <c r="N362" s="976"/>
      <c r="O362" s="976"/>
      <c r="P362" s="976"/>
      <c r="Q362" s="976"/>
      <c r="R362" s="976"/>
      <c r="S362" s="976"/>
      <c r="T362" s="976"/>
      <c r="U362" s="976"/>
      <c r="V362" s="976"/>
      <c r="W362" s="976"/>
      <c r="X362" s="976"/>
      <c r="Y362" s="976"/>
      <c r="Z362" s="976"/>
      <c r="AA362" s="976"/>
      <c r="AB362" s="976"/>
      <c r="AC362" s="976"/>
      <c r="AD362" s="976"/>
      <c r="AE362" s="976"/>
      <c r="AF362" s="976"/>
      <c r="AG362" s="976"/>
      <c r="AH362" s="976"/>
      <c r="AI362" s="976"/>
      <c r="AJ362" s="976"/>
      <c r="AK362" s="976"/>
      <c r="AL362" s="976"/>
      <c r="AM362" s="976"/>
      <c r="AN362" s="1007"/>
      <c r="AO362" s="1007"/>
      <c r="AP362" s="1009"/>
      <c r="AQ362" s="1012"/>
      <c r="AR362" s="1013"/>
      <c r="AS362" s="1013"/>
      <c r="AT362" s="1013"/>
      <c r="AU362" s="1012"/>
      <c r="AW362" s="1009"/>
      <c r="BD362" s="1009"/>
      <c r="BE362" s="1009"/>
      <c r="BF362" s="1009"/>
      <c r="BG362" s="1009"/>
    </row>
    <row r="363" s="1019" customFormat="1" spans="1:59">
      <c r="A363" s="976"/>
      <c r="B363" s="976"/>
      <c r="C363" s="976"/>
      <c r="D363" s="976"/>
      <c r="E363" s="976"/>
      <c r="F363" s="976"/>
      <c r="G363" s="976"/>
      <c r="H363" s="976"/>
      <c r="I363" s="976"/>
      <c r="J363" s="976"/>
      <c r="K363" s="976"/>
      <c r="L363" s="976"/>
      <c r="M363" s="976"/>
      <c r="N363" s="976"/>
      <c r="O363" s="976"/>
      <c r="P363" s="976"/>
      <c r="Q363" s="976"/>
      <c r="R363" s="976"/>
      <c r="S363" s="976"/>
      <c r="T363" s="976"/>
      <c r="U363" s="976"/>
      <c r="V363" s="976"/>
      <c r="W363" s="976"/>
      <c r="X363" s="976"/>
      <c r="Y363" s="976"/>
      <c r="Z363" s="976"/>
      <c r="AA363" s="976"/>
      <c r="AB363" s="976"/>
      <c r="AC363" s="976"/>
      <c r="AD363" s="976"/>
      <c r="AE363" s="976"/>
      <c r="AF363" s="976"/>
      <c r="AG363" s="976"/>
      <c r="AH363" s="976"/>
      <c r="AI363" s="976"/>
      <c r="AJ363" s="976"/>
      <c r="AK363" s="976"/>
      <c r="AL363" s="976"/>
      <c r="AM363" s="976"/>
      <c r="AN363" s="1007"/>
      <c r="AO363" s="1007"/>
      <c r="AP363" s="1009"/>
      <c r="AQ363" s="1012"/>
      <c r="AR363" s="1013"/>
      <c r="AS363" s="1013"/>
      <c r="AT363" s="1013"/>
      <c r="AU363" s="1012"/>
      <c r="AW363" s="1009"/>
      <c r="BD363" s="1009"/>
      <c r="BE363" s="1009"/>
      <c r="BF363" s="1009"/>
      <c r="BG363" s="1009"/>
    </row>
    <row r="364" s="1019" customFormat="1" spans="1:59">
      <c r="A364" s="976"/>
      <c r="B364" s="976"/>
      <c r="C364" s="976"/>
      <c r="D364" s="976"/>
      <c r="E364" s="976"/>
      <c r="F364" s="976"/>
      <c r="G364" s="976"/>
      <c r="H364" s="976"/>
      <c r="I364" s="976"/>
      <c r="J364" s="976"/>
      <c r="K364" s="976"/>
      <c r="L364" s="976"/>
      <c r="M364" s="976"/>
      <c r="N364" s="976"/>
      <c r="O364" s="976"/>
      <c r="P364" s="976"/>
      <c r="Q364" s="976"/>
      <c r="R364" s="976"/>
      <c r="S364" s="976"/>
      <c r="T364" s="976"/>
      <c r="U364" s="976"/>
      <c r="V364" s="976"/>
      <c r="W364" s="976"/>
      <c r="X364" s="976"/>
      <c r="Y364" s="976"/>
      <c r="Z364" s="976"/>
      <c r="AA364" s="976"/>
      <c r="AB364" s="976"/>
      <c r="AC364" s="976"/>
      <c r="AD364" s="976"/>
      <c r="AE364" s="976"/>
      <c r="AF364" s="976"/>
      <c r="AG364" s="976"/>
      <c r="AH364" s="976"/>
      <c r="AI364" s="976"/>
      <c r="AJ364" s="976"/>
      <c r="AK364" s="976"/>
      <c r="AL364" s="976"/>
      <c r="AM364" s="976"/>
      <c r="AN364" s="1007"/>
      <c r="AO364" s="1007"/>
      <c r="AP364" s="1009"/>
      <c r="AQ364" s="1012"/>
      <c r="AR364" s="1013"/>
      <c r="AS364" s="1013"/>
      <c r="AT364" s="1013"/>
      <c r="AU364" s="1012"/>
      <c r="AW364" s="1009"/>
      <c r="BD364" s="1009"/>
      <c r="BE364" s="1009"/>
      <c r="BF364" s="1009"/>
      <c r="BG364" s="1009"/>
    </row>
    <row r="365" s="1019" customFormat="1" spans="1:59">
      <c r="A365" s="976"/>
      <c r="B365" s="976"/>
      <c r="C365" s="976"/>
      <c r="D365" s="976"/>
      <c r="E365" s="976"/>
      <c r="F365" s="976"/>
      <c r="G365" s="976"/>
      <c r="H365" s="976"/>
      <c r="I365" s="976"/>
      <c r="J365" s="976"/>
      <c r="K365" s="976"/>
      <c r="L365" s="976"/>
      <c r="M365" s="976"/>
      <c r="N365" s="976"/>
      <c r="O365" s="976"/>
      <c r="P365" s="976"/>
      <c r="Q365" s="976"/>
      <c r="R365" s="976"/>
      <c r="S365" s="976"/>
      <c r="T365" s="976"/>
      <c r="U365" s="976"/>
      <c r="V365" s="976"/>
      <c r="W365" s="976"/>
      <c r="X365" s="976"/>
      <c r="Y365" s="976"/>
      <c r="Z365" s="976"/>
      <c r="AA365" s="976"/>
      <c r="AB365" s="976"/>
      <c r="AC365" s="976"/>
      <c r="AD365" s="976"/>
      <c r="AE365" s="976"/>
      <c r="AF365" s="976"/>
      <c r="AG365" s="976"/>
      <c r="AH365" s="976"/>
      <c r="AI365" s="976"/>
      <c r="AJ365" s="976"/>
      <c r="AK365" s="976"/>
      <c r="AL365" s="976"/>
      <c r="AM365" s="976"/>
      <c r="AN365" s="1007"/>
      <c r="AO365" s="1007"/>
      <c r="AP365" s="1009"/>
      <c r="AQ365" s="1012"/>
      <c r="AR365" s="1013"/>
      <c r="AS365" s="1013"/>
      <c r="AT365" s="1013"/>
      <c r="AU365" s="1012"/>
      <c r="AW365" s="1009"/>
      <c r="BD365" s="1009"/>
      <c r="BE365" s="1009"/>
      <c r="BF365" s="1009"/>
      <c r="BG365" s="1009"/>
    </row>
    <row r="366" s="1019" customFormat="1" spans="1:59">
      <c r="A366" s="976"/>
      <c r="B366" s="976"/>
      <c r="C366" s="976"/>
      <c r="D366" s="976"/>
      <c r="E366" s="976"/>
      <c r="F366" s="976"/>
      <c r="G366" s="976"/>
      <c r="H366" s="976"/>
      <c r="I366" s="976"/>
      <c r="J366" s="976"/>
      <c r="K366" s="976"/>
      <c r="L366" s="976"/>
      <c r="M366" s="976"/>
      <c r="N366" s="976"/>
      <c r="O366" s="976"/>
      <c r="P366" s="976"/>
      <c r="Q366" s="976"/>
      <c r="R366" s="976"/>
      <c r="S366" s="976"/>
      <c r="T366" s="976"/>
      <c r="U366" s="976"/>
      <c r="V366" s="976"/>
      <c r="W366" s="976"/>
      <c r="X366" s="976"/>
      <c r="Y366" s="976"/>
      <c r="Z366" s="976"/>
      <c r="AA366" s="976"/>
      <c r="AB366" s="976"/>
      <c r="AC366" s="976"/>
      <c r="AD366" s="976"/>
      <c r="AE366" s="976"/>
      <c r="AF366" s="976"/>
      <c r="AG366" s="976"/>
      <c r="AH366" s="976"/>
      <c r="AI366" s="976"/>
      <c r="AJ366" s="976"/>
      <c r="AK366" s="976"/>
      <c r="AL366" s="976"/>
      <c r="AM366" s="976"/>
      <c r="AN366" s="1007"/>
      <c r="AO366" s="1007"/>
      <c r="AP366" s="1009"/>
      <c r="AQ366" s="1012"/>
      <c r="AR366" s="1013"/>
      <c r="AS366" s="1013"/>
      <c r="AT366" s="1013"/>
      <c r="AU366" s="1012"/>
      <c r="AW366" s="1009"/>
      <c r="BD366" s="1009"/>
      <c r="BE366" s="1009"/>
      <c r="BF366" s="1009"/>
      <c r="BG366" s="1009"/>
    </row>
    <row r="367" s="1019" customFormat="1" spans="1:59">
      <c r="A367" s="976"/>
      <c r="B367" s="976"/>
      <c r="C367" s="976"/>
      <c r="D367" s="976"/>
      <c r="E367" s="976"/>
      <c r="F367" s="976"/>
      <c r="G367" s="976"/>
      <c r="H367" s="976"/>
      <c r="I367" s="976"/>
      <c r="J367" s="976"/>
      <c r="K367" s="976"/>
      <c r="L367" s="976"/>
      <c r="M367" s="976"/>
      <c r="N367" s="976"/>
      <c r="O367" s="976"/>
      <c r="P367" s="976"/>
      <c r="Q367" s="976"/>
      <c r="R367" s="976"/>
      <c r="S367" s="976"/>
      <c r="T367" s="976"/>
      <c r="U367" s="976"/>
      <c r="V367" s="976"/>
      <c r="W367" s="976"/>
      <c r="X367" s="976"/>
      <c r="Y367" s="976"/>
      <c r="Z367" s="976"/>
      <c r="AA367" s="976"/>
      <c r="AB367" s="976"/>
      <c r="AC367" s="976"/>
      <c r="AD367" s="976"/>
      <c r="AE367" s="976"/>
      <c r="AF367" s="976"/>
      <c r="AG367" s="976"/>
      <c r="AH367" s="976"/>
      <c r="AI367" s="976"/>
      <c r="AJ367" s="976"/>
      <c r="AK367" s="976"/>
      <c r="AL367" s="976"/>
      <c r="AM367" s="976"/>
      <c r="AN367" s="1007"/>
      <c r="AO367" s="1007"/>
      <c r="AP367" s="1009"/>
      <c r="AQ367" s="1012"/>
      <c r="AR367" s="1013"/>
      <c r="AS367" s="1013"/>
      <c r="AT367" s="1013"/>
      <c r="AU367" s="1012"/>
      <c r="AW367" s="1009"/>
      <c r="BD367" s="1009"/>
      <c r="BE367" s="1009"/>
      <c r="BF367" s="1009"/>
      <c r="BG367" s="1009"/>
    </row>
    <row r="368" s="1019" customFormat="1" spans="1:59">
      <c r="A368" s="976"/>
      <c r="B368" s="976"/>
      <c r="C368" s="976"/>
      <c r="D368" s="976"/>
      <c r="E368" s="976"/>
      <c r="F368" s="976"/>
      <c r="G368" s="976"/>
      <c r="H368" s="976"/>
      <c r="I368" s="976"/>
      <c r="J368" s="976"/>
      <c r="K368" s="976"/>
      <c r="L368" s="976"/>
      <c r="M368" s="976"/>
      <c r="N368" s="976"/>
      <c r="O368" s="976"/>
      <c r="P368" s="976"/>
      <c r="Q368" s="976"/>
      <c r="R368" s="976"/>
      <c r="S368" s="976"/>
      <c r="T368" s="976"/>
      <c r="U368" s="976"/>
      <c r="V368" s="976"/>
      <c r="W368" s="976"/>
      <c r="X368" s="976"/>
      <c r="Y368" s="976"/>
      <c r="Z368" s="976"/>
      <c r="AA368" s="976"/>
      <c r="AB368" s="976"/>
      <c r="AC368" s="976"/>
      <c r="AD368" s="976"/>
      <c r="AE368" s="976"/>
      <c r="AF368" s="976"/>
      <c r="AG368" s="976"/>
      <c r="AH368" s="976"/>
      <c r="AI368" s="976"/>
      <c r="AJ368" s="976"/>
      <c r="AK368" s="976"/>
      <c r="AL368" s="976"/>
      <c r="AM368" s="976"/>
      <c r="AN368" s="1007"/>
      <c r="AO368" s="1007"/>
      <c r="AP368" s="1009"/>
      <c r="AQ368" s="1012"/>
      <c r="AR368" s="1013"/>
      <c r="AS368" s="1013"/>
      <c r="AT368" s="1013"/>
      <c r="AU368" s="1012"/>
      <c r="AW368" s="1009"/>
      <c r="BD368" s="1009"/>
      <c r="BE368" s="1009"/>
      <c r="BF368" s="1009"/>
      <c r="BG368" s="1009"/>
    </row>
    <row r="369" s="1019" customFormat="1" spans="1:59">
      <c r="A369" s="976"/>
      <c r="B369" s="976"/>
      <c r="C369" s="976"/>
      <c r="D369" s="976"/>
      <c r="E369" s="976"/>
      <c r="F369" s="976"/>
      <c r="G369" s="976"/>
      <c r="H369" s="976"/>
      <c r="I369" s="976"/>
      <c r="J369" s="976"/>
      <c r="K369" s="976"/>
      <c r="L369" s="976"/>
      <c r="M369" s="976"/>
      <c r="N369" s="976"/>
      <c r="O369" s="976"/>
      <c r="P369" s="976"/>
      <c r="Q369" s="976"/>
      <c r="R369" s="976"/>
      <c r="S369" s="976"/>
      <c r="T369" s="976"/>
      <c r="U369" s="976"/>
      <c r="V369" s="976"/>
      <c r="W369" s="976"/>
      <c r="X369" s="976"/>
      <c r="Y369" s="976"/>
      <c r="Z369" s="976"/>
      <c r="AA369" s="976"/>
      <c r="AB369" s="976"/>
      <c r="AC369" s="976"/>
      <c r="AD369" s="976"/>
      <c r="AE369" s="976"/>
      <c r="AF369" s="976"/>
      <c r="AG369" s="976"/>
      <c r="AH369" s="976"/>
      <c r="AI369" s="976"/>
      <c r="AJ369" s="976"/>
      <c r="AK369" s="976"/>
      <c r="AL369" s="976"/>
      <c r="AM369" s="976"/>
      <c r="AN369" s="1007"/>
      <c r="AO369" s="1007"/>
      <c r="AP369" s="1009"/>
      <c r="AQ369" s="1012"/>
      <c r="AR369" s="1013"/>
      <c r="AS369" s="1013"/>
      <c r="AT369" s="1013"/>
      <c r="AU369" s="1012"/>
      <c r="AW369" s="1009"/>
      <c r="BD369" s="1009"/>
      <c r="BE369" s="1009"/>
      <c r="BF369" s="1009"/>
      <c r="BG369" s="1009"/>
    </row>
    <row r="370" s="1019" customFormat="1" spans="1:59">
      <c r="A370" s="976"/>
      <c r="B370" s="976"/>
      <c r="C370" s="976"/>
      <c r="D370" s="976"/>
      <c r="E370" s="976"/>
      <c r="F370" s="976"/>
      <c r="G370" s="976"/>
      <c r="H370" s="976"/>
      <c r="I370" s="976"/>
      <c r="J370" s="976"/>
      <c r="K370" s="976"/>
      <c r="L370" s="976"/>
      <c r="M370" s="976"/>
      <c r="N370" s="976"/>
      <c r="O370" s="976"/>
      <c r="P370" s="976"/>
      <c r="Q370" s="976"/>
      <c r="R370" s="976"/>
      <c r="S370" s="976"/>
      <c r="T370" s="976"/>
      <c r="U370" s="976"/>
      <c r="V370" s="976"/>
      <c r="W370" s="976"/>
      <c r="X370" s="976"/>
      <c r="Y370" s="976"/>
      <c r="Z370" s="976"/>
      <c r="AA370" s="976"/>
      <c r="AB370" s="976"/>
      <c r="AC370" s="976"/>
      <c r="AD370" s="976"/>
      <c r="AE370" s="976"/>
      <c r="AF370" s="976"/>
      <c r="AG370" s="976"/>
      <c r="AH370" s="976"/>
      <c r="AI370" s="976"/>
      <c r="AJ370" s="976"/>
      <c r="AK370" s="976"/>
      <c r="AL370" s="976"/>
      <c r="AM370" s="976"/>
      <c r="AN370" s="1007"/>
      <c r="AO370" s="1007"/>
      <c r="AP370" s="1009"/>
      <c r="AQ370" s="1012"/>
      <c r="AR370" s="1013"/>
      <c r="AS370" s="1013"/>
      <c r="AT370" s="1013"/>
      <c r="AU370" s="1012"/>
      <c r="AW370" s="1009"/>
      <c r="BD370" s="1009"/>
      <c r="BE370" s="1009"/>
      <c r="BF370" s="1009"/>
      <c r="BG370" s="1009"/>
    </row>
    <row r="371" s="1019" customFormat="1" spans="1:59">
      <c r="A371" s="976"/>
      <c r="B371" s="976"/>
      <c r="C371" s="976"/>
      <c r="D371" s="976"/>
      <c r="E371" s="976"/>
      <c r="F371" s="976"/>
      <c r="G371" s="976"/>
      <c r="H371" s="976"/>
      <c r="I371" s="976"/>
      <c r="J371" s="976"/>
      <c r="K371" s="976"/>
      <c r="L371" s="976"/>
      <c r="M371" s="976"/>
      <c r="N371" s="976"/>
      <c r="O371" s="976"/>
      <c r="P371" s="976"/>
      <c r="Q371" s="976"/>
      <c r="R371" s="976"/>
      <c r="S371" s="976"/>
      <c r="T371" s="976"/>
      <c r="U371" s="976"/>
      <c r="V371" s="976"/>
      <c r="W371" s="976"/>
      <c r="X371" s="976"/>
      <c r="Y371" s="976"/>
      <c r="Z371" s="976"/>
      <c r="AA371" s="976"/>
      <c r="AB371" s="976"/>
      <c r="AC371" s="976"/>
      <c r="AD371" s="976"/>
      <c r="AE371" s="976"/>
      <c r="AF371" s="976"/>
      <c r="AG371" s="976"/>
      <c r="AH371" s="976"/>
      <c r="AI371" s="976"/>
      <c r="AJ371" s="976"/>
      <c r="AK371" s="976"/>
      <c r="AL371" s="976"/>
      <c r="AM371" s="976"/>
      <c r="AN371" s="1007"/>
      <c r="AO371" s="1007"/>
      <c r="AP371" s="1009"/>
      <c r="AQ371" s="1012"/>
      <c r="AR371" s="1013"/>
      <c r="AS371" s="1013"/>
      <c r="AT371" s="1013"/>
      <c r="AU371" s="1012"/>
      <c r="AW371" s="1009"/>
      <c r="BD371" s="1009"/>
      <c r="BE371" s="1009"/>
      <c r="BF371" s="1009"/>
      <c r="BG371" s="1009"/>
    </row>
    <row r="372" s="1019" customFormat="1" spans="1:59">
      <c r="A372" s="976"/>
      <c r="B372" s="976"/>
      <c r="C372" s="976"/>
      <c r="D372" s="976"/>
      <c r="E372" s="976"/>
      <c r="F372" s="976"/>
      <c r="G372" s="976"/>
      <c r="H372" s="976"/>
      <c r="I372" s="976"/>
      <c r="J372" s="976"/>
      <c r="K372" s="976"/>
      <c r="L372" s="976"/>
      <c r="M372" s="976"/>
      <c r="N372" s="976"/>
      <c r="O372" s="976"/>
      <c r="P372" s="976"/>
      <c r="Q372" s="976"/>
      <c r="R372" s="976"/>
      <c r="S372" s="976"/>
      <c r="T372" s="976"/>
      <c r="U372" s="976"/>
      <c r="V372" s="976"/>
      <c r="W372" s="976"/>
      <c r="X372" s="976"/>
      <c r="Y372" s="976"/>
      <c r="Z372" s="976"/>
      <c r="AA372" s="976"/>
      <c r="AB372" s="976"/>
      <c r="AC372" s="976"/>
      <c r="AD372" s="976"/>
      <c r="AE372" s="976"/>
      <c r="AF372" s="976"/>
      <c r="AG372" s="976"/>
      <c r="AH372" s="976"/>
      <c r="AI372" s="976"/>
      <c r="AJ372" s="976"/>
      <c r="AK372" s="976"/>
      <c r="AL372" s="976"/>
      <c r="AM372" s="976"/>
      <c r="AN372" s="1007"/>
      <c r="AO372" s="1007"/>
      <c r="AP372" s="1009"/>
      <c r="AQ372" s="1012"/>
      <c r="AR372" s="1013"/>
      <c r="AS372" s="1013"/>
      <c r="AT372" s="1013"/>
      <c r="AU372" s="1012"/>
      <c r="AW372" s="1009"/>
      <c r="BD372" s="1009"/>
      <c r="BE372" s="1009"/>
      <c r="BF372" s="1009"/>
      <c r="BG372" s="1009"/>
    </row>
    <row r="373" s="1019" customFormat="1" spans="1:59">
      <c r="A373" s="976"/>
      <c r="B373" s="976"/>
      <c r="C373" s="976"/>
      <c r="D373" s="976"/>
      <c r="E373" s="976"/>
      <c r="F373" s="976"/>
      <c r="G373" s="976"/>
      <c r="H373" s="976"/>
      <c r="I373" s="976"/>
      <c r="J373" s="976"/>
      <c r="K373" s="976"/>
      <c r="L373" s="976"/>
      <c r="M373" s="976"/>
      <c r="N373" s="976"/>
      <c r="O373" s="976"/>
      <c r="P373" s="976"/>
      <c r="Q373" s="976"/>
      <c r="R373" s="976"/>
      <c r="S373" s="976"/>
      <c r="T373" s="976"/>
      <c r="U373" s="976"/>
      <c r="V373" s="976"/>
      <c r="W373" s="976"/>
      <c r="X373" s="976"/>
      <c r="Y373" s="976"/>
      <c r="Z373" s="976"/>
      <c r="AA373" s="976"/>
      <c r="AB373" s="976"/>
      <c r="AC373" s="976"/>
      <c r="AD373" s="976"/>
      <c r="AE373" s="976"/>
      <c r="AF373" s="976"/>
      <c r="AG373" s="976"/>
      <c r="AH373" s="976"/>
      <c r="AI373" s="976"/>
      <c r="AJ373" s="976"/>
      <c r="AK373" s="976"/>
      <c r="AL373" s="976"/>
      <c r="AM373" s="976"/>
      <c r="AN373" s="1007"/>
      <c r="AO373" s="1007"/>
      <c r="AP373" s="1009"/>
      <c r="AQ373" s="1012"/>
      <c r="AR373" s="1013"/>
      <c r="AS373" s="1013"/>
      <c r="AT373" s="1013"/>
      <c r="AU373" s="1012"/>
      <c r="AW373" s="1009"/>
      <c r="BD373" s="1009"/>
      <c r="BE373" s="1009"/>
      <c r="BF373" s="1009"/>
      <c r="BG373" s="1009"/>
    </row>
    <row r="374" s="1019" customFormat="1" spans="1:59">
      <c r="A374" s="976"/>
      <c r="B374" s="976"/>
      <c r="C374" s="976"/>
      <c r="D374" s="976"/>
      <c r="E374" s="976"/>
      <c r="F374" s="976"/>
      <c r="G374" s="976"/>
      <c r="H374" s="976"/>
      <c r="I374" s="976"/>
      <c r="J374" s="976"/>
      <c r="K374" s="976"/>
      <c r="L374" s="976"/>
      <c r="M374" s="976"/>
      <c r="N374" s="976"/>
      <c r="O374" s="976"/>
      <c r="P374" s="976"/>
      <c r="Q374" s="976"/>
      <c r="R374" s="976"/>
      <c r="S374" s="976"/>
      <c r="T374" s="976"/>
      <c r="U374" s="976"/>
      <c r="V374" s="976"/>
      <c r="W374" s="976"/>
      <c r="X374" s="976"/>
      <c r="Y374" s="976"/>
      <c r="Z374" s="976"/>
      <c r="AA374" s="976"/>
      <c r="AB374" s="976"/>
      <c r="AC374" s="976"/>
      <c r="AD374" s="976"/>
      <c r="AE374" s="976"/>
      <c r="AF374" s="976"/>
      <c r="AG374" s="976"/>
      <c r="AH374" s="976"/>
      <c r="AI374" s="976"/>
      <c r="AJ374" s="976"/>
      <c r="AK374" s="976"/>
      <c r="AL374" s="976"/>
      <c r="AM374" s="976"/>
      <c r="AN374" s="1007"/>
      <c r="AO374" s="1007"/>
      <c r="AP374" s="1009"/>
      <c r="AQ374" s="1012"/>
      <c r="AR374" s="1013"/>
      <c r="AS374" s="1013"/>
      <c r="AT374" s="1013"/>
      <c r="AU374" s="1012"/>
      <c r="AW374" s="1009"/>
      <c r="BD374" s="1009"/>
      <c r="BE374" s="1009"/>
      <c r="BF374" s="1009"/>
      <c r="BG374" s="1009"/>
    </row>
    <row r="375" s="1019" customFormat="1" spans="1:59">
      <c r="A375" s="976"/>
      <c r="B375" s="976"/>
      <c r="C375" s="976"/>
      <c r="D375" s="976"/>
      <c r="E375" s="976"/>
      <c r="F375" s="976"/>
      <c r="G375" s="976"/>
      <c r="H375" s="976"/>
      <c r="I375" s="976"/>
      <c r="J375" s="976"/>
      <c r="K375" s="976"/>
      <c r="L375" s="976"/>
      <c r="M375" s="976"/>
      <c r="N375" s="976"/>
      <c r="O375" s="976"/>
      <c r="P375" s="976"/>
      <c r="Q375" s="976"/>
      <c r="R375" s="976"/>
      <c r="S375" s="976"/>
      <c r="T375" s="976"/>
      <c r="U375" s="976"/>
      <c r="V375" s="976"/>
      <c r="W375" s="976"/>
      <c r="X375" s="976"/>
      <c r="Y375" s="976"/>
      <c r="Z375" s="976"/>
      <c r="AA375" s="976"/>
      <c r="AB375" s="976"/>
      <c r="AC375" s="976"/>
      <c r="AD375" s="976"/>
      <c r="AE375" s="976"/>
      <c r="AF375" s="976"/>
      <c r="AG375" s="976"/>
      <c r="AH375" s="976"/>
      <c r="AI375" s="976"/>
      <c r="AJ375" s="976"/>
      <c r="AK375" s="976"/>
      <c r="AL375" s="976"/>
      <c r="AM375" s="976"/>
      <c r="AN375" s="1007"/>
      <c r="AO375" s="1007"/>
      <c r="AP375" s="1009"/>
      <c r="AQ375" s="1012"/>
      <c r="AR375" s="1013"/>
      <c r="AS375" s="1013"/>
      <c r="AT375" s="1013"/>
      <c r="AU375" s="1012"/>
      <c r="AW375" s="1009"/>
      <c r="BD375" s="1009"/>
      <c r="BE375" s="1009"/>
      <c r="BF375" s="1009"/>
      <c r="BG375" s="1009"/>
    </row>
    <row r="376" s="1019" customFormat="1" spans="1:59">
      <c r="A376" s="976"/>
      <c r="B376" s="976"/>
      <c r="C376" s="976"/>
      <c r="D376" s="976"/>
      <c r="E376" s="976"/>
      <c r="F376" s="976"/>
      <c r="G376" s="976"/>
      <c r="H376" s="976"/>
      <c r="I376" s="976"/>
      <c r="J376" s="976"/>
      <c r="K376" s="976"/>
      <c r="L376" s="976"/>
      <c r="M376" s="976"/>
      <c r="N376" s="976"/>
      <c r="O376" s="976"/>
      <c r="P376" s="976"/>
      <c r="Q376" s="976"/>
      <c r="R376" s="976"/>
      <c r="S376" s="976"/>
      <c r="T376" s="976"/>
      <c r="U376" s="976"/>
      <c r="V376" s="976"/>
      <c r="W376" s="976"/>
      <c r="X376" s="976"/>
      <c r="Y376" s="976"/>
      <c r="Z376" s="976"/>
      <c r="AA376" s="976"/>
      <c r="AB376" s="976"/>
      <c r="AC376" s="976"/>
      <c r="AD376" s="976"/>
      <c r="AE376" s="976"/>
      <c r="AF376" s="976"/>
      <c r="AG376" s="976"/>
      <c r="AH376" s="976"/>
      <c r="AI376" s="976"/>
      <c r="AJ376" s="976"/>
      <c r="AK376" s="976"/>
      <c r="AL376" s="976"/>
      <c r="AM376" s="976"/>
      <c r="AN376" s="1007"/>
      <c r="AO376" s="1007"/>
      <c r="AP376" s="1009"/>
      <c r="AQ376" s="1012"/>
      <c r="AR376" s="1013"/>
      <c r="AS376" s="1013"/>
      <c r="AT376" s="1013"/>
      <c r="AU376" s="1012"/>
      <c r="AW376" s="1009"/>
      <c r="BD376" s="1009"/>
      <c r="BE376" s="1009"/>
      <c r="BF376" s="1009"/>
      <c r="BG376" s="1009"/>
    </row>
    <row r="377" s="1019" customFormat="1" spans="1:59">
      <c r="A377" s="976"/>
      <c r="B377" s="976"/>
      <c r="C377" s="976"/>
      <c r="D377" s="976"/>
      <c r="E377" s="976"/>
      <c r="F377" s="976"/>
      <c r="G377" s="976"/>
      <c r="H377" s="976"/>
      <c r="I377" s="976"/>
      <c r="J377" s="976"/>
      <c r="K377" s="976"/>
      <c r="L377" s="976"/>
      <c r="M377" s="976"/>
      <c r="N377" s="976"/>
      <c r="O377" s="976"/>
      <c r="P377" s="976"/>
      <c r="Q377" s="976"/>
      <c r="R377" s="976"/>
      <c r="S377" s="976"/>
      <c r="T377" s="976"/>
      <c r="U377" s="976"/>
      <c r="V377" s="976"/>
      <c r="W377" s="976"/>
      <c r="X377" s="976"/>
      <c r="Y377" s="976"/>
      <c r="Z377" s="976"/>
      <c r="AA377" s="976"/>
      <c r="AB377" s="976"/>
      <c r="AC377" s="976"/>
      <c r="AD377" s="976"/>
      <c r="AE377" s="976"/>
      <c r="AF377" s="976"/>
      <c r="AG377" s="976"/>
      <c r="AH377" s="976"/>
      <c r="AI377" s="976"/>
      <c r="AJ377" s="976"/>
      <c r="AK377" s="976"/>
      <c r="AL377" s="976"/>
      <c r="AM377" s="976"/>
      <c r="AN377" s="1007"/>
      <c r="AO377" s="1007"/>
      <c r="AP377" s="1009"/>
      <c r="AQ377" s="1012"/>
      <c r="AR377" s="1013"/>
      <c r="AS377" s="1013"/>
      <c r="AT377" s="1013"/>
      <c r="AU377" s="1012"/>
      <c r="AW377" s="1009"/>
      <c r="BD377" s="1009"/>
      <c r="BE377" s="1009"/>
      <c r="BF377" s="1009"/>
      <c r="BG377" s="1009"/>
    </row>
    <row r="378" s="1019" customFormat="1" spans="1:59">
      <c r="A378" s="976"/>
      <c r="B378" s="976"/>
      <c r="C378" s="976"/>
      <c r="D378" s="976"/>
      <c r="E378" s="976"/>
      <c r="F378" s="976"/>
      <c r="G378" s="976"/>
      <c r="H378" s="976"/>
      <c r="I378" s="976"/>
      <c r="J378" s="976"/>
      <c r="K378" s="976"/>
      <c r="L378" s="976"/>
      <c r="M378" s="976"/>
      <c r="N378" s="976"/>
      <c r="O378" s="976"/>
      <c r="P378" s="976"/>
      <c r="Q378" s="976"/>
      <c r="R378" s="976"/>
      <c r="S378" s="976"/>
      <c r="T378" s="976"/>
      <c r="U378" s="976"/>
      <c r="V378" s="976"/>
      <c r="W378" s="976"/>
      <c r="X378" s="976"/>
      <c r="Y378" s="976"/>
      <c r="Z378" s="976"/>
      <c r="AA378" s="976"/>
      <c r="AB378" s="976"/>
      <c r="AC378" s="976"/>
      <c r="AD378" s="976"/>
      <c r="AE378" s="976"/>
      <c r="AF378" s="976"/>
      <c r="AG378" s="976"/>
      <c r="AH378" s="976"/>
      <c r="AI378" s="976"/>
      <c r="AJ378" s="976"/>
      <c r="AK378" s="976"/>
      <c r="AL378" s="976"/>
      <c r="AM378" s="976"/>
      <c r="AN378" s="1007"/>
      <c r="AO378" s="1007"/>
      <c r="AP378" s="1009"/>
      <c r="AQ378" s="1012"/>
      <c r="AR378" s="1013"/>
      <c r="AS378" s="1013"/>
      <c r="AT378" s="1013"/>
      <c r="AU378" s="1012"/>
      <c r="AW378" s="1009"/>
      <c r="BD378" s="1009"/>
      <c r="BE378" s="1009"/>
      <c r="BF378" s="1009"/>
      <c r="BG378" s="1009"/>
    </row>
    <row r="379" s="1019" customFormat="1" spans="1:59">
      <c r="A379" s="976"/>
      <c r="B379" s="976"/>
      <c r="C379" s="976"/>
      <c r="D379" s="976"/>
      <c r="E379" s="976"/>
      <c r="F379" s="976"/>
      <c r="G379" s="976"/>
      <c r="H379" s="976"/>
      <c r="I379" s="976"/>
      <c r="J379" s="976"/>
      <c r="K379" s="976"/>
      <c r="L379" s="976"/>
      <c r="M379" s="976"/>
      <c r="N379" s="976"/>
      <c r="O379" s="976"/>
      <c r="P379" s="976"/>
      <c r="Q379" s="976"/>
      <c r="R379" s="976"/>
      <c r="S379" s="976"/>
      <c r="T379" s="976"/>
      <c r="U379" s="976"/>
      <c r="V379" s="976"/>
      <c r="W379" s="976"/>
      <c r="X379" s="976"/>
      <c r="Y379" s="976"/>
      <c r="Z379" s="976"/>
      <c r="AA379" s="976"/>
      <c r="AB379" s="976"/>
      <c r="AC379" s="976"/>
      <c r="AD379" s="976"/>
      <c r="AE379" s="976"/>
      <c r="AF379" s="976"/>
      <c r="AG379" s="976"/>
      <c r="AH379" s="976"/>
      <c r="AI379" s="976"/>
      <c r="AJ379" s="976"/>
      <c r="AK379" s="976"/>
      <c r="AL379" s="976"/>
      <c r="AM379" s="976"/>
      <c r="AN379" s="1007"/>
      <c r="AO379" s="1007"/>
      <c r="AP379" s="1009"/>
      <c r="AQ379" s="1012"/>
      <c r="AR379" s="1013"/>
      <c r="AS379" s="1013"/>
      <c r="AT379" s="1013"/>
      <c r="AU379" s="1012"/>
      <c r="AW379" s="1009"/>
      <c r="BD379" s="1009"/>
      <c r="BE379" s="1009"/>
      <c r="BF379" s="1009"/>
      <c r="BG379" s="1009"/>
    </row>
    <row r="380" s="1019" customFormat="1" spans="1:59">
      <c r="A380" s="976"/>
      <c r="B380" s="976"/>
      <c r="C380" s="976"/>
      <c r="D380" s="976"/>
      <c r="E380" s="976"/>
      <c r="F380" s="976"/>
      <c r="G380" s="976"/>
      <c r="H380" s="976"/>
      <c r="I380" s="976"/>
      <c r="J380" s="976"/>
      <c r="K380" s="976"/>
      <c r="L380" s="976"/>
      <c r="M380" s="976"/>
      <c r="N380" s="976"/>
      <c r="O380" s="976"/>
      <c r="P380" s="976"/>
      <c r="Q380" s="976"/>
      <c r="R380" s="976"/>
      <c r="S380" s="976"/>
      <c r="T380" s="976"/>
      <c r="U380" s="976"/>
      <c r="V380" s="976"/>
      <c r="W380" s="976"/>
      <c r="X380" s="976"/>
      <c r="Y380" s="976"/>
      <c r="Z380" s="976"/>
      <c r="AA380" s="976"/>
      <c r="AB380" s="976"/>
      <c r="AC380" s="976"/>
      <c r="AD380" s="976"/>
      <c r="AE380" s="976"/>
      <c r="AF380" s="976"/>
      <c r="AG380" s="976"/>
      <c r="AH380" s="976"/>
      <c r="AI380" s="976"/>
      <c r="AJ380" s="976"/>
      <c r="AK380" s="976"/>
      <c r="AL380" s="976"/>
      <c r="AM380" s="976"/>
      <c r="AN380" s="1007"/>
      <c r="AO380" s="1007"/>
      <c r="AP380" s="1009"/>
      <c r="AQ380" s="1012"/>
      <c r="AR380" s="1013"/>
      <c r="AS380" s="1013"/>
      <c r="AT380" s="1013"/>
      <c r="AU380" s="1012"/>
      <c r="AW380" s="1009"/>
      <c r="BD380" s="1009"/>
      <c r="BE380" s="1009"/>
      <c r="BF380" s="1009"/>
      <c r="BG380" s="1009"/>
    </row>
    <row r="381" s="1019" customFormat="1" spans="1:59">
      <c r="A381" s="976"/>
      <c r="B381" s="976"/>
      <c r="C381" s="976"/>
      <c r="D381" s="976"/>
      <c r="E381" s="976"/>
      <c r="F381" s="976"/>
      <c r="G381" s="976"/>
      <c r="H381" s="976"/>
      <c r="I381" s="976"/>
      <c r="J381" s="976"/>
      <c r="K381" s="976"/>
      <c r="L381" s="976"/>
      <c r="M381" s="976"/>
      <c r="N381" s="976"/>
      <c r="O381" s="976"/>
      <c r="P381" s="976"/>
      <c r="Q381" s="976"/>
      <c r="R381" s="976"/>
      <c r="S381" s="976"/>
      <c r="T381" s="976"/>
      <c r="U381" s="976"/>
      <c r="V381" s="976"/>
      <c r="W381" s="976"/>
      <c r="X381" s="976"/>
      <c r="Y381" s="976"/>
      <c r="Z381" s="976"/>
      <c r="AA381" s="976"/>
      <c r="AB381" s="976"/>
      <c r="AC381" s="976"/>
      <c r="AD381" s="976"/>
      <c r="AE381" s="976"/>
      <c r="AF381" s="976"/>
      <c r="AG381" s="976"/>
      <c r="AH381" s="976"/>
      <c r="AI381" s="976"/>
      <c r="AJ381" s="976"/>
      <c r="AK381" s="976"/>
      <c r="AL381" s="976"/>
      <c r="AM381" s="976"/>
      <c r="AN381" s="1007"/>
      <c r="AO381" s="1007"/>
      <c r="AP381" s="1009"/>
      <c r="AQ381" s="1012"/>
      <c r="AR381" s="1013"/>
      <c r="AS381" s="1013"/>
      <c r="AT381" s="1013"/>
      <c r="AU381" s="1012"/>
      <c r="AW381" s="1009"/>
      <c r="BD381" s="1009"/>
      <c r="BE381" s="1009"/>
      <c r="BF381" s="1009"/>
      <c r="BG381" s="1009"/>
    </row>
    <row r="382" s="1019" customFormat="1" spans="1:59">
      <c r="A382" s="976"/>
      <c r="B382" s="976"/>
      <c r="C382" s="976"/>
      <c r="D382" s="976"/>
      <c r="E382" s="976"/>
      <c r="F382" s="976"/>
      <c r="G382" s="976"/>
      <c r="H382" s="976"/>
      <c r="I382" s="976"/>
      <c r="J382" s="976"/>
      <c r="K382" s="976"/>
      <c r="L382" s="976"/>
      <c r="M382" s="976"/>
      <c r="N382" s="976"/>
      <c r="O382" s="976"/>
      <c r="P382" s="976"/>
      <c r="Q382" s="976"/>
      <c r="R382" s="976"/>
      <c r="S382" s="976"/>
      <c r="T382" s="976"/>
      <c r="U382" s="976"/>
      <c r="V382" s="976"/>
      <c r="W382" s="976"/>
      <c r="X382" s="976"/>
      <c r="Y382" s="976"/>
      <c r="Z382" s="976"/>
      <c r="AA382" s="976"/>
      <c r="AB382" s="976"/>
      <c r="AC382" s="976"/>
      <c r="AD382" s="976"/>
      <c r="AE382" s="976"/>
      <c r="AF382" s="976"/>
      <c r="AG382" s="976"/>
      <c r="AH382" s="976"/>
      <c r="AI382" s="976"/>
      <c r="AJ382" s="976"/>
      <c r="AK382" s="976"/>
      <c r="AL382" s="976"/>
      <c r="AM382" s="976"/>
      <c r="AN382" s="1007"/>
      <c r="AO382" s="1007"/>
      <c r="AP382" s="1009"/>
      <c r="AQ382" s="1012"/>
      <c r="AR382" s="1013"/>
      <c r="AS382" s="1013"/>
      <c r="AT382" s="1013"/>
      <c r="AU382" s="1012"/>
      <c r="AW382" s="1009"/>
      <c r="BD382" s="1009"/>
      <c r="BE382" s="1009"/>
      <c r="BF382" s="1009"/>
      <c r="BG382" s="1009"/>
    </row>
    <row r="383" s="1019" customFormat="1" spans="1:59">
      <c r="A383" s="976"/>
      <c r="B383" s="976"/>
      <c r="C383" s="976"/>
      <c r="D383" s="976"/>
      <c r="E383" s="976"/>
      <c r="F383" s="976"/>
      <c r="G383" s="976"/>
      <c r="H383" s="976"/>
      <c r="I383" s="976"/>
      <c r="J383" s="976"/>
      <c r="K383" s="976"/>
      <c r="L383" s="976"/>
      <c r="M383" s="976"/>
      <c r="N383" s="976"/>
      <c r="O383" s="976"/>
      <c r="P383" s="976"/>
      <c r="Q383" s="976"/>
      <c r="R383" s="976"/>
      <c r="S383" s="976"/>
      <c r="T383" s="976"/>
      <c r="U383" s="976"/>
      <c r="V383" s="976"/>
      <c r="W383" s="976"/>
      <c r="X383" s="976"/>
      <c r="Y383" s="976"/>
      <c r="Z383" s="976"/>
      <c r="AA383" s="976"/>
      <c r="AB383" s="976"/>
      <c r="AC383" s="976"/>
      <c r="AD383" s="976"/>
      <c r="AE383" s="976"/>
      <c r="AF383" s="976"/>
      <c r="AG383" s="976"/>
      <c r="AH383" s="976"/>
      <c r="AI383" s="976"/>
      <c r="AJ383" s="976"/>
      <c r="AK383" s="976"/>
      <c r="AL383" s="976"/>
      <c r="AM383" s="976"/>
      <c r="AN383" s="1007"/>
      <c r="AO383" s="1007"/>
      <c r="AP383" s="1009"/>
      <c r="AQ383" s="1012"/>
      <c r="AR383" s="1013"/>
      <c r="AS383" s="1013"/>
      <c r="AT383" s="1013"/>
      <c r="AU383" s="1012"/>
      <c r="AW383" s="1009"/>
      <c r="BD383" s="1009"/>
      <c r="BE383" s="1009"/>
      <c r="BF383" s="1009"/>
      <c r="BG383" s="1009"/>
    </row>
    <row r="384" s="1019" customFormat="1" spans="1:59">
      <c r="A384" s="976"/>
      <c r="B384" s="976"/>
      <c r="C384" s="976"/>
      <c r="D384" s="976"/>
      <c r="E384" s="976"/>
      <c r="F384" s="976"/>
      <c r="G384" s="976"/>
      <c r="H384" s="976"/>
      <c r="I384" s="976"/>
      <c r="J384" s="976"/>
      <c r="K384" s="976"/>
      <c r="L384" s="976"/>
      <c r="M384" s="976"/>
      <c r="N384" s="976"/>
      <c r="O384" s="976"/>
      <c r="P384" s="976"/>
      <c r="Q384" s="976"/>
      <c r="R384" s="976"/>
      <c r="S384" s="976"/>
      <c r="T384" s="976"/>
      <c r="U384" s="976"/>
      <c r="V384" s="976"/>
      <c r="W384" s="976"/>
      <c r="X384" s="976"/>
      <c r="Y384" s="976"/>
      <c r="Z384" s="976"/>
      <c r="AA384" s="976"/>
      <c r="AB384" s="976"/>
      <c r="AC384" s="976"/>
      <c r="AD384" s="976"/>
      <c r="AE384" s="976"/>
      <c r="AF384" s="976"/>
      <c r="AG384" s="976"/>
      <c r="AH384" s="976"/>
      <c r="AI384" s="976"/>
      <c r="AJ384" s="976"/>
      <c r="AK384" s="976"/>
      <c r="AL384" s="976"/>
      <c r="AM384" s="976"/>
      <c r="AN384" s="1007"/>
      <c r="AO384" s="1007"/>
      <c r="AP384" s="1009"/>
      <c r="AQ384" s="1012"/>
      <c r="AR384" s="1013"/>
      <c r="AS384" s="1013"/>
      <c r="AT384" s="1013"/>
      <c r="AU384" s="1012"/>
      <c r="AW384" s="1009"/>
      <c r="BD384" s="1009"/>
      <c r="BE384" s="1009"/>
      <c r="BF384" s="1009"/>
      <c r="BG384" s="1009"/>
    </row>
    <row r="385" s="1019" customFormat="1" spans="1:59">
      <c r="A385" s="976"/>
      <c r="B385" s="976"/>
      <c r="C385" s="976"/>
      <c r="D385" s="976"/>
      <c r="E385" s="976"/>
      <c r="F385" s="976"/>
      <c r="G385" s="976"/>
      <c r="H385" s="976"/>
      <c r="I385" s="976"/>
      <c r="J385" s="976"/>
      <c r="K385" s="976"/>
      <c r="L385" s="976"/>
      <c r="M385" s="976"/>
      <c r="N385" s="976"/>
      <c r="O385" s="976"/>
      <c r="P385" s="976"/>
      <c r="Q385" s="976"/>
      <c r="R385" s="976"/>
      <c r="S385" s="976"/>
      <c r="T385" s="976"/>
      <c r="U385" s="976"/>
      <c r="V385" s="976"/>
      <c r="W385" s="976"/>
      <c r="X385" s="976"/>
      <c r="Y385" s="976"/>
      <c r="Z385" s="976"/>
      <c r="AA385" s="976"/>
      <c r="AB385" s="976"/>
      <c r="AC385" s="976"/>
      <c r="AD385" s="976"/>
      <c r="AE385" s="976"/>
      <c r="AF385" s="976"/>
      <c r="AG385" s="976"/>
      <c r="AH385" s="976"/>
      <c r="AI385" s="976"/>
      <c r="AJ385" s="976"/>
      <c r="AK385" s="976"/>
      <c r="AL385" s="976"/>
      <c r="AM385" s="976"/>
      <c r="AN385" s="1007"/>
      <c r="AO385" s="1007"/>
      <c r="AP385" s="1009"/>
      <c r="AQ385" s="1012"/>
      <c r="AR385" s="1013"/>
      <c r="AS385" s="1013"/>
      <c r="AT385" s="1013"/>
      <c r="AU385" s="1012"/>
      <c r="AW385" s="1009"/>
      <c r="BD385" s="1009"/>
      <c r="BE385" s="1009"/>
      <c r="BF385" s="1009"/>
      <c r="BG385" s="1009"/>
    </row>
    <row r="386" s="1019" customFormat="1" spans="1:59">
      <c r="A386" s="976"/>
      <c r="B386" s="976"/>
      <c r="C386" s="976"/>
      <c r="D386" s="976"/>
      <c r="E386" s="976"/>
      <c r="F386" s="976"/>
      <c r="G386" s="976"/>
      <c r="H386" s="976"/>
      <c r="I386" s="976"/>
      <c r="J386" s="976"/>
      <c r="K386" s="976"/>
      <c r="L386" s="976"/>
      <c r="M386" s="976"/>
      <c r="N386" s="976"/>
      <c r="O386" s="976"/>
      <c r="P386" s="976"/>
      <c r="Q386" s="976"/>
      <c r="R386" s="976"/>
      <c r="S386" s="976"/>
      <c r="T386" s="976"/>
      <c r="U386" s="976"/>
      <c r="V386" s="976"/>
      <c r="W386" s="976"/>
      <c r="X386" s="976"/>
      <c r="Y386" s="976"/>
      <c r="Z386" s="976"/>
      <c r="AA386" s="976"/>
      <c r="AB386" s="976"/>
      <c r="AC386" s="976"/>
      <c r="AD386" s="976"/>
      <c r="AE386" s="976"/>
      <c r="AF386" s="976"/>
      <c r="AG386" s="976"/>
      <c r="AH386" s="976"/>
      <c r="AI386" s="976"/>
      <c r="AJ386" s="976"/>
      <c r="AK386" s="976"/>
      <c r="AL386" s="976"/>
      <c r="AM386" s="976"/>
      <c r="AN386" s="1007"/>
      <c r="AO386" s="1007"/>
      <c r="AP386" s="1009"/>
      <c r="AQ386" s="1012"/>
      <c r="AR386" s="1013"/>
      <c r="AS386" s="1013"/>
      <c r="AT386" s="1013"/>
      <c r="AU386" s="1012"/>
      <c r="AW386" s="1009"/>
      <c r="BD386" s="1009"/>
      <c r="BE386" s="1009"/>
      <c r="BF386" s="1009"/>
      <c r="BG386" s="1009"/>
    </row>
    <row r="387" s="1019" customFormat="1" spans="1:59">
      <c r="A387" s="976"/>
      <c r="B387" s="976"/>
      <c r="C387" s="976"/>
      <c r="D387" s="976"/>
      <c r="E387" s="976"/>
      <c r="F387" s="976"/>
      <c r="G387" s="976"/>
      <c r="H387" s="976"/>
      <c r="I387" s="976"/>
      <c r="J387" s="976"/>
      <c r="K387" s="976"/>
      <c r="L387" s="976"/>
      <c r="M387" s="976"/>
      <c r="N387" s="976"/>
      <c r="O387" s="976"/>
      <c r="P387" s="976"/>
      <c r="Q387" s="976"/>
      <c r="R387" s="976"/>
      <c r="S387" s="976"/>
      <c r="T387" s="976"/>
      <c r="U387" s="976"/>
      <c r="V387" s="976"/>
      <c r="W387" s="976"/>
      <c r="X387" s="976"/>
      <c r="Y387" s="976"/>
      <c r="Z387" s="976"/>
      <c r="AA387" s="976"/>
      <c r="AB387" s="976"/>
      <c r="AC387" s="976"/>
      <c r="AD387" s="976"/>
      <c r="AE387" s="976"/>
      <c r="AF387" s="976"/>
      <c r="AG387" s="976"/>
      <c r="AH387" s="976"/>
      <c r="AI387" s="976"/>
      <c r="AJ387" s="976"/>
      <c r="AK387" s="976"/>
      <c r="AL387" s="976"/>
      <c r="AM387" s="976"/>
      <c r="AN387" s="1007"/>
      <c r="AO387" s="1007"/>
      <c r="AP387" s="1009"/>
      <c r="AQ387" s="1012"/>
      <c r="AR387" s="1013"/>
      <c r="AS387" s="1013"/>
      <c r="AT387" s="1013"/>
      <c r="AU387" s="1012"/>
      <c r="AW387" s="1009"/>
      <c r="BD387" s="1009"/>
      <c r="BE387" s="1009"/>
      <c r="BF387" s="1009"/>
      <c r="BG387" s="1009"/>
    </row>
    <row r="388" s="1019" customFormat="1" spans="1:59">
      <c r="A388" s="976"/>
      <c r="B388" s="976"/>
      <c r="C388" s="976"/>
      <c r="D388" s="976"/>
      <c r="E388" s="976"/>
      <c r="F388" s="976"/>
      <c r="G388" s="976"/>
      <c r="H388" s="976"/>
      <c r="I388" s="976"/>
      <c r="J388" s="976"/>
      <c r="K388" s="976"/>
      <c r="L388" s="976"/>
      <c r="M388" s="976"/>
      <c r="N388" s="976"/>
      <c r="O388" s="976"/>
      <c r="P388" s="976"/>
      <c r="Q388" s="976"/>
      <c r="R388" s="976"/>
      <c r="S388" s="976"/>
      <c r="T388" s="976"/>
      <c r="U388" s="976"/>
      <c r="V388" s="976"/>
      <c r="W388" s="976"/>
      <c r="X388" s="976"/>
      <c r="Y388" s="976"/>
      <c r="Z388" s="976"/>
      <c r="AA388" s="976"/>
      <c r="AB388" s="976"/>
      <c r="AC388" s="976"/>
      <c r="AD388" s="976"/>
      <c r="AE388" s="976"/>
      <c r="AF388" s="976"/>
      <c r="AG388" s="976"/>
      <c r="AH388" s="976"/>
      <c r="AI388" s="976"/>
      <c r="AJ388" s="976"/>
      <c r="AK388" s="976"/>
      <c r="AL388" s="976"/>
      <c r="AM388" s="976"/>
      <c r="AN388" s="1007"/>
      <c r="AO388" s="1007"/>
      <c r="AP388" s="1009"/>
      <c r="AQ388" s="1012"/>
      <c r="AR388" s="1013"/>
      <c r="AS388" s="1013"/>
      <c r="AT388" s="1013"/>
      <c r="AU388" s="1012"/>
      <c r="AW388" s="1009"/>
      <c r="BD388" s="1009"/>
      <c r="BE388" s="1009"/>
      <c r="BF388" s="1009"/>
      <c r="BG388" s="1009"/>
    </row>
    <row r="389" s="1019" customFormat="1" spans="1:59">
      <c r="A389" s="976"/>
      <c r="B389" s="976"/>
      <c r="C389" s="976"/>
      <c r="D389" s="976"/>
      <c r="E389" s="976"/>
      <c r="F389" s="976"/>
      <c r="G389" s="976"/>
      <c r="H389" s="976"/>
      <c r="I389" s="976"/>
      <c r="J389" s="976"/>
      <c r="K389" s="976"/>
      <c r="L389" s="976"/>
      <c r="M389" s="976"/>
      <c r="N389" s="976"/>
      <c r="O389" s="976"/>
      <c r="P389" s="976"/>
      <c r="Q389" s="976"/>
      <c r="R389" s="976"/>
      <c r="S389" s="976"/>
      <c r="T389" s="976"/>
      <c r="U389" s="976"/>
      <c r="V389" s="976"/>
      <c r="W389" s="976"/>
      <c r="X389" s="976"/>
      <c r="Y389" s="976"/>
      <c r="Z389" s="976"/>
      <c r="AA389" s="976"/>
      <c r="AB389" s="976"/>
      <c r="AC389" s="976"/>
      <c r="AD389" s="976"/>
      <c r="AE389" s="976"/>
      <c r="AF389" s="976"/>
      <c r="AG389" s="976"/>
      <c r="AH389" s="976"/>
      <c r="AI389" s="976"/>
      <c r="AJ389" s="976"/>
      <c r="AK389" s="976"/>
      <c r="AL389" s="976"/>
      <c r="AM389" s="976"/>
      <c r="AN389" s="1007"/>
      <c r="AO389" s="1007"/>
      <c r="AP389" s="1009"/>
      <c r="AQ389" s="1012"/>
      <c r="AR389" s="1013"/>
      <c r="AS389" s="1013"/>
      <c r="AT389" s="1013"/>
      <c r="AU389" s="1012"/>
      <c r="AW389" s="1009"/>
      <c r="BD389" s="1009"/>
      <c r="BE389" s="1009"/>
      <c r="BF389" s="1009"/>
      <c r="BG389" s="1009"/>
    </row>
    <row r="390" s="1019" customFormat="1" spans="1:59">
      <c r="A390" s="976"/>
      <c r="B390" s="976"/>
      <c r="C390" s="976"/>
      <c r="D390" s="976"/>
      <c r="E390" s="976"/>
      <c r="F390" s="976"/>
      <c r="G390" s="976"/>
      <c r="H390" s="976"/>
      <c r="I390" s="976"/>
      <c r="J390" s="976"/>
      <c r="K390" s="976"/>
      <c r="L390" s="976"/>
      <c r="M390" s="976"/>
      <c r="N390" s="976"/>
      <c r="O390" s="976"/>
      <c r="P390" s="976"/>
      <c r="Q390" s="976"/>
      <c r="R390" s="976"/>
      <c r="S390" s="976"/>
      <c r="T390" s="976"/>
      <c r="U390" s="976"/>
      <c r="V390" s="976"/>
      <c r="W390" s="976"/>
      <c r="X390" s="976"/>
      <c r="Y390" s="976"/>
      <c r="Z390" s="976"/>
      <c r="AA390" s="976"/>
      <c r="AB390" s="976"/>
      <c r="AC390" s="976"/>
      <c r="AD390" s="976"/>
      <c r="AE390" s="976"/>
      <c r="AF390" s="976"/>
      <c r="AG390" s="976"/>
      <c r="AH390" s="976"/>
      <c r="AI390" s="976"/>
      <c r="AJ390" s="976"/>
      <c r="AK390" s="976"/>
      <c r="AL390" s="976"/>
      <c r="AM390" s="976"/>
      <c r="AN390" s="1007"/>
      <c r="AO390" s="1007"/>
      <c r="AP390" s="1009"/>
      <c r="AQ390" s="1012"/>
      <c r="AR390" s="1013"/>
      <c r="AS390" s="1013"/>
      <c r="AT390" s="1013"/>
      <c r="AU390" s="1012"/>
      <c r="AW390" s="1009"/>
      <c r="BD390" s="1009"/>
      <c r="BE390" s="1009"/>
      <c r="BF390" s="1009"/>
      <c r="BG390" s="1009"/>
    </row>
    <row r="391" s="1019" customFormat="1" spans="1:59">
      <c r="A391" s="976"/>
      <c r="B391" s="976"/>
      <c r="C391" s="976"/>
      <c r="D391" s="976"/>
      <c r="E391" s="976"/>
      <c r="F391" s="976"/>
      <c r="G391" s="976"/>
      <c r="H391" s="976"/>
      <c r="I391" s="976"/>
      <c r="J391" s="976"/>
      <c r="K391" s="976"/>
      <c r="L391" s="976"/>
      <c r="M391" s="976"/>
      <c r="N391" s="976"/>
      <c r="O391" s="976"/>
      <c r="P391" s="976"/>
      <c r="Q391" s="976"/>
      <c r="R391" s="976"/>
      <c r="S391" s="976"/>
      <c r="T391" s="976"/>
      <c r="U391" s="976"/>
      <c r="V391" s="976"/>
      <c r="W391" s="976"/>
      <c r="X391" s="976"/>
      <c r="Y391" s="976"/>
      <c r="Z391" s="976"/>
      <c r="AA391" s="976"/>
      <c r="AB391" s="976"/>
      <c r="AC391" s="976"/>
      <c r="AD391" s="976"/>
      <c r="AE391" s="976"/>
      <c r="AF391" s="976"/>
      <c r="AG391" s="976"/>
      <c r="AH391" s="976"/>
      <c r="AI391" s="976"/>
      <c r="AJ391" s="976"/>
      <c r="AK391" s="976"/>
      <c r="AL391" s="976"/>
      <c r="AM391" s="976"/>
      <c r="AN391" s="1007"/>
      <c r="AO391" s="1007"/>
      <c r="AP391" s="1009"/>
      <c r="AQ391" s="1012"/>
      <c r="AR391" s="1013"/>
      <c r="AS391" s="1013"/>
      <c r="AT391" s="1013"/>
      <c r="AU391" s="1012"/>
      <c r="AW391" s="1009"/>
      <c r="BD391" s="1009"/>
      <c r="BE391" s="1009"/>
      <c r="BF391" s="1009"/>
      <c r="BG391" s="1009"/>
    </row>
    <row r="392" s="1019" customFormat="1" spans="1:59">
      <c r="A392" s="976"/>
      <c r="B392" s="976"/>
      <c r="C392" s="976"/>
      <c r="D392" s="976"/>
      <c r="E392" s="976"/>
      <c r="F392" s="976"/>
      <c r="G392" s="976"/>
      <c r="H392" s="976"/>
      <c r="I392" s="976"/>
      <c r="J392" s="976"/>
      <c r="K392" s="976"/>
      <c r="L392" s="976"/>
      <c r="M392" s="976"/>
      <c r="N392" s="976"/>
      <c r="O392" s="976"/>
      <c r="P392" s="976"/>
      <c r="Q392" s="976"/>
      <c r="R392" s="976"/>
      <c r="S392" s="976"/>
      <c r="T392" s="976"/>
      <c r="U392" s="976"/>
      <c r="V392" s="976"/>
      <c r="W392" s="976"/>
      <c r="X392" s="976"/>
      <c r="Y392" s="976"/>
      <c r="Z392" s="976"/>
      <c r="AA392" s="976"/>
      <c r="AB392" s="976"/>
      <c r="AC392" s="976"/>
      <c r="AD392" s="976"/>
      <c r="AE392" s="976"/>
      <c r="AF392" s="976"/>
      <c r="AG392" s="976"/>
      <c r="AH392" s="976"/>
      <c r="AI392" s="976"/>
      <c r="AJ392" s="976"/>
      <c r="AK392" s="976"/>
      <c r="AL392" s="976"/>
      <c r="AM392" s="976"/>
      <c r="AN392" s="1007"/>
      <c r="AO392" s="1007"/>
      <c r="AP392" s="1009"/>
      <c r="AQ392" s="1012"/>
      <c r="AR392" s="1013"/>
      <c r="AS392" s="1013"/>
      <c r="AT392" s="1013"/>
      <c r="AU392" s="1012"/>
      <c r="AW392" s="1009"/>
      <c r="BD392" s="1009"/>
      <c r="BE392" s="1009"/>
      <c r="BF392" s="1009"/>
      <c r="BG392" s="1009"/>
    </row>
    <row r="393" s="1019" customFormat="1" spans="1:59">
      <c r="A393" s="976"/>
      <c r="B393" s="976"/>
      <c r="C393" s="976"/>
      <c r="D393" s="976"/>
      <c r="E393" s="976"/>
      <c r="F393" s="976"/>
      <c r="G393" s="976"/>
      <c r="H393" s="976"/>
      <c r="I393" s="976"/>
      <c r="J393" s="976"/>
      <c r="K393" s="976"/>
      <c r="L393" s="976"/>
      <c r="M393" s="976"/>
      <c r="N393" s="976"/>
      <c r="O393" s="976"/>
      <c r="P393" s="976"/>
      <c r="Q393" s="976"/>
      <c r="R393" s="976"/>
      <c r="S393" s="976"/>
      <c r="T393" s="976"/>
      <c r="U393" s="976"/>
      <c r="V393" s="976"/>
      <c r="W393" s="976"/>
      <c r="X393" s="976"/>
      <c r="Y393" s="976"/>
      <c r="Z393" s="976"/>
      <c r="AA393" s="976"/>
      <c r="AB393" s="976"/>
      <c r="AC393" s="976"/>
      <c r="AD393" s="976"/>
      <c r="AE393" s="976"/>
      <c r="AF393" s="976"/>
      <c r="AG393" s="976"/>
      <c r="AH393" s="976"/>
      <c r="AI393" s="976"/>
      <c r="AJ393" s="976"/>
      <c r="AK393" s="976"/>
      <c r="AL393" s="976"/>
      <c r="AM393" s="976"/>
      <c r="AN393" s="1007"/>
      <c r="AO393" s="1007"/>
      <c r="AP393" s="1009"/>
      <c r="AQ393" s="1012"/>
      <c r="AR393" s="1013"/>
      <c r="AS393" s="1013"/>
      <c r="AT393" s="1013"/>
      <c r="AU393" s="1012"/>
      <c r="AW393" s="1009"/>
      <c r="BD393" s="1009"/>
      <c r="BE393" s="1009"/>
      <c r="BF393" s="1009"/>
      <c r="BG393" s="1009"/>
    </row>
    <row r="394" s="1019" customFormat="1" spans="1:59">
      <c r="A394" s="976"/>
      <c r="B394" s="976"/>
      <c r="C394" s="976"/>
      <c r="D394" s="976"/>
      <c r="E394" s="976"/>
      <c r="F394" s="976"/>
      <c r="G394" s="976"/>
      <c r="H394" s="976"/>
      <c r="I394" s="976"/>
      <c r="J394" s="976"/>
      <c r="K394" s="976"/>
      <c r="L394" s="976"/>
      <c r="M394" s="976"/>
      <c r="N394" s="976"/>
      <c r="O394" s="976"/>
      <c r="P394" s="976"/>
      <c r="Q394" s="976"/>
      <c r="R394" s="976"/>
      <c r="S394" s="976"/>
      <c r="T394" s="976"/>
      <c r="U394" s="976"/>
      <c r="V394" s="976"/>
      <c r="W394" s="976"/>
      <c r="X394" s="976"/>
      <c r="Y394" s="976"/>
      <c r="Z394" s="976"/>
      <c r="AA394" s="976"/>
      <c r="AB394" s="976"/>
      <c r="AC394" s="976"/>
      <c r="AD394" s="976"/>
      <c r="AE394" s="976"/>
      <c r="AF394" s="976"/>
      <c r="AG394" s="976"/>
      <c r="AH394" s="976"/>
      <c r="AI394" s="976"/>
      <c r="AJ394" s="976"/>
      <c r="AK394" s="976"/>
      <c r="AL394" s="976"/>
      <c r="AM394" s="976"/>
      <c r="AN394" s="1007"/>
      <c r="AO394" s="1007"/>
      <c r="AP394" s="1009"/>
      <c r="AQ394" s="1012"/>
      <c r="AR394" s="1013"/>
      <c r="AS394" s="1013"/>
      <c r="AT394" s="1013"/>
      <c r="AU394" s="1012"/>
      <c r="AW394" s="1009"/>
      <c r="BD394" s="1009"/>
      <c r="BE394" s="1009"/>
      <c r="BF394" s="1009"/>
      <c r="BG394" s="1009"/>
    </row>
    <row r="395" s="1019" customFormat="1" spans="1:59">
      <c r="A395" s="976"/>
      <c r="B395" s="976"/>
      <c r="C395" s="976"/>
      <c r="D395" s="976"/>
      <c r="E395" s="976"/>
      <c r="F395" s="976"/>
      <c r="G395" s="976"/>
      <c r="H395" s="976"/>
      <c r="I395" s="976"/>
      <c r="J395" s="976"/>
      <c r="K395" s="976"/>
      <c r="L395" s="976"/>
      <c r="M395" s="976"/>
      <c r="N395" s="976"/>
      <c r="O395" s="976"/>
      <c r="P395" s="976"/>
      <c r="Q395" s="976"/>
      <c r="R395" s="976"/>
      <c r="S395" s="976"/>
      <c r="T395" s="976"/>
      <c r="U395" s="976"/>
      <c r="V395" s="976"/>
      <c r="W395" s="976"/>
      <c r="X395" s="976"/>
      <c r="Y395" s="976"/>
      <c r="Z395" s="976"/>
      <c r="AA395" s="976"/>
      <c r="AB395" s="976"/>
      <c r="AC395" s="976"/>
      <c r="AD395" s="976"/>
      <c r="AE395" s="976"/>
      <c r="AF395" s="976"/>
      <c r="AG395" s="976"/>
      <c r="AH395" s="976"/>
      <c r="AI395" s="976"/>
      <c r="AJ395" s="976"/>
      <c r="AK395" s="976"/>
      <c r="AL395" s="976"/>
      <c r="AM395" s="976"/>
      <c r="AN395" s="1007"/>
      <c r="AO395" s="1007"/>
      <c r="AP395" s="1009"/>
      <c r="AQ395" s="1012"/>
      <c r="AR395" s="1013"/>
      <c r="AS395" s="1013"/>
      <c r="AT395" s="1013"/>
      <c r="AU395" s="1012"/>
      <c r="AW395" s="1009"/>
      <c r="BD395" s="1009"/>
      <c r="BE395" s="1009"/>
      <c r="BF395" s="1009"/>
      <c r="BG395" s="1009"/>
    </row>
    <row r="396" s="1019" customFormat="1" spans="1:59">
      <c r="A396" s="976"/>
      <c r="B396" s="976"/>
      <c r="C396" s="976"/>
      <c r="D396" s="976"/>
      <c r="E396" s="976"/>
      <c r="F396" s="976"/>
      <c r="G396" s="976"/>
      <c r="H396" s="976"/>
      <c r="I396" s="976"/>
      <c r="J396" s="976"/>
      <c r="K396" s="976"/>
      <c r="L396" s="976"/>
      <c r="M396" s="976"/>
      <c r="N396" s="976"/>
      <c r="O396" s="976"/>
      <c r="P396" s="976"/>
      <c r="Q396" s="976"/>
      <c r="R396" s="976"/>
      <c r="S396" s="976"/>
      <c r="T396" s="976"/>
      <c r="U396" s="976"/>
      <c r="V396" s="976"/>
      <c r="W396" s="976"/>
      <c r="X396" s="976"/>
      <c r="Y396" s="976"/>
      <c r="Z396" s="976"/>
      <c r="AA396" s="976"/>
      <c r="AB396" s="976"/>
      <c r="AC396" s="976"/>
      <c r="AD396" s="976"/>
      <c r="AE396" s="976"/>
      <c r="AF396" s="976"/>
      <c r="AG396" s="976"/>
      <c r="AH396" s="976"/>
      <c r="AI396" s="976"/>
      <c r="AJ396" s="976"/>
      <c r="AK396" s="976"/>
      <c r="AL396" s="976"/>
      <c r="AM396" s="976"/>
      <c r="AN396" s="1007"/>
      <c r="AO396" s="1007"/>
      <c r="AP396" s="1009"/>
      <c r="AQ396" s="1012"/>
      <c r="AR396" s="1013"/>
      <c r="AS396" s="1013"/>
      <c r="AT396" s="1013"/>
      <c r="AU396" s="1012"/>
      <c r="AW396" s="1009"/>
      <c r="BD396" s="1009"/>
      <c r="BE396" s="1009"/>
      <c r="BF396" s="1009"/>
      <c r="BG396" s="1009"/>
    </row>
    <row r="397" s="1019" customFormat="1" spans="1:59">
      <c r="A397" s="976"/>
      <c r="B397" s="976"/>
      <c r="C397" s="976"/>
      <c r="D397" s="976"/>
      <c r="E397" s="976"/>
      <c r="F397" s="976"/>
      <c r="G397" s="976"/>
      <c r="H397" s="976"/>
      <c r="I397" s="976"/>
      <c r="J397" s="976"/>
      <c r="K397" s="976"/>
      <c r="L397" s="976"/>
      <c r="M397" s="976"/>
      <c r="N397" s="976"/>
      <c r="O397" s="976"/>
      <c r="P397" s="976"/>
      <c r="Q397" s="976"/>
      <c r="R397" s="976"/>
      <c r="S397" s="976"/>
      <c r="T397" s="976"/>
      <c r="U397" s="976"/>
      <c r="V397" s="976"/>
      <c r="W397" s="976"/>
      <c r="X397" s="976"/>
      <c r="Y397" s="976"/>
      <c r="Z397" s="976"/>
      <c r="AA397" s="976"/>
      <c r="AB397" s="976"/>
      <c r="AC397" s="976"/>
      <c r="AD397" s="976"/>
      <c r="AE397" s="976"/>
      <c r="AF397" s="976"/>
      <c r="AG397" s="976"/>
      <c r="AH397" s="976"/>
      <c r="AI397" s="976"/>
      <c r="AJ397" s="976"/>
      <c r="AK397" s="976"/>
      <c r="AL397" s="976"/>
      <c r="AM397" s="976"/>
      <c r="AN397" s="1007"/>
      <c r="AO397" s="1007"/>
      <c r="AP397" s="1009"/>
      <c r="AQ397" s="1012"/>
      <c r="AR397" s="1013"/>
      <c r="AS397" s="1013"/>
      <c r="AT397" s="1013"/>
      <c r="AU397" s="1012"/>
      <c r="AW397" s="1009"/>
      <c r="BD397" s="1009"/>
      <c r="BE397" s="1009"/>
      <c r="BF397" s="1009"/>
      <c r="BG397" s="1009"/>
    </row>
    <row r="398" s="1019" customFormat="1" spans="1:59">
      <c r="A398" s="976"/>
      <c r="B398" s="976"/>
      <c r="C398" s="976"/>
      <c r="D398" s="976"/>
      <c r="E398" s="976"/>
      <c r="F398" s="976"/>
      <c r="G398" s="976"/>
      <c r="H398" s="976"/>
      <c r="I398" s="976"/>
      <c r="J398" s="976"/>
      <c r="K398" s="976"/>
      <c r="L398" s="976"/>
      <c r="M398" s="976"/>
      <c r="N398" s="976"/>
      <c r="O398" s="976"/>
      <c r="P398" s="976"/>
      <c r="Q398" s="976"/>
      <c r="R398" s="976"/>
      <c r="S398" s="976"/>
      <c r="T398" s="976"/>
      <c r="U398" s="976"/>
      <c r="V398" s="976"/>
      <c r="W398" s="976"/>
      <c r="X398" s="976"/>
      <c r="Y398" s="976"/>
      <c r="Z398" s="976"/>
      <c r="AA398" s="976"/>
      <c r="AB398" s="976"/>
      <c r="AC398" s="976"/>
      <c r="AD398" s="976"/>
      <c r="AE398" s="976"/>
      <c r="AF398" s="976"/>
      <c r="AG398" s="976"/>
      <c r="AH398" s="976"/>
      <c r="AI398" s="976"/>
      <c r="AJ398" s="976"/>
      <c r="AK398" s="976"/>
      <c r="AL398" s="976"/>
      <c r="AM398" s="976"/>
      <c r="AN398" s="1007"/>
      <c r="AO398" s="1007"/>
      <c r="AP398" s="1009"/>
      <c r="AQ398" s="1012"/>
      <c r="AR398" s="1013"/>
      <c r="AS398" s="1013"/>
      <c r="AT398" s="1013"/>
      <c r="AU398" s="1012"/>
      <c r="AW398" s="1009"/>
      <c r="BD398" s="1009"/>
      <c r="BE398" s="1009"/>
      <c r="BF398" s="1009"/>
      <c r="BG398" s="1009"/>
    </row>
    <row r="399" s="1019" customFormat="1" spans="1:59">
      <c r="A399" s="976"/>
      <c r="B399" s="976"/>
      <c r="C399" s="976"/>
      <c r="D399" s="976"/>
      <c r="E399" s="976"/>
      <c r="F399" s="976"/>
      <c r="G399" s="976"/>
      <c r="H399" s="976"/>
      <c r="I399" s="976"/>
      <c r="J399" s="976"/>
      <c r="K399" s="976"/>
      <c r="L399" s="976"/>
      <c r="M399" s="976"/>
      <c r="N399" s="976"/>
      <c r="O399" s="976"/>
      <c r="P399" s="976"/>
      <c r="Q399" s="976"/>
      <c r="R399" s="976"/>
      <c r="S399" s="976"/>
      <c r="T399" s="976"/>
      <c r="U399" s="976"/>
      <c r="V399" s="976"/>
      <c r="W399" s="976"/>
      <c r="X399" s="976"/>
      <c r="Y399" s="976"/>
      <c r="Z399" s="976"/>
      <c r="AA399" s="976"/>
      <c r="AB399" s="976"/>
      <c r="AC399" s="976"/>
      <c r="AD399" s="976"/>
      <c r="AE399" s="976"/>
      <c r="AF399" s="976"/>
      <c r="AG399" s="976"/>
      <c r="AH399" s="976"/>
      <c r="AI399" s="976"/>
      <c r="AJ399" s="976"/>
      <c r="AK399" s="976"/>
      <c r="AL399" s="976"/>
      <c r="AM399" s="976"/>
      <c r="AN399" s="1007"/>
      <c r="AO399" s="1007"/>
      <c r="AP399" s="1009"/>
      <c r="AQ399" s="1012"/>
      <c r="AR399" s="1013"/>
      <c r="AS399" s="1013"/>
      <c r="AT399" s="1013"/>
      <c r="AU399" s="1012"/>
      <c r="AW399" s="1009"/>
      <c r="BD399" s="1009"/>
      <c r="BE399" s="1009"/>
      <c r="BF399" s="1009"/>
      <c r="BG399" s="1009"/>
    </row>
    <row r="400" s="1019" customFormat="1" spans="1:59">
      <c r="A400" s="976"/>
      <c r="B400" s="976"/>
      <c r="C400" s="976"/>
      <c r="D400" s="976"/>
      <c r="E400" s="976"/>
      <c r="F400" s="976"/>
      <c r="G400" s="976"/>
      <c r="H400" s="976"/>
      <c r="I400" s="976"/>
      <c r="J400" s="976"/>
      <c r="K400" s="976"/>
      <c r="L400" s="976"/>
      <c r="M400" s="976"/>
      <c r="N400" s="976"/>
      <c r="O400" s="976"/>
      <c r="P400" s="976"/>
      <c r="Q400" s="976"/>
      <c r="R400" s="976"/>
      <c r="S400" s="976"/>
      <c r="T400" s="976"/>
      <c r="U400" s="976"/>
      <c r="V400" s="976"/>
      <c r="W400" s="976"/>
      <c r="X400" s="976"/>
      <c r="Y400" s="976"/>
      <c r="Z400" s="976"/>
      <c r="AA400" s="976"/>
      <c r="AB400" s="976"/>
      <c r="AC400" s="976"/>
      <c r="AD400" s="976"/>
      <c r="AE400" s="976"/>
      <c r="AF400" s="976"/>
      <c r="AG400" s="976"/>
      <c r="AH400" s="976"/>
      <c r="AI400" s="976"/>
      <c r="AJ400" s="976"/>
      <c r="AK400" s="976"/>
      <c r="AL400" s="976"/>
      <c r="AM400" s="976"/>
      <c r="AN400" s="1007"/>
      <c r="AO400" s="1007"/>
      <c r="AP400" s="1009"/>
      <c r="AQ400" s="1012"/>
      <c r="AR400" s="1013"/>
      <c r="AS400" s="1013"/>
      <c r="AT400" s="1013"/>
      <c r="AU400" s="1012"/>
      <c r="AW400" s="1009"/>
      <c r="BD400" s="1009"/>
      <c r="BE400" s="1009"/>
      <c r="BF400" s="1009"/>
      <c r="BG400" s="1009"/>
    </row>
    <row r="401" s="1019" customFormat="1" spans="1:59">
      <c r="A401" s="976"/>
      <c r="B401" s="976"/>
      <c r="C401" s="976"/>
      <c r="D401" s="976"/>
      <c r="E401" s="976"/>
      <c r="F401" s="976"/>
      <c r="G401" s="976"/>
      <c r="H401" s="976"/>
      <c r="I401" s="976"/>
      <c r="J401" s="976"/>
      <c r="K401" s="976"/>
      <c r="L401" s="976"/>
      <c r="M401" s="976"/>
      <c r="N401" s="976"/>
      <c r="O401" s="976"/>
      <c r="P401" s="976"/>
      <c r="Q401" s="976"/>
      <c r="R401" s="976"/>
      <c r="S401" s="976"/>
      <c r="T401" s="976"/>
      <c r="U401" s="976"/>
      <c r="V401" s="976"/>
      <c r="W401" s="976"/>
      <c r="X401" s="976"/>
      <c r="Y401" s="976"/>
      <c r="Z401" s="976"/>
      <c r="AA401" s="976"/>
      <c r="AB401" s="976"/>
      <c r="AC401" s="976"/>
      <c r="AD401" s="976"/>
      <c r="AE401" s="976"/>
      <c r="AF401" s="976"/>
      <c r="AG401" s="976"/>
      <c r="AH401" s="976"/>
      <c r="AI401" s="976"/>
      <c r="AJ401" s="976"/>
      <c r="AK401" s="976"/>
      <c r="AL401" s="976"/>
      <c r="AM401" s="976"/>
      <c r="AN401" s="1007"/>
      <c r="AO401" s="1007"/>
      <c r="AP401" s="1009"/>
      <c r="AQ401" s="1012"/>
      <c r="AR401" s="1013"/>
      <c r="AS401" s="1013"/>
      <c r="AT401" s="1013"/>
      <c r="AU401" s="1012"/>
      <c r="AW401" s="1009"/>
      <c r="BD401" s="1009"/>
      <c r="BE401" s="1009"/>
      <c r="BF401" s="1009"/>
      <c r="BG401" s="1009"/>
    </row>
    <row r="402" s="1019" customFormat="1" spans="1:59">
      <c r="A402" s="976"/>
      <c r="B402" s="976"/>
      <c r="C402" s="976"/>
      <c r="D402" s="976"/>
      <c r="E402" s="976"/>
      <c r="F402" s="976"/>
      <c r="G402" s="976"/>
      <c r="H402" s="976"/>
      <c r="I402" s="976"/>
      <c r="J402" s="976"/>
      <c r="K402" s="976"/>
      <c r="L402" s="976"/>
      <c r="M402" s="976"/>
      <c r="N402" s="976"/>
      <c r="O402" s="976"/>
      <c r="P402" s="976"/>
      <c r="Q402" s="976"/>
      <c r="R402" s="976"/>
      <c r="S402" s="976"/>
      <c r="T402" s="976"/>
      <c r="U402" s="976"/>
      <c r="V402" s="976"/>
      <c r="W402" s="976"/>
      <c r="X402" s="976"/>
      <c r="Y402" s="976"/>
      <c r="Z402" s="976"/>
      <c r="AA402" s="976"/>
      <c r="AB402" s="976"/>
      <c r="AC402" s="976"/>
      <c r="AD402" s="976"/>
      <c r="AE402" s="976"/>
      <c r="AF402" s="976"/>
      <c r="AG402" s="976"/>
      <c r="AH402" s="976"/>
      <c r="AI402" s="976"/>
      <c r="AJ402" s="976"/>
      <c r="AK402" s="976"/>
      <c r="AL402" s="976"/>
      <c r="AM402" s="976"/>
      <c r="AN402" s="1007"/>
      <c r="AO402" s="1007"/>
      <c r="AP402" s="1009"/>
      <c r="AQ402" s="1012"/>
      <c r="AR402" s="1013"/>
      <c r="AS402" s="1013"/>
      <c r="AT402" s="1013"/>
      <c r="AU402" s="1012"/>
      <c r="AW402" s="1009"/>
      <c r="BD402" s="1009"/>
      <c r="BE402" s="1009"/>
      <c r="BF402" s="1009"/>
      <c r="BG402" s="1009"/>
    </row>
    <row r="403" s="1019" customFormat="1" spans="1:59">
      <c r="A403" s="976"/>
      <c r="B403" s="976"/>
      <c r="C403" s="976"/>
      <c r="D403" s="976"/>
      <c r="E403" s="976"/>
      <c r="F403" s="976"/>
      <c r="G403" s="976"/>
      <c r="H403" s="976"/>
      <c r="I403" s="976"/>
      <c r="J403" s="976"/>
      <c r="K403" s="976"/>
      <c r="L403" s="976"/>
      <c r="M403" s="976"/>
      <c r="N403" s="976"/>
      <c r="O403" s="976"/>
      <c r="P403" s="976"/>
      <c r="Q403" s="976"/>
      <c r="R403" s="976"/>
      <c r="S403" s="976"/>
      <c r="T403" s="976"/>
      <c r="U403" s="976"/>
      <c r="V403" s="976"/>
      <c r="W403" s="976"/>
      <c r="X403" s="976"/>
      <c r="Y403" s="976"/>
      <c r="Z403" s="976"/>
      <c r="AA403" s="976"/>
      <c r="AB403" s="976"/>
      <c r="AC403" s="976"/>
      <c r="AD403" s="976"/>
      <c r="AE403" s="976"/>
      <c r="AF403" s="976"/>
      <c r="AG403" s="976"/>
      <c r="AH403" s="976"/>
      <c r="AI403" s="976"/>
      <c r="AJ403" s="976"/>
      <c r="AK403" s="976"/>
      <c r="AL403" s="976"/>
      <c r="AM403" s="976"/>
      <c r="AN403" s="1007"/>
      <c r="AO403" s="1007"/>
      <c r="AP403" s="1009"/>
      <c r="AQ403" s="1012"/>
      <c r="AR403" s="1013"/>
      <c r="AS403" s="1013"/>
      <c r="AT403" s="1013"/>
      <c r="AU403" s="1012"/>
      <c r="AW403" s="1009"/>
      <c r="BD403" s="1009"/>
      <c r="BE403" s="1009"/>
      <c r="BF403" s="1009"/>
      <c r="BG403" s="1009"/>
    </row>
    <row r="404" s="1019" customFormat="1" spans="1:59">
      <c r="A404" s="976"/>
      <c r="B404" s="976"/>
      <c r="C404" s="976"/>
      <c r="D404" s="976"/>
      <c r="E404" s="976"/>
      <c r="F404" s="976"/>
      <c r="G404" s="976"/>
      <c r="H404" s="976"/>
      <c r="I404" s="976"/>
      <c r="J404" s="976"/>
      <c r="K404" s="976"/>
      <c r="L404" s="976"/>
      <c r="M404" s="976"/>
      <c r="N404" s="976"/>
      <c r="O404" s="976"/>
      <c r="P404" s="976"/>
      <c r="Q404" s="976"/>
      <c r="R404" s="976"/>
      <c r="S404" s="976"/>
      <c r="T404" s="976"/>
      <c r="U404" s="976"/>
      <c r="V404" s="976"/>
      <c r="W404" s="976"/>
      <c r="X404" s="976"/>
      <c r="Y404" s="976"/>
      <c r="Z404" s="976"/>
      <c r="AA404" s="976"/>
      <c r="AB404" s="976"/>
      <c r="AC404" s="976"/>
      <c r="AD404" s="976"/>
      <c r="AE404" s="976"/>
      <c r="AF404" s="976"/>
      <c r="AG404" s="976"/>
      <c r="AH404" s="976"/>
      <c r="AI404" s="976"/>
      <c r="AJ404" s="976"/>
      <c r="AK404" s="976"/>
      <c r="AL404" s="976"/>
      <c r="AM404" s="976"/>
      <c r="AN404" s="1007"/>
      <c r="AO404" s="1007"/>
      <c r="AP404" s="1009"/>
      <c r="AQ404" s="1012"/>
      <c r="AR404" s="1013"/>
      <c r="AS404" s="1013"/>
      <c r="AT404" s="1013"/>
      <c r="AU404" s="1012"/>
      <c r="AW404" s="1009"/>
      <c r="BD404" s="1009"/>
      <c r="BE404" s="1009"/>
      <c r="BF404" s="1009"/>
      <c r="BG404" s="1009"/>
    </row>
    <row r="405" s="1019" customFormat="1" spans="1:59">
      <c r="A405" s="976"/>
      <c r="B405" s="976"/>
      <c r="C405" s="976"/>
      <c r="D405" s="976"/>
      <c r="E405" s="976"/>
      <c r="F405" s="976"/>
      <c r="G405" s="976"/>
      <c r="H405" s="976"/>
      <c r="I405" s="976"/>
      <c r="J405" s="976"/>
      <c r="K405" s="976"/>
      <c r="L405" s="976"/>
      <c r="M405" s="976"/>
      <c r="N405" s="976"/>
      <c r="O405" s="976"/>
      <c r="P405" s="976"/>
      <c r="Q405" s="976"/>
      <c r="R405" s="976"/>
      <c r="S405" s="976"/>
      <c r="T405" s="976"/>
      <c r="U405" s="976"/>
      <c r="V405" s="976"/>
      <c r="W405" s="976"/>
      <c r="X405" s="976"/>
      <c r="Y405" s="976"/>
      <c r="Z405" s="976"/>
      <c r="AA405" s="976"/>
      <c r="AB405" s="976"/>
      <c r="AC405" s="976"/>
      <c r="AD405" s="976"/>
      <c r="AE405" s="976"/>
      <c r="AF405" s="976"/>
      <c r="AG405" s="976"/>
      <c r="AH405" s="976"/>
      <c r="AI405" s="976"/>
      <c r="AJ405" s="976"/>
      <c r="AK405" s="976"/>
      <c r="AL405" s="976"/>
      <c r="AM405" s="976"/>
      <c r="AN405" s="1007"/>
      <c r="AO405" s="1007"/>
      <c r="AP405" s="1009"/>
      <c r="AQ405" s="1012"/>
      <c r="AR405" s="1013"/>
      <c r="AS405" s="1013"/>
      <c r="AT405" s="1013"/>
      <c r="AU405" s="1012"/>
      <c r="AW405" s="1009"/>
      <c r="BD405" s="1009"/>
      <c r="BE405" s="1009"/>
      <c r="BF405" s="1009"/>
      <c r="BG405" s="1009"/>
    </row>
    <row r="406" s="1019" customFormat="1" spans="1:59">
      <c r="A406" s="976"/>
      <c r="B406" s="976"/>
      <c r="C406" s="976"/>
      <c r="D406" s="976"/>
      <c r="E406" s="976"/>
      <c r="F406" s="976"/>
      <c r="G406" s="976"/>
      <c r="H406" s="976"/>
      <c r="I406" s="976"/>
      <c r="J406" s="976"/>
      <c r="K406" s="976"/>
      <c r="L406" s="976"/>
      <c r="M406" s="976"/>
      <c r="N406" s="976"/>
      <c r="O406" s="976"/>
      <c r="P406" s="976"/>
      <c r="Q406" s="976"/>
      <c r="R406" s="976"/>
      <c r="S406" s="976"/>
      <c r="T406" s="976"/>
      <c r="U406" s="976"/>
      <c r="V406" s="976"/>
      <c r="W406" s="976"/>
      <c r="X406" s="976"/>
      <c r="Y406" s="976"/>
      <c r="Z406" s="976"/>
      <c r="AA406" s="976"/>
      <c r="AB406" s="976"/>
      <c r="AC406" s="976"/>
      <c r="AD406" s="976"/>
      <c r="AE406" s="976"/>
      <c r="AF406" s="976"/>
      <c r="AG406" s="976"/>
      <c r="AH406" s="976"/>
      <c r="AI406" s="976"/>
      <c r="AJ406" s="976"/>
      <c r="AK406" s="976"/>
      <c r="AL406" s="976"/>
      <c r="AM406" s="976"/>
      <c r="AN406" s="1007"/>
      <c r="AO406" s="1007"/>
      <c r="AP406" s="1009"/>
      <c r="AQ406" s="1012"/>
      <c r="AR406" s="1013"/>
      <c r="AS406" s="1013"/>
      <c r="AT406" s="1013"/>
      <c r="AU406" s="1012"/>
      <c r="AW406" s="1009"/>
      <c r="BD406" s="1009"/>
      <c r="BE406" s="1009"/>
      <c r="BF406" s="1009"/>
      <c r="BG406" s="1009"/>
    </row>
    <row r="407" s="1019" customFormat="1" spans="1:59">
      <c r="A407" s="976"/>
      <c r="B407" s="976"/>
      <c r="C407" s="976"/>
      <c r="D407" s="976"/>
      <c r="E407" s="976"/>
      <c r="F407" s="976"/>
      <c r="G407" s="976"/>
      <c r="H407" s="976"/>
      <c r="I407" s="976"/>
      <c r="J407" s="976"/>
      <c r="K407" s="976"/>
      <c r="L407" s="976"/>
      <c r="M407" s="976"/>
      <c r="N407" s="976"/>
      <c r="O407" s="976"/>
      <c r="P407" s="976"/>
      <c r="Q407" s="976"/>
      <c r="R407" s="976"/>
      <c r="S407" s="976"/>
      <c r="T407" s="976"/>
      <c r="U407" s="976"/>
      <c r="V407" s="976"/>
      <c r="W407" s="976"/>
      <c r="X407" s="976"/>
      <c r="Y407" s="976"/>
      <c r="Z407" s="976"/>
      <c r="AA407" s="976"/>
      <c r="AB407" s="976"/>
      <c r="AC407" s="976"/>
      <c r="AD407" s="976"/>
      <c r="AE407" s="976"/>
      <c r="AF407" s="976"/>
      <c r="AG407" s="976"/>
      <c r="AH407" s="976"/>
      <c r="AI407" s="976"/>
      <c r="AJ407" s="976"/>
      <c r="AK407" s="976"/>
      <c r="AL407" s="976"/>
      <c r="AM407" s="976"/>
      <c r="AN407" s="1007"/>
      <c r="AO407" s="1007"/>
      <c r="AP407" s="1009"/>
      <c r="AQ407" s="1012"/>
      <c r="AR407" s="1013"/>
      <c r="AS407" s="1013"/>
      <c r="AT407" s="1013"/>
      <c r="AU407" s="1012"/>
      <c r="AW407" s="1009"/>
      <c r="BD407" s="1009"/>
      <c r="BE407" s="1009"/>
      <c r="BF407" s="1009"/>
      <c r="BG407" s="1009"/>
    </row>
    <row r="408" s="1019" customFormat="1" spans="1:59">
      <c r="A408" s="976"/>
      <c r="B408" s="976"/>
      <c r="C408" s="976"/>
      <c r="D408" s="976"/>
      <c r="E408" s="976"/>
      <c r="F408" s="976"/>
      <c r="G408" s="976"/>
      <c r="H408" s="976"/>
      <c r="I408" s="976"/>
      <c r="J408" s="976"/>
      <c r="K408" s="976"/>
      <c r="L408" s="976"/>
      <c r="M408" s="976"/>
      <c r="N408" s="976"/>
      <c r="O408" s="976"/>
      <c r="P408" s="976"/>
      <c r="Q408" s="976"/>
      <c r="R408" s="976"/>
      <c r="S408" s="976"/>
      <c r="T408" s="976"/>
      <c r="U408" s="976"/>
      <c r="V408" s="976"/>
      <c r="W408" s="976"/>
      <c r="X408" s="976"/>
      <c r="Y408" s="976"/>
      <c r="Z408" s="976"/>
      <c r="AA408" s="976"/>
      <c r="AB408" s="976"/>
      <c r="AC408" s="976"/>
      <c r="AD408" s="976"/>
      <c r="AE408" s="976"/>
      <c r="AF408" s="976"/>
      <c r="AG408" s="976"/>
      <c r="AH408" s="976"/>
      <c r="AI408" s="976"/>
      <c r="AJ408" s="976"/>
      <c r="AK408" s="976"/>
      <c r="AL408" s="976"/>
      <c r="AM408" s="976"/>
      <c r="AN408" s="1007"/>
      <c r="AO408" s="1007"/>
      <c r="AP408" s="1009"/>
      <c r="AQ408" s="1012"/>
      <c r="AR408" s="1013"/>
      <c r="AS408" s="1013"/>
      <c r="AT408" s="1013"/>
      <c r="AU408" s="1012"/>
      <c r="AW408" s="1009"/>
      <c r="BD408" s="1009"/>
      <c r="BE408" s="1009"/>
      <c r="BF408" s="1009"/>
      <c r="BG408" s="1009"/>
    </row>
    <row r="409" s="1019" customFormat="1" spans="1:59">
      <c r="A409" s="976"/>
      <c r="B409" s="976"/>
      <c r="C409" s="976"/>
      <c r="D409" s="976"/>
      <c r="E409" s="976"/>
      <c r="F409" s="976"/>
      <c r="G409" s="976"/>
      <c r="H409" s="976"/>
      <c r="I409" s="976"/>
      <c r="J409" s="976"/>
      <c r="K409" s="976"/>
      <c r="L409" s="976"/>
      <c r="M409" s="976"/>
      <c r="N409" s="976"/>
      <c r="O409" s="976"/>
      <c r="P409" s="976"/>
      <c r="Q409" s="976"/>
      <c r="R409" s="976"/>
      <c r="S409" s="976"/>
      <c r="T409" s="976"/>
      <c r="U409" s="976"/>
      <c r="V409" s="976"/>
      <c r="W409" s="976"/>
      <c r="X409" s="976"/>
      <c r="Y409" s="976"/>
      <c r="Z409" s="976"/>
      <c r="AA409" s="976"/>
      <c r="AB409" s="976"/>
      <c r="AC409" s="976"/>
      <c r="AD409" s="976"/>
      <c r="AE409" s="976"/>
      <c r="AF409" s="976"/>
      <c r="AG409" s="976"/>
      <c r="AH409" s="976"/>
      <c r="AI409" s="976"/>
      <c r="AJ409" s="976"/>
      <c r="AK409" s="976"/>
      <c r="AL409" s="976"/>
      <c r="AM409" s="976"/>
      <c r="AN409" s="1007"/>
      <c r="AO409" s="1007"/>
      <c r="AP409" s="1009"/>
      <c r="AQ409" s="1012"/>
      <c r="AR409" s="1013"/>
      <c r="AS409" s="1013"/>
      <c r="AT409" s="1013"/>
      <c r="AU409" s="1012"/>
      <c r="AW409" s="1009"/>
      <c r="BD409" s="1009"/>
      <c r="BE409" s="1009"/>
      <c r="BF409" s="1009"/>
      <c r="BG409" s="1009"/>
    </row>
    <row r="410" s="1019" customFormat="1" spans="1:59">
      <c r="A410" s="976"/>
      <c r="B410" s="976"/>
      <c r="C410" s="976"/>
      <c r="D410" s="976"/>
      <c r="E410" s="976"/>
      <c r="F410" s="976"/>
      <c r="G410" s="976"/>
      <c r="H410" s="976"/>
      <c r="I410" s="976"/>
      <c r="J410" s="976"/>
      <c r="K410" s="976"/>
      <c r="L410" s="976"/>
      <c r="M410" s="976"/>
      <c r="N410" s="976"/>
      <c r="O410" s="976"/>
      <c r="P410" s="976"/>
      <c r="Q410" s="976"/>
      <c r="R410" s="976"/>
      <c r="S410" s="976"/>
      <c r="T410" s="976"/>
      <c r="U410" s="976"/>
      <c r="V410" s="976"/>
      <c r="W410" s="976"/>
      <c r="X410" s="976"/>
      <c r="Y410" s="976"/>
      <c r="Z410" s="976"/>
      <c r="AA410" s="976"/>
      <c r="AB410" s="976"/>
      <c r="AC410" s="976"/>
      <c r="AD410" s="976"/>
      <c r="AE410" s="976"/>
      <c r="AF410" s="976"/>
      <c r="AG410" s="976"/>
      <c r="AH410" s="976"/>
      <c r="AI410" s="976"/>
      <c r="AJ410" s="976"/>
      <c r="AK410" s="976"/>
      <c r="AL410" s="976"/>
      <c r="AM410" s="976"/>
      <c r="AN410" s="1007"/>
      <c r="AO410" s="1007"/>
      <c r="AP410" s="1009"/>
      <c r="AQ410" s="1012"/>
      <c r="AR410" s="1013"/>
      <c r="AS410" s="1013"/>
      <c r="AT410" s="1013"/>
      <c r="AU410" s="1012"/>
      <c r="AW410" s="1009"/>
      <c r="BD410" s="1009"/>
      <c r="BE410" s="1009"/>
      <c r="BF410" s="1009"/>
      <c r="BG410" s="1009"/>
    </row>
    <row r="411" s="1019" customFormat="1" spans="1:59">
      <c r="A411" s="976"/>
      <c r="B411" s="976"/>
      <c r="C411" s="976"/>
      <c r="D411" s="976"/>
      <c r="E411" s="976"/>
      <c r="F411" s="976"/>
      <c r="G411" s="976"/>
      <c r="H411" s="976"/>
      <c r="I411" s="976"/>
      <c r="J411" s="976"/>
      <c r="K411" s="976"/>
      <c r="L411" s="976"/>
      <c r="M411" s="976"/>
      <c r="N411" s="976"/>
      <c r="O411" s="976"/>
      <c r="P411" s="976"/>
      <c r="Q411" s="976"/>
      <c r="R411" s="976"/>
      <c r="S411" s="976"/>
      <c r="T411" s="976"/>
      <c r="U411" s="976"/>
      <c r="V411" s="976"/>
      <c r="W411" s="976"/>
      <c r="X411" s="976"/>
      <c r="Y411" s="976"/>
      <c r="Z411" s="976"/>
      <c r="AA411" s="976"/>
      <c r="AB411" s="976"/>
      <c r="AC411" s="976"/>
      <c r="AD411" s="976"/>
      <c r="AE411" s="976"/>
      <c r="AF411" s="976"/>
      <c r="AG411" s="976"/>
      <c r="AH411" s="976"/>
      <c r="AI411" s="976"/>
      <c r="AJ411" s="976"/>
      <c r="AK411" s="976"/>
      <c r="AL411" s="976"/>
      <c r="AM411" s="976"/>
      <c r="AN411" s="1007"/>
      <c r="AO411" s="1007"/>
      <c r="AP411" s="1009"/>
      <c r="AQ411" s="1012"/>
      <c r="AR411" s="1013"/>
      <c r="AS411" s="1013"/>
      <c r="AT411" s="1013"/>
      <c r="AU411" s="1012"/>
      <c r="AW411" s="1009"/>
      <c r="BD411" s="1009"/>
      <c r="BE411" s="1009"/>
      <c r="BF411" s="1009"/>
      <c r="BG411" s="1009"/>
    </row>
    <row r="412" s="1019" customFormat="1" spans="1:59">
      <c r="A412" s="976"/>
      <c r="B412" s="976"/>
      <c r="C412" s="976"/>
      <c r="D412" s="976"/>
      <c r="E412" s="976"/>
      <c r="F412" s="976"/>
      <c r="G412" s="976"/>
      <c r="H412" s="976"/>
      <c r="I412" s="976"/>
      <c r="J412" s="976"/>
      <c r="K412" s="976"/>
      <c r="L412" s="976"/>
      <c r="M412" s="976"/>
      <c r="N412" s="976"/>
      <c r="O412" s="976"/>
      <c r="P412" s="976"/>
      <c r="Q412" s="976"/>
      <c r="R412" s="976"/>
      <c r="S412" s="976"/>
      <c r="T412" s="976"/>
      <c r="U412" s="976"/>
      <c r="V412" s="976"/>
      <c r="W412" s="976"/>
      <c r="X412" s="976"/>
      <c r="Y412" s="976"/>
      <c r="Z412" s="976"/>
      <c r="AA412" s="976"/>
      <c r="AB412" s="976"/>
      <c r="AC412" s="976"/>
      <c r="AD412" s="976"/>
      <c r="AE412" s="976"/>
      <c r="AF412" s="976"/>
      <c r="AG412" s="976"/>
      <c r="AH412" s="976"/>
      <c r="AI412" s="976"/>
      <c r="AJ412" s="976"/>
      <c r="AK412" s="976"/>
      <c r="AL412" s="976"/>
      <c r="AM412" s="976"/>
      <c r="AN412" s="1007"/>
      <c r="AO412" s="1007"/>
      <c r="AP412" s="1009"/>
      <c r="AQ412" s="1012"/>
      <c r="AR412" s="1013"/>
      <c r="AS412" s="1013"/>
      <c r="AT412" s="1013"/>
      <c r="AU412" s="1012"/>
      <c r="AW412" s="1009"/>
      <c r="BD412" s="1009"/>
      <c r="BE412" s="1009"/>
      <c r="BF412" s="1009"/>
      <c r="BG412" s="1009"/>
    </row>
    <row r="413" s="1019" customFormat="1" spans="1:59">
      <c r="A413" s="976"/>
      <c r="B413" s="976"/>
      <c r="C413" s="976"/>
      <c r="D413" s="976"/>
      <c r="E413" s="976"/>
      <c r="F413" s="976"/>
      <c r="G413" s="976"/>
      <c r="H413" s="976"/>
      <c r="I413" s="976"/>
      <c r="J413" s="976"/>
      <c r="K413" s="976"/>
      <c r="L413" s="976"/>
      <c r="M413" s="976"/>
      <c r="N413" s="976"/>
      <c r="O413" s="976"/>
      <c r="P413" s="976"/>
      <c r="Q413" s="976"/>
      <c r="R413" s="976"/>
      <c r="S413" s="976"/>
      <c r="T413" s="976"/>
      <c r="U413" s="976"/>
      <c r="V413" s="976"/>
      <c r="W413" s="976"/>
      <c r="X413" s="976"/>
      <c r="Y413" s="976"/>
      <c r="Z413" s="976"/>
      <c r="AA413" s="976"/>
      <c r="AB413" s="976"/>
      <c r="AC413" s="976"/>
      <c r="AD413" s="976"/>
      <c r="AE413" s="976"/>
      <c r="AF413" s="976"/>
      <c r="AG413" s="976"/>
      <c r="AH413" s="976"/>
      <c r="AI413" s="976"/>
      <c r="AJ413" s="976"/>
      <c r="AK413" s="976"/>
      <c r="AL413" s="976"/>
      <c r="AM413" s="976"/>
      <c r="AN413" s="1007"/>
      <c r="AO413" s="1007"/>
      <c r="AP413" s="1009"/>
      <c r="AQ413" s="1012"/>
      <c r="AR413" s="1013"/>
      <c r="AS413" s="1013"/>
      <c r="AT413" s="1013"/>
      <c r="AU413" s="1012"/>
      <c r="AW413" s="1009"/>
      <c r="BD413" s="1009"/>
      <c r="BE413" s="1009"/>
      <c r="BF413" s="1009"/>
      <c r="BG413" s="1009"/>
    </row>
    <row r="414" s="1019" customFormat="1" spans="1:59">
      <c r="A414" s="976"/>
      <c r="B414" s="976"/>
      <c r="C414" s="976"/>
      <c r="D414" s="976"/>
      <c r="E414" s="976"/>
      <c r="F414" s="976"/>
      <c r="G414" s="976"/>
      <c r="H414" s="976"/>
      <c r="I414" s="976"/>
      <c r="J414" s="976"/>
      <c r="K414" s="976"/>
      <c r="L414" s="976"/>
      <c r="M414" s="976"/>
      <c r="N414" s="976"/>
      <c r="O414" s="976"/>
      <c r="P414" s="976"/>
      <c r="Q414" s="976"/>
      <c r="R414" s="976"/>
      <c r="S414" s="976"/>
      <c r="T414" s="976"/>
      <c r="U414" s="976"/>
      <c r="V414" s="976"/>
      <c r="W414" s="976"/>
      <c r="X414" s="976"/>
      <c r="Y414" s="976"/>
      <c r="Z414" s="976"/>
      <c r="AA414" s="976"/>
      <c r="AB414" s="976"/>
      <c r="AC414" s="976"/>
      <c r="AD414" s="976"/>
      <c r="AE414" s="976"/>
      <c r="AF414" s="976"/>
      <c r="AG414" s="976"/>
      <c r="AH414" s="976"/>
      <c r="AI414" s="976"/>
      <c r="AJ414" s="976"/>
      <c r="AK414" s="976"/>
      <c r="AL414" s="976"/>
      <c r="AM414" s="976"/>
      <c r="AN414" s="1007"/>
      <c r="AO414" s="1007"/>
      <c r="AP414" s="1009"/>
      <c r="AQ414" s="1012"/>
      <c r="AR414" s="1013"/>
      <c r="AS414" s="1013"/>
      <c r="AT414" s="1013"/>
      <c r="AU414" s="1012"/>
      <c r="AW414" s="1009"/>
      <c r="BD414" s="1009"/>
      <c r="BE414" s="1009"/>
      <c r="BF414" s="1009"/>
      <c r="BG414" s="1009"/>
    </row>
    <row r="415" s="1019" customFormat="1" spans="1:59">
      <c r="A415" s="976"/>
      <c r="B415" s="976"/>
      <c r="C415" s="976"/>
      <c r="D415" s="976"/>
      <c r="E415" s="976"/>
      <c r="F415" s="976"/>
      <c r="G415" s="976"/>
      <c r="H415" s="976"/>
      <c r="I415" s="976"/>
      <c r="J415" s="976"/>
      <c r="K415" s="976"/>
      <c r="L415" s="976"/>
      <c r="M415" s="976"/>
      <c r="N415" s="976"/>
      <c r="O415" s="976"/>
      <c r="P415" s="976"/>
      <c r="Q415" s="976"/>
      <c r="R415" s="976"/>
      <c r="S415" s="976"/>
      <c r="T415" s="976"/>
      <c r="U415" s="976"/>
      <c r="V415" s="976"/>
      <c r="W415" s="976"/>
      <c r="X415" s="976"/>
      <c r="Y415" s="976"/>
      <c r="Z415" s="976"/>
      <c r="AA415" s="976"/>
      <c r="AB415" s="976"/>
      <c r="AC415" s="976"/>
      <c r="AD415" s="976"/>
      <c r="AE415" s="976"/>
      <c r="AF415" s="976"/>
      <c r="AG415" s="976"/>
      <c r="AH415" s="976"/>
      <c r="AI415" s="976"/>
      <c r="AJ415" s="976"/>
      <c r="AK415" s="976"/>
      <c r="AL415" s="976"/>
      <c r="AM415" s="976"/>
      <c r="AN415" s="1007"/>
      <c r="AO415" s="1007"/>
      <c r="AP415" s="1009"/>
      <c r="AQ415" s="1012"/>
      <c r="AR415" s="1013"/>
      <c r="AS415" s="1013"/>
      <c r="AT415" s="1013"/>
      <c r="AU415" s="1012"/>
      <c r="AW415" s="1009"/>
      <c r="BD415" s="1009"/>
      <c r="BE415" s="1009"/>
      <c r="BF415" s="1009"/>
      <c r="BG415" s="1009"/>
    </row>
    <row r="416" s="1019" customFormat="1" spans="1:59">
      <c r="A416" s="976"/>
      <c r="B416" s="976"/>
      <c r="C416" s="976"/>
      <c r="D416" s="976"/>
      <c r="E416" s="976"/>
      <c r="F416" s="976"/>
      <c r="G416" s="976"/>
      <c r="H416" s="976"/>
      <c r="I416" s="976"/>
      <c r="J416" s="976"/>
      <c r="K416" s="976"/>
      <c r="L416" s="976"/>
      <c r="M416" s="976"/>
      <c r="N416" s="976"/>
      <c r="O416" s="976"/>
      <c r="P416" s="976"/>
      <c r="Q416" s="976"/>
      <c r="R416" s="976"/>
      <c r="S416" s="976"/>
      <c r="T416" s="976"/>
      <c r="U416" s="976"/>
      <c r="V416" s="976"/>
      <c r="W416" s="976"/>
      <c r="X416" s="976"/>
      <c r="Y416" s="976"/>
      <c r="Z416" s="976"/>
      <c r="AA416" s="976"/>
      <c r="AB416" s="976"/>
      <c r="AC416" s="976"/>
      <c r="AD416" s="976"/>
      <c r="AE416" s="976"/>
      <c r="AF416" s="976"/>
      <c r="AG416" s="976"/>
      <c r="AH416" s="976"/>
      <c r="AI416" s="976"/>
      <c r="AJ416" s="976"/>
      <c r="AK416" s="976"/>
      <c r="AL416" s="976"/>
      <c r="AM416" s="976"/>
      <c r="AN416" s="1007"/>
      <c r="AO416" s="1007"/>
      <c r="AP416" s="1009"/>
      <c r="AQ416" s="1012"/>
      <c r="AR416" s="1013"/>
      <c r="AS416" s="1013"/>
      <c r="AT416" s="1013"/>
      <c r="AU416" s="1012"/>
      <c r="AW416" s="1009"/>
      <c r="BD416" s="1009"/>
      <c r="BE416" s="1009"/>
      <c r="BF416" s="1009"/>
      <c r="BG416" s="1009"/>
    </row>
    <row r="417" s="1019" customFormat="1" spans="1:59">
      <c r="A417" s="976"/>
      <c r="B417" s="976"/>
      <c r="C417" s="976"/>
      <c r="D417" s="976"/>
      <c r="E417" s="976"/>
      <c r="F417" s="976"/>
      <c r="G417" s="976"/>
      <c r="H417" s="976"/>
      <c r="I417" s="976"/>
      <c r="J417" s="976"/>
      <c r="K417" s="976"/>
      <c r="L417" s="976"/>
      <c r="M417" s="976"/>
      <c r="N417" s="976"/>
      <c r="O417" s="976"/>
      <c r="P417" s="976"/>
      <c r="Q417" s="976"/>
      <c r="R417" s="976"/>
      <c r="S417" s="976"/>
      <c r="T417" s="976"/>
      <c r="U417" s="976"/>
      <c r="V417" s="976"/>
      <c r="W417" s="976"/>
      <c r="X417" s="976"/>
      <c r="Y417" s="976"/>
      <c r="Z417" s="976"/>
      <c r="AA417" s="976"/>
      <c r="AB417" s="976"/>
      <c r="AC417" s="976"/>
      <c r="AD417" s="976"/>
      <c r="AE417" s="976"/>
      <c r="AF417" s="976"/>
      <c r="AG417" s="976"/>
      <c r="AH417" s="976"/>
      <c r="AI417" s="976"/>
      <c r="AJ417" s="976"/>
      <c r="AK417" s="976"/>
      <c r="AL417" s="976"/>
      <c r="AM417" s="976"/>
      <c r="AN417" s="1007"/>
      <c r="AO417" s="1007"/>
      <c r="AP417" s="1009"/>
      <c r="AQ417" s="1012"/>
      <c r="AR417" s="1013"/>
      <c r="AS417" s="1013"/>
      <c r="AT417" s="1013"/>
      <c r="AU417" s="1012"/>
      <c r="AW417" s="1009"/>
      <c r="BD417" s="1009"/>
      <c r="BE417" s="1009"/>
      <c r="BF417" s="1009"/>
      <c r="BG417" s="1009"/>
    </row>
    <row r="418" s="1019" customFormat="1" spans="1:59">
      <c r="A418" s="976"/>
      <c r="B418" s="976"/>
      <c r="C418" s="976"/>
      <c r="D418" s="976"/>
      <c r="E418" s="976"/>
      <c r="F418" s="976"/>
      <c r="G418" s="976"/>
      <c r="H418" s="976"/>
      <c r="I418" s="976"/>
      <c r="J418" s="976"/>
      <c r="K418" s="976"/>
      <c r="L418" s="976"/>
      <c r="M418" s="976"/>
      <c r="N418" s="976"/>
      <c r="O418" s="976"/>
      <c r="P418" s="976"/>
      <c r="Q418" s="976"/>
      <c r="R418" s="976"/>
      <c r="S418" s="976"/>
      <c r="T418" s="976"/>
      <c r="U418" s="976"/>
      <c r="V418" s="976"/>
      <c r="W418" s="976"/>
      <c r="X418" s="976"/>
      <c r="Y418" s="976"/>
      <c r="Z418" s="976"/>
      <c r="AA418" s="976"/>
      <c r="AB418" s="976"/>
      <c r="AC418" s="976"/>
      <c r="AD418" s="976"/>
      <c r="AE418" s="976"/>
      <c r="AF418" s="976"/>
      <c r="AG418" s="976"/>
      <c r="AH418" s="976"/>
      <c r="AI418" s="976"/>
      <c r="AJ418" s="976"/>
      <c r="AK418" s="976"/>
      <c r="AL418" s="976"/>
      <c r="AM418" s="976"/>
      <c r="AN418" s="1007"/>
      <c r="AO418" s="1007"/>
      <c r="AP418" s="1009"/>
      <c r="AQ418" s="1012"/>
      <c r="AR418" s="1013"/>
      <c r="AS418" s="1013"/>
      <c r="AT418" s="1013"/>
      <c r="AU418" s="1012"/>
      <c r="AW418" s="1009"/>
      <c r="BD418" s="1009"/>
      <c r="BE418" s="1009"/>
      <c r="BF418" s="1009"/>
      <c r="BG418" s="1009"/>
    </row>
    <row r="419" s="1019" customFormat="1" spans="1:59">
      <c r="A419" s="976"/>
      <c r="B419" s="976"/>
      <c r="C419" s="976"/>
      <c r="D419" s="976"/>
      <c r="E419" s="976"/>
      <c r="F419" s="976"/>
      <c r="G419" s="976"/>
      <c r="H419" s="976"/>
      <c r="I419" s="976"/>
      <c r="J419" s="976"/>
      <c r="K419" s="976"/>
      <c r="L419" s="976"/>
      <c r="M419" s="976"/>
      <c r="N419" s="976"/>
      <c r="O419" s="976"/>
      <c r="P419" s="976"/>
      <c r="Q419" s="976"/>
      <c r="R419" s="976"/>
      <c r="S419" s="976"/>
      <c r="T419" s="976"/>
      <c r="U419" s="976"/>
      <c r="V419" s="976"/>
      <c r="W419" s="976"/>
      <c r="X419" s="976"/>
      <c r="Y419" s="976"/>
      <c r="Z419" s="976"/>
      <c r="AA419" s="976"/>
      <c r="AB419" s="976"/>
      <c r="AC419" s="976"/>
      <c r="AD419" s="976"/>
      <c r="AE419" s="976"/>
      <c r="AF419" s="976"/>
      <c r="AG419" s="976"/>
      <c r="AH419" s="976"/>
      <c r="AI419" s="976"/>
      <c r="AJ419" s="976"/>
      <c r="AK419" s="976"/>
      <c r="AL419" s="976"/>
      <c r="AM419" s="976"/>
      <c r="AN419" s="1007"/>
      <c r="AO419" s="1007"/>
      <c r="AP419" s="1009"/>
      <c r="AQ419" s="1012"/>
      <c r="AR419" s="1013"/>
      <c r="AS419" s="1013"/>
      <c r="AT419" s="1013"/>
      <c r="AU419" s="1012"/>
      <c r="AW419" s="1009"/>
      <c r="BD419" s="1009"/>
      <c r="BE419" s="1009"/>
      <c r="BF419" s="1009"/>
      <c r="BG419" s="1009"/>
    </row>
    <row r="420" s="1019" customFormat="1" spans="1:59">
      <c r="A420" s="976"/>
      <c r="B420" s="976"/>
      <c r="C420" s="976"/>
      <c r="D420" s="976"/>
      <c r="E420" s="976"/>
      <c r="F420" s="976"/>
      <c r="G420" s="976"/>
      <c r="H420" s="976"/>
      <c r="I420" s="976"/>
      <c r="J420" s="976"/>
      <c r="K420" s="976"/>
      <c r="L420" s="976"/>
      <c r="M420" s="976"/>
      <c r="N420" s="976"/>
      <c r="O420" s="976"/>
      <c r="P420" s="976"/>
      <c r="Q420" s="976"/>
      <c r="R420" s="976"/>
      <c r="S420" s="976"/>
      <c r="T420" s="976"/>
      <c r="U420" s="976"/>
      <c r="V420" s="976"/>
      <c r="W420" s="976"/>
      <c r="X420" s="976"/>
      <c r="Y420" s="976"/>
      <c r="Z420" s="976"/>
      <c r="AA420" s="976"/>
      <c r="AB420" s="976"/>
      <c r="AC420" s="976"/>
      <c r="AD420" s="976"/>
      <c r="AE420" s="976"/>
      <c r="AF420" s="976"/>
      <c r="AG420" s="976"/>
      <c r="AH420" s="976"/>
      <c r="AI420" s="976"/>
      <c r="AJ420" s="976"/>
      <c r="AK420" s="976"/>
      <c r="AL420" s="976"/>
      <c r="AM420" s="976"/>
      <c r="AN420" s="1007"/>
      <c r="AO420" s="1007"/>
      <c r="AP420" s="1009"/>
      <c r="AQ420" s="1012"/>
      <c r="AR420" s="1013"/>
      <c r="AS420" s="1013"/>
      <c r="AT420" s="1013"/>
      <c r="AU420" s="1012"/>
      <c r="AW420" s="1021"/>
      <c r="BD420" s="1009"/>
      <c r="BE420" s="1009"/>
      <c r="BF420" s="1009"/>
      <c r="BG420" s="1009"/>
    </row>
    <row r="421" s="1019" customFormat="1" spans="1:59">
      <c r="A421" s="976"/>
      <c r="B421" s="976"/>
      <c r="C421" s="976"/>
      <c r="D421" s="976"/>
      <c r="E421" s="976"/>
      <c r="F421" s="976"/>
      <c r="G421" s="976"/>
      <c r="H421" s="976"/>
      <c r="I421" s="976"/>
      <c r="J421" s="976"/>
      <c r="K421" s="976"/>
      <c r="L421" s="976"/>
      <c r="M421" s="976"/>
      <c r="N421" s="976"/>
      <c r="O421" s="976"/>
      <c r="P421" s="976"/>
      <c r="Q421" s="976"/>
      <c r="R421" s="976"/>
      <c r="S421" s="976"/>
      <c r="T421" s="976"/>
      <c r="U421" s="976"/>
      <c r="V421" s="976"/>
      <c r="W421" s="976"/>
      <c r="X421" s="976"/>
      <c r="Y421" s="976"/>
      <c r="Z421" s="976"/>
      <c r="AA421" s="976"/>
      <c r="AB421" s="976"/>
      <c r="AC421" s="976"/>
      <c r="AD421" s="976"/>
      <c r="AE421" s="976"/>
      <c r="AF421" s="976"/>
      <c r="AG421" s="976"/>
      <c r="AH421" s="976"/>
      <c r="AI421" s="976"/>
      <c r="AJ421" s="976"/>
      <c r="AK421" s="976"/>
      <c r="AL421" s="976"/>
      <c r="AM421" s="976"/>
      <c r="AN421" s="1007"/>
      <c r="AO421" s="1007"/>
      <c r="AP421" s="1009"/>
      <c r="AQ421" s="1012"/>
      <c r="AR421" s="1013"/>
      <c r="AS421" s="1013"/>
      <c r="AT421" s="1013"/>
      <c r="AU421" s="1012"/>
      <c r="AW421" s="1021"/>
      <c r="BD421" s="1009"/>
      <c r="BE421" s="1009"/>
      <c r="BF421" s="1009"/>
      <c r="BG421" s="1009"/>
    </row>
    <row r="422" s="1019" customFormat="1" spans="1:59">
      <c r="A422" s="976"/>
      <c r="B422" s="976"/>
      <c r="C422" s="976"/>
      <c r="D422" s="976"/>
      <c r="E422" s="976"/>
      <c r="F422" s="976"/>
      <c r="G422" s="976"/>
      <c r="H422" s="976"/>
      <c r="I422" s="976"/>
      <c r="J422" s="976"/>
      <c r="K422" s="976"/>
      <c r="L422" s="976"/>
      <c r="M422" s="976"/>
      <c r="N422" s="976"/>
      <c r="O422" s="976"/>
      <c r="P422" s="976"/>
      <c r="Q422" s="976"/>
      <c r="R422" s="976"/>
      <c r="S422" s="976"/>
      <c r="T422" s="976"/>
      <c r="U422" s="976"/>
      <c r="V422" s="976"/>
      <c r="W422" s="976"/>
      <c r="X422" s="976"/>
      <c r="Y422" s="976"/>
      <c r="Z422" s="976"/>
      <c r="AA422" s="976"/>
      <c r="AB422" s="976"/>
      <c r="AC422" s="976"/>
      <c r="AD422" s="976"/>
      <c r="AE422" s="976"/>
      <c r="AF422" s="976"/>
      <c r="AG422" s="976"/>
      <c r="AH422" s="976"/>
      <c r="AI422" s="976"/>
      <c r="AJ422" s="976"/>
      <c r="AK422" s="976"/>
      <c r="AL422" s="976"/>
      <c r="AM422" s="976"/>
      <c r="AN422" s="1007"/>
      <c r="AO422" s="1007"/>
      <c r="AP422" s="1009"/>
      <c r="AQ422" s="1012"/>
      <c r="AR422" s="1013"/>
      <c r="AS422" s="1013"/>
      <c r="AT422" s="1013"/>
      <c r="AU422" s="1012"/>
      <c r="AW422" s="1021"/>
      <c r="BD422" s="1009"/>
      <c r="BE422" s="1009"/>
      <c r="BF422" s="1009"/>
      <c r="BG422" s="1009"/>
    </row>
    <row r="423" s="1019" customFormat="1" spans="1:59">
      <c r="A423" s="976"/>
      <c r="B423" s="976"/>
      <c r="C423" s="976"/>
      <c r="D423" s="976"/>
      <c r="E423" s="976"/>
      <c r="F423" s="976"/>
      <c r="G423" s="976"/>
      <c r="H423" s="976"/>
      <c r="I423" s="976"/>
      <c r="J423" s="976"/>
      <c r="K423" s="976"/>
      <c r="L423" s="976"/>
      <c r="M423" s="976"/>
      <c r="N423" s="976"/>
      <c r="O423" s="976"/>
      <c r="P423" s="976"/>
      <c r="Q423" s="976"/>
      <c r="R423" s="976"/>
      <c r="S423" s="976"/>
      <c r="T423" s="976"/>
      <c r="U423" s="976"/>
      <c r="V423" s="976"/>
      <c r="W423" s="976"/>
      <c r="X423" s="976"/>
      <c r="Y423" s="976"/>
      <c r="Z423" s="976"/>
      <c r="AA423" s="976"/>
      <c r="AB423" s="976"/>
      <c r="AC423" s="976"/>
      <c r="AD423" s="976"/>
      <c r="AE423" s="976"/>
      <c r="AF423" s="976"/>
      <c r="AG423" s="976"/>
      <c r="AH423" s="976"/>
      <c r="AI423" s="976"/>
      <c r="AJ423" s="976"/>
      <c r="AK423" s="976"/>
      <c r="AL423" s="976"/>
      <c r="AM423" s="976"/>
      <c r="AN423" s="1007"/>
      <c r="AO423" s="1007"/>
      <c r="AP423" s="1009"/>
      <c r="AQ423" s="1012"/>
      <c r="AR423" s="1013"/>
      <c r="AS423" s="1013"/>
      <c r="AT423" s="1013"/>
      <c r="AU423" s="1012"/>
      <c r="AW423" s="1021"/>
      <c r="BD423" s="1009"/>
      <c r="BE423" s="1009"/>
      <c r="BF423" s="1009"/>
      <c r="BG423" s="1009"/>
    </row>
    <row r="424" s="1019" customFormat="1" spans="1:59">
      <c r="A424" s="976"/>
      <c r="B424" s="976"/>
      <c r="C424" s="976"/>
      <c r="D424" s="976"/>
      <c r="E424" s="976"/>
      <c r="F424" s="976"/>
      <c r="G424" s="976"/>
      <c r="H424" s="976"/>
      <c r="I424" s="976"/>
      <c r="J424" s="976"/>
      <c r="K424" s="976"/>
      <c r="L424" s="976"/>
      <c r="M424" s="976"/>
      <c r="N424" s="976"/>
      <c r="O424" s="976"/>
      <c r="P424" s="976"/>
      <c r="Q424" s="976"/>
      <c r="R424" s="976"/>
      <c r="S424" s="976"/>
      <c r="T424" s="976"/>
      <c r="U424" s="976"/>
      <c r="V424" s="976"/>
      <c r="W424" s="976"/>
      <c r="X424" s="976"/>
      <c r="Y424" s="976"/>
      <c r="Z424" s="976"/>
      <c r="AA424" s="976"/>
      <c r="AB424" s="976"/>
      <c r="AC424" s="976"/>
      <c r="AD424" s="976"/>
      <c r="AE424" s="976"/>
      <c r="AF424" s="976"/>
      <c r="AG424" s="976"/>
      <c r="AH424" s="976"/>
      <c r="AI424" s="976"/>
      <c r="AJ424" s="976"/>
      <c r="AK424" s="976"/>
      <c r="AL424" s="976"/>
      <c r="AM424" s="976"/>
      <c r="AN424" s="1007"/>
      <c r="AO424" s="1007"/>
      <c r="AP424" s="1009"/>
      <c r="AQ424" s="1012"/>
      <c r="AR424" s="1013"/>
      <c r="AS424" s="1013"/>
      <c r="AT424" s="1013"/>
      <c r="AU424" s="1012"/>
      <c r="AW424" s="1021"/>
      <c r="BD424" s="1009"/>
      <c r="BE424" s="1009"/>
      <c r="BF424" s="1009"/>
      <c r="BG424" s="1009"/>
    </row>
    <row r="425" s="1019" customFormat="1" spans="1:59">
      <c r="A425" s="976"/>
      <c r="B425" s="976"/>
      <c r="C425" s="976"/>
      <c r="D425" s="976"/>
      <c r="E425" s="976"/>
      <c r="F425" s="976"/>
      <c r="G425" s="976"/>
      <c r="H425" s="976"/>
      <c r="I425" s="976"/>
      <c r="J425" s="976"/>
      <c r="K425" s="976"/>
      <c r="L425" s="976"/>
      <c r="M425" s="976"/>
      <c r="N425" s="976"/>
      <c r="O425" s="976"/>
      <c r="P425" s="976"/>
      <c r="Q425" s="976"/>
      <c r="R425" s="976"/>
      <c r="S425" s="976"/>
      <c r="T425" s="976"/>
      <c r="U425" s="976"/>
      <c r="V425" s="976"/>
      <c r="W425" s="976"/>
      <c r="X425" s="976"/>
      <c r="Y425" s="976"/>
      <c r="Z425" s="976"/>
      <c r="AA425" s="976"/>
      <c r="AB425" s="976"/>
      <c r="AC425" s="976"/>
      <c r="AD425" s="976"/>
      <c r="AE425" s="976"/>
      <c r="AF425" s="976"/>
      <c r="AG425" s="976"/>
      <c r="AH425" s="976"/>
      <c r="AI425" s="976"/>
      <c r="AJ425" s="976"/>
      <c r="AK425" s="976"/>
      <c r="AL425" s="976"/>
      <c r="AM425" s="976"/>
      <c r="AN425" s="1007"/>
      <c r="AO425" s="1007"/>
      <c r="AP425" s="1009"/>
      <c r="AQ425" s="1012"/>
      <c r="AR425" s="1013"/>
      <c r="AS425" s="1013"/>
      <c r="AT425" s="1013"/>
      <c r="AU425" s="1012"/>
      <c r="AW425" s="1021"/>
      <c r="BD425" s="1009"/>
      <c r="BE425" s="1009"/>
      <c r="BF425" s="1009"/>
      <c r="BG425" s="1009"/>
    </row>
    <row r="426" s="1019" customFormat="1" spans="1:59">
      <c r="A426" s="976"/>
      <c r="B426" s="976"/>
      <c r="C426" s="976"/>
      <c r="D426" s="976"/>
      <c r="E426" s="976"/>
      <c r="F426" s="976"/>
      <c r="G426" s="976"/>
      <c r="H426" s="976"/>
      <c r="I426" s="976"/>
      <c r="J426" s="976"/>
      <c r="K426" s="976"/>
      <c r="L426" s="976"/>
      <c r="M426" s="976"/>
      <c r="N426" s="976"/>
      <c r="O426" s="976"/>
      <c r="P426" s="976"/>
      <c r="Q426" s="976"/>
      <c r="R426" s="976"/>
      <c r="S426" s="976"/>
      <c r="T426" s="976"/>
      <c r="U426" s="976"/>
      <c r="V426" s="976"/>
      <c r="W426" s="976"/>
      <c r="X426" s="976"/>
      <c r="Y426" s="976"/>
      <c r="Z426" s="976"/>
      <c r="AA426" s="976"/>
      <c r="AB426" s="976"/>
      <c r="AC426" s="976"/>
      <c r="AD426" s="976"/>
      <c r="AE426" s="976"/>
      <c r="AF426" s="976"/>
      <c r="AG426" s="976"/>
      <c r="AH426" s="976"/>
      <c r="AI426" s="976"/>
      <c r="AJ426" s="976"/>
      <c r="AK426" s="976"/>
      <c r="AL426" s="976"/>
      <c r="AM426" s="976"/>
      <c r="AN426" s="1007"/>
      <c r="AO426" s="1007"/>
      <c r="AP426" s="1009"/>
      <c r="AQ426" s="1012"/>
      <c r="AR426" s="1013"/>
      <c r="AS426" s="1013"/>
      <c r="AT426" s="1013"/>
      <c r="AU426" s="1012"/>
      <c r="AW426" s="1021"/>
      <c r="BD426" s="1009"/>
      <c r="BE426" s="1009"/>
      <c r="BF426" s="1009"/>
      <c r="BG426" s="1009"/>
    </row>
    <row r="427" s="1019" customFormat="1" spans="1:59">
      <c r="A427" s="976"/>
      <c r="B427" s="976"/>
      <c r="C427" s="976"/>
      <c r="D427" s="976"/>
      <c r="E427" s="976"/>
      <c r="F427" s="976"/>
      <c r="G427" s="976"/>
      <c r="H427" s="976"/>
      <c r="I427" s="976"/>
      <c r="J427" s="976"/>
      <c r="K427" s="976"/>
      <c r="L427" s="976"/>
      <c r="M427" s="976"/>
      <c r="N427" s="976"/>
      <c r="O427" s="976"/>
      <c r="P427" s="976"/>
      <c r="Q427" s="976"/>
      <c r="R427" s="976"/>
      <c r="S427" s="976"/>
      <c r="T427" s="976"/>
      <c r="U427" s="976"/>
      <c r="V427" s="976"/>
      <c r="W427" s="976"/>
      <c r="X427" s="976"/>
      <c r="Y427" s="976"/>
      <c r="Z427" s="976"/>
      <c r="AA427" s="976"/>
      <c r="AB427" s="976"/>
      <c r="AC427" s="976"/>
      <c r="AD427" s="976"/>
      <c r="AE427" s="976"/>
      <c r="AF427" s="976"/>
      <c r="AG427" s="976"/>
      <c r="AH427" s="976"/>
      <c r="AI427" s="976"/>
      <c r="AJ427" s="976"/>
      <c r="AK427" s="976"/>
      <c r="AL427" s="976"/>
      <c r="AM427" s="976"/>
      <c r="AN427" s="1007"/>
      <c r="AO427" s="1007"/>
      <c r="AP427" s="1009"/>
      <c r="AQ427" s="1012"/>
      <c r="AR427" s="1013"/>
      <c r="AS427" s="1013"/>
      <c r="AT427" s="1013"/>
      <c r="AU427" s="1012"/>
      <c r="AW427" s="1021"/>
      <c r="BD427" s="1009"/>
      <c r="BE427" s="1009"/>
      <c r="BF427" s="1009"/>
      <c r="BG427" s="1009"/>
    </row>
    <row r="428" s="1019" customFormat="1" spans="1:59">
      <c r="A428" s="976"/>
      <c r="B428" s="976"/>
      <c r="C428" s="976"/>
      <c r="D428" s="976"/>
      <c r="E428" s="976"/>
      <c r="F428" s="976"/>
      <c r="G428" s="976"/>
      <c r="H428" s="976"/>
      <c r="I428" s="976"/>
      <c r="J428" s="976"/>
      <c r="K428" s="976"/>
      <c r="L428" s="976"/>
      <c r="M428" s="976"/>
      <c r="N428" s="976"/>
      <c r="O428" s="976"/>
      <c r="P428" s="976"/>
      <c r="Q428" s="976"/>
      <c r="R428" s="976"/>
      <c r="S428" s="976"/>
      <c r="T428" s="976"/>
      <c r="U428" s="976"/>
      <c r="V428" s="976"/>
      <c r="W428" s="976"/>
      <c r="X428" s="976"/>
      <c r="Y428" s="976"/>
      <c r="Z428" s="976"/>
      <c r="AA428" s="976"/>
      <c r="AB428" s="976"/>
      <c r="AC428" s="976"/>
      <c r="AD428" s="976"/>
      <c r="AE428" s="976"/>
      <c r="AF428" s="976"/>
      <c r="AG428" s="976"/>
      <c r="AH428" s="976"/>
      <c r="AI428" s="976"/>
      <c r="AJ428" s="976"/>
      <c r="AK428" s="976"/>
      <c r="AL428" s="976"/>
      <c r="AM428" s="976"/>
      <c r="AN428" s="1007"/>
      <c r="AO428" s="1007"/>
      <c r="AP428" s="1009"/>
      <c r="AQ428" s="1012"/>
      <c r="AR428" s="1013"/>
      <c r="AS428" s="1013"/>
      <c r="AT428" s="1013"/>
      <c r="AU428" s="1012"/>
      <c r="AW428" s="1021"/>
      <c r="BD428" s="1009"/>
      <c r="BE428" s="1009"/>
      <c r="BF428" s="1009"/>
      <c r="BG428" s="1009"/>
    </row>
    <row r="429" s="1019" customFormat="1" spans="1:59">
      <c r="A429" s="976"/>
      <c r="B429" s="976"/>
      <c r="C429" s="976"/>
      <c r="D429" s="976"/>
      <c r="E429" s="976"/>
      <c r="F429" s="976"/>
      <c r="G429" s="976"/>
      <c r="H429" s="976"/>
      <c r="I429" s="976"/>
      <c r="J429" s="976"/>
      <c r="K429" s="976"/>
      <c r="L429" s="976"/>
      <c r="M429" s="976"/>
      <c r="N429" s="976"/>
      <c r="O429" s="976"/>
      <c r="P429" s="976"/>
      <c r="Q429" s="976"/>
      <c r="R429" s="976"/>
      <c r="S429" s="976"/>
      <c r="T429" s="976"/>
      <c r="U429" s="976"/>
      <c r="V429" s="976"/>
      <c r="W429" s="976"/>
      <c r="X429" s="976"/>
      <c r="Y429" s="976"/>
      <c r="Z429" s="976"/>
      <c r="AA429" s="976"/>
      <c r="AB429" s="976"/>
      <c r="AC429" s="976"/>
      <c r="AD429" s="976"/>
      <c r="AE429" s="976"/>
      <c r="AF429" s="976"/>
      <c r="AG429" s="976"/>
      <c r="AH429" s="976"/>
      <c r="AI429" s="976"/>
      <c r="AJ429" s="976"/>
      <c r="AK429" s="976"/>
      <c r="AL429" s="976"/>
      <c r="AM429" s="976"/>
      <c r="AN429" s="1007"/>
      <c r="AO429" s="1007"/>
      <c r="AP429" s="1009"/>
      <c r="AQ429" s="1012"/>
      <c r="AR429" s="1013"/>
      <c r="AS429" s="1013"/>
      <c r="AT429" s="1013"/>
      <c r="AU429" s="1012"/>
      <c r="AW429" s="1021"/>
      <c r="BD429" s="1009"/>
      <c r="BE429" s="1009"/>
      <c r="BF429" s="1009"/>
      <c r="BG429" s="1009"/>
    </row>
    <row r="430" s="1019" customFormat="1" spans="1:59">
      <c r="A430" s="976"/>
      <c r="B430" s="976"/>
      <c r="C430" s="976"/>
      <c r="D430" s="976"/>
      <c r="E430" s="976"/>
      <c r="F430" s="976"/>
      <c r="G430" s="976"/>
      <c r="H430" s="976"/>
      <c r="I430" s="976"/>
      <c r="J430" s="976"/>
      <c r="K430" s="976"/>
      <c r="L430" s="976"/>
      <c r="M430" s="976"/>
      <c r="N430" s="976"/>
      <c r="O430" s="976"/>
      <c r="P430" s="976"/>
      <c r="Q430" s="976"/>
      <c r="R430" s="976"/>
      <c r="S430" s="976"/>
      <c r="T430" s="976"/>
      <c r="U430" s="976"/>
      <c r="V430" s="976"/>
      <c r="W430" s="976"/>
      <c r="X430" s="976"/>
      <c r="Y430" s="976"/>
      <c r="Z430" s="976"/>
      <c r="AA430" s="976"/>
      <c r="AB430" s="976"/>
      <c r="AC430" s="976"/>
      <c r="AD430" s="976"/>
      <c r="AE430" s="976"/>
      <c r="AF430" s="976"/>
      <c r="AG430" s="976"/>
      <c r="AH430" s="976"/>
      <c r="AI430" s="976"/>
      <c r="AJ430" s="976"/>
      <c r="AK430" s="976"/>
      <c r="AL430" s="976"/>
      <c r="AM430" s="976"/>
      <c r="AN430" s="1007"/>
      <c r="AO430" s="1007"/>
      <c r="AP430" s="1009"/>
      <c r="AQ430" s="1012"/>
      <c r="AR430" s="1013"/>
      <c r="AS430" s="1013"/>
      <c r="AT430" s="1013"/>
      <c r="AU430" s="1012"/>
      <c r="AW430" s="1021"/>
      <c r="BD430" s="1009"/>
      <c r="BE430" s="1009"/>
      <c r="BF430" s="1009"/>
      <c r="BG430" s="1009"/>
    </row>
    <row r="431" s="1019" customFormat="1" spans="1:59">
      <c r="A431" s="976"/>
      <c r="B431" s="976"/>
      <c r="C431" s="976"/>
      <c r="D431" s="976"/>
      <c r="E431" s="976"/>
      <c r="F431" s="976"/>
      <c r="G431" s="976"/>
      <c r="H431" s="976"/>
      <c r="I431" s="976"/>
      <c r="J431" s="976"/>
      <c r="K431" s="976"/>
      <c r="L431" s="976"/>
      <c r="M431" s="976"/>
      <c r="N431" s="976"/>
      <c r="O431" s="976"/>
      <c r="P431" s="976"/>
      <c r="Q431" s="976"/>
      <c r="R431" s="976"/>
      <c r="S431" s="976"/>
      <c r="T431" s="976"/>
      <c r="U431" s="976"/>
      <c r="V431" s="976"/>
      <c r="W431" s="976"/>
      <c r="X431" s="976"/>
      <c r="Y431" s="976"/>
      <c r="Z431" s="976"/>
      <c r="AA431" s="976"/>
      <c r="AB431" s="976"/>
      <c r="AC431" s="976"/>
      <c r="AD431" s="976"/>
      <c r="AE431" s="976"/>
      <c r="AF431" s="976"/>
      <c r="AG431" s="976"/>
      <c r="AH431" s="976"/>
      <c r="AI431" s="976"/>
      <c r="AJ431" s="976"/>
      <c r="AK431" s="976"/>
      <c r="AL431" s="976"/>
      <c r="AM431" s="976"/>
      <c r="AN431" s="1007"/>
      <c r="AO431" s="1007"/>
      <c r="AP431" s="1009"/>
      <c r="AQ431" s="1012"/>
      <c r="AR431" s="1013"/>
      <c r="AS431" s="1013"/>
      <c r="AT431" s="1013"/>
      <c r="AU431" s="1012"/>
      <c r="AW431" s="1021"/>
      <c r="BD431" s="1009"/>
      <c r="BE431" s="1009"/>
      <c r="BF431" s="1009"/>
      <c r="BG431" s="1009"/>
    </row>
    <row r="432" s="1019" customFormat="1" spans="1:59">
      <c r="A432" s="976"/>
      <c r="B432" s="976"/>
      <c r="C432" s="976"/>
      <c r="D432" s="976"/>
      <c r="E432" s="976"/>
      <c r="F432" s="976"/>
      <c r="G432" s="976"/>
      <c r="H432" s="976"/>
      <c r="I432" s="976"/>
      <c r="J432" s="976"/>
      <c r="K432" s="976"/>
      <c r="L432" s="976"/>
      <c r="M432" s="976"/>
      <c r="N432" s="976"/>
      <c r="O432" s="976"/>
      <c r="P432" s="976"/>
      <c r="Q432" s="976"/>
      <c r="R432" s="976"/>
      <c r="S432" s="976"/>
      <c r="T432" s="976"/>
      <c r="U432" s="976"/>
      <c r="V432" s="976"/>
      <c r="W432" s="976"/>
      <c r="X432" s="976"/>
      <c r="Y432" s="976"/>
      <c r="Z432" s="976"/>
      <c r="AA432" s="976"/>
      <c r="AB432" s="976"/>
      <c r="AC432" s="976"/>
      <c r="AD432" s="976"/>
      <c r="AE432" s="976"/>
      <c r="AF432" s="976"/>
      <c r="AG432" s="976"/>
      <c r="AH432" s="976"/>
      <c r="AI432" s="976"/>
      <c r="AJ432" s="976"/>
      <c r="AK432" s="976"/>
      <c r="AL432" s="976"/>
      <c r="AM432" s="976"/>
      <c r="AN432" s="1007"/>
      <c r="AO432" s="1007"/>
      <c r="AP432" s="1009"/>
      <c r="AQ432" s="1012"/>
      <c r="AR432" s="1013"/>
      <c r="AS432" s="1013"/>
      <c r="AT432" s="1013"/>
      <c r="AU432" s="1012"/>
      <c r="AW432" s="1021"/>
      <c r="BD432" s="1009"/>
      <c r="BE432" s="1009"/>
      <c r="BF432" s="1009"/>
      <c r="BG432" s="1009"/>
    </row>
    <row r="433" s="1019" customFormat="1" spans="1:59">
      <c r="A433" s="976"/>
      <c r="B433" s="976"/>
      <c r="C433" s="976"/>
      <c r="D433" s="976"/>
      <c r="E433" s="976"/>
      <c r="F433" s="976"/>
      <c r="G433" s="976"/>
      <c r="H433" s="976"/>
      <c r="I433" s="976"/>
      <c r="J433" s="976"/>
      <c r="K433" s="976"/>
      <c r="L433" s="976"/>
      <c r="M433" s="976"/>
      <c r="N433" s="976"/>
      <c r="O433" s="976"/>
      <c r="P433" s="976"/>
      <c r="Q433" s="976"/>
      <c r="R433" s="976"/>
      <c r="S433" s="976"/>
      <c r="T433" s="976"/>
      <c r="U433" s="976"/>
      <c r="V433" s="976"/>
      <c r="W433" s="976"/>
      <c r="X433" s="976"/>
      <c r="Y433" s="976"/>
      <c r="Z433" s="976"/>
      <c r="AA433" s="976"/>
      <c r="AB433" s="976"/>
      <c r="AC433" s="976"/>
      <c r="AD433" s="976"/>
      <c r="AE433" s="976"/>
      <c r="AF433" s="976"/>
      <c r="AG433" s="976"/>
      <c r="AH433" s="976"/>
      <c r="AI433" s="976"/>
      <c r="AJ433" s="976"/>
      <c r="AK433" s="976"/>
      <c r="AL433" s="976"/>
      <c r="AM433" s="976"/>
      <c r="AN433" s="1007"/>
      <c r="AO433" s="1007"/>
      <c r="AP433" s="1009"/>
      <c r="AQ433" s="1012"/>
      <c r="AR433" s="1013"/>
      <c r="AS433" s="1013"/>
      <c r="AT433" s="1013"/>
      <c r="AU433" s="1012"/>
      <c r="AW433" s="1021"/>
      <c r="BD433" s="1009"/>
      <c r="BE433" s="1009"/>
      <c r="BF433" s="1009"/>
      <c r="BG433" s="1009"/>
    </row>
    <row r="434" s="1019" customFormat="1" spans="1:59">
      <c r="A434" s="976"/>
      <c r="B434" s="976"/>
      <c r="C434" s="976"/>
      <c r="D434" s="976"/>
      <c r="E434" s="976"/>
      <c r="F434" s="976"/>
      <c r="G434" s="976"/>
      <c r="H434" s="976"/>
      <c r="I434" s="976"/>
      <c r="J434" s="976"/>
      <c r="K434" s="976"/>
      <c r="L434" s="976"/>
      <c r="M434" s="976"/>
      <c r="N434" s="976"/>
      <c r="O434" s="976"/>
      <c r="P434" s="976"/>
      <c r="Q434" s="976"/>
      <c r="R434" s="976"/>
      <c r="S434" s="976"/>
      <c r="T434" s="976"/>
      <c r="U434" s="976"/>
      <c r="V434" s="976"/>
      <c r="W434" s="976"/>
      <c r="X434" s="976"/>
      <c r="Y434" s="976"/>
      <c r="Z434" s="976"/>
      <c r="AA434" s="976"/>
      <c r="AB434" s="976"/>
      <c r="AC434" s="976"/>
      <c r="AD434" s="976"/>
      <c r="AE434" s="976"/>
      <c r="AF434" s="976"/>
      <c r="AG434" s="976"/>
      <c r="AH434" s="976"/>
      <c r="AI434" s="976"/>
      <c r="AJ434" s="976"/>
      <c r="AK434" s="976"/>
      <c r="AL434" s="976"/>
      <c r="AM434" s="976"/>
      <c r="AN434" s="1007"/>
      <c r="AO434" s="1007"/>
      <c r="AP434" s="1009"/>
      <c r="AQ434" s="1012"/>
      <c r="AR434" s="1013"/>
      <c r="AS434" s="1013"/>
      <c r="AT434" s="1013"/>
      <c r="AU434" s="1012"/>
      <c r="AW434" s="1021"/>
      <c r="BD434" s="1009"/>
      <c r="BE434" s="1009"/>
      <c r="BF434" s="1009"/>
      <c r="BG434" s="1009"/>
    </row>
    <row r="435" s="1019" customFormat="1" spans="1:59">
      <c r="A435" s="976"/>
      <c r="B435" s="976"/>
      <c r="C435" s="976"/>
      <c r="D435" s="976"/>
      <c r="E435" s="976"/>
      <c r="F435" s="976"/>
      <c r="G435" s="976"/>
      <c r="H435" s="976"/>
      <c r="I435" s="976"/>
      <c r="J435" s="976"/>
      <c r="K435" s="976"/>
      <c r="L435" s="976"/>
      <c r="M435" s="976"/>
      <c r="N435" s="976"/>
      <c r="O435" s="976"/>
      <c r="P435" s="976"/>
      <c r="Q435" s="976"/>
      <c r="R435" s="976"/>
      <c r="S435" s="976"/>
      <c r="T435" s="976"/>
      <c r="U435" s="976"/>
      <c r="V435" s="976"/>
      <c r="W435" s="976"/>
      <c r="X435" s="976"/>
      <c r="Y435" s="976"/>
      <c r="Z435" s="976"/>
      <c r="AA435" s="976"/>
      <c r="AB435" s="976"/>
      <c r="AC435" s="976"/>
      <c r="AD435" s="976"/>
      <c r="AE435" s="976"/>
      <c r="AF435" s="976"/>
      <c r="AG435" s="976"/>
      <c r="AH435" s="976"/>
      <c r="AI435" s="976"/>
      <c r="AJ435" s="976"/>
      <c r="AK435" s="976"/>
      <c r="AL435" s="976"/>
      <c r="AM435" s="976"/>
      <c r="AN435" s="1007"/>
      <c r="AO435" s="1007"/>
      <c r="AP435" s="1009"/>
      <c r="AQ435" s="1012"/>
      <c r="AR435" s="1013"/>
      <c r="AS435" s="1013"/>
      <c r="AT435" s="1013"/>
      <c r="AU435" s="1012"/>
      <c r="AW435" s="1021"/>
      <c r="BD435" s="1009"/>
      <c r="BE435" s="1009"/>
      <c r="BF435" s="1009"/>
      <c r="BG435" s="1009"/>
    </row>
    <row r="436" s="1019" customFormat="1" spans="1:59">
      <c r="A436" s="976"/>
      <c r="B436" s="976"/>
      <c r="C436" s="976"/>
      <c r="D436" s="976"/>
      <c r="E436" s="976"/>
      <c r="F436" s="976"/>
      <c r="G436" s="976"/>
      <c r="H436" s="976"/>
      <c r="I436" s="976"/>
      <c r="J436" s="976"/>
      <c r="K436" s="976"/>
      <c r="L436" s="976"/>
      <c r="M436" s="976"/>
      <c r="N436" s="976"/>
      <c r="O436" s="976"/>
      <c r="P436" s="976"/>
      <c r="Q436" s="976"/>
      <c r="R436" s="976"/>
      <c r="S436" s="976"/>
      <c r="T436" s="976"/>
      <c r="U436" s="976"/>
      <c r="V436" s="976"/>
      <c r="W436" s="976"/>
      <c r="X436" s="976"/>
      <c r="Y436" s="976"/>
      <c r="Z436" s="976"/>
      <c r="AA436" s="976"/>
      <c r="AB436" s="976"/>
      <c r="AC436" s="976"/>
      <c r="AD436" s="976"/>
      <c r="AE436" s="976"/>
      <c r="AF436" s="976"/>
      <c r="AG436" s="976"/>
      <c r="AH436" s="976"/>
      <c r="AI436" s="976"/>
      <c r="AJ436" s="976"/>
      <c r="AK436" s="976"/>
      <c r="AL436" s="976"/>
      <c r="AM436" s="976"/>
      <c r="AN436" s="1007"/>
      <c r="AO436" s="1007"/>
      <c r="AP436" s="1009"/>
      <c r="AQ436" s="1012"/>
      <c r="AR436" s="1013"/>
      <c r="AS436" s="1013"/>
      <c r="AT436" s="1013"/>
      <c r="AU436" s="1012"/>
      <c r="AW436" s="1021"/>
      <c r="AX436" s="1020"/>
      <c r="BD436" s="1009"/>
      <c r="BE436" s="1009"/>
      <c r="BF436" s="1009"/>
      <c r="BG436" s="1009"/>
    </row>
    <row r="437" s="1019" customFormat="1" spans="1:59">
      <c r="A437" s="976"/>
      <c r="B437" s="976"/>
      <c r="C437" s="976"/>
      <c r="D437" s="976"/>
      <c r="E437" s="976"/>
      <c r="F437" s="976"/>
      <c r="G437" s="976"/>
      <c r="H437" s="976"/>
      <c r="I437" s="976"/>
      <c r="J437" s="976"/>
      <c r="K437" s="976"/>
      <c r="L437" s="976"/>
      <c r="M437" s="976"/>
      <c r="N437" s="976"/>
      <c r="O437" s="976"/>
      <c r="P437" s="976"/>
      <c r="Q437" s="976"/>
      <c r="R437" s="976"/>
      <c r="S437" s="976"/>
      <c r="T437" s="976"/>
      <c r="U437" s="976"/>
      <c r="V437" s="976"/>
      <c r="W437" s="976"/>
      <c r="X437" s="976"/>
      <c r="Y437" s="976"/>
      <c r="Z437" s="976"/>
      <c r="AA437" s="976"/>
      <c r="AB437" s="976"/>
      <c r="AC437" s="976"/>
      <c r="AD437" s="976"/>
      <c r="AE437" s="976"/>
      <c r="AF437" s="976"/>
      <c r="AG437" s="976"/>
      <c r="AH437" s="976"/>
      <c r="AI437" s="976"/>
      <c r="AJ437" s="976"/>
      <c r="AK437" s="976"/>
      <c r="AL437" s="976"/>
      <c r="AM437" s="976"/>
      <c r="AN437" s="1007"/>
      <c r="AO437" s="1007"/>
      <c r="AP437" s="1009"/>
      <c r="AQ437" s="1012"/>
      <c r="AR437" s="1013"/>
      <c r="AS437" s="1013"/>
      <c r="AT437" s="1013"/>
      <c r="AU437" s="1012"/>
      <c r="AW437" s="1021"/>
      <c r="AX437" s="1020"/>
      <c r="BD437" s="1009"/>
      <c r="BE437" s="1009"/>
      <c r="BF437" s="1009"/>
      <c r="BG437" s="1009"/>
    </row>
    <row r="438" spans="1:1">
      <c r="A438" s="976"/>
    </row>
    <row r="439" spans="1:1">
      <c r="A439" s="976"/>
    </row>
    <row r="440" spans="1:1">
      <c r="A440" s="976"/>
    </row>
    <row r="441" spans="1:1">
      <c r="A441" s="976"/>
    </row>
    <row r="442" spans="1:1">
      <c r="A442" s="976"/>
    </row>
    <row r="443" spans="1:1">
      <c r="A443" s="976"/>
    </row>
    <row r="444" spans="1:1">
      <c r="A444" s="976"/>
    </row>
    <row r="445" spans="1:1">
      <c r="A445" s="976"/>
    </row>
    <row r="446" spans="1:1">
      <c r="A446" s="976"/>
    </row>
    <row r="447" spans="1:1">
      <c r="A447" s="976"/>
    </row>
    <row r="448" spans="1:1">
      <c r="A448" s="976"/>
    </row>
    <row r="449" spans="1:1">
      <c r="A449" s="976"/>
    </row>
    <row r="450" spans="1:1">
      <c r="A450" s="976"/>
    </row>
    <row r="451" spans="1:1">
      <c r="A451" s="976"/>
    </row>
    <row r="452" spans="1:1">
      <c r="A452" s="976"/>
    </row>
    <row r="453" spans="1:1">
      <c r="A453" s="976"/>
    </row>
    <row r="454" spans="1:1">
      <c r="A454" s="976"/>
    </row>
    <row r="455" spans="1:1">
      <c r="A455" s="976"/>
    </row>
    <row r="456" spans="1:1">
      <c r="A456" s="976"/>
    </row>
    <row r="457" spans="1:1">
      <c r="A457" s="976"/>
    </row>
    <row r="458" spans="1:1">
      <c r="A458" s="976"/>
    </row>
    <row r="459" spans="1:1">
      <c r="A459" s="976"/>
    </row>
    <row r="460" spans="1:1">
      <c r="A460" s="976"/>
    </row>
    <row r="461" spans="1:1">
      <c r="A461" s="976"/>
    </row>
    <row r="462" spans="1:1">
      <c r="A462" s="976"/>
    </row>
    <row r="463" spans="1:1">
      <c r="A463" s="976"/>
    </row>
    <row r="464" spans="1:1">
      <c r="A464" s="976"/>
    </row>
    <row r="465" spans="1:1">
      <c r="A465" s="976"/>
    </row>
    <row r="466" spans="1:1">
      <c r="A466" s="976"/>
    </row>
    <row r="467" spans="1:1">
      <c r="A467" s="976"/>
    </row>
    <row r="468" spans="1:1">
      <c r="A468" s="976"/>
    </row>
    <row r="469" spans="1:1">
      <c r="A469" s="976"/>
    </row>
    <row r="470" spans="1:1">
      <c r="A470" s="976"/>
    </row>
    <row r="471" spans="1:1">
      <c r="A471" s="976"/>
    </row>
    <row r="472" spans="1:1">
      <c r="A472" s="976"/>
    </row>
    <row r="473" spans="1:1">
      <c r="A473" s="976"/>
    </row>
    <row r="474" spans="1:1">
      <c r="A474" s="976"/>
    </row>
    <row r="475" spans="1:1">
      <c r="A475" s="976"/>
    </row>
    <row r="476" spans="1:1">
      <c r="A476" s="976"/>
    </row>
    <row r="477" spans="1:1">
      <c r="A477" s="976"/>
    </row>
    <row r="478" spans="1:1">
      <c r="A478" s="976"/>
    </row>
    <row r="479" spans="1:1">
      <c r="A479" s="976"/>
    </row>
    <row r="480" spans="1:1">
      <c r="A480" s="976"/>
    </row>
    <row r="481" spans="1:1">
      <c r="A481" s="976"/>
    </row>
    <row r="482" spans="1:1">
      <c r="A482" s="976"/>
    </row>
    <row r="483" spans="1:1">
      <c r="A483" s="976"/>
    </row>
    <row r="484" spans="1:1">
      <c r="A484" s="976"/>
    </row>
    <row r="485" spans="1:1">
      <c r="A485" s="976"/>
    </row>
    <row r="486" spans="1:1">
      <c r="A486" s="976"/>
    </row>
    <row r="487" spans="1:1">
      <c r="A487" s="976"/>
    </row>
    <row r="488" spans="1:1">
      <c r="A488" s="976"/>
    </row>
    <row r="489" spans="1:1">
      <c r="A489" s="976"/>
    </row>
    <row r="490" spans="1:1">
      <c r="A490" s="976"/>
    </row>
    <row r="491" spans="1:1">
      <c r="A491" s="976"/>
    </row>
    <row r="492" spans="1:1">
      <c r="A492" s="976"/>
    </row>
    <row r="493" spans="1:1">
      <c r="A493" s="976"/>
    </row>
    <row r="494" spans="1:1">
      <c r="A494" s="976"/>
    </row>
    <row r="495" spans="1:1">
      <c r="A495" s="976"/>
    </row>
    <row r="496" spans="1:1">
      <c r="A496" s="976"/>
    </row>
    <row r="497" spans="1:1">
      <c r="A497" s="976"/>
    </row>
    <row r="498" spans="1:1">
      <c r="A498" s="976"/>
    </row>
    <row r="499" spans="1:1">
      <c r="A499" s="976"/>
    </row>
    <row r="500" spans="1:1">
      <c r="A500" s="976"/>
    </row>
    <row r="501" spans="1:1">
      <c r="A501" s="976"/>
    </row>
    <row r="502" spans="1:1">
      <c r="A502" s="976"/>
    </row>
    <row r="503" spans="1:1">
      <c r="A503" s="976"/>
    </row>
    <row r="504" spans="1:1">
      <c r="A504" s="976"/>
    </row>
    <row r="505" spans="1:1">
      <c r="A505" s="976"/>
    </row>
    <row r="506" spans="1:1">
      <c r="A506" s="976"/>
    </row>
    <row r="507" spans="1:1">
      <c r="A507" s="976"/>
    </row>
    <row r="508" spans="1:1">
      <c r="A508" s="976"/>
    </row>
    <row r="509" spans="1:1">
      <c r="A509" s="976"/>
    </row>
    <row r="510" spans="1:1">
      <c r="A510" s="976"/>
    </row>
    <row r="511" spans="1:1">
      <c r="A511" s="976"/>
    </row>
    <row r="512" spans="1:1">
      <c r="A512" s="976"/>
    </row>
    <row r="513" spans="1:1">
      <c r="A513" s="976"/>
    </row>
    <row r="514" spans="1:1">
      <c r="A514" s="976"/>
    </row>
    <row r="515" spans="1:1">
      <c r="A515" s="976"/>
    </row>
    <row r="516" spans="1:1">
      <c r="A516" s="976"/>
    </row>
    <row r="517" spans="1:1">
      <c r="A517" s="976"/>
    </row>
    <row r="518" spans="1:1">
      <c r="A518" s="976"/>
    </row>
    <row r="519" spans="1:1">
      <c r="A519" s="976"/>
    </row>
    <row r="520" spans="1:1">
      <c r="A520" s="976"/>
    </row>
    <row r="521" spans="1:1">
      <c r="A521" s="976"/>
    </row>
    <row r="522" spans="1:1">
      <c r="A522" s="976"/>
    </row>
    <row r="523" spans="1:1">
      <c r="A523" s="976"/>
    </row>
    <row r="524" spans="1:1">
      <c r="A524" s="976"/>
    </row>
    <row r="525" spans="1:1">
      <c r="A525" s="976"/>
    </row>
    <row r="526" spans="1:1">
      <c r="A526" s="976"/>
    </row>
    <row r="527" spans="1:1">
      <c r="A527" s="976"/>
    </row>
    <row r="528" spans="1:1">
      <c r="A528" s="976"/>
    </row>
    <row r="529" spans="1:1">
      <c r="A529" s="976"/>
    </row>
    <row r="530" spans="1:1">
      <c r="A530" s="976"/>
    </row>
    <row r="531" spans="1:1">
      <c r="A531" s="976"/>
    </row>
    <row r="532" spans="1:1">
      <c r="A532" s="976"/>
    </row>
    <row r="533" spans="1:1">
      <c r="A533" s="976"/>
    </row>
    <row r="534" spans="1:1">
      <c r="A534" s="976"/>
    </row>
    <row r="535" spans="1:1">
      <c r="A535" s="976"/>
    </row>
    <row r="536" spans="1:1">
      <c r="A536" s="976"/>
    </row>
    <row r="537" spans="1:1">
      <c r="A537" s="976"/>
    </row>
    <row r="538" spans="1:1">
      <c r="A538" s="976"/>
    </row>
    <row r="539" spans="1:1">
      <c r="A539" s="976"/>
    </row>
    <row r="540" spans="1:1">
      <c r="A540" s="976"/>
    </row>
    <row r="541" spans="1:1">
      <c r="A541" s="976"/>
    </row>
    <row r="542" spans="1:1">
      <c r="A542" s="976"/>
    </row>
    <row r="543" spans="1:1">
      <c r="A543" s="976"/>
    </row>
    <row r="544" spans="1:1">
      <c r="A544" s="976"/>
    </row>
    <row r="545" spans="1:1">
      <c r="A545" s="976"/>
    </row>
    <row r="546" spans="1:1">
      <c r="A546" s="976"/>
    </row>
    <row r="547" spans="1:1">
      <c r="A547" s="976"/>
    </row>
    <row r="548" spans="1:1">
      <c r="A548" s="976"/>
    </row>
    <row r="549" spans="1:1">
      <c r="A549" s="976"/>
    </row>
    <row r="550" spans="1:1">
      <c r="A550" s="976"/>
    </row>
    <row r="551" spans="1:1">
      <c r="A551" s="976"/>
    </row>
    <row r="552" spans="1:1">
      <c r="A552" s="976"/>
    </row>
    <row r="553" spans="1:1">
      <c r="A553" s="976"/>
    </row>
    <row r="554" spans="1:1">
      <c r="A554" s="976"/>
    </row>
    <row r="555" spans="1:1">
      <c r="A555" s="976"/>
    </row>
    <row r="556" spans="1:1">
      <c r="A556" s="976"/>
    </row>
    <row r="557" spans="1:1">
      <c r="A557" s="976"/>
    </row>
    <row r="558" spans="1:1">
      <c r="A558" s="976"/>
    </row>
    <row r="559" spans="1:1">
      <c r="A559" s="976"/>
    </row>
    <row r="560" spans="1:1">
      <c r="A560" s="976"/>
    </row>
    <row r="561" spans="1:1">
      <c r="A561" s="976"/>
    </row>
    <row r="562" spans="1:1">
      <c r="A562" s="976"/>
    </row>
    <row r="563" spans="1:1">
      <c r="A563" s="976"/>
    </row>
    <row r="564" spans="1:1">
      <c r="A564" s="976"/>
    </row>
    <row r="565" spans="1:1">
      <c r="A565" s="976"/>
    </row>
    <row r="566" spans="1:1">
      <c r="A566" s="976"/>
    </row>
    <row r="567" spans="1:1">
      <c r="A567" s="976"/>
    </row>
    <row r="568" spans="1:1">
      <c r="A568" s="976"/>
    </row>
    <row r="569" spans="1:1">
      <c r="A569" s="976"/>
    </row>
    <row r="570" spans="1:1">
      <c r="A570" s="976"/>
    </row>
    <row r="571" spans="1:1">
      <c r="A571" s="976"/>
    </row>
    <row r="572" spans="1:1">
      <c r="A572" s="976"/>
    </row>
    <row r="573" spans="1:1">
      <c r="A573" s="976"/>
    </row>
    <row r="574" spans="1:1">
      <c r="A574" s="976"/>
    </row>
    <row r="575" spans="1:1">
      <c r="A575" s="976"/>
    </row>
    <row r="576" spans="1:1">
      <c r="A576" s="976"/>
    </row>
    <row r="577" spans="1:1">
      <c r="A577" s="976"/>
    </row>
    <row r="578" spans="1:1">
      <c r="A578" s="976"/>
    </row>
    <row r="579" spans="1:1">
      <c r="A579" s="976"/>
    </row>
    <row r="580" spans="1:1">
      <c r="A580" s="976"/>
    </row>
    <row r="581" spans="1:1">
      <c r="A581" s="976"/>
    </row>
    <row r="582" spans="1:1">
      <c r="A582" s="976"/>
    </row>
    <row r="583" spans="1:1">
      <c r="A583" s="976"/>
    </row>
    <row r="584" spans="1:1">
      <c r="A584" s="976"/>
    </row>
    <row r="585" spans="1:1">
      <c r="A585" s="976"/>
    </row>
    <row r="586" spans="1:1">
      <c r="A586" s="976"/>
    </row>
    <row r="587" spans="1:1">
      <c r="A587" s="976"/>
    </row>
    <row r="588" spans="1:1">
      <c r="A588" s="976"/>
    </row>
    <row r="589" spans="1:1">
      <c r="A589" s="976"/>
    </row>
    <row r="590" spans="1:1">
      <c r="A590" s="976"/>
    </row>
    <row r="591" spans="1:1">
      <c r="A591" s="976"/>
    </row>
    <row r="592" spans="1:1">
      <c r="A592" s="976"/>
    </row>
    <row r="593" spans="1:1">
      <c r="A593" s="976"/>
    </row>
    <row r="594" spans="1:1">
      <c r="A594" s="976"/>
    </row>
    <row r="595" spans="1:1">
      <c r="A595" s="976"/>
    </row>
    <row r="596" spans="1:1">
      <c r="A596" s="976"/>
    </row>
    <row r="597" spans="1:1">
      <c r="A597" s="976"/>
    </row>
    <row r="598" spans="1:1">
      <c r="A598" s="976"/>
    </row>
    <row r="599" spans="1:1">
      <c r="A599" s="976"/>
    </row>
    <row r="600" spans="1:1">
      <c r="A600" s="976"/>
    </row>
    <row r="601" spans="1:1">
      <c r="A601" s="976"/>
    </row>
    <row r="602" spans="1:1">
      <c r="A602" s="976"/>
    </row>
    <row r="603" spans="1:1">
      <c r="A603" s="976"/>
    </row>
    <row r="604" spans="1:1">
      <c r="A604" s="976"/>
    </row>
    <row r="605" spans="1:1">
      <c r="A605" s="976"/>
    </row>
    <row r="606" spans="1:1">
      <c r="A606" s="976"/>
    </row>
    <row r="607" spans="1:1">
      <c r="A607" s="976"/>
    </row>
    <row r="608" spans="1:1">
      <c r="A608" s="976"/>
    </row>
    <row r="609" spans="1:1">
      <c r="A609" s="976"/>
    </row>
    <row r="610" spans="1:1">
      <c r="A610" s="976"/>
    </row>
    <row r="611" spans="1:1">
      <c r="A611" s="976"/>
    </row>
    <row r="612" spans="1:1">
      <c r="A612" s="976"/>
    </row>
    <row r="613" spans="1:1">
      <c r="A613" s="976"/>
    </row>
    <row r="614" spans="1:1">
      <c r="A614" s="976"/>
    </row>
    <row r="615" spans="1:1">
      <c r="A615" s="976"/>
    </row>
    <row r="616" spans="1:1">
      <c r="A616" s="976"/>
    </row>
    <row r="617" spans="1:1">
      <c r="A617" s="976"/>
    </row>
    <row r="618" spans="1:1">
      <c r="A618" s="976"/>
    </row>
    <row r="619" spans="1:1">
      <c r="A619" s="976"/>
    </row>
    <row r="620" spans="1:1">
      <c r="A620" s="976"/>
    </row>
    <row r="621" spans="1:1">
      <c r="A621" s="976"/>
    </row>
    <row r="622" spans="1:1">
      <c r="A622" s="976"/>
    </row>
    <row r="623" spans="1:1">
      <c r="A623" s="976"/>
    </row>
    <row r="624" spans="1:1">
      <c r="A624" s="976"/>
    </row>
    <row r="625" spans="1:1">
      <c r="A625" s="976"/>
    </row>
    <row r="626" spans="1:1">
      <c r="A626" s="976"/>
    </row>
    <row r="627" spans="1:1">
      <c r="A627" s="976"/>
    </row>
    <row r="628" spans="1:1">
      <c r="A628" s="976"/>
    </row>
    <row r="629" spans="1:1">
      <c r="A629" s="976"/>
    </row>
    <row r="630" spans="1:1">
      <c r="A630" s="976"/>
    </row>
    <row r="631" spans="1:1">
      <c r="A631" s="976"/>
    </row>
    <row r="632" spans="1:1">
      <c r="A632" s="976"/>
    </row>
    <row r="633" spans="1:1">
      <c r="A633" s="976"/>
    </row>
    <row r="634" spans="1:1">
      <c r="A634" s="976"/>
    </row>
    <row r="635" spans="1:1">
      <c r="A635" s="976"/>
    </row>
    <row r="636" spans="1:1">
      <c r="A636" s="976"/>
    </row>
    <row r="637" spans="1:1">
      <c r="A637" s="976"/>
    </row>
    <row r="638" spans="1:1">
      <c r="A638" s="976"/>
    </row>
    <row r="639" spans="1:1">
      <c r="A639" s="976"/>
    </row>
    <row r="640" spans="1:1">
      <c r="A640" s="976"/>
    </row>
    <row r="641" spans="1:1">
      <c r="A641" s="976"/>
    </row>
    <row r="642" spans="1:1">
      <c r="A642" s="976"/>
    </row>
    <row r="643" spans="1:1">
      <c r="A643" s="976"/>
    </row>
    <row r="644" spans="1:1">
      <c r="A644" s="976"/>
    </row>
    <row r="645" spans="1:1">
      <c r="A645" s="976"/>
    </row>
    <row r="646" spans="1:1">
      <c r="A646" s="976"/>
    </row>
    <row r="647" spans="1:1">
      <c r="A647" s="976"/>
    </row>
    <row r="648" spans="1:1">
      <c r="A648" s="976"/>
    </row>
    <row r="649" spans="1:1">
      <c r="A649" s="976"/>
    </row>
    <row r="650" spans="1:1">
      <c r="A650" s="976"/>
    </row>
    <row r="651" spans="1:1">
      <c r="A651" s="976"/>
    </row>
    <row r="652" spans="1:1">
      <c r="A652" s="976"/>
    </row>
    <row r="653" spans="1:1">
      <c r="A653" s="976"/>
    </row>
    <row r="654" spans="1:1">
      <c r="A654" s="976"/>
    </row>
    <row r="655" spans="1:1">
      <c r="A655" s="976"/>
    </row>
    <row r="656" spans="1:1">
      <c r="A656" s="976"/>
    </row>
    <row r="657" spans="1:1">
      <c r="A657" s="976"/>
    </row>
    <row r="658" spans="1:1">
      <c r="A658" s="976"/>
    </row>
    <row r="659" spans="1:1">
      <c r="A659" s="976"/>
    </row>
    <row r="660" spans="1:1">
      <c r="A660" s="976"/>
    </row>
    <row r="661" spans="1:1">
      <c r="A661" s="976"/>
    </row>
    <row r="662" spans="1:1">
      <c r="A662" s="976"/>
    </row>
    <row r="663" spans="1:1">
      <c r="A663" s="976"/>
    </row>
    <row r="664" spans="1:1">
      <c r="A664" s="976"/>
    </row>
    <row r="665" spans="1:1">
      <c r="A665" s="976"/>
    </row>
    <row r="666" spans="1:1">
      <c r="A666" s="976"/>
    </row>
    <row r="667" spans="1:1">
      <c r="A667" s="976"/>
    </row>
    <row r="668" spans="1:1">
      <c r="A668" s="976"/>
    </row>
    <row r="669" spans="1:1">
      <c r="A669" s="976"/>
    </row>
    <row r="670" spans="1:1">
      <c r="A670" s="976"/>
    </row>
    <row r="671" spans="1:1">
      <c r="A671" s="976"/>
    </row>
    <row r="672" spans="1:1">
      <c r="A672" s="976"/>
    </row>
    <row r="673" spans="1:1">
      <c r="A673" s="976"/>
    </row>
    <row r="674" spans="1:1">
      <c r="A674" s="976"/>
    </row>
    <row r="675" spans="1:1">
      <c r="A675" s="976"/>
    </row>
    <row r="676" spans="1:1">
      <c r="A676" s="976"/>
    </row>
    <row r="677" spans="1:1">
      <c r="A677" s="976"/>
    </row>
    <row r="678" spans="1:1">
      <c r="A678" s="976"/>
    </row>
    <row r="679" spans="1:1">
      <c r="A679" s="976"/>
    </row>
    <row r="680" spans="1:1">
      <c r="A680" s="976"/>
    </row>
    <row r="681" spans="1:1">
      <c r="A681" s="976"/>
    </row>
    <row r="682" spans="1:1">
      <c r="A682" s="976"/>
    </row>
    <row r="683" spans="1:1">
      <c r="A683" s="976"/>
    </row>
    <row r="684" spans="1:1">
      <c r="A684" s="976"/>
    </row>
    <row r="685" spans="1:1">
      <c r="A685" s="976"/>
    </row>
    <row r="686" spans="1:1">
      <c r="A686" s="976"/>
    </row>
    <row r="687" spans="1:1">
      <c r="A687" s="976"/>
    </row>
    <row r="688" spans="1:1">
      <c r="A688" s="976"/>
    </row>
    <row r="689" spans="1:1">
      <c r="A689" s="976"/>
    </row>
    <row r="690" spans="1:1">
      <c r="A690" s="976"/>
    </row>
    <row r="691" spans="1:1">
      <c r="A691" s="976"/>
    </row>
    <row r="692" spans="1:1">
      <c r="A692" s="976"/>
    </row>
    <row r="693" spans="1:1">
      <c r="A693" s="976"/>
    </row>
    <row r="694" spans="1:1">
      <c r="A694" s="976"/>
    </row>
    <row r="695" spans="1:1">
      <c r="A695" s="976"/>
    </row>
    <row r="696" spans="1:1">
      <c r="A696" s="976"/>
    </row>
    <row r="697" spans="1:1">
      <c r="A697" s="976"/>
    </row>
    <row r="698" spans="1:1">
      <c r="A698" s="976"/>
    </row>
    <row r="699" spans="1:1">
      <c r="A699" s="976"/>
    </row>
    <row r="700" spans="1:1">
      <c r="A700" s="976"/>
    </row>
    <row r="701" spans="1:1">
      <c r="A701" s="976"/>
    </row>
    <row r="702" spans="1:1">
      <c r="A702" s="976"/>
    </row>
    <row r="703" spans="1:1">
      <c r="A703" s="976"/>
    </row>
    <row r="704" spans="1:1">
      <c r="A704" s="976"/>
    </row>
    <row r="705" spans="1:1">
      <c r="A705" s="976"/>
    </row>
    <row r="706" spans="1:1">
      <c r="A706" s="976"/>
    </row>
    <row r="707" spans="1:1">
      <c r="A707" s="976"/>
    </row>
    <row r="708" spans="1:1">
      <c r="A708" s="976"/>
    </row>
    <row r="709" spans="1:1">
      <c r="A709" s="976"/>
    </row>
    <row r="710" spans="1:1">
      <c r="A710" s="976"/>
    </row>
    <row r="711" spans="1:1">
      <c r="A711" s="976"/>
    </row>
    <row r="712" spans="1:1">
      <c r="A712" s="976"/>
    </row>
    <row r="713" spans="1:1">
      <c r="A713" s="976"/>
    </row>
    <row r="714" spans="1:1">
      <c r="A714" s="976"/>
    </row>
    <row r="715" spans="1:1">
      <c r="A715" s="976"/>
    </row>
    <row r="716" spans="1:1">
      <c r="A716" s="976"/>
    </row>
    <row r="717" spans="1:1">
      <c r="A717" s="976"/>
    </row>
    <row r="718" spans="1:1">
      <c r="A718" s="976"/>
    </row>
    <row r="719" spans="1:1">
      <c r="A719" s="976"/>
    </row>
    <row r="720" spans="1:1">
      <c r="A720" s="976"/>
    </row>
    <row r="721" spans="1:1">
      <c r="A721" s="976"/>
    </row>
    <row r="722" spans="1:1">
      <c r="A722" s="976"/>
    </row>
    <row r="723" spans="1:1">
      <c r="A723" s="976"/>
    </row>
    <row r="724" spans="1:1">
      <c r="A724" s="976"/>
    </row>
    <row r="725" spans="1:1">
      <c r="A725" s="976"/>
    </row>
    <row r="726" spans="1:1">
      <c r="A726" s="976"/>
    </row>
    <row r="727" spans="1:1">
      <c r="A727" s="976"/>
    </row>
    <row r="728" spans="1:1">
      <c r="A728" s="976"/>
    </row>
    <row r="729" spans="1:1">
      <c r="A729" s="976"/>
    </row>
    <row r="730" spans="1:1">
      <c r="A730" s="976"/>
    </row>
    <row r="731" spans="1:1">
      <c r="A731" s="976"/>
    </row>
    <row r="732" spans="1:1">
      <c r="A732" s="976"/>
    </row>
    <row r="733" spans="1:1">
      <c r="A733" s="976"/>
    </row>
    <row r="734" spans="1:1">
      <c r="A734" s="976"/>
    </row>
    <row r="735" spans="1:1">
      <c r="A735" s="976"/>
    </row>
    <row r="736" spans="1:1">
      <c r="A736" s="976"/>
    </row>
    <row r="737" spans="1:1">
      <c r="A737" s="976"/>
    </row>
    <row r="738" spans="1:1">
      <c r="A738" s="976"/>
    </row>
    <row r="739" spans="1:1">
      <c r="A739" s="976"/>
    </row>
    <row r="740" spans="1:1">
      <c r="A740" s="976"/>
    </row>
    <row r="741" spans="1:1">
      <c r="A741" s="976"/>
    </row>
    <row r="742" spans="1:1">
      <c r="A742" s="976"/>
    </row>
    <row r="743" spans="1:1">
      <c r="A743" s="976"/>
    </row>
    <row r="744" spans="1:1">
      <c r="A744" s="976"/>
    </row>
    <row r="745" spans="1:1">
      <c r="A745" s="976"/>
    </row>
    <row r="746" spans="1:1">
      <c r="A746" s="976"/>
    </row>
    <row r="747" spans="1:1">
      <c r="A747" s="976"/>
    </row>
    <row r="748" spans="1:1">
      <c r="A748" s="976"/>
    </row>
    <row r="749" spans="1:1">
      <c r="A749" s="976"/>
    </row>
    <row r="750" spans="1:1">
      <c r="A750" s="976"/>
    </row>
    <row r="751" spans="1:1">
      <c r="A751" s="976"/>
    </row>
    <row r="752" spans="1:1">
      <c r="A752" s="976"/>
    </row>
    <row r="753" spans="1:1">
      <c r="A753" s="976"/>
    </row>
    <row r="754" spans="1:1">
      <c r="A754" s="976"/>
    </row>
    <row r="755" spans="1:1">
      <c r="A755" s="976"/>
    </row>
    <row r="756" spans="1:1">
      <c r="A756" s="976"/>
    </row>
    <row r="757" spans="1:1">
      <c r="A757" s="976"/>
    </row>
    <row r="758" spans="1:1">
      <c r="A758" s="976"/>
    </row>
    <row r="759" spans="1:1">
      <c r="A759" s="976"/>
    </row>
    <row r="760" spans="1:1">
      <c r="A760" s="976"/>
    </row>
    <row r="761" spans="1:1">
      <c r="A761" s="976"/>
    </row>
    <row r="762" spans="1:1">
      <c r="A762" s="976"/>
    </row>
    <row r="763" spans="1:1">
      <c r="A763" s="976"/>
    </row>
    <row r="764" spans="1:1">
      <c r="A764" s="976"/>
    </row>
    <row r="765" spans="1:1">
      <c r="A765" s="976"/>
    </row>
    <row r="766" spans="1:1">
      <c r="A766" s="976"/>
    </row>
    <row r="767" spans="1:1">
      <c r="A767" s="976"/>
    </row>
    <row r="768" spans="1:1">
      <c r="A768" s="976"/>
    </row>
    <row r="769" spans="1:1">
      <c r="A769" s="976"/>
    </row>
    <row r="770" spans="1:1">
      <c r="A770" s="976"/>
    </row>
    <row r="771" spans="1:1">
      <c r="A771" s="976"/>
    </row>
    <row r="772" spans="1:1">
      <c r="A772" s="976"/>
    </row>
    <row r="773" spans="1:1">
      <c r="A773" s="976"/>
    </row>
    <row r="774" spans="1:1">
      <c r="A774" s="976"/>
    </row>
    <row r="775" spans="1:1">
      <c r="A775" s="976"/>
    </row>
    <row r="776" spans="1:1">
      <c r="A776" s="976"/>
    </row>
    <row r="777" spans="1:1">
      <c r="A777" s="976"/>
    </row>
    <row r="778" spans="1:1">
      <c r="A778" s="976"/>
    </row>
    <row r="779" spans="1:1">
      <c r="A779" s="976"/>
    </row>
    <row r="780" spans="1:1">
      <c r="A780" s="976"/>
    </row>
    <row r="781" spans="1:1">
      <c r="A781" s="976"/>
    </row>
    <row r="782" spans="1:1">
      <c r="A782" s="976"/>
    </row>
    <row r="783" spans="1:1">
      <c r="A783" s="976"/>
    </row>
    <row r="784" spans="1:1">
      <c r="A784" s="976"/>
    </row>
    <row r="785" spans="1:1">
      <c r="A785" s="976"/>
    </row>
    <row r="786" spans="1:1">
      <c r="A786" s="976"/>
    </row>
    <row r="787" spans="1:1">
      <c r="A787" s="976"/>
    </row>
    <row r="788" spans="1:1">
      <c r="A788" s="976"/>
    </row>
    <row r="789" spans="1:1">
      <c r="A789" s="976"/>
    </row>
    <row r="790" spans="1:1">
      <c r="A790" s="976"/>
    </row>
    <row r="791" spans="1:1">
      <c r="A791" s="976"/>
    </row>
    <row r="792" spans="1:1">
      <c r="A792" s="976"/>
    </row>
    <row r="793" spans="1:1">
      <c r="A793" s="976"/>
    </row>
    <row r="794" spans="1:1">
      <c r="A794" s="976"/>
    </row>
    <row r="795" spans="1:1">
      <c r="A795" s="976"/>
    </row>
    <row r="796" spans="1:1">
      <c r="A796" s="976"/>
    </row>
    <row r="797" spans="1:1">
      <c r="A797" s="976"/>
    </row>
    <row r="798" spans="1:1">
      <c r="A798" s="976"/>
    </row>
    <row r="799" spans="1:1">
      <c r="A799" s="976"/>
    </row>
    <row r="800" spans="1:1">
      <c r="A800" s="976"/>
    </row>
    <row r="801" spans="1:1">
      <c r="A801" s="976"/>
    </row>
    <row r="802" spans="1:1">
      <c r="A802" s="976"/>
    </row>
    <row r="803" spans="1:1">
      <c r="A803" s="976"/>
    </row>
    <row r="804" spans="1:1">
      <c r="A804" s="976"/>
    </row>
    <row r="805" spans="1:1">
      <c r="A805" s="976"/>
    </row>
    <row r="806" spans="1:1">
      <c r="A806" s="976"/>
    </row>
    <row r="807" spans="1:1">
      <c r="A807" s="976"/>
    </row>
    <row r="808" spans="1:1">
      <c r="A808" s="976"/>
    </row>
    <row r="809" spans="1:1">
      <c r="A809" s="976"/>
    </row>
    <row r="810" spans="1:1">
      <c r="A810" s="976"/>
    </row>
    <row r="811" spans="1:1">
      <c r="A811" s="976"/>
    </row>
    <row r="812" spans="1:1">
      <c r="A812" s="976"/>
    </row>
    <row r="813" spans="1:1">
      <c r="A813" s="976"/>
    </row>
    <row r="814" spans="1:1">
      <c r="A814" s="976"/>
    </row>
    <row r="815" spans="1:1">
      <c r="A815" s="976"/>
    </row>
    <row r="816" spans="1:1">
      <c r="A816" s="976"/>
    </row>
    <row r="817" spans="1:1">
      <c r="A817" s="976"/>
    </row>
    <row r="818" spans="1:1">
      <c r="A818" s="976"/>
    </row>
    <row r="819" spans="1:1">
      <c r="A819" s="976"/>
    </row>
    <row r="820" spans="1:1">
      <c r="A820" s="976"/>
    </row>
    <row r="821" spans="1:1">
      <c r="A821" s="976"/>
    </row>
    <row r="822" spans="1:1">
      <c r="A822" s="976"/>
    </row>
    <row r="823" spans="1:1">
      <c r="A823" s="976"/>
    </row>
    <row r="824" spans="1:1">
      <c r="A824" s="976"/>
    </row>
    <row r="825" spans="1:1">
      <c r="A825" s="976"/>
    </row>
    <row r="826" spans="1:1">
      <c r="A826" s="976"/>
    </row>
    <row r="827" spans="1:1">
      <c r="A827" s="976"/>
    </row>
    <row r="828" spans="1:1">
      <c r="A828" s="976"/>
    </row>
    <row r="829" spans="1:1">
      <c r="A829" s="976"/>
    </row>
    <row r="830" spans="1:1">
      <c r="A830" s="976"/>
    </row>
    <row r="831" spans="1:1">
      <c r="A831" s="976"/>
    </row>
    <row r="832" spans="1:1">
      <c r="A832" s="976"/>
    </row>
    <row r="833" spans="1:1">
      <c r="A833" s="976"/>
    </row>
    <row r="834" spans="1:1">
      <c r="A834" s="976"/>
    </row>
    <row r="835" spans="1:1">
      <c r="A835" s="976"/>
    </row>
    <row r="836" spans="1:1">
      <c r="A836" s="976"/>
    </row>
    <row r="837" spans="1:1">
      <c r="A837" s="976"/>
    </row>
    <row r="838" spans="1:1">
      <c r="A838" s="976"/>
    </row>
    <row r="839" spans="1:1">
      <c r="A839" s="976"/>
    </row>
    <row r="840" spans="1:1">
      <c r="A840" s="976"/>
    </row>
    <row r="841" spans="1:1">
      <c r="A841" s="976"/>
    </row>
    <row r="842" spans="1:1">
      <c r="A842" s="976"/>
    </row>
    <row r="843" spans="1:1">
      <c r="A843" s="976"/>
    </row>
    <row r="844" spans="1:1">
      <c r="A844" s="976"/>
    </row>
    <row r="845" spans="1:1">
      <c r="A845" s="976"/>
    </row>
    <row r="846" spans="1:1">
      <c r="A846" s="976"/>
    </row>
    <row r="847" spans="1:1">
      <c r="A847" s="976"/>
    </row>
    <row r="848" spans="1:1">
      <c r="A848" s="976"/>
    </row>
    <row r="849" spans="1:1">
      <c r="A849" s="976"/>
    </row>
    <row r="850" spans="1:1">
      <c r="A850" s="976"/>
    </row>
    <row r="851" spans="1:1">
      <c r="A851" s="976"/>
    </row>
    <row r="852" spans="1:1">
      <c r="A852" s="976"/>
    </row>
    <row r="853" spans="1:1">
      <c r="A853" s="976"/>
    </row>
    <row r="854" spans="1:1">
      <c r="A854" s="976"/>
    </row>
    <row r="855" spans="1:1">
      <c r="A855" s="976"/>
    </row>
    <row r="856" spans="1:1">
      <c r="A856" s="976"/>
    </row>
    <row r="857" spans="1:1">
      <c r="A857" s="976"/>
    </row>
    <row r="858" spans="1:1">
      <c r="A858" s="976"/>
    </row>
    <row r="859" spans="1:1">
      <c r="A859" s="976"/>
    </row>
    <row r="860" spans="1:1">
      <c r="A860" s="976"/>
    </row>
    <row r="861" spans="1:1">
      <c r="A861" s="976"/>
    </row>
    <row r="862" spans="1:1">
      <c r="A862" s="976"/>
    </row>
    <row r="863" spans="1:1">
      <c r="A863" s="976"/>
    </row>
    <row r="864" spans="1:1">
      <c r="A864" s="976"/>
    </row>
    <row r="865" spans="1:1">
      <c r="A865" s="976"/>
    </row>
    <row r="866" spans="1:1">
      <c r="A866" s="976"/>
    </row>
    <row r="867" spans="1:1">
      <c r="A867" s="976"/>
    </row>
    <row r="868" spans="1:1">
      <c r="A868" s="976"/>
    </row>
    <row r="869" spans="1:1">
      <c r="A869" s="976"/>
    </row>
    <row r="870" spans="1:1">
      <c r="A870" s="976"/>
    </row>
    <row r="871" spans="1:1">
      <c r="A871" s="976"/>
    </row>
    <row r="872" spans="1:1">
      <c r="A872" s="976"/>
    </row>
    <row r="873" spans="1:1">
      <c r="A873" s="976"/>
    </row>
    <row r="874" spans="1:1">
      <c r="A874" s="976"/>
    </row>
    <row r="875" spans="1:1">
      <c r="A875" s="976"/>
    </row>
    <row r="876" spans="1:1">
      <c r="A876" s="976"/>
    </row>
    <row r="877" spans="1:1">
      <c r="A877" s="976"/>
    </row>
    <row r="878" spans="1:1">
      <c r="A878" s="976"/>
    </row>
    <row r="879" spans="1:1">
      <c r="A879" s="976"/>
    </row>
    <row r="880" spans="1:1">
      <c r="A880" s="976"/>
    </row>
    <row r="881" spans="1:1">
      <c r="A881" s="976"/>
    </row>
    <row r="882" spans="1:1">
      <c r="A882" s="976"/>
    </row>
    <row r="883" spans="1:1">
      <c r="A883" s="976"/>
    </row>
    <row r="884" spans="1:1">
      <c r="A884" s="976"/>
    </row>
    <row r="885" spans="1:1">
      <c r="A885" s="976"/>
    </row>
    <row r="886" spans="1:1">
      <c r="A886" s="976"/>
    </row>
    <row r="887" spans="1:1">
      <c r="A887" s="976"/>
    </row>
    <row r="888" spans="1:1">
      <c r="A888" s="976"/>
    </row>
    <row r="889" spans="1:1">
      <c r="A889" s="976"/>
    </row>
    <row r="890" spans="1:1">
      <c r="A890" s="976"/>
    </row>
    <row r="891" spans="1:1">
      <c r="A891" s="976"/>
    </row>
    <row r="892" spans="1:1">
      <c r="A892" s="976"/>
    </row>
    <row r="893" spans="1:1">
      <c r="A893" s="976"/>
    </row>
    <row r="894" spans="1:1">
      <c r="A894" s="976"/>
    </row>
    <row r="895" spans="1:1">
      <c r="A895" s="976"/>
    </row>
    <row r="896" spans="1:1">
      <c r="A896" s="976"/>
    </row>
    <row r="897" spans="1:1">
      <c r="A897" s="976"/>
    </row>
    <row r="898" spans="1:1">
      <c r="A898" s="976"/>
    </row>
    <row r="899" spans="1:1">
      <c r="A899" s="976"/>
    </row>
    <row r="900" spans="1:1">
      <c r="A900" s="976"/>
    </row>
    <row r="901" spans="1:1">
      <c r="A901" s="976"/>
    </row>
    <row r="902" spans="1:1">
      <c r="A902" s="976"/>
    </row>
    <row r="903" spans="1:1">
      <c r="A903" s="976"/>
    </row>
    <row r="904" spans="1:1">
      <c r="A904" s="976"/>
    </row>
    <row r="905" spans="1:1">
      <c r="A905" s="976"/>
    </row>
    <row r="906" spans="1:1">
      <c r="A906" s="976"/>
    </row>
    <row r="907" spans="1:1">
      <c r="A907" s="976"/>
    </row>
    <row r="908" spans="1:1">
      <c r="A908" s="976"/>
    </row>
    <row r="909" spans="1:1">
      <c r="A909" s="976"/>
    </row>
    <row r="910" spans="1:1">
      <c r="A910" s="976"/>
    </row>
    <row r="911" spans="1:1">
      <c r="A911" s="976"/>
    </row>
    <row r="912" spans="1:1">
      <c r="A912" s="976"/>
    </row>
    <row r="913" spans="1:1">
      <c r="A913" s="976"/>
    </row>
    <row r="914" spans="1:1">
      <c r="A914" s="976"/>
    </row>
    <row r="915" spans="1:1">
      <c r="A915" s="976"/>
    </row>
    <row r="916" spans="1:1">
      <c r="A916" s="976"/>
    </row>
    <row r="917" spans="1:1">
      <c r="A917" s="976"/>
    </row>
    <row r="918" spans="1:1">
      <c r="A918" s="976"/>
    </row>
    <row r="919" spans="1:1">
      <c r="A919" s="976"/>
    </row>
    <row r="920" spans="1:1">
      <c r="A920" s="976"/>
    </row>
    <row r="921" spans="1:1">
      <c r="A921" s="976"/>
    </row>
    <row r="922" spans="1:1">
      <c r="A922" s="976"/>
    </row>
    <row r="923" spans="1:1">
      <c r="A923" s="976"/>
    </row>
    <row r="924" spans="1:1">
      <c r="A924" s="976"/>
    </row>
    <row r="925" spans="1:1">
      <c r="A925" s="976"/>
    </row>
    <row r="926" spans="1:1">
      <c r="A926" s="976"/>
    </row>
    <row r="927" spans="1:1">
      <c r="A927" s="976"/>
    </row>
    <row r="928" spans="1:1">
      <c r="A928" s="976"/>
    </row>
    <row r="929" spans="1:1">
      <c r="A929" s="976"/>
    </row>
    <row r="930" spans="1:1">
      <c r="A930" s="976"/>
    </row>
    <row r="931" spans="1:1">
      <c r="A931" s="976"/>
    </row>
    <row r="932" spans="1:1">
      <c r="A932" s="976"/>
    </row>
    <row r="933" spans="1:1">
      <c r="A933" s="976"/>
    </row>
    <row r="934" spans="1:1">
      <c r="A934" s="976"/>
    </row>
    <row r="935" spans="1:1">
      <c r="A935" s="976"/>
    </row>
    <row r="936" spans="1:1">
      <c r="A936" s="976"/>
    </row>
    <row r="937" spans="1:1">
      <c r="A937" s="976"/>
    </row>
    <row r="938" spans="1:1">
      <c r="A938" s="976"/>
    </row>
    <row r="939" spans="1:1">
      <c r="A939" s="976"/>
    </row>
    <row r="940" spans="1:1">
      <c r="A940" s="976"/>
    </row>
    <row r="941" spans="1:1">
      <c r="A941" s="976"/>
    </row>
    <row r="942" spans="1:1">
      <c r="A942" s="976"/>
    </row>
    <row r="943" spans="1:1">
      <c r="A943" s="976"/>
    </row>
    <row r="944" spans="1:1">
      <c r="A944" s="976"/>
    </row>
    <row r="945" spans="1:1">
      <c r="A945" s="976"/>
    </row>
    <row r="946" spans="1:1">
      <c r="A946" s="976"/>
    </row>
    <row r="947" spans="1:1">
      <c r="A947" s="976"/>
    </row>
    <row r="948" spans="1:1">
      <c r="A948" s="976"/>
    </row>
    <row r="949" spans="1:1">
      <c r="A949" s="976"/>
    </row>
    <row r="950" spans="1:1">
      <c r="A950" s="976"/>
    </row>
    <row r="951" spans="1:1">
      <c r="A951" s="976"/>
    </row>
    <row r="952" spans="1:1">
      <c r="A952" s="976"/>
    </row>
    <row r="953" spans="1:1">
      <c r="A953" s="976"/>
    </row>
    <row r="954" spans="1:1">
      <c r="A954" s="976"/>
    </row>
    <row r="955" spans="1:1">
      <c r="A955" s="976"/>
    </row>
    <row r="956" spans="1:1">
      <c r="A956" s="976"/>
    </row>
    <row r="957" spans="1:1">
      <c r="A957" s="976"/>
    </row>
    <row r="958" spans="1:1">
      <c r="A958" s="976"/>
    </row>
    <row r="959" spans="1:1">
      <c r="A959" s="976"/>
    </row>
    <row r="960" spans="1:1">
      <c r="A960" s="976"/>
    </row>
    <row r="961" spans="1:1">
      <c r="A961" s="976"/>
    </row>
    <row r="962" spans="1:1">
      <c r="A962" s="976"/>
    </row>
    <row r="963" spans="1:1">
      <c r="A963" s="976"/>
    </row>
    <row r="964" spans="1:1">
      <c r="A964" s="976"/>
    </row>
    <row r="965" spans="1:1">
      <c r="A965" s="976"/>
    </row>
    <row r="966" spans="1:1">
      <c r="A966" s="976"/>
    </row>
    <row r="967" spans="1:1">
      <c r="A967" s="976"/>
    </row>
    <row r="968" spans="1:1">
      <c r="A968" s="976"/>
    </row>
    <row r="969" spans="1:1">
      <c r="A969" s="976"/>
    </row>
    <row r="970" spans="1:1">
      <c r="A970" s="976"/>
    </row>
    <row r="971" spans="1:1">
      <c r="A971" s="976"/>
    </row>
    <row r="972" spans="1:1">
      <c r="A972" s="976"/>
    </row>
    <row r="973" spans="1:1">
      <c r="A973" s="976"/>
    </row>
    <row r="974" spans="1:1">
      <c r="A974" s="976"/>
    </row>
    <row r="975" spans="1:1">
      <c r="A975" s="976"/>
    </row>
    <row r="976" spans="1:1">
      <c r="A976" s="976"/>
    </row>
    <row r="977" spans="1:1">
      <c r="A977" s="976"/>
    </row>
    <row r="978" spans="1:1">
      <c r="A978" s="976"/>
    </row>
    <row r="979" spans="1:1">
      <c r="A979" s="976"/>
    </row>
    <row r="980" spans="1:1">
      <c r="A980" s="976"/>
    </row>
    <row r="981" spans="1:1">
      <c r="A981" s="976"/>
    </row>
    <row r="982" spans="1:1">
      <c r="A982" s="976"/>
    </row>
    <row r="983" spans="1:1">
      <c r="A983" s="976"/>
    </row>
    <row r="984" spans="1:1">
      <c r="A984" s="976"/>
    </row>
    <row r="985" spans="1:1">
      <c r="A985" s="976"/>
    </row>
    <row r="986" spans="1:1">
      <c r="A986" s="976"/>
    </row>
    <row r="987" spans="1:1">
      <c r="A987" s="976"/>
    </row>
    <row r="988" spans="1:1">
      <c r="A988" s="976"/>
    </row>
    <row r="989" spans="1:1">
      <c r="A989" s="976"/>
    </row>
    <row r="990" spans="1:1">
      <c r="A990" s="976"/>
    </row>
    <row r="991" spans="1:1">
      <c r="A991" s="976"/>
    </row>
    <row r="992" spans="1:1">
      <c r="A992" s="976"/>
    </row>
    <row r="993" spans="1:1">
      <c r="A993" s="976"/>
    </row>
    <row r="994" spans="1:1">
      <c r="A994" s="976"/>
    </row>
    <row r="995" spans="1:1">
      <c r="A995" s="976"/>
    </row>
    <row r="996" spans="1:1">
      <c r="A996" s="976"/>
    </row>
    <row r="997" spans="1:1">
      <c r="A997" s="976"/>
    </row>
    <row r="998" spans="1:1">
      <c r="A998" s="976"/>
    </row>
    <row r="999" spans="1:1">
      <c r="A999" s="976"/>
    </row>
    <row r="1000" spans="1:1">
      <c r="A1000" s="976"/>
    </row>
    <row r="1001" spans="1:1">
      <c r="A1001" s="976"/>
    </row>
    <row r="1002" spans="1:1">
      <c r="A1002" s="976"/>
    </row>
    <row r="1003" spans="1:1">
      <c r="A1003" s="976"/>
    </row>
    <row r="1004" spans="1:1">
      <c r="A1004" s="976"/>
    </row>
    <row r="1005" spans="1:1">
      <c r="A1005" s="976"/>
    </row>
    <row r="1006" spans="1:1">
      <c r="A1006" s="976"/>
    </row>
    <row r="1007" spans="1:1">
      <c r="A1007" s="976"/>
    </row>
    <row r="1008" spans="1:1">
      <c r="A1008" s="976"/>
    </row>
    <row r="1009" spans="1:1">
      <c r="A1009" s="976"/>
    </row>
    <row r="1010" spans="1:1">
      <c r="A1010" s="976"/>
    </row>
    <row r="1011" spans="1:1">
      <c r="A1011" s="976"/>
    </row>
    <row r="1012" spans="1:1">
      <c r="A1012" s="976"/>
    </row>
    <row r="1013" spans="1:1">
      <c r="A1013" s="976"/>
    </row>
    <row r="1014" spans="1:1">
      <c r="A1014" s="976"/>
    </row>
    <row r="1015" spans="1:1">
      <c r="A1015" s="976"/>
    </row>
    <row r="1016" spans="1:1">
      <c r="A1016" s="976"/>
    </row>
    <row r="1017" spans="1:1">
      <c r="A1017" s="976"/>
    </row>
    <row r="1018" spans="1:1">
      <c r="A1018" s="976"/>
    </row>
    <row r="1019" spans="1:1">
      <c r="A1019" s="976"/>
    </row>
    <row r="1020" spans="1:1">
      <c r="A1020" s="976"/>
    </row>
    <row r="1021" spans="1:1">
      <c r="A1021" s="976"/>
    </row>
    <row r="1022" spans="1:1">
      <c r="A1022" s="976"/>
    </row>
    <row r="1023" spans="1:1">
      <c r="A1023" s="976"/>
    </row>
    <row r="1024" spans="1:1">
      <c r="A1024" s="976"/>
    </row>
    <row r="1025" spans="1:1">
      <c r="A1025" s="976"/>
    </row>
    <row r="1026" spans="1:1">
      <c r="A1026" s="976"/>
    </row>
    <row r="1027" spans="1:1">
      <c r="A1027" s="976"/>
    </row>
    <row r="1028" spans="1:1">
      <c r="A1028" s="976"/>
    </row>
    <row r="1029" spans="1:1">
      <c r="A1029" s="976"/>
    </row>
    <row r="1030" spans="1:1">
      <c r="A1030" s="976"/>
    </row>
    <row r="1031" spans="1:1">
      <c r="A1031" s="976"/>
    </row>
    <row r="1032" spans="1:1">
      <c r="A1032" s="976"/>
    </row>
    <row r="1033" spans="1:1">
      <c r="A1033" s="976"/>
    </row>
    <row r="1034" spans="1:1">
      <c r="A1034" s="976"/>
    </row>
    <row r="1035" spans="1:1">
      <c r="A1035" s="976"/>
    </row>
    <row r="1036" spans="1:1">
      <c r="A1036" s="976"/>
    </row>
    <row r="1037" spans="1:1">
      <c r="A1037" s="976"/>
    </row>
    <row r="1038" spans="1:1">
      <c r="A1038" s="976"/>
    </row>
    <row r="1039" spans="1:1">
      <c r="A1039" s="976"/>
    </row>
    <row r="1040" spans="1:1">
      <c r="A1040" s="976"/>
    </row>
    <row r="1041" spans="1:1">
      <c r="A1041" s="976"/>
    </row>
    <row r="1042" spans="1:1">
      <c r="A1042" s="976"/>
    </row>
    <row r="1043" spans="1:1">
      <c r="A1043" s="976"/>
    </row>
    <row r="1044" spans="1:1">
      <c r="A1044" s="976"/>
    </row>
    <row r="1045" spans="1:1">
      <c r="A1045" s="976"/>
    </row>
    <row r="1046" spans="1:1">
      <c r="A1046" s="976"/>
    </row>
    <row r="1047" spans="1:1">
      <c r="A1047" s="976"/>
    </row>
    <row r="1048" spans="1:1">
      <c r="A1048" s="976"/>
    </row>
    <row r="1049" spans="1:1">
      <c r="A1049" s="976"/>
    </row>
    <row r="1050" spans="1:1">
      <c r="A1050" s="976"/>
    </row>
    <row r="1051" spans="1:1">
      <c r="A1051" s="976"/>
    </row>
    <row r="1052" spans="1:1">
      <c r="A1052" s="976"/>
    </row>
    <row r="1053" spans="1:1">
      <c r="A1053" s="976"/>
    </row>
    <row r="1054" spans="1:1">
      <c r="A1054" s="976"/>
    </row>
    <row r="1055" spans="1:1">
      <c r="A1055" s="976"/>
    </row>
    <row r="1056" spans="1:1">
      <c r="A1056" s="976"/>
    </row>
    <row r="1057" spans="1:1">
      <c r="A1057" s="976"/>
    </row>
    <row r="1058" spans="1:1">
      <c r="A1058" s="976"/>
    </row>
    <row r="1059" spans="1:1">
      <c r="A1059" s="976"/>
    </row>
    <row r="1060" spans="1:1">
      <c r="A1060" s="976"/>
    </row>
    <row r="1061" spans="1:1">
      <c r="A1061" s="976"/>
    </row>
    <row r="1062" spans="1:1">
      <c r="A1062" s="976"/>
    </row>
    <row r="1063" spans="1:1">
      <c r="A1063" s="976"/>
    </row>
    <row r="1064" spans="1:1">
      <c r="A1064" s="976"/>
    </row>
    <row r="1065" spans="1:1">
      <c r="A1065" s="976"/>
    </row>
    <row r="1066" spans="1:1">
      <c r="A1066" s="976"/>
    </row>
    <row r="1067" spans="1:1">
      <c r="A1067" s="976"/>
    </row>
    <row r="1068" spans="1:1">
      <c r="A1068" s="976"/>
    </row>
    <row r="1069" spans="1:1">
      <c r="A1069" s="976"/>
    </row>
    <row r="1070" spans="1:1">
      <c r="A1070" s="976"/>
    </row>
    <row r="1071" spans="1:1">
      <c r="A1071" s="976"/>
    </row>
    <row r="1072" spans="1:1">
      <c r="A1072" s="976"/>
    </row>
    <row r="1073" spans="1:1">
      <c r="A1073" s="976"/>
    </row>
    <row r="1074" spans="1:1">
      <c r="A1074" s="976"/>
    </row>
    <row r="1075" spans="1:1">
      <c r="A1075" s="976"/>
    </row>
    <row r="1076" spans="1:1">
      <c r="A1076" s="976"/>
    </row>
    <row r="1077" spans="1:1">
      <c r="A1077" s="976"/>
    </row>
    <row r="1078" spans="1:1">
      <c r="A1078" s="976"/>
    </row>
    <row r="1079" spans="1:1">
      <c r="A1079" s="976"/>
    </row>
    <row r="1080" spans="1:1">
      <c r="A1080" s="976"/>
    </row>
    <row r="1081" spans="1:1">
      <c r="A1081" s="976"/>
    </row>
    <row r="1082" spans="1:1">
      <c r="A1082" s="976"/>
    </row>
    <row r="1083" spans="1:1">
      <c r="A1083" s="976"/>
    </row>
    <row r="1084" spans="1:1">
      <c r="A1084" s="976"/>
    </row>
    <row r="1085" spans="1:1">
      <c r="A1085" s="976"/>
    </row>
    <row r="1086" spans="1:1">
      <c r="A1086" s="976"/>
    </row>
    <row r="1087" spans="1:1">
      <c r="A1087" s="976"/>
    </row>
    <row r="1088" spans="1:1">
      <c r="A1088" s="976"/>
    </row>
    <row r="1089" spans="1:1">
      <c r="A1089" s="976"/>
    </row>
    <row r="1090" spans="1:1">
      <c r="A1090" s="976"/>
    </row>
    <row r="1091" spans="1:1">
      <c r="A1091" s="976"/>
    </row>
    <row r="1092" spans="1:1">
      <c r="A1092" s="976"/>
    </row>
    <row r="1093" spans="1:1">
      <c r="A1093" s="976"/>
    </row>
    <row r="1094" spans="1:1">
      <c r="A1094" s="976"/>
    </row>
    <row r="1095" spans="1:1">
      <c r="A1095" s="976"/>
    </row>
    <row r="1096" spans="1:1">
      <c r="A1096" s="976"/>
    </row>
    <row r="1097" spans="1:1">
      <c r="A1097" s="976"/>
    </row>
    <row r="1098" spans="1:1">
      <c r="A1098" s="976"/>
    </row>
    <row r="1099" spans="1:1">
      <c r="A1099" s="976"/>
    </row>
    <row r="1100" spans="1:1">
      <c r="A1100" s="976"/>
    </row>
    <row r="1101" spans="1:1">
      <c r="A1101" s="976"/>
    </row>
    <row r="1102" spans="1:1">
      <c r="A1102" s="976"/>
    </row>
    <row r="1103" spans="1:1">
      <c r="A1103" s="976"/>
    </row>
    <row r="1104" spans="1:1">
      <c r="A1104" s="976"/>
    </row>
    <row r="1105" spans="1:1">
      <c r="A1105" s="976"/>
    </row>
    <row r="1106" spans="1:1">
      <c r="A1106" s="976"/>
    </row>
    <row r="1107" spans="1:1">
      <c r="A1107" s="976"/>
    </row>
    <row r="1108" spans="1:1">
      <c r="A1108" s="976"/>
    </row>
    <row r="1109" spans="1:1">
      <c r="A1109" s="976"/>
    </row>
    <row r="1110" spans="1:1">
      <c r="A1110" s="976"/>
    </row>
    <row r="1111" spans="1:1">
      <c r="A1111" s="976"/>
    </row>
    <row r="1112" spans="1:1">
      <c r="A1112" s="976"/>
    </row>
    <row r="1113" spans="1:1">
      <c r="A1113" s="976"/>
    </row>
    <row r="1114" spans="1:1">
      <c r="A1114" s="976"/>
    </row>
    <row r="1115" spans="1:1">
      <c r="A1115" s="976"/>
    </row>
    <row r="1116" spans="1:1">
      <c r="A1116" s="976"/>
    </row>
    <row r="1117" spans="1:1">
      <c r="A1117" s="976"/>
    </row>
    <row r="1118" spans="1:1">
      <c r="A1118" s="976"/>
    </row>
    <row r="1119" spans="1:1">
      <c r="A1119" s="976"/>
    </row>
    <row r="1120" spans="1:1">
      <c r="A1120" s="976"/>
    </row>
    <row r="1121" spans="1:1">
      <c r="A1121" s="976"/>
    </row>
    <row r="1122" spans="1:1">
      <c r="A1122" s="976"/>
    </row>
    <row r="1123" spans="1:1">
      <c r="A1123" s="976"/>
    </row>
    <row r="1124" spans="1:1">
      <c r="A1124" s="976"/>
    </row>
    <row r="1125" spans="1:1">
      <c r="A1125" s="976"/>
    </row>
    <row r="1126" spans="1:1">
      <c r="A1126" s="976"/>
    </row>
    <row r="1127" spans="1:1">
      <c r="A1127" s="976"/>
    </row>
    <row r="1128" spans="1:1">
      <c r="A1128" s="976"/>
    </row>
    <row r="1129" spans="1:1">
      <c r="A1129" s="976"/>
    </row>
    <row r="1130" spans="1:1">
      <c r="A1130" s="976"/>
    </row>
    <row r="1131" spans="1:1">
      <c r="A1131" s="976"/>
    </row>
    <row r="1132" spans="1:1">
      <c r="A1132" s="976"/>
    </row>
    <row r="1133" spans="1:1">
      <c r="A1133" s="976"/>
    </row>
    <row r="1134" spans="1:1">
      <c r="A1134" s="976"/>
    </row>
    <row r="1135" spans="1:1">
      <c r="A1135" s="976"/>
    </row>
    <row r="1136" spans="1:1">
      <c r="A1136" s="976"/>
    </row>
    <row r="1137" spans="1:1">
      <c r="A1137" s="976"/>
    </row>
    <row r="1138" spans="1:1">
      <c r="A1138" s="976"/>
    </row>
    <row r="1139" spans="1:1">
      <c r="A1139" s="976"/>
    </row>
    <row r="1140" spans="1:1">
      <c r="A1140" s="976"/>
    </row>
    <row r="1141" spans="1:1">
      <c r="A1141" s="976"/>
    </row>
    <row r="1142" spans="1:1">
      <c r="A1142" s="976"/>
    </row>
    <row r="1143" spans="1:1">
      <c r="A1143" s="976"/>
    </row>
    <row r="1144" spans="1:1">
      <c r="A1144" s="976"/>
    </row>
    <row r="1145" spans="1:1">
      <c r="A1145" s="976"/>
    </row>
    <row r="1146" spans="1:1">
      <c r="A1146" s="976"/>
    </row>
    <row r="1147" spans="1:1">
      <c r="A1147" s="976"/>
    </row>
    <row r="1148" spans="1:1">
      <c r="A1148" s="976"/>
    </row>
    <row r="1149" spans="1:1">
      <c r="A1149" s="976"/>
    </row>
    <row r="1150" spans="1:1">
      <c r="A1150" s="976"/>
    </row>
    <row r="1151" spans="1:1">
      <c r="A1151" s="976"/>
    </row>
    <row r="1152" spans="1:1">
      <c r="A1152" s="976"/>
    </row>
    <row r="1153" spans="1:1">
      <c r="A1153" s="976"/>
    </row>
    <row r="1154" spans="1:1">
      <c r="A1154" s="976"/>
    </row>
    <row r="1155" spans="1:1">
      <c r="A1155" s="976"/>
    </row>
    <row r="1156" spans="1:1">
      <c r="A1156" s="976"/>
    </row>
    <row r="1157" spans="1:1">
      <c r="A1157" s="976"/>
    </row>
    <row r="1158" spans="1:1">
      <c r="A1158" s="976"/>
    </row>
    <row r="1159" spans="1:1">
      <c r="A1159" s="976"/>
    </row>
    <row r="1160" spans="1:1">
      <c r="A1160" s="976"/>
    </row>
    <row r="1161" spans="1:1">
      <c r="A1161" s="976"/>
    </row>
    <row r="1162" spans="1:1">
      <c r="A1162" s="976"/>
    </row>
    <row r="1163" spans="1:1">
      <c r="A1163" s="976"/>
    </row>
    <row r="1164" spans="1:1">
      <c r="A1164" s="976"/>
    </row>
    <row r="1165" spans="1:1">
      <c r="A1165" s="976"/>
    </row>
    <row r="1166" spans="1:1">
      <c r="A1166" s="976"/>
    </row>
    <row r="1167" spans="1:1">
      <c r="A1167" s="976"/>
    </row>
    <row r="1168" spans="1:1">
      <c r="A1168" s="976"/>
    </row>
    <row r="1169" spans="1:1">
      <c r="A1169" s="976"/>
    </row>
    <row r="1170" spans="1:1">
      <c r="A1170" s="976"/>
    </row>
    <row r="1171" spans="1:1">
      <c r="A1171" s="976"/>
    </row>
    <row r="1172" spans="1:1">
      <c r="A1172" s="976"/>
    </row>
    <row r="1173" spans="1:1">
      <c r="A1173" s="976"/>
    </row>
    <row r="1174" spans="1:1">
      <c r="A1174" s="976"/>
    </row>
    <row r="1175" spans="1:1">
      <c r="A1175" s="976"/>
    </row>
    <row r="1176" spans="1:1">
      <c r="A1176" s="976"/>
    </row>
    <row r="1177" spans="1:1">
      <c r="A1177" s="976"/>
    </row>
    <row r="1178" spans="1:1">
      <c r="A1178" s="976"/>
    </row>
    <row r="1179" spans="1:1">
      <c r="A1179" s="976"/>
    </row>
    <row r="1180" spans="1:1">
      <c r="A1180" s="976"/>
    </row>
    <row r="1181" spans="1:1">
      <c r="A1181" s="976"/>
    </row>
    <row r="1182" spans="1:1">
      <c r="A1182" s="976"/>
    </row>
    <row r="1183" spans="1:1">
      <c r="A1183" s="976"/>
    </row>
    <row r="1184" spans="1:1">
      <c r="A1184" s="976"/>
    </row>
    <row r="1185" spans="1:1">
      <c r="A1185" s="976"/>
    </row>
    <row r="1186" spans="1:1">
      <c r="A1186" s="976"/>
    </row>
    <row r="1187" spans="1:1">
      <c r="A1187" s="976"/>
    </row>
    <row r="1188" spans="1:1">
      <c r="A1188" s="976"/>
    </row>
    <row r="1189" spans="1:1">
      <c r="A1189" s="976"/>
    </row>
    <row r="1190" spans="1:1">
      <c r="A1190" s="976"/>
    </row>
    <row r="1191" spans="1:1">
      <c r="A1191" s="976"/>
    </row>
    <row r="1192" spans="1:1">
      <c r="A1192" s="976"/>
    </row>
    <row r="1193" spans="1:1">
      <c r="A1193" s="976"/>
    </row>
    <row r="1194" spans="1:1">
      <c r="A1194" s="976"/>
    </row>
    <row r="1195" spans="1:1">
      <c r="A1195" s="976"/>
    </row>
    <row r="1196" spans="1:1">
      <c r="A1196" s="976"/>
    </row>
    <row r="1197" spans="1:1">
      <c r="A1197" s="976"/>
    </row>
    <row r="1198" spans="1:1">
      <c r="A1198" s="976"/>
    </row>
    <row r="1199" spans="1:1">
      <c r="A1199" s="976"/>
    </row>
    <row r="1200" spans="1:1">
      <c r="A1200" s="976"/>
    </row>
    <row r="1201" spans="1:1">
      <c r="A1201" s="976"/>
    </row>
    <row r="1202" spans="1:1">
      <c r="A1202" s="976"/>
    </row>
    <row r="1203" spans="1:1">
      <c r="A1203" s="976"/>
    </row>
    <row r="1204" spans="1:1">
      <c r="A1204" s="976"/>
    </row>
    <row r="1205" spans="1:1">
      <c r="A1205" s="976"/>
    </row>
    <row r="1206" spans="1:1">
      <c r="A1206" s="976"/>
    </row>
    <row r="1207" spans="1:1">
      <c r="A1207" s="976"/>
    </row>
    <row r="1208" spans="1:1">
      <c r="A1208" s="976"/>
    </row>
    <row r="1209" spans="1:1">
      <c r="A1209" s="976"/>
    </row>
    <row r="1210" spans="1:1">
      <c r="A1210" s="976"/>
    </row>
    <row r="1211" spans="1:1">
      <c r="A1211" s="976"/>
    </row>
    <row r="1212" spans="1:1">
      <c r="A1212" s="976"/>
    </row>
    <row r="1213" spans="1:1">
      <c r="A1213" s="976"/>
    </row>
    <row r="1214" spans="1:1">
      <c r="A1214" s="976"/>
    </row>
    <row r="1215" spans="1:1">
      <c r="A1215" s="976"/>
    </row>
    <row r="1216" spans="1:1">
      <c r="A1216" s="976"/>
    </row>
    <row r="1217" spans="1:1">
      <c r="A1217" s="976"/>
    </row>
    <row r="1218" spans="1:1">
      <c r="A1218" s="976"/>
    </row>
    <row r="1219" spans="1:1">
      <c r="A1219" s="976"/>
    </row>
    <row r="1220" spans="1:1">
      <c r="A1220" s="976"/>
    </row>
    <row r="1221" spans="1:1">
      <c r="A1221" s="976"/>
    </row>
    <row r="1222" spans="1:1">
      <c r="A1222" s="976"/>
    </row>
    <row r="1223" spans="1:1">
      <c r="A1223" s="976"/>
    </row>
    <row r="1224" spans="1:1">
      <c r="A1224" s="976"/>
    </row>
    <row r="1225" spans="1:1">
      <c r="A1225" s="976"/>
    </row>
    <row r="1226" spans="1:1">
      <c r="A1226" s="976"/>
    </row>
    <row r="1227" spans="1:1">
      <c r="A1227" s="976"/>
    </row>
    <row r="1228" spans="1:1">
      <c r="A1228" s="976"/>
    </row>
    <row r="1229" spans="1:1">
      <c r="A1229" s="976"/>
    </row>
    <row r="1230" spans="1:1">
      <c r="A1230" s="976"/>
    </row>
    <row r="1231" spans="1:1">
      <c r="A1231" s="976"/>
    </row>
    <row r="1232" spans="1:1">
      <c r="A1232" s="976"/>
    </row>
    <row r="1233" spans="1:1">
      <c r="A1233" s="976"/>
    </row>
    <row r="1234" spans="1:1">
      <c r="A1234" s="976"/>
    </row>
    <row r="1235" spans="1:1">
      <c r="A1235" s="976"/>
    </row>
    <row r="1236" spans="1:1">
      <c r="A1236" s="976"/>
    </row>
    <row r="1237" spans="1:1">
      <c r="A1237" s="976"/>
    </row>
    <row r="1238" spans="1:1">
      <c r="A1238" s="976"/>
    </row>
    <row r="1239" spans="1:1">
      <c r="A1239" s="976"/>
    </row>
    <row r="1240" spans="1:1">
      <c r="A1240" s="976"/>
    </row>
    <row r="1241" spans="1:1">
      <c r="A1241" s="976"/>
    </row>
    <row r="1242" spans="1:1">
      <c r="A1242" s="976"/>
    </row>
    <row r="1243" spans="1:1">
      <c r="A1243" s="976"/>
    </row>
    <row r="1244" spans="1:1">
      <c r="A1244" s="976"/>
    </row>
    <row r="1245" spans="1:1">
      <c r="A1245" s="976"/>
    </row>
    <row r="1246" spans="1:1">
      <c r="A1246" s="976"/>
    </row>
    <row r="1247" spans="1:1">
      <c r="A1247" s="976"/>
    </row>
    <row r="1248" spans="1:1">
      <c r="A1248" s="976"/>
    </row>
    <row r="1249" spans="1:1">
      <c r="A1249" s="976"/>
    </row>
    <row r="1250" spans="1:1">
      <c r="A1250" s="976"/>
    </row>
    <row r="1251" spans="1:1">
      <c r="A1251" s="976"/>
    </row>
    <row r="1252" spans="1:1">
      <c r="A1252" s="976"/>
    </row>
    <row r="1253" spans="1:1">
      <c r="A1253" s="976"/>
    </row>
    <row r="1254" spans="1:1">
      <c r="A1254" s="976"/>
    </row>
    <row r="1255" spans="1:1">
      <c r="A1255" s="976"/>
    </row>
    <row r="1256" spans="1:1">
      <c r="A1256" s="976"/>
    </row>
    <row r="1257" spans="1:1">
      <c r="A1257" s="976"/>
    </row>
    <row r="1258" spans="1:1">
      <c r="A1258" s="976"/>
    </row>
    <row r="1259" spans="1:1">
      <c r="A1259" s="976"/>
    </row>
    <row r="1260" spans="1:1">
      <c r="A1260" s="976"/>
    </row>
    <row r="1261" spans="1:1">
      <c r="A1261" s="976"/>
    </row>
    <row r="1262" spans="1:1">
      <c r="A1262" s="976"/>
    </row>
    <row r="1263" spans="1:1">
      <c r="A1263" s="976"/>
    </row>
    <row r="1264" spans="1:1">
      <c r="A1264" s="976"/>
    </row>
    <row r="1265" spans="1:1">
      <c r="A1265" s="976"/>
    </row>
    <row r="1266" spans="1:1">
      <c r="A1266" s="976"/>
    </row>
    <row r="1267" spans="1:1">
      <c r="A1267" s="976"/>
    </row>
    <row r="1268" spans="1:1">
      <c r="A1268" s="976"/>
    </row>
    <row r="1269" spans="1:1">
      <c r="A1269" s="976"/>
    </row>
    <row r="1270" spans="1:1">
      <c r="A1270" s="976"/>
    </row>
    <row r="1271" spans="1:1">
      <c r="A1271" s="976"/>
    </row>
    <row r="1272" spans="1:1">
      <c r="A1272" s="976"/>
    </row>
    <row r="1273" spans="1:1">
      <c r="A1273" s="976"/>
    </row>
    <row r="1274" spans="1:1">
      <c r="A1274" s="976"/>
    </row>
    <row r="1275" spans="1:1">
      <c r="A1275" s="976"/>
    </row>
    <row r="1276" spans="1:1">
      <c r="A1276" s="976"/>
    </row>
    <row r="1277" spans="1:1">
      <c r="A1277" s="976"/>
    </row>
    <row r="1278" spans="1:1">
      <c r="A1278" s="976"/>
    </row>
    <row r="1279" spans="1:1">
      <c r="A1279" s="976"/>
    </row>
    <row r="1280" spans="1:1">
      <c r="A1280" s="976"/>
    </row>
    <row r="1281" spans="1:1">
      <c r="A1281" s="976"/>
    </row>
    <row r="1282" spans="1:1">
      <c r="A1282" s="976"/>
    </row>
    <row r="1283" spans="1:1">
      <c r="A1283" s="976"/>
    </row>
    <row r="1284" spans="1:1">
      <c r="A1284" s="976"/>
    </row>
    <row r="1285" spans="1:1">
      <c r="A1285" s="976"/>
    </row>
    <row r="1286" spans="1:1">
      <c r="A1286" s="976"/>
    </row>
    <row r="1287" spans="1:1">
      <c r="A1287" s="976"/>
    </row>
    <row r="1288" spans="1:1">
      <c r="A1288" s="976"/>
    </row>
    <row r="1289" spans="1:1">
      <c r="A1289" s="976"/>
    </row>
    <row r="1290" spans="1:1">
      <c r="A1290" s="976"/>
    </row>
    <row r="1291" spans="1:1">
      <c r="A1291" s="976"/>
    </row>
    <row r="1292" spans="1:1">
      <c r="A1292" s="976"/>
    </row>
    <row r="1293" spans="1:1">
      <c r="A1293" s="976"/>
    </row>
    <row r="1294" spans="1:1">
      <c r="A1294" s="976"/>
    </row>
    <row r="1295" spans="1:1">
      <c r="A1295" s="976"/>
    </row>
    <row r="1296" spans="1:1">
      <c r="A1296" s="976"/>
    </row>
    <row r="1297" spans="1:1">
      <c r="A1297" s="976"/>
    </row>
    <row r="1298" spans="1:1">
      <c r="A1298" s="976"/>
    </row>
    <row r="1299" spans="1:1">
      <c r="A1299" s="976"/>
    </row>
    <row r="1300" spans="1:1">
      <c r="A1300" s="976"/>
    </row>
    <row r="1301" spans="1:1">
      <c r="A1301" s="976"/>
    </row>
    <row r="1302" spans="1:1">
      <c r="A1302" s="976"/>
    </row>
    <row r="1303" spans="1:1">
      <c r="A1303" s="976"/>
    </row>
    <row r="1304" spans="1:1">
      <c r="A1304" s="976"/>
    </row>
    <row r="1305" spans="1:1">
      <c r="A1305" s="976"/>
    </row>
    <row r="1306" spans="1:1">
      <c r="A1306" s="976"/>
    </row>
    <row r="1307" spans="1:1">
      <c r="A1307" s="976"/>
    </row>
    <row r="1308" spans="1:1">
      <c r="A1308" s="976"/>
    </row>
    <row r="1309" spans="1:1">
      <c r="A1309" s="976"/>
    </row>
    <row r="1310" spans="1:1">
      <c r="A1310" s="976"/>
    </row>
    <row r="1311" spans="1:1">
      <c r="A1311" s="976"/>
    </row>
    <row r="1312" spans="1:1">
      <c r="A1312" s="976"/>
    </row>
    <row r="1313" spans="1:1">
      <c r="A1313" s="976"/>
    </row>
    <row r="1314" spans="1:1">
      <c r="A1314" s="976"/>
    </row>
    <row r="1315" spans="1:1">
      <c r="A1315" s="976"/>
    </row>
    <row r="1316" spans="1:1">
      <c r="A1316" s="976"/>
    </row>
    <row r="1317" spans="1:1">
      <c r="A1317" s="976"/>
    </row>
    <row r="1318" spans="1:1">
      <c r="A1318" s="976"/>
    </row>
    <row r="1319" spans="1:1">
      <c r="A1319" s="976"/>
    </row>
    <row r="1320" spans="1:1">
      <c r="A1320" s="976"/>
    </row>
    <row r="1321" spans="1:1">
      <c r="A1321" s="976"/>
    </row>
    <row r="1322" spans="1:1">
      <c r="A1322" s="976"/>
    </row>
    <row r="1323" spans="1:1">
      <c r="A1323" s="976"/>
    </row>
    <row r="1324" spans="1:1">
      <c r="A1324" s="976"/>
    </row>
    <row r="1325" spans="1:1">
      <c r="A1325" s="976"/>
    </row>
    <row r="1326" spans="1:1">
      <c r="A1326" s="976"/>
    </row>
    <row r="1327" spans="1:1">
      <c r="A1327" s="976"/>
    </row>
    <row r="1328" spans="1:1">
      <c r="A1328" s="976"/>
    </row>
    <row r="1329" spans="1:1">
      <c r="A1329" s="976"/>
    </row>
    <row r="1330" spans="1:1">
      <c r="A1330" s="976"/>
    </row>
    <row r="1331" spans="1:1">
      <c r="A1331" s="976"/>
    </row>
    <row r="1332" spans="1:1">
      <c r="A1332" s="976"/>
    </row>
    <row r="1333" spans="1:1">
      <c r="A1333" s="976"/>
    </row>
    <row r="1334" spans="1:1">
      <c r="A1334" s="976"/>
    </row>
    <row r="1335" spans="1:1">
      <c r="A1335" s="976"/>
    </row>
    <row r="1336" spans="1:1">
      <c r="A1336" s="976"/>
    </row>
    <row r="1337" spans="1:1">
      <c r="A1337" s="976"/>
    </row>
    <row r="1338" spans="1:1">
      <c r="A1338" s="976"/>
    </row>
    <row r="1339" spans="1:1">
      <c r="A1339" s="976"/>
    </row>
    <row r="1340" spans="1:1">
      <c r="A1340" s="976"/>
    </row>
    <row r="1341" spans="1:1">
      <c r="A1341" s="976"/>
    </row>
    <row r="1342" spans="1:1">
      <c r="A1342" s="976"/>
    </row>
    <row r="1343" spans="1:1">
      <c r="A1343" s="976"/>
    </row>
    <row r="1344" spans="1:1">
      <c r="A1344" s="976"/>
    </row>
    <row r="1345" spans="1:1">
      <c r="A1345" s="976"/>
    </row>
    <row r="1346" spans="1:1">
      <c r="A1346" s="976"/>
    </row>
    <row r="1347" spans="1:1">
      <c r="A1347" s="976"/>
    </row>
    <row r="1348" spans="1:1">
      <c r="A1348" s="976"/>
    </row>
    <row r="1349" spans="1:1">
      <c r="A1349" s="976"/>
    </row>
    <row r="1350" spans="1:1">
      <c r="A1350" s="976"/>
    </row>
    <row r="1351" spans="1:1">
      <c r="A1351" s="976"/>
    </row>
    <row r="1352" spans="1:1">
      <c r="A1352" s="976"/>
    </row>
    <row r="1353" spans="1:1">
      <c r="A1353" s="976"/>
    </row>
    <row r="1354" spans="1:1">
      <c r="A1354" s="976"/>
    </row>
    <row r="1355" spans="1:1">
      <c r="A1355" s="976"/>
    </row>
    <row r="1356" spans="1:1">
      <c r="A1356" s="976"/>
    </row>
    <row r="1357" spans="1:1">
      <c r="A1357" s="976"/>
    </row>
    <row r="1358" spans="1:1">
      <c r="A1358" s="976"/>
    </row>
    <row r="1359" spans="1:1">
      <c r="A1359" s="976"/>
    </row>
    <row r="1360" spans="1:1">
      <c r="A1360" s="976"/>
    </row>
    <row r="1361" spans="1:1">
      <c r="A1361" s="976"/>
    </row>
    <row r="1362" spans="1:1">
      <c r="A1362" s="976"/>
    </row>
    <row r="1363" spans="1:1">
      <c r="A1363" s="976"/>
    </row>
    <row r="1364" spans="1:1">
      <c r="A1364" s="976"/>
    </row>
    <row r="1365" spans="1:1">
      <c r="A1365" s="976"/>
    </row>
    <row r="1366" spans="1:1">
      <c r="A1366" s="976"/>
    </row>
    <row r="1367" spans="1:1">
      <c r="A1367" s="976"/>
    </row>
    <row r="1368" spans="1:1">
      <c r="A1368" s="976"/>
    </row>
    <row r="1369" spans="1:1">
      <c r="A1369" s="976"/>
    </row>
    <row r="1370" spans="1:1">
      <c r="A1370" s="976"/>
    </row>
    <row r="1371" spans="1:1">
      <c r="A1371" s="976"/>
    </row>
    <row r="1372" spans="1:1">
      <c r="A1372" s="976"/>
    </row>
    <row r="1373" spans="1:1">
      <c r="A1373" s="976"/>
    </row>
    <row r="1374" spans="1:1">
      <c r="A1374" s="976"/>
    </row>
    <row r="1375" spans="1:1">
      <c r="A1375" s="976"/>
    </row>
    <row r="1376" spans="1:1">
      <c r="A1376" s="976"/>
    </row>
    <row r="1377" spans="1:1">
      <c r="A1377" s="976"/>
    </row>
    <row r="1378" spans="1:1">
      <c r="A1378" s="976"/>
    </row>
    <row r="1379" spans="1:1">
      <c r="A1379" s="976"/>
    </row>
    <row r="1380" spans="1:1">
      <c r="A1380" s="976"/>
    </row>
    <row r="1381" spans="1:1">
      <c r="A1381" s="976"/>
    </row>
    <row r="1382" spans="1:1">
      <c r="A1382" s="976"/>
    </row>
    <row r="1383" spans="1:1">
      <c r="A1383" s="976"/>
    </row>
    <row r="1384" spans="1:1">
      <c r="A1384" s="976"/>
    </row>
    <row r="1385" spans="1:1">
      <c r="A1385" s="976"/>
    </row>
    <row r="1386" spans="1:1">
      <c r="A1386" s="976"/>
    </row>
    <row r="1387" spans="1:1">
      <c r="A1387" s="976"/>
    </row>
    <row r="1388" spans="1:1">
      <c r="A1388" s="976"/>
    </row>
    <row r="1389" spans="1:1">
      <c r="A1389" s="976"/>
    </row>
    <row r="1390" spans="1:1">
      <c r="A1390" s="976"/>
    </row>
    <row r="1391" spans="1:1">
      <c r="A1391" s="976"/>
    </row>
    <row r="1392" spans="1:1">
      <c r="A1392" s="976"/>
    </row>
    <row r="1393" spans="1:1">
      <c r="A1393" s="976"/>
    </row>
    <row r="1394" spans="1:1">
      <c r="A1394" s="976"/>
    </row>
    <row r="1395" spans="1:1">
      <c r="A1395" s="976"/>
    </row>
    <row r="1396" spans="1:1">
      <c r="A1396" s="976"/>
    </row>
    <row r="1397" spans="1:1">
      <c r="A1397" s="976"/>
    </row>
    <row r="1398" spans="1:1">
      <c r="A1398" s="976"/>
    </row>
    <row r="1399" spans="1:1">
      <c r="A1399" s="976"/>
    </row>
    <row r="1400" spans="1:1">
      <c r="A1400" s="976"/>
    </row>
    <row r="1401" spans="1:1">
      <c r="A1401" s="976"/>
    </row>
    <row r="1402" spans="1:1">
      <c r="A1402" s="976"/>
    </row>
    <row r="1403" spans="1:1">
      <c r="A1403" s="976"/>
    </row>
    <row r="1404" spans="1:1">
      <c r="A1404" s="976"/>
    </row>
    <row r="1405" spans="1:1">
      <c r="A1405" s="976"/>
    </row>
    <row r="1406" spans="1:1">
      <c r="A1406" s="976"/>
    </row>
    <row r="1407" spans="1:1">
      <c r="A1407" s="976"/>
    </row>
    <row r="1408" spans="1:1">
      <c r="A1408" s="976"/>
    </row>
    <row r="1409" spans="1:1">
      <c r="A1409" s="976"/>
    </row>
    <row r="1410" spans="1:1">
      <c r="A1410" s="976"/>
    </row>
    <row r="1411" spans="1:1">
      <c r="A1411" s="976"/>
    </row>
    <row r="1412" spans="1:1">
      <c r="A1412" s="976"/>
    </row>
    <row r="1413" spans="1:1">
      <c r="A1413" s="976"/>
    </row>
    <row r="1414" spans="1:1">
      <c r="A1414" s="976"/>
    </row>
    <row r="1415" spans="1:1">
      <c r="A1415" s="976"/>
    </row>
    <row r="1416" spans="1:1">
      <c r="A1416" s="976"/>
    </row>
    <row r="1417" spans="1:1">
      <c r="A1417" s="976"/>
    </row>
    <row r="1418" spans="1:1">
      <c r="A1418" s="976"/>
    </row>
    <row r="1419" spans="1:1">
      <c r="A1419" s="976"/>
    </row>
    <row r="1420" spans="1:1">
      <c r="A1420" s="976"/>
    </row>
    <row r="1421" spans="1:1">
      <c r="A1421" s="976"/>
    </row>
    <row r="1422" spans="1:1">
      <c r="A1422" s="976"/>
    </row>
    <row r="1423" spans="1:1">
      <c r="A1423" s="976"/>
    </row>
    <row r="1424" spans="1:1">
      <c r="A1424" s="976"/>
    </row>
    <row r="1425" spans="1:1">
      <c r="A1425" s="976"/>
    </row>
    <row r="1426" spans="1:1">
      <c r="A1426" s="976"/>
    </row>
    <row r="1427" spans="1:1">
      <c r="A1427" s="976"/>
    </row>
    <row r="1428" spans="1:1">
      <c r="A1428" s="976"/>
    </row>
    <row r="1429" spans="1:1">
      <c r="A1429" s="976"/>
    </row>
    <row r="1430" spans="1:1">
      <c r="A1430" s="976"/>
    </row>
    <row r="1431" spans="1:1">
      <c r="A1431" s="976"/>
    </row>
    <row r="1432" spans="1:1">
      <c r="A1432" s="976"/>
    </row>
    <row r="1433" spans="1:1">
      <c r="A1433" s="976"/>
    </row>
    <row r="1434" spans="1:1">
      <c r="A1434" s="976"/>
    </row>
    <row r="1435" spans="1:1">
      <c r="A1435" s="976"/>
    </row>
    <row r="1436" spans="1:1">
      <c r="A1436" s="976"/>
    </row>
    <row r="1437" spans="1:1">
      <c r="A1437" s="976"/>
    </row>
    <row r="1438" spans="1:1">
      <c r="A1438" s="976"/>
    </row>
    <row r="1439" spans="1:1">
      <c r="A1439" s="976"/>
    </row>
    <row r="1440" spans="1:1">
      <c r="A1440" s="976"/>
    </row>
    <row r="1441" spans="1:1">
      <c r="A1441" s="976"/>
    </row>
    <row r="1442" spans="1:1">
      <c r="A1442" s="976"/>
    </row>
    <row r="1443" spans="1:1">
      <c r="A1443" s="976"/>
    </row>
    <row r="1444" spans="1:1">
      <c r="A1444" s="976"/>
    </row>
    <row r="1445" spans="1:1">
      <c r="A1445" s="976"/>
    </row>
    <row r="1446" spans="1:1">
      <c r="A1446" s="976"/>
    </row>
    <row r="1447" spans="1:1">
      <c r="A1447" s="976"/>
    </row>
    <row r="1448" spans="1:1">
      <c r="A1448" s="976"/>
    </row>
    <row r="1449" spans="1:1">
      <c r="A1449" s="976"/>
    </row>
    <row r="1450" spans="1:1">
      <c r="A1450" s="976"/>
    </row>
    <row r="1451" spans="1:1">
      <c r="A1451" s="976"/>
    </row>
    <row r="1452" spans="1:1">
      <c r="A1452" s="976"/>
    </row>
    <row r="1453" spans="1:1">
      <c r="A1453" s="976"/>
    </row>
    <row r="1454" spans="1:1">
      <c r="A1454" s="976"/>
    </row>
    <row r="1455" spans="1:1">
      <c r="A1455" s="976"/>
    </row>
    <row r="1456" spans="1:1">
      <c r="A1456" s="976"/>
    </row>
    <row r="1457" spans="1:1">
      <c r="A1457" s="976"/>
    </row>
    <row r="1458" spans="1:1">
      <c r="A1458" s="976"/>
    </row>
    <row r="1459" spans="1:1">
      <c r="A1459" s="976"/>
    </row>
    <row r="1460" spans="1:1">
      <c r="A1460" s="976"/>
    </row>
    <row r="1461" spans="1:1">
      <c r="A1461" s="976"/>
    </row>
    <row r="1462" spans="1:1">
      <c r="A1462" s="976"/>
    </row>
    <row r="1463" spans="1:1">
      <c r="A1463" s="976"/>
    </row>
    <row r="1464" spans="1:1">
      <c r="A1464" s="976"/>
    </row>
    <row r="1465" spans="1:1">
      <c r="A1465" s="976"/>
    </row>
    <row r="1466" spans="1:1">
      <c r="A1466" s="976"/>
    </row>
    <row r="1467" spans="1:1">
      <c r="A1467" s="976"/>
    </row>
    <row r="1468" spans="1:1">
      <c r="A1468" s="976"/>
    </row>
    <row r="1469" spans="1:1">
      <c r="A1469" s="976"/>
    </row>
    <row r="1470" spans="1:1">
      <c r="A1470" s="976"/>
    </row>
    <row r="1471" spans="1:1">
      <c r="A1471" s="976"/>
    </row>
    <row r="1472" spans="1:1">
      <c r="A1472" s="976"/>
    </row>
    <row r="1473" spans="1:1">
      <c r="A1473" s="976"/>
    </row>
    <row r="1474" spans="1:1">
      <c r="A1474" s="976"/>
    </row>
    <row r="1475" spans="1:1">
      <c r="A1475" s="976"/>
    </row>
    <row r="1476" spans="1:1">
      <c r="A1476" s="976"/>
    </row>
    <row r="1477" spans="1:1">
      <c r="A1477" s="976"/>
    </row>
    <row r="1478" spans="1:1">
      <c r="A1478" s="976"/>
    </row>
    <row r="1479" spans="1:1">
      <c r="A1479" s="976"/>
    </row>
    <row r="1480" spans="1:1">
      <c r="A1480" s="976"/>
    </row>
    <row r="1481" spans="1:1">
      <c r="A1481" s="976"/>
    </row>
    <row r="1482" spans="1:1">
      <c r="A1482" s="976"/>
    </row>
    <row r="1483" spans="1:1">
      <c r="A1483" s="976"/>
    </row>
    <row r="1484" spans="1:1">
      <c r="A1484" s="976"/>
    </row>
    <row r="1485" spans="1:1">
      <c r="A1485" s="976"/>
    </row>
    <row r="1486" spans="1:1">
      <c r="A1486" s="976"/>
    </row>
    <row r="1487" spans="1:1">
      <c r="A1487" s="976"/>
    </row>
    <row r="1488" spans="1:1">
      <c r="A1488" s="976"/>
    </row>
    <row r="1489" spans="1:1">
      <c r="A1489" s="976"/>
    </row>
    <row r="1490" spans="1:1">
      <c r="A1490" s="976"/>
    </row>
    <row r="1491" spans="1:1">
      <c r="A1491" s="976"/>
    </row>
    <row r="1492" spans="1:1">
      <c r="A1492" s="976"/>
    </row>
    <row r="1493" spans="1:1">
      <c r="A1493" s="976"/>
    </row>
    <row r="1494" spans="1:1">
      <c r="A1494" s="976"/>
    </row>
    <row r="1495" spans="1:1">
      <c r="A1495" s="976"/>
    </row>
    <row r="1496" spans="1:1">
      <c r="A1496" s="976"/>
    </row>
    <row r="1497" spans="1:1">
      <c r="A1497" s="976"/>
    </row>
    <row r="1498" spans="1:1">
      <c r="A1498" s="976"/>
    </row>
    <row r="1499" spans="1:1">
      <c r="A1499" s="976"/>
    </row>
    <row r="1500" spans="1:1">
      <c r="A1500" s="976"/>
    </row>
    <row r="1501" spans="1:1">
      <c r="A1501" s="976"/>
    </row>
    <row r="1502" spans="1:1">
      <c r="A1502" s="976"/>
    </row>
    <row r="1503" spans="1:1">
      <c r="A1503" s="976"/>
    </row>
    <row r="1504" spans="1:1">
      <c r="A1504" s="976"/>
    </row>
    <row r="1505" spans="1:1">
      <c r="A1505" s="976"/>
    </row>
    <row r="1506" spans="1:1">
      <c r="A1506" s="976"/>
    </row>
    <row r="1507" spans="1:1">
      <c r="A1507" s="976"/>
    </row>
    <row r="1508" spans="1:1">
      <c r="A1508" s="976"/>
    </row>
    <row r="1509" spans="1:1">
      <c r="A1509" s="976"/>
    </row>
    <row r="1510" spans="1:1">
      <c r="A1510" s="976"/>
    </row>
    <row r="1511" spans="1:1">
      <c r="A1511" s="976"/>
    </row>
    <row r="1512" spans="1:1">
      <c r="A1512" s="976"/>
    </row>
    <row r="1513" spans="1:1">
      <c r="A1513" s="976"/>
    </row>
    <row r="1514" spans="1:1">
      <c r="A1514" s="976"/>
    </row>
    <row r="1515" spans="1:1">
      <c r="A1515" s="976"/>
    </row>
    <row r="1516" spans="1:1">
      <c r="A1516" s="976"/>
    </row>
    <row r="1517" spans="1:1">
      <c r="A1517" s="976"/>
    </row>
    <row r="1518" spans="1:1">
      <c r="A1518" s="976"/>
    </row>
    <row r="1519" spans="1:1">
      <c r="A1519" s="976"/>
    </row>
    <row r="1520" spans="1:1">
      <c r="A1520" s="976"/>
    </row>
    <row r="1521" spans="1:1">
      <c r="A1521" s="976"/>
    </row>
    <row r="1522" spans="1:1">
      <c r="A1522" s="976"/>
    </row>
    <row r="1523" spans="1:1">
      <c r="A1523" s="976"/>
    </row>
    <row r="1524" spans="1:1">
      <c r="A1524" s="976"/>
    </row>
    <row r="1525" spans="1:1">
      <c r="A1525" s="976"/>
    </row>
    <row r="1526" spans="1:1">
      <c r="A1526" s="976"/>
    </row>
    <row r="1527" spans="1:1">
      <c r="A1527" s="976"/>
    </row>
    <row r="1528" spans="1:1">
      <c r="A1528" s="976"/>
    </row>
    <row r="1529" spans="1:1">
      <c r="A1529" s="976"/>
    </row>
    <row r="1530" spans="1:1">
      <c r="A1530" s="976"/>
    </row>
    <row r="1531" spans="1:1">
      <c r="A1531" s="976"/>
    </row>
    <row r="1532" spans="1:1">
      <c r="A1532" s="976"/>
    </row>
    <row r="1533" spans="1:1">
      <c r="A1533" s="976"/>
    </row>
    <row r="1534" spans="1:1">
      <c r="A1534" s="976"/>
    </row>
    <row r="1535" spans="1:1">
      <c r="A1535" s="976"/>
    </row>
    <row r="1536" spans="1:1">
      <c r="A1536" s="976"/>
    </row>
    <row r="1537" spans="1:1">
      <c r="A1537" s="976"/>
    </row>
    <row r="1538" spans="1:1">
      <c r="A1538" s="976"/>
    </row>
    <row r="1539" spans="1:1">
      <c r="A1539" s="976"/>
    </row>
    <row r="1540" spans="1:1">
      <c r="A1540" s="976"/>
    </row>
    <row r="1541" spans="1:1">
      <c r="A1541" s="976"/>
    </row>
    <row r="1542" spans="1:1">
      <c r="A1542" s="976"/>
    </row>
    <row r="1543" spans="1:1">
      <c r="A1543" s="976"/>
    </row>
    <row r="1544" spans="1:1">
      <c r="A1544" s="976"/>
    </row>
    <row r="1545" spans="1:1">
      <c r="A1545" s="976"/>
    </row>
    <row r="1546" spans="1:1">
      <c r="A1546" s="976"/>
    </row>
    <row r="1547" spans="1:1">
      <c r="A1547" s="976"/>
    </row>
    <row r="1548" spans="1:1">
      <c r="A1548" s="976"/>
    </row>
    <row r="1549" spans="1:1">
      <c r="A1549" s="976"/>
    </row>
    <row r="1550" spans="1:1">
      <c r="A1550" s="976"/>
    </row>
    <row r="1551" spans="1:1">
      <c r="A1551" s="976"/>
    </row>
    <row r="1552" spans="1:1">
      <c r="A1552" s="976"/>
    </row>
    <row r="1553" spans="1:1">
      <c r="A1553" s="976"/>
    </row>
    <row r="1554" spans="1:1">
      <c r="A1554" s="976"/>
    </row>
    <row r="1555" spans="1:1">
      <c r="A1555" s="976"/>
    </row>
    <row r="1556" spans="1:1">
      <c r="A1556" s="976"/>
    </row>
    <row r="1557" spans="1:1">
      <c r="A1557" s="976"/>
    </row>
    <row r="1558" spans="1:1">
      <c r="A1558" s="976"/>
    </row>
    <row r="1559" spans="1:1">
      <c r="A1559" s="976"/>
    </row>
    <row r="1560" spans="1:1">
      <c r="A1560" s="976"/>
    </row>
    <row r="1561" spans="1:1">
      <c r="A1561" s="976"/>
    </row>
    <row r="1562" spans="1:1">
      <c r="A1562" s="976"/>
    </row>
    <row r="1563" spans="1:1">
      <c r="A1563" s="976"/>
    </row>
    <row r="1564" spans="1:1">
      <c r="A1564" s="976"/>
    </row>
    <row r="1565" spans="1:1">
      <c r="A1565" s="976"/>
    </row>
    <row r="1566" spans="1:1">
      <c r="A1566" s="976"/>
    </row>
    <row r="1567" spans="1:1">
      <c r="A1567" s="976"/>
    </row>
    <row r="1568" spans="1:1">
      <c r="A1568" s="976"/>
    </row>
    <row r="1569" spans="1:1">
      <c r="A1569" s="976"/>
    </row>
    <row r="1570" spans="1:1">
      <c r="A1570" s="976"/>
    </row>
    <row r="1571" spans="1:1">
      <c r="A1571" s="976"/>
    </row>
    <row r="1572" spans="1:1">
      <c r="A1572" s="976"/>
    </row>
    <row r="1573" spans="1:1">
      <c r="A1573" s="976"/>
    </row>
    <row r="1574" spans="1:1">
      <c r="A1574" s="976"/>
    </row>
    <row r="1575" spans="1:1">
      <c r="A1575" s="976"/>
    </row>
    <row r="1576" spans="1:1">
      <c r="A1576" s="976"/>
    </row>
    <row r="1577" spans="1:1">
      <c r="A1577" s="976"/>
    </row>
    <row r="1578" spans="1:1">
      <c r="A1578" s="976"/>
    </row>
    <row r="1579" spans="1:1">
      <c r="A1579" s="976"/>
    </row>
    <row r="1580" spans="1:1">
      <c r="A1580" s="976"/>
    </row>
    <row r="1581" spans="1:1">
      <c r="A1581" s="976"/>
    </row>
    <row r="1582" spans="1:1">
      <c r="A1582" s="976"/>
    </row>
    <row r="1583" spans="1:1">
      <c r="A1583" s="976"/>
    </row>
    <row r="1584" spans="1:1">
      <c r="A1584" s="976"/>
    </row>
    <row r="1585" spans="1:1">
      <c r="A1585" s="976"/>
    </row>
    <row r="1586" spans="1:1">
      <c r="A1586" s="976"/>
    </row>
    <row r="1587" spans="1:1">
      <c r="A1587" s="976"/>
    </row>
    <row r="1588" spans="1:1">
      <c r="A1588" s="976"/>
    </row>
    <row r="1589" spans="1:1">
      <c r="A1589" s="976"/>
    </row>
    <row r="1590" spans="1:1">
      <c r="A1590" s="976"/>
    </row>
    <row r="1591" spans="1:1">
      <c r="A1591" s="976"/>
    </row>
    <row r="1592" spans="1:1">
      <c r="A1592" s="976"/>
    </row>
    <row r="1593" spans="1:1">
      <c r="A1593" s="976"/>
    </row>
    <row r="1594" spans="1:1">
      <c r="A1594" s="976"/>
    </row>
    <row r="1595" spans="1:1">
      <c r="A1595" s="976"/>
    </row>
    <row r="1596" spans="1:1">
      <c r="A1596" s="976"/>
    </row>
    <row r="1597" spans="1:1">
      <c r="A1597" s="976"/>
    </row>
    <row r="1598" spans="1:1">
      <c r="A1598" s="976"/>
    </row>
    <row r="1599" spans="1:1">
      <c r="A1599" s="976"/>
    </row>
    <row r="1600" spans="1:1">
      <c r="A1600" s="976"/>
    </row>
    <row r="1601" spans="1:1">
      <c r="A1601" s="976"/>
    </row>
    <row r="1602" spans="1:1">
      <c r="A1602" s="976"/>
    </row>
    <row r="1603" spans="1:1">
      <c r="A1603" s="976"/>
    </row>
    <row r="1604" spans="1:1">
      <c r="A1604" s="976"/>
    </row>
    <row r="1605" spans="1:1">
      <c r="A1605" s="976"/>
    </row>
    <row r="1606" spans="1:1">
      <c r="A1606" s="976"/>
    </row>
    <row r="1607" spans="1:1">
      <c r="A1607" s="976"/>
    </row>
    <row r="1608" spans="1:1">
      <c r="A1608" s="976"/>
    </row>
    <row r="1609" spans="1:1">
      <c r="A1609" s="976"/>
    </row>
    <row r="1610" spans="1:1">
      <c r="A1610" s="976"/>
    </row>
    <row r="1611" spans="1:1">
      <c r="A1611" s="976"/>
    </row>
    <row r="1612" spans="1:1">
      <c r="A1612" s="976"/>
    </row>
    <row r="1613" spans="1:1">
      <c r="A1613" s="976"/>
    </row>
    <row r="1614" spans="1:1">
      <c r="A1614" s="976"/>
    </row>
    <row r="1615" spans="1:1">
      <c r="A1615" s="976"/>
    </row>
    <row r="1616" spans="1:1">
      <c r="A1616" s="976"/>
    </row>
    <row r="1617" spans="1:1">
      <c r="A1617" s="976"/>
    </row>
    <row r="1618" spans="1:1">
      <c r="A1618" s="976"/>
    </row>
    <row r="1619" spans="1:1">
      <c r="A1619" s="976"/>
    </row>
    <row r="1620" spans="1:1">
      <c r="A1620" s="976"/>
    </row>
    <row r="1621" spans="1:1">
      <c r="A1621" s="976"/>
    </row>
    <row r="1622" spans="1:1">
      <c r="A1622" s="976"/>
    </row>
    <row r="1623" spans="1:1">
      <c r="A1623" s="976"/>
    </row>
    <row r="1624" spans="1:1">
      <c r="A1624" s="976"/>
    </row>
    <row r="1625" spans="1:1">
      <c r="A1625" s="976"/>
    </row>
    <row r="1626" spans="1:1">
      <c r="A1626" s="976"/>
    </row>
    <row r="1627" spans="1:1">
      <c r="A1627" s="976"/>
    </row>
    <row r="1628" spans="1:1">
      <c r="A1628" s="976"/>
    </row>
    <row r="1629" spans="1:1">
      <c r="A1629" s="976"/>
    </row>
    <row r="1630" spans="1:1">
      <c r="A1630" s="976"/>
    </row>
    <row r="1631" spans="1:1">
      <c r="A1631" s="976"/>
    </row>
    <row r="1632" spans="1:1">
      <c r="A1632" s="976"/>
    </row>
    <row r="1633" spans="1:1">
      <c r="A1633" s="976"/>
    </row>
    <row r="1634" spans="1:1">
      <c r="A1634" s="976"/>
    </row>
    <row r="1635" spans="1:1">
      <c r="A1635" s="976"/>
    </row>
    <row r="1636" spans="1:1">
      <c r="A1636" s="976"/>
    </row>
    <row r="1637" spans="1:1">
      <c r="A1637" s="976"/>
    </row>
    <row r="1638" spans="1:1">
      <c r="A1638" s="976"/>
    </row>
    <row r="1639" spans="1:1">
      <c r="A1639" s="976"/>
    </row>
    <row r="1640" spans="1:1">
      <c r="A1640" s="976"/>
    </row>
    <row r="1641" spans="1:1">
      <c r="A1641" s="976"/>
    </row>
    <row r="1642" spans="1:1">
      <c r="A1642" s="976"/>
    </row>
    <row r="1643" spans="1:1">
      <c r="A1643" s="976"/>
    </row>
    <row r="1644" spans="1:1">
      <c r="A1644" s="976"/>
    </row>
    <row r="1645" spans="1:1">
      <c r="A1645" s="976"/>
    </row>
    <row r="1646" spans="1:1">
      <c r="A1646" s="976"/>
    </row>
    <row r="1647" spans="1:1">
      <c r="A1647" s="976"/>
    </row>
    <row r="1648" spans="1:1">
      <c r="A1648" s="976"/>
    </row>
    <row r="1649" spans="1:1">
      <c r="A1649" s="976"/>
    </row>
    <row r="1650" spans="1:1">
      <c r="A1650" s="976"/>
    </row>
    <row r="1651" spans="1:1">
      <c r="A1651" s="976"/>
    </row>
    <row r="1652" spans="1:1">
      <c r="A1652" s="976"/>
    </row>
    <row r="1653" spans="1:1">
      <c r="A1653" s="976"/>
    </row>
    <row r="1654" spans="1:1">
      <c r="A1654" s="976"/>
    </row>
    <row r="1655" spans="1:1">
      <c r="A1655" s="976"/>
    </row>
    <row r="1656" spans="1:1">
      <c r="A1656" s="976"/>
    </row>
    <row r="1657" spans="1:1">
      <c r="A1657" s="976"/>
    </row>
    <row r="1658" spans="1:1">
      <c r="A1658" s="976"/>
    </row>
    <row r="1659" spans="1:1">
      <c r="A1659" s="976"/>
    </row>
    <row r="1660" spans="1:1">
      <c r="A1660" s="976"/>
    </row>
    <row r="1661" spans="1:1">
      <c r="A1661" s="976"/>
    </row>
    <row r="1662" spans="1:1">
      <c r="A1662" s="976"/>
    </row>
    <row r="1663" spans="1:1">
      <c r="A1663" s="976"/>
    </row>
    <row r="1664" spans="1:1">
      <c r="A1664" s="976"/>
    </row>
    <row r="1665" spans="1:1">
      <c r="A1665" s="976"/>
    </row>
    <row r="1666" spans="1:1">
      <c r="A1666" s="976"/>
    </row>
    <row r="1667" spans="1:1">
      <c r="A1667" s="976"/>
    </row>
    <row r="1668" spans="1:1">
      <c r="A1668" s="976"/>
    </row>
    <row r="1669" spans="1:1">
      <c r="A1669" s="976"/>
    </row>
    <row r="1670" spans="1:1">
      <c r="A1670" s="976"/>
    </row>
    <row r="1671" spans="1:1">
      <c r="A1671" s="976"/>
    </row>
    <row r="1672" spans="1:1">
      <c r="A1672" s="976"/>
    </row>
    <row r="1673" spans="1:1">
      <c r="A1673" s="976"/>
    </row>
    <row r="1674" spans="1:1">
      <c r="A1674" s="976"/>
    </row>
    <row r="1675" spans="1:1">
      <c r="A1675" s="976"/>
    </row>
    <row r="1676" spans="1:1">
      <c r="A1676" s="976"/>
    </row>
    <row r="1677" spans="1:1">
      <c r="A1677" s="976"/>
    </row>
    <row r="1678" spans="1:1">
      <c r="A1678" s="976"/>
    </row>
    <row r="1679" spans="1:1">
      <c r="A1679" s="976"/>
    </row>
    <row r="1680" spans="1:1">
      <c r="A1680" s="976"/>
    </row>
    <row r="1681" spans="1:1">
      <c r="A1681" s="976"/>
    </row>
    <row r="1682" spans="1:1">
      <c r="A1682" s="976"/>
    </row>
    <row r="1683" spans="1:1">
      <c r="A1683" s="976"/>
    </row>
    <row r="1684" spans="1:1">
      <c r="A1684" s="976"/>
    </row>
    <row r="1685" spans="1:1">
      <c r="A1685" s="976"/>
    </row>
    <row r="1686" spans="1:1">
      <c r="A1686" s="976"/>
    </row>
    <row r="1687" spans="1:1">
      <c r="A1687" s="976"/>
    </row>
    <row r="1688" spans="1:1">
      <c r="A1688" s="976"/>
    </row>
    <row r="1689" spans="1:1">
      <c r="A1689" s="976"/>
    </row>
    <row r="1690" spans="1:1">
      <c r="A1690" s="976"/>
    </row>
    <row r="1691" spans="1:1">
      <c r="A1691" s="976"/>
    </row>
    <row r="1692" spans="1:1">
      <c r="A1692" s="976"/>
    </row>
    <row r="1693" spans="1:1">
      <c r="A1693" s="976"/>
    </row>
    <row r="1694" spans="1:1">
      <c r="A1694" s="976"/>
    </row>
    <row r="1695" spans="1:1">
      <c r="A1695" s="976"/>
    </row>
    <row r="1696" spans="1:1">
      <c r="A1696" s="976"/>
    </row>
    <row r="1697" spans="1:1">
      <c r="A1697" s="976"/>
    </row>
    <row r="1698" spans="1:1">
      <c r="A1698" s="976"/>
    </row>
    <row r="1699" spans="1:1">
      <c r="A1699" s="976"/>
    </row>
    <row r="1700" spans="1:1">
      <c r="A1700" s="976"/>
    </row>
    <row r="1701" spans="1:1">
      <c r="A1701" s="976"/>
    </row>
    <row r="1702" spans="1:1">
      <c r="A1702" s="976"/>
    </row>
    <row r="1703" spans="1:1">
      <c r="A1703" s="976"/>
    </row>
    <row r="1704" spans="1:1">
      <c r="A1704" s="976"/>
    </row>
    <row r="1705" spans="1:1">
      <c r="A1705" s="976"/>
    </row>
    <row r="1706" spans="1:1">
      <c r="A1706" s="976"/>
    </row>
    <row r="1707" spans="1:1">
      <c r="A1707" s="976"/>
    </row>
    <row r="1708" spans="1:1">
      <c r="A1708" s="976"/>
    </row>
    <row r="1709" spans="1:1">
      <c r="A1709" s="976"/>
    </row>
    <row r="1710" spans="1:1">
      <c r="A1710" s="976"/>
    </row>
    <row r="1711" spans="1:1">
      <c r="A1711" s="976"/>
    </row>
    <row r="1712" spans="1:1">
      <c r="A1712" s="976"/>
    </row>
    <row r="1713" spans="1:1">
      <c r="A1713" s="976"/>
    </row>
    <row r="1714" spans="1:1">
      <c r="A1714" s="976"/>
    </row>
    <row r="1715" spans="1:1">
      <c r="A1715" s="976"/>
    </row>
    <row r="1716" spans="1:1">
      <c r="A1716" s="976"/>
    </row>
    <row r="1717" spans="1:1">
      <c r="A1717" s="976"/>
    </row>
    <row r="1718" spans="1:1">
      <c r="A1718" s="976"/>
    </row>
    <row r="1719" spans="1:1">
      <c r="A1719" s="976"/>
    </row>
    <row r="1720" spans="1:1">
      <c r="A1720" s="976"/>
    </row>
    <row r="1721" spans="1:1">
      <c r="A1721" s="976"/>
    </row>
    <row r="1722" spans="1:1">
      <c r="A1722" s="976"/>
    </row>
    <row r="1723" spans="1:1">
      <c r="A1723" s="976"/>
    </row>
    <row r="1724" spans="1:1">
      <c r="A1724" s="976"/>
    </row>
    <row r="1725" spans="1:1">
      <c r="A1725" s="976"/>
    </row>
    <row r="1726" spans="1:1">
      <c r="A1726" s="976"/>
    </row>
    <row r="1727" spans="1:1">
      <c r="A1727" s="976"/>
    </row>
    <row r="1728" spans="1:1">
      <c r="A1728" s="976"/>
    </row>
    <row r="1729" spans="1:1">
      <c r="A1729" s="976"/>
    </row>
    <row r="1730" spans="1:1">
      <c r="A1730" s="976"/>
    </row>
    <row r="1731" spans="1:1">
      <c r="A1731" s="976"/>
    </row>
    <row r="1732" spans="1:1">
      <c r="A1732" s="976"/>
    </row>
    <row r="1733" spans="1:1">
      <c r="A1733" s="976"/>
    </row>
    <row r="1734" spans="1:1">
      <c r="A1734" s="976"/>
    </row>
    <row r="1735" spans="1:1">
      <c r="A1735" s="976"/>
    </row>
    <row r="1736" spans="1:1">
      <c r="A1736" s="976"/>
    </row>
    <row r="1737" spans="1:1">
      <c r="A1737" s="976"/>
    </row>
    <row r="1738" spans="1:1">
      <c r="A1738" s="976"/>
    </row>
    <row r="1739" spans="1:1">
      <c r="A1739" s="976"/>
    </row>
    <row r="1740" spans="1:1">
      <c r="A1740" s="976"/>
    </row>
    <row r="1741" spans="1:1">
      <c r="A1741" s="976"/>
    </row>
    <row r="1742" spans="1:1">
      <c r="A1742" s="976"/>
    </row>
    <row r="1743" spans="1:1">
      <c r="A1743" s="976"/>
    </row>
    <row r="1744" spans="1:1">
      <c r="A1744" s="976"/>
    </row>
    <row r="1745" spans="1:1">
      <c r="A1745" s="976"/>
    </row>
    <row r="1746" spans="1:1">
      <c r="A1746" s="976"/>
    </row>
    <row r="1747" spans="1:1">
      <c r="A1747" s="976"/>
    </row>
    <row r="1748" spans="1:1">
      <c r="A1748" s="976"/>
    </row>
    <row r="1749" spans="1:1">
      <c r="A1749" s="976"/>
    </row>
    <row r="1750" spans="1:1">
      <c r="A1750" s="976"/>
    </row>
    <row r="1751" spans="1:1">
      <c r="A1751" s="976"/>
    </row>
    <row r="1752" spans="1:1">
      <c r="A1752" s="976"/>
    </row>
    <row r="1753" spans="1:1">
      <c r="A1753" s="976"/>
    </row>
    <row r="1754" spans="1:1">
      <c r="A1754" s="976"/>
    </row>
    <row r="1755" spans="1:1">
      <c r="A1755" s="976"/>
    </row>
    <row r="1756" spans="1:1">
      <c r="A1756" s="976"/>
    </row>
    <row r="1757" spans="1:1">
      <c r="A1757" s="976"/>
    </row>
    <row r="1758" spans="1:1">
      <c r="A1758" s="976"/>
    </row>
    <row r="1759" spans="1:1">
      <c r="A1759" s="976"/>
    </row>
    <row r="1760" spans="1:1">
      <c r="A1760" s="976"/>
    </row>
    <row r="1761" spans="1:1">
      <c r="A1761" s="976"/>
    </row>
    <row r="1762" spans="1:1">
      <c r="A1762" s="976"/>
    </row>
    <row r="1763" spans="1:1">
      <c r="A1763" s="976"/>
    </row>
    <row r="1764" spans="1:1">
      <c r="A1764" s="976"/>
    </row>
    <row r="1765" spans="1:1">
      <c r="A1765" s="976"/>
    </row>
    <row r="1766" spans="1:1">
      <c r="A1766" s="976"/>
    </row>
    <row r="1767" spans="1:1">
      <c r="A1767" s="976"/>
    </row>
    <row r="1768" spans="1:1">
      <c r="A1768" s="976"/>
    </row>
    <row r="1769" spans="1:1">
      <c r="A1769" s="976"/>
    </row>
    <row r="1770" spans="1:1">
      <c r="A1770" s="976"/>
    </row>
    <row r="1771" spans="1:1">
      <c r="A1771" s="976"/>
    </row>
    <row r="1772" spans="1:1">
      <c r="A1772" s="976"/>
    </row>
    <row r="1773" spans="1:1">
      <c r="A1773" s="976"/>
    </row>
    <row r="1774" spans="1:1">
      <c r="A1774" s="976"/>
    </row>
    <row r="1775" spans="1:1">
      <c r="A1775" s="976"/>
    </row>
    <row r="1776" spans="1:1">
      <c r="A1776" s="976"/>
    </row>
    <row r="1777" spans="1:1">
      <c r="A1777" s="976"/>
    </row>
    <row r="1778" spans="1:1">
      <c r="A1778" s="976"/>
    </row>
    <row r="1779" spans="1:1">
      <c r="A1779" s="976"/>
    </row>
    <row r="1780" spans="1:1">
      <c r="A1780" s="976"/>
    </row>
    <row r="1781" spans="1:1">
      <c r="A1781" s="976"/>
    </row>
    <row r="1782" spans="1:1">
      <c r="A1782" s="976"/>
    </row>
    <row r="1783" spans="1:1">
      <c r="A1783" s="976"/>
    </row>
    <row r="1784" spans="1:1">
      <c r="A1784" s="976"/>
    </row>
    <row r="1785" spans="1:1">
      <c r="A1785" s="976"/>
    </row>
    <row r="1786" spans="1:1">
      <c r="A1786" s="976"/>
    </row>
    <row r="1787" spans="1:1">
      <c r="A1787" s="976"/>
    </row>
    <row r="1788" spans="1:1">
      <c r="A1788" s="976"/>
    </row>
    <row r="1789" spans="1:1">
      <c r="A1789" s="976"/>
    </row>
    <row r="1790" spans="1:1">
      <c r="A1790" s="976"/>
    </row>
    <row r="1791" spans="1:1">
      <c r="A1791" s="976"/>
    </row>
    <row r="1792" spans="1:1">
      <c r="A1792" s="976"/>
    </row>
    <row r="1793" spans="1:1">
      <c r="A1793" s="976"/>
    </row>
    <row r="1794" spans="1:1">
      <c r="A1794" s="976"/>
    </row>
    <row r="1795" spans="1:1">
      <c r="A1795" s="976"/>
    </row>
    <row r="1796" spans="1:1">
      <c r="A1796" s="976"/>
    </row>
    <row r="1797" spans="1:1">
      <c r="A1797" s="976"/>
    </row>
    <row r="1798" spans="1:1">
      <c r="A1798" s="976"/>
    </row>
    <row r="1799" spans="1:1">
      <c r="A1799" s="976"/>
    </row>
    <row r="1800" spans="1:1">
      <c r="A1800" s="976"/>
    </row>
    <row r="1801" spans="1:1">
      <c r="A1801" s="976"/>
    </row>
    <row r="1802" spans="1:1">
      <c r="A1802" s="976"/>
    </row>
    <row r="1803" spans="1:1">
      <c r="A1803" s="976"/>
    </row>
    <row r="1804" spans="1:1">
      <c r="A1804" s="976"/>
    </row>
    <row r="1805" spans="1:1">
      <c r="A1805" s="976"/>
    </row>
    <row r="1806" spans="1:1">
      <c r="A1806" s="976"/>
    </row>
    <row r="1807" spans="1:1">
      <c r="A1807" s="976"/>
    </row>
    <row r="1808" spans="1:1">
      <c r="A1808" s="976"/>
    </row>
    <row r="1809" spans="1:1">
      <c r="A1809" s="976"/>
    </row>
    <row r="1810" spans="1:1">
      <c r="A1810" s="976"/>
    </row>
    <row r="1811" spans="1:1">
      <c r="A1811" s="976"/>
    </row>
    <row r="1812" spans="1:1">
      <c r="A1812" s="976"/>
    </row>
    <row r="1813" spans="1:1">
      <c r="A1813" s="976"/>
    </row>
    <row r="1814" spans="1:1">
      <c r="A1814" s="976"/>
    </row>
    <row r="1815" spans="1:1">
      <c r="A1815" s="976"/>
    </row>
    <row r="1816" spans="1:1">
      <c r="A1816" s="976"/>
    </row>
    <row r="1817" spans="1:1">
      <c r="A1817" s="976"/>
    </row>
    <row r="1818" spans="1:1">
      <c r="A1818" s="976"/>
    </row>
    <row r="1819" spans="1:1">
      <c r="A1819" s="976"/>
    </row>
    <row r="1820" spans="1:1">
      <c r="A1820" s="976"/>
    </row>
    <row r="1821" spans="1:1">
      <c r="A1821" s="976"/>
    </row>
    <row r="1822" spans="1:1">
      <c r="A1822" s="976"/>
    </row>
    <row r="1823" spans="1:1">
      <c r="A1823" s="976"/>
    </row>
    <row r="1824" spans="1:1">
      <c r="A1824" s="976"/>
    </row>
    <row r="1825" spans="1:1">
      <c r="A1825" s="976"/>
    </row>
    <row r="1826" spans="1:1">
      <c r="A1826" s="976"/>
    </row>
    <row r="1827" spans="1:1">
      <c r="A1827" s="976"/>
    </row>
    <row r="1828" spans="1:1">
      <c r="A1828" s="976"/>
    </row>
    <row r="1829" spans="1:1">
      <c r="A1829" s="976"/>
    </row>
    <row r="1830" spans="1:1">
      <c r="A1830" s="976"/>
    </row>
    <row r="1831" spans="1:1">
      <c r="A1831" s="976"/>
    </row>
    <row r="1832" spans="1:1">
      <c r="A1832" s="976"/>
    </row>
    <row r="1833" spans="1:1">
      <c r="A1833" s="976"/>
    </row>
    <row r="1834" spans="1:1">
      <c r="A1834" s="976"/>
    </row>
    <row r="1835" spans="1:1">
      <c r="A1835" s="976"/>
    </row>
    <row r="1836" spans="1:1">
      <c r="A1836" s="976"/>
    </row>
    <row r="1837" spans="1:1">
      <c r="A1837" s="976"/>
    </row>
    <row r="1838" spans="1:1">
      <c r="A1838" s="976"/>
    </row>
    <row r="1839" spans="1:1">
      <c r="A1839" s="976"/>
    </row>
    <row r="1840" spans="1:1">
      <c r="A1840" s="976"/>
    </row>
    <row r="1841" spans="1:1">
      <c r="A1841" s="976"/>
    </row>
    <row r="1842" spans="1:1">
      <c r="A1842" s="976"/>
    </row>
    <row r="1843" spans="1:1">
      <c r="A1843" s="976"/>
    </row>
    <row r="1844" spans="1:1">
      <c r="A1844" s="976"/>
    </row>
    <row r="1845" spans="1:1">
      <c r="A1845" s="976"/>
    </row>
    <row r="1846" spans="1:1">
      <c r="A1846" s="976"/>
    </row>
    <row r="1847" spans="1:1">
      <c r="A1847" s="976"/>
    </row>
    <row r="1848" spans="1:1">
      <c r="A1848" s="976"/>
    </row>
    <row r="1849" spans="1:1">
      <c r="A1849" s="976"/>
    </row>
    <row r="1850" spans="1:1">
      <c r="A1850" s="976"/>
    </row>
    <row r="1851" spans="1:1">
      <c r="A1851" s="976"/>
    </row>
    <row r="1852" spans="1:1">
      <c r="A1852" s="976"/>
    </row>
    <row r="1853" spans="1:1">
      <c r="A1853" s="976"/>
    </row>
    <row r="1854" spans="1:1">
      <c r="A1854" s="976"/>
    </row>
    <row r="1855" spans="1:1">
      <c r="A1855" s="976"/>
    </row>
    <row r="1856" spans="1:1">
      <c r="A1856" s="976"/>
    </row>
    <row r="1857" spans="1:1">
      <c r="A1857" s="976"/>
    </row>
    <row r="1858" spans="1:1">
      <c r="A1858" s="976"/>
    </row>
    <row r="1859" spans="1:1">
      <c r="A1859" s="976"/>
    </row>
    <row r="1860" spans="1:1">
      <c r="A1860" s="976"/>
    </row>
    <row r="1861" spans="1:1">
      <c r="A1861" s="976"/>
    </row>
    <row r="1862" spans="1:1">
      <c r="A1862" s="976"/>
    </row>
    <row r="1863" spans="1:1">
      <c r="A1863" s="976"/>
    </row>
    <row r="1864" spans="1:1">
      <c r="A1864" s="976"/>
    </row>
    <row r="1865" spans="1:1">
      <c r="A1865" s="976"/>
    </row>
    <row r="1866" spans="1:1">
      <c r="A1866" s="976"/>
    </row>
    <row r="1867" spans="1:1">
      <c r="A1867" s="976"/>
    </row>
    <row r="1868" spans="1:1">
      <c r="A1868" s="976"/>
    </row>
    <row r="1869" spans="1:1">
      <c r="A1869" s="976"/>
    </row>
    <row r="1870" spans="1:1">
      <c r="A1870" s="976"/>
    </row>
    <row r="1871" spans="1:1">
      <c r="A1871" s="976"/>
    </row>
    <row r="1872" spans="1:1">
      <c r="A1872" s="976"/>
    </row>
    <row r="1873" spans="1:1">
      <c r="A1873" s="976"/>
    </row>
    <row r="1874" spans="1:1">
      <c r="A1874" s="976"/>
    </row>
    <row r="1875" spans="1:1">
      <c r="A1875" s="976"/>
    </row>
    <row r="1876" spans="1:1">
      <c r="A1876" s="976"/>
    </row>
    <row r="1877" spans="1:1">
      <c r="A1877" s="976"/>
    </row>
    <row r="1878" spans="1:1">
      <c r="A1878" s="976"/>
    </row>
    <row r="1879" spans="1:1">
      <c r="A1879" s="976"/>
    </row>
    <row r="1880" spans="1:1">
      <c r="A1880" s="976"/>
    </row>
    <row r="1881" spans="1:1">
      <c r="A1881" s="976"/>
    </row>
    <row r="1882" spans="1:1">
      <c r="A1882" s="976"/>
    </row>
    <row r="1883" spans="1:1">
      <c r="A1883" s="976"/>
    </row>
    <row r="1884" spans="1:1">
      <c r="A1884" s="976"/>
    </row>
    <row r="1885" spans="1:1">
      <c r="A1885" s="976"/>
    </row>
    <row r="1886" spans="1:1">
      <c r="A1886" s="976"/>
    </row>
    <row r="1887" spans="1:1">
      <c r="A1887" s="976"/>
    </row>
    <row r="1888" spans="1:1">
      <c r="A1888" s="976"/>
    </row>
    <row r="1889" spans="1:1">
      <c r="A1889" s="976"/>
    </row>
    <row r="1890" spans="1:1">
      <c r="A1890" s="976"/>
    </row>
    <row r="1891" spans="1:1">
      <c r="A1891" s="976"/>
    </row>
    <row r="1892" spans="1:1">
      <c r="A1892" s="976"/>
    </row>
    <row r="1893" spans="1:1">
      <c r="A1893" s="976"/>
    </row>
    <row r="1894" spans="1:1">
      <c r="A1894" s="976"/>
    </row>
    <row r="1895" spans="1:1">
      <c r="A1895" s="976"/>
    </row>
    <row r="1896" spans="1:1">
      <c r="A1896" s="976"/>
    </row>
    <row r="1897" spans="1:1">
      <c r="A1897" s="976"/>
    </row>
    <row r="1898" spans="1:1">
      <c r="A1898" s="976"/>
    </row>
    <row r="1899" spans="1:1">
      <c r="A1899" s="976"/>
    </row>
    <row r="1900" spans="1:1">
      <c r="A1900" s="976"/>
    </row>
    <row r="1901" spans="1:1">
      <c r="A1901" s="976"/>
    </row>
    <row r="1902" spans="1:1">
      <c r="A1902" s="976"/>
    </row>
    <row r="1903" spans="1:1">
      <c r="A1903" s="976"/>
    </row>
    <row r="1904" spans="1:1">
      <c r="A1904" s="976"/>
    </row>
    <row r="1905" spans="1:1">
      <c r="A1905" s="976"/>
    </row>
    <row r="1906" spans="1:1">
      <c r="A1906" s="976"/>
    </row>
    <row r="1907" spans="1:1">
      <c r="A1907" s="976"/>
    </row>
    <row r="1908" spans="1:1">
      <c r="A1908" s="976"/>
    </row>
    <row r="1909" spans="1:1">
      <c r="A1909" s="976"/>
    </row>
    <row r="1910" spans="1:1">
      <c r="A1910" s="976"/>
    </row>
    <row r="1911" spans="1:1">
      <c r="A1911" s="976"/>
    </row>
    <row r="1912" spans="1:1">
      <c r="A1912" s="976"/>
    </row>
    <row r="1913" spans="1:1">
      <c r="A1913" s="976"/>
    </row>
    <row r="1914" spans="1:1">
      <c r="A1914" s="976"/>
    </row>
    <row r="1915" spans="1:1">
      <c r="A1915" s="976"/>
    </row>
    <row r="1916" spans="1:1">
      <c r="A1916" s="976"/>
    </row>
    <row r="1917" spans="1:1">
      <c r="A1917" s="976"/>
    </row>
    <row r="1918" spans="1:1">
      <c r="A1918" s="976"/>
    </row>
    <row r="1919" spans="1:1">
      <c r="A1919" s="976"/>
    </row>
    <row r="1920" spans="1:1">
      <c r="A1920" s="976"/>
    </row>
    <row r="1921" spans="1:1">
      <c r="A1921" s="976"/>
    </row>
    <row r="1922" spans="1:1">
      <c r="A1922" s="976"/>
    </row>
    <row r="1923" spans="1:1">
      <c r="A1923" s="976"/>
    </row>
    <row r="1924" spans="1:1">
      <c r="A1924" s="976"/>
    </row>
    <row r="1925" spans="1:1">
      <c r="A1925" s="976"/>
    </row>
    <row r="1926" spans="1:1">
      <c r="A1926" s="976"/>
    </row>
    <row r="1927" spans="1:1">
      <c r="A1927" s="976"/>
    </row>
    <row r="1928" spans="1:1">
      <c r="A1928" s="976"/>
    </row>
    <row r="1929" spans="1:1">
      <c r="A1929" s="976"/>
    </row>
    <row r="1930" spans="1:1">
      <c r="A1930" s="976"/>
    </row>
    <row r="1931" spans="1:1">
      <c r="A1931" s="976"/>
    </row>
    <row r="1932" spans="1:1">
      <c r="A1932" s="976"/>
    </row>
    <row r="1933" spans="1:1">
      <c r="A1933" s="976"/>
    </row>
    <row r="1934" spans="1:1">
      <c r="A1934" s="976"/>
    </row>
    <row r="1935" spans="1:1">
      <c r="A1935" s="976"/>
    </row>
    <row r="1936" spans="1:1">
      <c r="A1936" s="976"/>
    </row>
    <row r="1937" spans="1:1">
      <c r="A1937" s="976"/>
    </row>
    <row r="1938" spans="1:1">
      <c r="A1938" s="976"/>
    </row>
    <row r="1939" spans="1:1">
      <c r="A1939" s="976"/>
    </row>
    <row r="1940" spans="1:1">
      <c r="A1940" s="976"/>
    </row>
    <row r="1941" spans="1:1">
      <c r="A1941" s="976"/>
    </row>
    <row r="1942" spans="1:1">
      <c r="A1942" s="976"/>
    </row>
    <row r="1943" spans="1:1">
      <c r="A1943" s="976"/>
    </row>
    <row r="1944" spans="1:1">
      <c r="A1944" s="976"/>
    </row>
    <row r="1945" spans="1:1">
      <c r="A1945" s="976"/>
    </row>
    <row r="1946" spans="1:1">
      <c r="A1946" s="976"/>
    </row>
    <row r="1947" spans="1:1">
      <c r="A1947" s="976"/>
    </row>
    <row r="1948" spans="1:1">
      <c r="A1948" s="976"/>
    </row>
    <row r="1949" spans="1:1">
      <c r="A1949" s="976"/>
    </row>
    <row r="1950" spans="1:1">
      <c r="A1950" s="976"/>
    </row>
    <row r="1951" spans="1:1">
      <c r="A1951" s="976"/>
    </row>
    <row r="1952" spans="1:1">
      <c r="A1952" s="976"/>
    </row>
    <row r="1953" spans="1:1">
      <c r="A1953" s="976"/>
    </row>
    <row r="1954" spans="1:1">
      <c r="A1954" s="976"/>
    </row>
    <row r="1955" spans="1:1">
      <c r="A1955" s="976"/>
    </row>
    <row r="1956" spans="1:1">
      <c r="A1956" s="976"/>
    </row>
    <row r="1957" spans="1:1">
      <c r="A1957" s="976"/>
    </row>
    <row r="1958" spans="1:1">
      <c r="A1958" s="976"/>
    </row>
    <row r="1959" spans="1:1">
      <c r="A1959" s="976"/>
    </row>
    <row r="1960" spans="1:1">
      <c r="A1960" s="976"/>
    </row>
    <row r="1961" spans="1:1">
      <c r="A1961" s="976"/>
    </row>
    <row r="1962" spans="1:1">
      <c r="A1962" s="976"/>
    </row>
    <row r="1963" spans="1:1">
      <c r="A1963" s="976"/>
    </row>
    <row r="1964" spans="1:1">
      <c r="A1964" s="976"/>
    </row>
    <row r="1965" spans="1:1">
      <c r="A1965" s="976"/>
    </row>
    <row r="1966" spans="1:1">
      <c r="A1966" s="976"/>
    </row>
    <row r="1967" spans="1:1">
      <c r="A1967" s="976"/>
    </row>
    <row r="1968" spans="1:1">
      <c r="A1968" s="976"/>
    </row>
    <row r="1969" spans="1:1">
      <c r="A1969" s="976"/>
    </row>
    <row r="1970" spans="1:1">
      <c r="A1970" s="976"/>
    </row>
    <row r="1971" spans="1:1">
      <c r="A1971" s="976"/>
    </row>
    <row r="1972" spans="1:1">
      <c r="A1972" s="976"/>
    </row>
    <row r="1973" spans="1:1">
      <c r="A1973" s="976"/>
    </row>
    <row r="1974" spans="1:1">
      <c r="A1974" s="976"/>
    </row>
    <row r="1975" spans="1:1">
      <c r="A1975" s="976"/>
    </row>
    <row r="1976" spans="1:1">
      <c r="A1976" s="976"/>
    </row>
    <row r="1977" spans="1:1">
      <c r="A1977" s="976"/>
    </row>
    <row r="1978" spans="1:1">
      <c r="A1978" s="976"/>
    </row>
    <row r="1979" spans="1:1">
      <c r="A1979" s="976"/>
    </row>
    <row r="1980" spans="1:1">
      <c r="A1980" s="976"/>
    </row>
    <row r="1981" spans="1:1">
      <c r="A1981" s="976"/>
    </row>
    <row r="1982" spans="1:1">
      <c r="A1982" s="976"/>
    </row>
    <row r="1983" spans="1:1">
      <c r="A1983" s="976"/>
    </row>
    <row r="1984" spans="1:1">
      <c r="A1984" s="976"/>
    </row>
    <row r="1985" spans="1:1">
      <c r="A1985" s="976"/>
    </row>
    <row r="1986" spans="1:1">
      <c r="A1986" s="976"/>
    </row>
    <row r="1987" spans="1:1">
      <c r="A1987" s="976"/>
    </row>
    <row r="1988" spans="1:1">
      <c r="A1988" s="976"/>
    </row>
    <row r="1989" spans="1:1">
      <c r="A1989" s="976"/>
    </row>
    <row r="1990" spans="1:1">
      <c r="A1990" s="976"/>
    </row>
    <row r="1991" spans="1:1">
      <c r="A1991" s="976"/>
    </row>
    <row r="1992" spans="1:1">
      <c r="A1992" s="976"/>
    </row>
    <row r="1993" spans="1:1">
      <c r="A1993" s="976"/>
    </row>
    <row r="1994" spans="1:1">
      <c r="A1994" s="976"/>
    </row>
    <row r="1995" spans="1:1">
      <c r="A1995" s="976"/>
    </row>
    <row r="1996" spans="1:1">
      <c r="A1996" s="976"/>
    </row>
    <row r="1997" spans="1:1">
      <c r="A1997" s="976"/>
    </row>
    <row r="1998" spans="1:1">
      <c r="A1998" s="976"/>
    </row>
    <row r="1999" spans="1:1">
      <c r="A1999" s="976"/>
    </row>
    <row r="2000" spans="1:1">
      <c r="A2000" s="976"/>
    </row>
    <row r="2001" spans="1:1">
      <c r="A2001" s="976"/>
    </row>
    <row r="2002" spans="1:1">
      <c r="A2002" s="976"/>
    </row>
    <row r="2003" spans="1:1">
      <c r="A2003" s="976"/>
    </row>
    <row r="2004" spans="1:1">
      <c r="A2004" s="976"/>
    </row>
    <row r="2005" spans="1:1">
      <c r="A2005" s="976"/>
    </row>
    <row r="2006" spans="1:1">
      <c r="A2006" s="976"/>
    </row>
    <row r="2007" spans="1:1">
      <c r="A2007" s="976"/>
    </row>
    <row r="2008" spans="1:1">
      <c r="A2008" s="976"/>
    </row>
    <row r="2009" spans="1:1">
      <c r="A2009" s="976"/>
    </row>
    <row r="2010" spans="1:1">
      <c r="A2010" s="976"/>
    </row>
    <row r="2011" spans="1:1">
      <c r="A2011" s="976"/>
    </row>
    <row r="2012" spans="1:1">
      <c r="A2012" s="976"/>
    </row>
    <row r="2013" spans="1:1">
      <c r="A2013" s="976"/>
    </row>
    <row r="2014" spans="1:1">
      <c r="A2014" s="976"/>
    </row>
    <row r="2015" spans="1:1">
      <c r="A2015" s="976"/>
    </row>
    <row r="2016" spans="1:1">
      <c r="A2016" s="976"/>
    </row>
    <row r="2017" spans="1:1">
      <c r="A2017" s="976"/>
    </row>
    <row r="2018" spans="1:1">
      <c r="A2018" s="976"/>
    </row>
    <row r="2019" spans="1:1">
      <c r="A2019" s="976"/>
    </row>
    <row r="2020" spans="1:1">
      <c r="A2020" s="976"/>
    </row>
    <row r="2021" spans="1:1">
      <c r="A2021" s="976"/>
    </row>
    <row r="2022" spans="1:1">
      <c r="A2022" s="976"/>
    </row>
    <row r="2023" spans="1:1">
      <c r="A2023" s="976"/>
    </row>
    <row r="2024" spans="1:1">
      <c r="A2024" s="976"/>
    </row>
    <row r="2025" spans="1:1">
      <c r="A2025" s="976"/>
    </row>
    <row r="2026" spans="1:1">
      <c r="A2026" s="976"/>
    </row>
    <row r="2027" spans="1:1">
      <c r="A2027" s="976"/>
    </row>
    <row r="2028" spans="1:1">
      <c r="A2028" s="976"/>
    </row>
    <row r="2029" spans="1:1">
      <c r="A2029" s="976"/>
    </row>
    <row r="2030" spans="1:1">
      <c r="A2030" s="976"/>
    </row>
    <row r="2031" spans="1:1">
      <c r="A2031" s="976"/>
    </row>
    <row r="2032" spans="1:1">
      <c r="A2032" s="976"/>
    </row>
    <row r="2033" spans="1:1">
      <c r="A2033" s="976"/>
    </row>
    <row r="2034" spans="1:1">
      <c r="A2034" s="976"/>
    </row>
    <row r="2035" spans="1:1">
      <c r="A2035" s="976"/>
    </row>
    <row r="2036" spans="1:1">
      <c r="A2036" s="976"/>
    </row>
    <row r="2037" spans="1:1">
      <c r="A2037" s="976"/>
    </row>
    <row r="2038" spans="1:1">
      <c r="A2038" s="976"/>
    </row>
    <row r="2039" spans="1:1">
      <c r="A2039" s="976"/>
    </row>
    <row r="2040" spans="1:1">
      <c r="A2040" s="976"/>
    </row>
    <row r="2041" spans="1:1">
      <c r="A2041" s="976"/>
    </row>
    <row r="2042" spans="1:1">
      <c r="A2042" s="976"/>
    </row>
    <row r="2043" spans="1:1">
      <c r="A2043" s="976"/>
    </row>
    <row r="2044" spans="1:1">
      <c r="A2044" s="976"/>
    </row>
    <row r="2045" spans="1:1">
      <c r="A2045" s="976"/>
    </row>
    <row r="2046" spans="1:1">
      <c r="A2046" s="976"/>
    </row>
    <row r="2047" spans="1:1">
      <c r="A2047" s="976"/>
    </row>
    <row r="2048" spans="1:1">
      <c r="A2048" s="976"/>
    </row>
    <row r="2049" spans="1:1">
      <c r="A2049" s="976"/>
    </row>
    <row r="2050" spans="1:1">
      <c r="A2050" s="976"/>
    </row>
    <row r="2051" spans="1:1">
      <c r="A2051" s="976"/>
    </row>
    <row r="2052" spans="1:1">
      <c r="A2052" s="976"/>
    </row>
    <row r="2053" spans="1:1">
      <c r="A2053" s="976"/>
    </row>
    <row r="2054" spans="1:1">
      <c r="A2054" s="976"/>
    </row>
    <row r="2055" spans="1:1">
      <c r="A2055" s="976"/>
    </row>
    <row r="2056" spans="1:1">
      <c r="A2056" s="976"/>
    </row>
    <row r="2057" spans="1:1">
      <c r="A2057" s="976"/>
    </row>
    <row r="2058" spans="1:1">
      <c r="A2058" s="976"/>
    </row>
    <row r="2059" spans="1:1">
      <c r="A2059" s="976"/>
    </row>
    <row r="2060" spans="1:1">
      <c r="A2060" s="976"/>
    </row>
    <row r="2061" spans="1:1">
      <c r="A2061" s="976"/>
    </row>
    <row r="2062" spans="1:1">
      <c r="A2062" s="976"/>
    </row>
    <row r="2063" spans="1:1">
      <c r="A2063" s="976"/>
    </row>
    <row r="2064" spans="1:1">
      <c r="A2064" s="976"/>
    </row>
    <row r="2065" spans="1:1">
      <c r="A2065" s="976"/>
    </row>
    <row r="2066" spans="1:1">
      <c r="A2066" s="976"/>
    </row>
    <row r="2067" spans="1:1">
      <c r="A2067" s="976"/>
    </row>
    <row r="2068" spans="1:1">
      <c r="A2068" s="976"/>
    </row>
    <row r="2069" spans="1:1">
      <c r="A2069" s="976"/>
    </row>
    <row r="2070" spans="1:1">
      <c r="A2070" s="976"/>
    </row>
    <row r="2071" spans="1:1">
      <c r="A2071" s="976"/>
    </row>
    <row r="2072" spans="1:1">
      <c r="A2072" s="976"/>
    </row>
    <row r="2073" spans="1:1">
      <c r="A2073" s="976"/>
    </row>
    <row r="2074" spans="1:1">
      <c r="A2074" s="976"/>
    </row>
    <row r="2075" spans="1:1">
      <c r="A2075" s="976"/>
    </row>
    <row r="2076" spans="1:1">
      <c r="A2076" s="976"/>
    </row>
    <row r="2077" spans="1:1">
      <c r="A2077" s="976"/>
    </row>
    <row r="2078" spans="1:1">
      <c r="A2078" s="976"/>
    </row>
    <row r="2079" spans="1:1">
      <c r="A2079" s="976"/>
    </row>
    <row r="2080" spans="1:1">
      <c r="A2080" s="976"/>
    </row>
    <row r="2081" spans="1:1">
      <c r="A2081" s="976"/>
    </row>
    <row r="2082" spans="1:1">
      <c r="A2082" s="976"/>
    </row>
    <row r="2083" spans="1:1">
      <c r="A2083" s="976"/>
    </row>
    <row r="2084" spans="1:1">
      <c r="A2084" s="976"/>
    </row>
    <row r="2085" spans="1:1">
      <c r="A2085" s="976"/>
    </row>
    <row r="2086" spans="1:1">
      <c r="A2086" s="976"/>
    </row>
    <row r="2087" spans="1:1">
      <c r="A2087" s="976"/>
    </row>
    <row r="2088" spans="1:1">
      <c r="A2088" s="976"/>
    </row>
    <row r="2089" spans="1:1">
      <c r="A2089" s="976"/>
    </row>
    <row r="2090" spans="1:1">
      <c r="A2090" s="976"/>
    </row>
    <row r="2091" spans="1:1">
      <c r="A2091" s="976"/>
    </row>
    <row r="2092" spans="1:1">
      <c r="A2092" s="976"/>
    </row>
    <row r="2093" spans="1:1">
      <c r="A2093" s="976"/>
    </row>
    <row r="2094" spans="1:1">
      <c r="A2094" s="976"/>
    </row>
    <row r="2095" spans="1:1">
      <c r="A2095" s="976"/>
    </row>
    <row r="2096" spans="1:1">
      <c r="A2096" s="976"/>
    </row>
    <row r="2097" spans="1:1">
      <c r="A2097" s="976"/>
    </row>
    <row r="2098" spans="1:1">
      <c r="A2098" s="976"/>
    </row>
    <row r="2099" spans="1:1">
      <c r="A2099" s="976"/>
    </row>
    <row r="2100" spans="1:1">
      <c r="A2100" s="976"/>
    </row>
    <row r="2101" spans="1:1">
      <c r="A2101" s="976"/>
    </row>
    <row r="2102" spans="1:1">
      <c r="A2102" s="976"/>
    </row>
    <row r="2103" spans="1:1">
      <c r="A2103" s="976"/>
    </row>
    <row r="2104" spans="1:1">
      <c r="A2104" s="976"/>
    </row>
    <row r="2105" spans="1:1">
      <c r="A2105" s="976"/>
    </row>
    <row r="2106" spans="1:1">
      <c r="A2106" s="976"/>
    </row>
    <row r="2107" spans="1:1">
      <c r="A2107" s="976"/>
    </row>
    <row r="2108" spans="1:1">
      <c r="A2108" s="976"/>
    </row>
    <row r="2109" spans="1:1">
      <c r="A2109" s="976"/>
    </row>
    <row r="2110" spans="1:1">
      <c r="A2110" s="976"/>
    </row>
    <row r="2111" spans="1:1">
      <c r="A2111" s="976"/>
    </row>
    <row r="2112" spans="1:1">
      <c r="A2112" s="976"/>
    </row>
    <row r="2113" spans="1:1">
      <c r="A2113" s="976"/>
    </row>
    <row r="2114" spans="1:1">
      <c r="A2114" s="976"/>
    </row>
    <row r="2115" spans="1:1">
      <c r="A2115" s="976"/>
    </row>
    <row r="2116" spans="1:1">
      <c r="A2116" s="976"/>
    </row>
    <row r="2117" spans="1:1">
      <c r="A2117" s="976"/>
    </row>
    <row r="2118" spans="1:1">
      <c r="A2118" s="976"/>
    </row>
    <row r="2119" spans="1:1">
      <c r="A2119" s="976"/>
    </row>
    <row r="2120" spans="1:1">
      <c r="A2120" s="976"/>
    </row>
    <row r="2121" spans="1:1">
      <c r="A2121" s="976"/>
    </row>
    <row r="2122" spans="1:1">
      <c r="A2122" s="976"/>
    </row>
    <row r="2123" spans="1:1">
      <c r="A2123" s="976"/>
    </row>
    <row r="2124" spans="1:1">
      <c r="A2124" s="976"/>
    </row>
    <row r="2125" spans="1:1">
      <c r="A2125" s="976"/>
    </row>
    <row r="2126" spans="1:1">
      <c r="A2126" s="976"/>
    </row>
    <row r="2127" spans="1:1">
      <c r="A2127" s="976"/>
    </row>
    <row r="2128" spans="1:1">
      <c r="A2128" s="976"/>
    </row>
    <row r="2129" spans="1:1">
      <c r="A2129" s="976"/>
    </row>
    <row r="2130" spans="1:1">
      <c r="A2130" s="976"/>
    </row>
    <row r="2131" spans="1:1">
      <c r="A2131" s="976"/>
    </row>
    <row r="2132" spans="1:1">
      <c r="A2132" s="976"/>
    </row>
    <row r="2133" spans="1:1">
      <c r="A2133" s="976"/>
    </row>
    <row r="2134" spans="1:1">
      <c r="A2134" s="976"/>
    </row>
    <row r="2135" spans="1:1">
      <c r="A2135" s="976"/>
    </row>
    <row r="2136" spans="1:1">
      <c r="A2136" s="976"/>
    </row>
    <row r="2137" spans="1:1">
      <c r="A2137" s="976"/>
    </row>
    <row r="2138" spans="1:1">
      <c r="A2138" s="976"/>
    </row>
    <row r="2139" spans="1:1">
      <c r="A2139" s="976"/>
    </row>
    <row r="2140" spans="1:1">
      <c r="A2140" s="976"/>
    </row>
    <row r="2141" spans="1:1">
      <c r="A2141" s="976"/>
    </row>
    <row r="2142" spans="1:1">
      <c r="A2142" s="976"/>
    </row>
    <row r="2143" spans="1:1">
      <c r="A2143" s="976"/>
    </row>
    <row r="2144" spans="1:1">
      <c r="A2144" s="976"/>
    </row>
    <row r="2145" spans="1:1">
      <c r="A2145" s="976"/>
    </row>
    <row r="2146" spans="1:1">
      <c r="A2146" s="976"/>
    </row>
    <row r="2147" spans="1:1">
      <c r="A2147" s="976"/>
    </row>
    <row r="2148" spans="1:1">
      <c r="A2148" s="976"/>
    </row>
    <row r="2149" spans="1:1">
      <c r="A2149" s="976"/>
    </row>
    <row r="2150" spans="1:1">
      <c r="A2150" s="976"/>
    </row>
    <row r="2151" spans="1:1">
      <c r="A2151" s="976"/>
    </row>
    <row r="2152" spans="1:1">
      <c r="A2152" s="976"/>
    </row>
    <row r="2153" spans="1:1">
      <c r="A2153" s="976"/>
    </row>
    <row r="2154" spans="1:1">
      <c r="A2154" s="976"/>
    </row>
    <row r="2155" spans="1:1">
      <c r="A2155" s="976"/>
    </row>
    <row r="2156" spans="1:1">
      <c r="A2156" s="976"/>
    </row>
    <row r="2157" spans="1:1">
      <c r="A2157" s="976"/>
    </row>
    <row r="2158" spans="1:1">
      <c r="A2158" s="976"/>
    </row>
    <row r="2159" spans="1:1">
      <c r="A2159" s="976"/>
    </row>
    <row r="2160" spans="1:1">
      <c r="A2160" s="976"/>
    </row>
    <row r="2161" spans="1:1">
      <c r="A2161" s="976"/>
    </row>
    <row r="2162" spans="1:1">
      <c r="A2162" s="976"/>
    </row>
    <row r="2163" spans="1:1">
      <c r="A2163" s="976"/>
    </row>
    <row r="2164" spans="1:1">
      <c r="A2164" s="976"/>
    </row>
    <row r="2165" spans="1:1">
      <c r="A2165" s="976"/>
    </row>
    <row r="2166" spans="1:1">
      <c r="A2166" s="976"/>
    </row>
    <row r="2167" spans="1:1">
      <c r="A2167" s="976"/>
    </row>
    <row r="2168" spans="1:1">
      <c r="A2168" s="976"/>
    </row>
    <row r="2169" spans="1:1">
      <c r="A2169" s="976"/>
    </row>
    <row r="2170" spans="1:1">
      <c r="A2170" s="976"/>
    </row>
    <row r="2171" spans="1:1">
      <c r="A2171" s="976"/>
    </row>
    <row r="2172" spans="1:1">
      <c r="A2172" s="976"/>
    </row>
    <row r="2173" spans="1:1">
      <c r="A2173" s="976"/>
    </row>
    <row r="2174" spans="1:1">
      <c r="A2174" s="976"/>
    </row>
    <row r="2175" spans="1:1">
      <c r="A2175" s="976"/>
    </row>
    <row r="2176" spans="1:1">
      <c r="A2176" s="976"/>
    </row>
    <row r="2177" spans="1:1">
      <c r="A2177" s="976"/>
    </row>
    <row r="2178" spans="1:1">
      <c r="A2178" s="976"/>
    </row>
    <row r="2179" spans="1:1">
      <c r="A2179" s="976"/>
    </row>
    <row r="2180" spans="1:1">
      <c r="A2180" s="976"/>
    </row>
    <row r="2181" spans="1:1">
      <c r="A2181" s="976"/>
    </row>
    <row r="2182" spans="1:1">
      <c r="A2182" s="976"/>
    </row>
    <row r="2183" spans="1:1">
      <c r="A2183" s="976"/>
    </row>
    <row r="2184" spans="1:1">
      <c r="A2184" s="976"/>
    </row>
    <row r="2185" spans="1:1">
      <c r="A2185" s="976"/>
    </row>
    <row r="2186" spans="1:1">
      <c r="A2186" s="976"/>
    </row>
    <row r="2187" spans="1:1">
      <c r="A2187" s="976"/>
    </row>
    <row r="2188" spans="1:1">
      <c r="A2188" s="976"/>
    </row>
    <row r="2189" spans="1:1">
      <c r="A2189" s="976"/>
    </row>
    <row r="2190" spans="1:1">
      <c r="A2190" s="976"/>
    </row>
    <row r="2191" spans="1:1">
      <c r="A2191" s="976"/>
    </row>
    <row r="2192" spans="1:1">
      <c r="A2192" s="976"/>
    </row>
    <row r="2193" spans="1:1">
      <c r="A2193" s="976"/>
    </row>
    <row r="2194" spans="1:1">
      <c r="A2194" s="976"/>
    </row>
    <row r="2195" spans="1:1">
      <c r="A2195" s="976"/>
    </row>
    <row r="2196" spans="1:1">
      <c r="A2196" s="976"/>
    </row>
    <row r="2197" spans="1:1">
      <c r="A2197" s="976"/>
    </row>
    <row r="2198" spans="1:1">
      <c r="A2198" s="976"/>
    </row>
    <row r="2199" spans="1:1">
      <c r="A2199" s="976"/>
    </row>
    <row r="2200" spans="1:1">
      <c r="A2200" s="976"/>
    </row>
    <row r="2201" spans="1:1">
      <c r="A2201" s="976"/>
    </row>
    <row r="2202" spans="1:1">
      <c r="A2202" s="976"/>
    </row>
    <row r="2203" spans="1:1">
      <c r="A2203" s="976"/>
    </row>
    <row r="2204" spans="1:1">
      <c r="A2204" s="976"/>
    </row>
    <row r="2205" spans="1:1">
      <c r="A2205" s="976"/>
    </row>
    <row r="2206" spans="1:1">
      <c r="A2206" s="976"/>
    </row>
    <row r="2207" spans="1:1">
      <c r="A2207" s="976"/>
    </row>
    <row r="2208" spans="1:1">
      <c r="A2208" s="976"/>
    </row>
    <row r="2209" spans="1:1">
      <c r="A2209" s="976"/>
    </row>
    <row r="2210" spans="1:1">
      <c r="A2210" s="976"/>
    </row>
    <row r="2211" spans="1:1">
      <c r="A2211" s="976"/>
    </row>
    <row r="2212" spans="1:1">
      <c r="A2212" s="976"/>
    </row>
    <row r="2213" spans="1:1">
      <c r="A2213" s="976"/>
    </row>
    <row r="2214" spans="1:1">
      <c r="A2214" s="976"/>
    </row>
    <row r="2215" spans="1:1">
      <c r="A2215" s="976"/>
    </row>
    <row r="2216" spans="1:1">
      <c r="A2216" s="976"/>
    </row>
    <row r="2217" spans="1:1">
      <c r="A2217" s="976"/>
    </row>
    <row r="2218" spans="1:1">
      <c r="A2218" s="976"/>
    </row>
    <row r="2219" spans="1:1">
      <c r="A2219" s="976"/>
    </row>
    <row r="2220" spans="1:1">
      <c r="A2220" s="976"/>
    </row>
    <row r="2221" spans="1:1">
      <c r="A2221" s="976"/>
    </row>
    <row r="2222" spans="1:1">
      <c r="A2222" s="976"/>
    </row>
    <row r="2223" spans="1:1">
      <c r="A2223" s="976"/>
    </row>
    <row r="2224" spans="1:1">
      <c r="A2224" s="976"/>
    </row>
    <row r="2225" spans="1:1">
      <c r="A2225" s="976"/>
    </row>
    <row r="2226" spans="1:1">
      <c r="A2226" s="976"/>
    </row>
    <row r="2227" spans="1:1">
      <c r="A2227" s="976"/>
    </row>
    <row r="2228" spans="1:1">
      <c r="A2228" s="976"/>
    </row>
    <row r="2229" spans="1:1">
      <c r="A2229" s="976"/>
    </row>
    <row r="2230" spans="1:1">
      <c r="A2230" s="976"/>
    </row>
    <row r="2231" spans="1:1">
      <c r="A2231" s="976"/>
    </row>
    <row r="2232" spans="1:1">
      <c r="A2232" s="976"/>
    </row>
    <row r="2233" spans="1:1">
      <c r="A2233" s="976"/>
    </row>
    <row r="2234" spans="1:1">
      <c r="A2234" s="976"/>
    </row>
    <row r="2235" spans="1:1">
      <c r="A2235" s="976"/>
    </row>
    <row r="2236" spans="1:1">
      <c r="A2236" s="976"/>
    </row>
    <row r="2237" spans="1:1">
      <c r="A2237" s="976"/>
    </row>
    <row r="2238" spans="1:1">
      <c r="A2238" s="976"/>
    </row>
    <row r="2239" spans="1:1">
      <c r="A2239" s="976"/>
    </row>
    <row r="2240" spans="1:1">
      <c r="A2240" s="976"/>
    </row>
    <row r="2241" spans="1:1">
      <c r="A2241" s="976"/>
    </row>
    <row r="2242" spans="1:1">
      <c r="A2242" s="976"/>
    </row>
    <row r="2243" spans="1:1">
      <c r="A2243" s="976"/>
    </row>
    <row r="2244" spans="1:1">
      <c r="A2244" s="976"/>
    </row>
    <row r="2245" spans="1:1">
      <c r="A2245" s="976"/>
    </row>
    <row r="2246" spans="1:1">
      <c r="A2246" s="976"/>
    </row>
    <row r="2247" spans="1:1">
      <c r="A2247" s="976"/>
    </row>
    <row r="2248" spans="1:1">
      <c r="A2248" s="976"/>
    </row>
    <row r="2249" spans="1:1">
      <c r="A2249" s="976"/>
    </row>
    <row r="2250" spans="1:1">
      <c r="A2250" s="976"/>
    </row>
    <row r="2251" spans="1:1">
      <c r="A2251" s="976"/>
    </row>
    <row r="2252" spans="1:1">
      <c r="A2252" s="976"/>
    </row>
    <row r="2253" spans="1:1">
      <c r="A2253" s="976"/>
    </row>
    <row r="2254" spans="1:1">
      <c r="A2254" s="976"/>
    </row>
    <row r="2255" spans="1:1">
      <c r="A2255" s="976"/>
    </row>
    <row r="2256" spans="1:1">
      <c r="A2256" s="976"/>
    </row>
    <row r="2257" spans="1:1">
      <c r="A2257" s="976"/>
    </row>
    <row r="2258" spans="1:1">
      <c r="A2258" s="976"/>
    </row>
    <row r="2259" spans="1:1">
      <c r="A2259" s="976"/>
    </row>
    <row r="2260" spans="1:1">
      <c r="A2260" s="976"/>
    </row>
    <row r="2261" spans="1:1">
      <c r="A2261" s="976"/>
    </row>
    <row r="2262" spans="1:1">
      <c r="A2262" s="976"/>
    </row>
    <row r="2263" spans="1:1">
      <c r="A2263" s="976"/>
    </row>
    <row r="2264" spans="1:1">
      <c r="A2264" s="976"/>
    </row>
    <row r="2265" spans="1:1">
      <c r="A2265" s="976"/>
    </row>
    <row r="2266" spans="1:1">
      <c r="A2266" s="976"/>
    </row>
    <row r="2267" spans="1:1">
      <c r="A2267" s="976"/>
    </row>
    <row r="2268" spans="1:1">
      <c r="A2268" s="976"/>
    </row>
    <row r="2269" spans="1:1">
      <c r="A2269" s="976"/>
    </row>
    <row r="2270" spans="1:1">
      <c r="A2270" s="976"/>
    </row>
    <row r="2271" spans="1:1">
      <c r="A2271" s="976"/>
    </row>
    <row r="2272" spans="1:1">
      <c r="A2272" s="976"/>
    </row>
    <row r="2273" spans="1:1">
      <c r="A2273" s="976"/>
    </row>
    <row r="2274" spans="1:1">
      <c r="A2274" s="976"/>
    </row>
    <row r="2275" spans="1:1">
      <c r="A2275" s="976"/>
    </row>
    <row r="2276" spans="1:1">
      <c r="A2276" s="976"/>
    </row>
    <row r="2277" spans="1:1">
      <c r="A2277" s="976"/>
    </row>
    <row r="2278" spans="1:1">
      <c r="A2278" s="976"/>
    </row>
    <row r="2279" spans="1:1">
      <c r="A2279" s="976"/>
    </row>
    <row r="2280" spans="1:1">
      <c r="A2280" s="976"/>
    </row>
    <row r="2281" spans="1:1">
      <c r="A2281" s="976"/>
    </row>
    <row r="2282" spans="1:1">
      <c r="A2282" s="976"/>
    </row>
    <row r="2283" spans="1:1">
      <c r="A2283" s="976"/>
    </row>
    <row r="2284" spans="1:1">
      <c r="A2284" s="976"/>
    </row>
    <row r="2285" spans="1:1">
      <c r="A2285" s="976"/>
    </row>
    <row r="2286" spans="1:1">
      <c r="A2286" s="976"/>
    </row>
    <row r="2287" spans="1:1">
      <c r="A2287" s="976"/>
    </row>
    <row r="2288" spans="1:1">
      <c r="A2288" s="976"/>
    </row>
    <row r="2289" spans="1:1">
      <c r="A2289" s="976"/>
    </row>
    <row r="2290" spans="1:1">
      <c r="A2290" s="976"/>
    </row>
    <row r="2291" spans="1:1">
      <c r="A2291" s="976"/>
    </row>
    <row r="2292" spans="1:1">
      <c r="A2292" s="976"/>
    </row>
    <row r="2293" spans="1:1">
      <c r="A2293" s="976"/>
    </row>
    <row r="2294" spans="1:1">
      <c r="A2294" s="976"/>
    </row>
    <row r="2295" spans="1:1">
      <c r="A2295" s="976"/>
    </row>
    <row r="2296" spans="1:1">
      <c r="A2296" s="976"/>
    </row>
    <row r="2297" spans="1:1">
      <c r="A2297" s="976"/>
    </row>
    <row r="2298" spans="1:1">
      <c r="A2298" s="976"/>
    </row>
    <row r="2299" spans="1:1">
      <c r="A2299" s="976"/>
    </row>
    <row r="2300" spans="1:1">
      <c r="A2300" s="976"/>
    </row>
    <row r="2301" spans="1:1">
      <c r="A2301" s="976"/>
    </row>
    <row r="2302" spans="1:1">
      <c r="A2302" s="976"/>
    </row>
    <row r="2303" spans="1:1">
      <c r="A2303" s="976"/>
    </row>
    <row r="2304" spans="1:1">
      <c r="A2304" s="976"/>
    </row>
    <row r="2305" spans="1:1">
      <c r="A2305" s="976"/>
    </row>
    <row r="2306" spans="1:1">
      <c r="A2306" s="976"/>
    </row>
    <row r="2307" spans="1:1">
      <c r="A2307" s="976"/>
    </row>
    <row r="2308" spans="1:1">
      <c r="A2308" s="976"/>
    </row>
    <row r="2309" spans="1:1">
      <c r="A2309" s="976"/>
    </row>
    <row r="2310" spans="1:1">
      <c r="A2310" s="976"/>
    </row>
    <row r="2311" spans="1:1">
      <c r="A2311" s="976"/>
    </row>
    <row r="2312" spans="1:1">
      <c r="A2312" s="976"/>
    </row>
    <row r="2313" spans="1:1">
      <c r="A2313" s="976"/>
    </row>
    <row r="2314" spans="1:1">
      <c r="A2314" s="976"/>
    </row>
    <row r="2315" spans="1:1">
      <c r="A2315" s="976"/>
    </row>
    <row r="2316" spans="1:1">
      <c r="A2316" s="976"/>
    </row>
    <row r="2317" spans="1:1">
      <c r="A2317" s="976"/>
    </row>
    <row r="2318" spans="1:1">
      <c r="A2318" s="976"/>
    </row>
    <row r="2319" spans="1:1">
      <c r="A2319" s="976"/>
    </row>
    <row r="2320" spans="1:1">
      <c r="A2320" s="976"/>
    </row>
    <row r="2321" spans="1:1">
      <c r="A2321" s="976"/>
    </row>
    <row r="2322" spans="1:1">
      <c r="A2322" s="976"/>
    </row>
    <row r="2323" spans="1:1">
      <c r="A2323" s="976"/>
    </row>
    <row r="2324" spans="1:1">
      <c r="A2324" s="976"/>
    </row>
    <row r="2325" spans="1:1">
      <c r="A2325" s="976"/>
    </row>
    <row r="2326" spans="1:1">
      <c r="A2326" s="976"/>
    </row>
    <row r="2327" spans="1:1">
      <c r="A2327" s="976"/>
    </row>
    <row r="2328" spans="1:1">
      <c r="A2328" s="976"/>
    </row>
    <row r="2329" spans="1:1">
      <c r="A2329" s="976"/>
    </row>
    <row r="2330" spans="1:1">
      <c r="A2330" s="976"/>
    </row>
    <row r="2331" spans="1:1">
      <c r="A2331" s="976"/>
    </row>
    <row r="2332" spans="1:1">
      <c r="A2332" s="976"/>
    </row>
    <row r="2333" spans="1:1">
      <c r="A2333" s="976"/>
    </row>
    <row r="2334" spans="1:1">
      <c r="A2334" s="976"/>
    </row>
    <row r="2335" spans="1:1">
      <c r="A2335" s="976"/>
    </row>
    <row r="2336" spans="1:1">
      <c r="A2336" s="976"/>
    </row>
    <row r="2337" spans="1:1">
      <c r="A2337" s="976"/>
    </row>
    <row r="2338" spans="1:1">
      <c r="A2338" s="976"/>
    </row>
    <row r="2339" spans="1:1">
      <c r="A2339" s="976"/>
    </row>
    <row r="2340" spans="1:1">
      <c r="A2340" s="976"/>
    </row>
    <row r="2341" spans="1:1">
      <c r="A2341" s="976"/>
    </row>
    <row r="2342" spans="1:1">
      <c r="A2342" s="976"/>
    </row>
    <row r="2343" spans="1:1">
      <c r="A2343" s="976"/>
    </row>
    <row r="2344" spans="1:1">
      <c r="A2344" s="976"/>
    </row>
    <row r="2345" spans="1:1">
      <c r="A2345" s="976"/>
    </row>
    <row r="2346" spans="1:1">
      <c r="A2346" s="976"/>
    </row>
    <row r="2347" spans="1:1">
      <c r="A2347" s="976"/>
    </row>
    <row r="2348" spans="1:1">
      <c r="A2348" s="976"/>
    </row>
    <row r="2349" spans="1:1">
      <c r="A2349" s="976"/>
    </row>
    <row r="2350" spans="1:1">
      <c r="A2350" s="976"/>
    </row>
    <row r="2351" spans="1:1">
      <c r="A2351" s="976"/>
    </row>
    <row r="2352" spans="1:1">
      <c r="A2352" s="976"/>
    </row>
    <row r="2353" spans="1:1">
      <c r="A2353" s="976"/>
    </row>
    <row r="2354" spans="1:1">
      <c r="A2354" s="976"/>
    </row>
    <row r="2355" spans="1:1">
      <c r="A2355" s="976"/>
    </row>
    <row r="2356" spans="1:1">
      <c r="A2356" s="976"/>
    </row>
    <row r="2357" spans="1:1">
      <c r="A2357" s="976"/>
    </row>
    <row r="2358" spans="1:1">
      <c r="A2358" s="976"/>
    </row>
    <row r="2359" spans="1:1">
      <c r="A2359" s="976"/>
    </row>
    <row r="2360" spans="1:1">
      <c r="A2360" s="976"/>
    </row>
    <row r="2361" spans="1:1">
      <c r="A2361" s="976"/>
    </row>
    <row r="2362" spans="1:1">
      <c r="A2362" s="976"/>
    </row>
    <row r="2363" spans="1:1">
      <c r="A2363" s="976"/>
    </row>
    <row r="2364" spans="1:1">
      <c r="A2364" s="976"/>
    </row>
    <row r="2365" spans="1:1">
      <c r="A2365" s="976"/>
    </row>
    <row r="2366" spans="1:1">
      <c r="A2366" s="976"/>
    </row>
    <row r="2367" spans="1:1">
      <c r="A2367" s="976"/>
    </row>
    <row r="2368" spans="1:1">
      <c r="A2368" s="976"/>
    </row>
    <row r="2369" spans="1:1">
      <c r="A2369" s="976"/>
    </row>
    <row r="2370" spans="1:1">
      <c r="A2370" s="976"/>
    </row>
    <row r="2371" spans="1:1">
      <c r="A2371" s="976"/>
    </row>
    <row r="2372" spans="1:1">
      <c r="A2372" s="976"/>
    </row>
    <row r="2373" spans="1:1">
      <c r="A2373" s="976"/>
    </row>
    <row r="2374" spans="1:1">
      <c r="A2374" s="976"/>
    </row>
    <row r="2375" spans="1:1">
      <c r="A2375" s="976"/>
    </row>
    <row r="2376" spans="1:1">
      <c r="A2376" s="976"/>
    </row>
    <row r="2377" spans="1:1">
      <c r="A2377" s="976"/>
    </row>
    <row r="2378" spans="1:1">
      <c r="A2378" s="976"/>
    </row>
    <row r="2379" spans="1:1">
      <c r="A2379" s="976"/>
    </row>
    <row r="2380" spans="1:1">
      <c r="A2380" s="976"/>
    </row>
    <row r="2381" spans="1:1">
      <c r="A2381" s="976"/>
    </row>
    <row r="2382" spans="1:1">
      <c r="A2382" s="976"/>
    </row>
    <row r="2383" spans="1:1">
      <c r="A2383" s="976"/>
    </row>
    <row r="2384" spans="1:1">
      <c r="A2384" s="976"/>
    </row>
    <row r="2385" spans="1:1">
      <c r="A2385" s="976"/>
    </row>
    <row r="2386" spans="1:1">
      <c r="A2386" s="976"/>
    </row>
    <row r="2387" spans="1:1">
      <c r="A2387" s="976"/>
    </row>
    <row r="2388" spans="1:1">
      <c r="A2388" s="976"/>
    </row>
    <row r="2389" spans="1:1">
      <c r="A2389" s="976"/>
    </row>
    <row r="2390" spans="1:1">
      <c r="A2390" s="976"/>
    </row>
    <row r="2391" spans="1:1">
      <c r="A2391" s="976"/>
    </row>
    <row r="2392" spans="1:1">
      <c r="A2392" s="976"/>
    </row>
    <row r="2393" spans="1:1">
      <c r="A2393" s="976"/>
    </row>
    <row r="2394" spans="1:1">
      <c r="A2394" s="976"/>
    </row>
    <row r="2395" spans="1:1">
      <c r="A2395" s="976"/>
    </row>
    <row r="2396" spans="1:1">
      <c r="A2396" s="976"/>
    </row>
    <row r="2397" spans="1:1">
      <c r="A2397" s="976"/>
    </row>
    <row r="2398" spans="1:1">
      <c r="A2398" s="976"/>
    </row>
    <row r="2399" spans="1:1">
      <c r="A2399" s="976"/>
    </row>
    <row r="2400" spans="1:1">
      <c r="A2400" s="976"/>
    </row>
    <row r="2401" spans="1:1">
      <c r="A2401" s="976"/>
    </row>
    <row r="2402" spans="1:1">
      <c r="A2402" s="976"/>
    </row>
    <row r="2403" spans="1:1">
      <c r="A2403" s="976"/>
    </row>
    <row r="2404" spans="1:1">
      <c r="A2404" s="976"/>
    </row>
    <row r="2405" spans="1:1">
      <c r="A2405" s="976"/>
    </row>
    <row r="2406" spans="1:1">
      <c r="A2406" s="976"/>
    </row>
    <row r="2407" spans="1:1">
      <c r="A2407" s="976"/>
    </row>
    <row r="2408" spans="1:1">
      <c r="A2408" s="976"/>
    </row>
    <row r="2409" spans="1:1">
      <c r="A2409" s="976"/>
    </row>
    <row r="2410" spans="1:1">
      <c r="A2410" s="976"/>
    </row>
    <row r="2411" spans="1:1">
      <c r="A2411" s="976"/>
    </row>
    <row r="2412" spans="1:1">
      <c r="A2412" s="976"/>
    </row>
    <row r="2413" spans="1:1">
      <c r="A2413" s="976"/>
    </row>
    <row r="2414" spans="1:1">
      <c r="A2414" s="976"/>
    </row>
    <row r="2415" spans="1:1">
      <c r="A2415" s="976"/>
    </row>
    <row r="2416" spans="1:1">
      <c r="A2416" s="976"/>
    </row>
    <row r="2417" spans="1:1">
      <c r="A2417" s="976"/>
    </row>
    <row r="2418" spans="1:1">
      <c r="A2418" s="976"/>
    </row>
    <row r="2419" spans="1:1">
      <c r="A2419" s="976"/>
    </row>
    <row r="2420" spans="1:1">
      <c r="A2420" s="976"/>
    </row>
    <row r="2421" spans="1:1">
      <c r="A2421" s="976"/>
    </row>
    <row r="2422" spans="1:1">
      <c r="A2422" s="976"/>
    </row>
    <row r="2423" spans="1:1">
      <c r="A2423" s="976"/>
    </row>
    <row r="2424" spans="1:1">
      <c r="A2424" s="976"/>
    </row>
    <row r="2425" spans="1:1">
      <c r="A2425" s="976"/>
    </row>
    <row r="2426" spans="1:1">
      <c r="A2426" s="976"/>
    </row>
    <row r="2427" spans="1:1">
      <c r="A2427" s="976"/>
    </row>
    <row r="2428" spans="1:1">
      <c r="A2428" s="976"/>
    </row>
    <row r="2429" spans="1:1">
      <c r="A2429" s="976"/>
    </row>
    <row r="2430" spans="1:1">
      <c r="A2430" s="976"/>
    </row>
    <row r="2431" spans="1:1">
      <c r="A2431" s="976"/>
    </row>
    <row r="2432" spans="1:1">
      <c r="A2432" s="976"/>
    </row>
    <row r="2433" spans="1:1">
      <c r="A2433" s="976"/>
    </row>
    <row r="2434" spans="1:1">
      <c r="A2434" s="976"/>
    </row>
    <row r="2435" spans="1:1">
      <c r="A2435" s="976"/>
    </row>
    <row r="2436" spans="1:1">
      <c r="A2436" s="976"/>
    </row>
    <row r="2437" spans="1:1">
      <c r="A2437" s="976"/>
    </row>
    <row r="2438" spans="1:1">
      <c r="A2438" s="976"/>
    </row>
    <row r="2439" spans="1:1">
      <c r="A2439" s="976"/>
    </row>
    <row r="2440" spans="1:1">
      <c r="A2440" s="976"/>
    </row>
    <row r="2441" spans="1:1">
      <c r="A2441" s="976"/>
    </row>
    <row r="2442" spans="1:1">
      <c r="A2442" s="976"/>
    </row>
    <row r="2443" spans="1:1">
      <c r="A2443" s="976"/>
    </row>
    <row r="2444" spans="1:1">
      <c r="A2444" s="976"/>
    </row>
    <row r="2445" spans="1:1">
      <c r="A2445" s="976"/>
    </row>
    <row r="2446" spans="1:1">
      <c r="A2446" s="976"/>
    </row>
    <row r="2447" spans="1:1">
      <c r="A2447" s="976"/>
    </row>
    <row r="2448" spans="1:1">
      <c r="A2448" s="976"/>
    </row>
    <row r="2449" spans="1:1">
      <c r="A2449" s="976"/>
    </row>
    <row r="2450" spans="1:1">
      <c r="A2450" s="976"/>
    </row>
    <row r="2451" spans="1:1">
      <c r="A2451" s="976"/>
    </row>
    <row r="2452" spans="1:1">
      <c r="A2452" s="976"/>
    </row>
    <row r="2453" spans="1:1">
      <c r="A2453" s="976"/>
    </row>
    <row r="2454" spans="1:1">
      <c r="A2454" s="976"/>
    </row>
    <row r="2455" spans="1:1">
      <c r="A2455" s="976"/>
    </row>
    <row r="2456" spans="1:1">
      <c r="A2456" s="976"/>
    </row>
    <row r="2457" spans="1:1">
      <c r="A2457" s="976"/>
    </row>
    <row r="2458" spans="1:1">
      <c r="A2458" s="976"/>
    </row>
    <row r="2459" spans="1:1">
      <c r="A2459" s="976"/>
    </row>
    <row r="2460" spans="1:1">
      <c r="A2460" s="976"/>
    </row>
    <row r="2461" spans="1:1">
      <c r="A2461" s="976"/>
    </row>
    <row r="2462" spans="1:1">
      <c r="A2462" s="976"/>
    </row>
    <row r="2463" spans="1:1">
      <c r="A2463" s="976"/>
    </row>
    <row r="2464" spans="1:1">
      <c r="A2464" s="976"/>
    </row>
    <row r="2465" spans="1:1">
      <c r="A2465" s="976"/>
    </row>
    <row r="2466" spans="1:1">
      <c r="A2466" s="976"/>
    </row>
    <row r="2467" spans="1:1">
      <c r="A2467" s="976"/>
    </row>
    <row r="2468" spans="1:1">
      <c r="A2468" s="976"/>
    </row>
    <row r="2469" spans="1:1">
      <c r="A2469" s="976"/>
    </row>
    <row r="2470" spans="1:1">
      <c r="A2470" s="976"/>
    </row>
    <row r="2471" spans="1:1">
      <c r="A2471" s="976"/>
    </row>
    <row r="2472" spans="1:1">
      <c r="A2472" s="976"/>
    </row>
    <row r="2473" spans="1:1">
      <c r="A2473" s="976"/>
    </row>
    <row r="2474" spans="1:1">
      <c r="A2474" s="976"/>
    </row>
    <row r="2475" spans="1:1">
      <c r="A2475" s="976"/>
    </row>
    <row r="2476" spans="1:1">
      <c r="A2476" s="976"/>
    </row>
    <row r="2477" spans="1:1">
      <c r="A2477" s="976"/>
    </row>
    <row r="2478" spans="1:1">
      <c r="A2478" s="976"/>
    </row>
    <row r="2479" spans="1:1">
      <c r="A2479" s="976"/>
    </row>
    <row r="2480" spans="1:1">
      <c r="A2480" s="976"/>
    </row>
    <row r="2481" spans="1:1">
      <c r="A2481" s="976"/>
    </row>
    <row r="2482" spans="1:1">
      <c r="A2482" s="976"/>
    </row>
    <row r="2483" spans="1:1">
      <c r="A2483" s="976"/>
    </row>
    <row r="2484" spans="1:1">
      <c r="A2484" s="976"/>
    </row>
    <row r="2485" spans="1:1">
      <c r="A2485" s="976"/>
    </row>
    <row r="2486" spans="1:1">
      <c r="A2486" s="976"/>
    </row>
    <row r="2487" spans="1:1">
      <c r="A2487" s="976"/>
    </row>
    <row r="2488" spans="1:1">
      <c r="A2488" s="976"/>
    </row>
    <row r="2489" spans="1:1">
      <c r="A2489" s="976"/>
    </row>
    <row r="2490" spans="1:1">
      <c r="A2490" s="976"/>
    </row>
    <row r="2491" spans="1:1">
      <c r="A2491" s="976"/>
    </row>
    <row r="2492" spans="1:1">
      <c r="A2492" s="976"/>
    </row>
    <row r="2493" spans="1:1">
      <c r="A2493" s="976"/>
    </row>
    <row r="2494" spans="1:1">
      <c r="A2494" s="976"/>
    </row>
    <row r="2495" spans="1:1">
      <c r="A2495" s="976"/>
    </row>
    <row r="2496" spans="1:1">
      <c r="A2496" s="976"/>
    </row>
    <row r="2497" spans="1:1">
      <c r="A2497" s="976"/>
    </row>
    <row r="2498" spans="1:1">
      <c r="A2498" s="976"/>
    </row>
    <row r="2499" spans="1:1">
      <c r="A2499" s="976"/>
    </row>
    <row r="2500" spans="1:1">
      <c r="A2500" s="976"/>
    </row>
    <row r="2501" spans="1:1">
      <c r="A2501" s="976"/>
    </row>
    <row r="2502" spans="1:1">
      <c r="A2502" s="976"/>
    </row>
    <row r="2503" spans="1:1">
      <c r="A2503" s="976"/>
    </row>
    <row r="2504" spans="1:1">
      <c r="A2504" s="976"/>
    </row>
    <row r="2505" spans="1:1">
      <c r="A2505" s="976"/>
    </row>
    <row r="2506" spans="1:1">
      <c r="A2506" s="976"/>
    </row>
    <row r="2507" spans="1:1">
      <c r="A2507" s="976"/>
    </row>
    <row r="2508" spans="1:1">
      <c r="A2508" s="976"/>
    </row>
    <row r="2509" spans="1:1">
      <c r="A2509" s="976"/>
    </row>
    <row r="2510" spans="1:1">
      <c r="A2510" s="976"/>
    </row>
    <row r="2511" spans="1:1">
      <c r="A2511" s="976"/>
    </row>
    <row r="2512" spans="1:1">
      <c r="A2512" s="976"/>
    </row>
    <row r="2513" spans="1:1">
      <c r="A2513" s="976"/>
    </row>
    <row r="2514" spans="1:1">
      <c r="A2514" s="976"/>
    </row>
    <row r="2515" spans="1:1">
      <c r="A2515" s="976"/>
    </row>
    <row r="2516" spans="1:1">
      <c r="A2516" s="976"/>
    </row>
    <row r="2517" spans="1:1">
      <c r="A2517" s="976"/>
    </row>
    <row r="2518" spans="1:1">
      <c r="A2518" s="976"/>
    </row>
    <row r="2519" spans="1:1">
      <c r="A2519" s="976"/>
    </row>
    <row r="2520" spans="1:1">
      <c r="A2520" s="976"/>
    </row>
    <row r="2521" spans="1:1">
      <c r="A2521" s="976"/>
    </row>
    <row r="2522" spans="1:1">
      <c r="A2522" s="976"/>
    </row>
    <row r="2523" spans="1:1">
      <c r="A2523" s="976"/>
    </row>
    <row r="2524" spans="1:1">
      <c r="A2524" s="976"/>
    </row>
    <row r="2525" spans="1:1">
      <c r="A2525" s="976"/>
    </row>
    <row r="2526" spans="1:1">
      <c r="A2526" s="976"/>
    </row>
    <row r="2527" spans="1:1">
      <c r="A2527" s="976"/>
    </row>
    <row r="2528" spans="1:1">
      <c r="A2528" s="976"/>
    </row>
    <row r="2529" spans="1:1">
      <c r="A2529" s="976"/>
    </row>
    <row r="2530" spans="1:1">
      <c r="A2530" s="976"/>
    </row>
    <row r="2531" spans="1:1">
      <c r="A2531" s="976"/>
    </row>
    <row r="2532" spans="1:1">
      <c r="A2532" s="976"/>
    </row>
    <row r="2533" spans="1:1">
      <c r="A2533" s="976"/>
    </row>
    <row r="2534" spans="1:1">
      <c r="A2534" s="976"/>
    </row>
    <row r="2535" spans="1:1">
      <c r="A2535" s="976"/>
    </row>
    <row r="2536" spans="1:1">
      <c r="A2536" s="976"/>
    </row>
    <row r="2537" spans="1:1">
      <c r="A2537" s="976"/>
    </row>
    <row r="2538" spans="1:1">
      <c r="A2538" s="976"/>
    </row>
    <row r="2539" spans="1:1">
      <c r="A2539" s="976"/>
    </row>
    <row r="2540" spans="1:1">
      <c r="A2540" s="976"/>
    </row>
    <row r="2541" spans="1:1">
      <c r="A2541" s="976"/>
    </row>
    <row r="2542" spans="1:1">
      <c r="A2542" s="976"/>
    </row>
    <row r="2543" spans="1:1">
      <c r="A2543" s="976"/>
    </row>
    <row r="2544" spans="1:1">
      <c r="A2544" s="976"/>
    </row>
    <row r="2545" spans="1:1">
      <c r="A2545" s="976"/>
    </row>
    <row r="2546" spans="1:1">
      <c r="A2546" s="976"/>
    </row>
    <row r="2547" spans="1:1">
      <c r="A2547" s="976"/>
    </row>
    <row r="2548" spans="1:1">
      <c r="A2548" s="976"/>
    </row>
    <row r="2549" spans="1:1">
      <c r="A2549" s="976"/>
    </row>
    <row r="2550" spans="1:1">
      <c r="A2550" s="976"/>
    </row>
    <row r="2551" spans="1:1">
      <c r="A2551" s="976"/>
    </row>
    <row r="2552" spans="1:1">
      <c r="A2552" s="976"/>
    </row>
    <row r="2553" spans="1:1">
      <c r="A2553" s="976"/>
    </row>
    <row r="2554" spans="1:1">
      <c r="A2554" s="976"/>
    </row>
    <row r="2555" spans="1:1">
      <c r="A2555" s="976"/>
    </row>
    <row r="2556" spans="1:1">
      <c r="A2556" s="976"/>
    </row>
    <row r="2557" spans="1:1">
      <c r="A2557" s="976"/>
    </row>
    <row r="2558" spans="1:1">
      <c r="A2558" s="976"/>
    </row>
    <row r="2559" spans="1:1">
      <c r="A2559" s="976"/>
    </row>
    <row r="2560" spans="1:1">
      <c r="A2560" s="976"/>
    </row>
    <row r="2561" spans="1:1">
      <c r="A2561" s="976"/>
    </row>
    <row r="2562" spans="1:1">
      <c r="A2562" s="976"/>
    </row>
    <row r="2563" spans="1:1">
      <c r="A2563" s="976"/>
    </row>
    <row r="2564" spans="1:1">
      <c r="A2564" s="976"/>
    </row>
    <row r="2565" spans="1:1">
      <c r="A2565" s="976"/>
    </row>
    <row r="2566" spans="1:1">
      <c r="A2566" s="976"/>
    </row>
    <row r="2567" spans="1:1">
      <c r="A2567" s="976"/>
    </row>
    <row r="2568" spans="1:1">
      <c r="A2568" s="976"/>
    </row>
    <row r="2569" spans="1:1">
      <c r="A2569" s="976"/>
    </row>
    <row r="2570" spans="1:1">
      <c r="A2570" s="976"/>
    </row>
    <row r="2571" spans="1:1">
      <c r="A2571" s="976"/>
    </row>
    <row r="2572" spans="1:1">
      <c r="A2572" s="976"/>
    </row>
    <row r="2573" spans="1:1">
      <c r="A2573" s="976"/>
    </row>
    <row r="2574" spans="1:1">
      <c r="A2574" s="976"/>
    </row>
    <row r="2575" spans="1:1">
      <c r="A2575" s="976"/>
    </row>
    <row r="2576" spans="1:1">
      <c r="A2576" s="976"/>
    </row>
    <row r="2577" spans="1:1">
      <c r="A2577" s="976"/>
    </row>
    <row r="2578" spans="1:1">
      <c r="A2578" s="976"/>
    </row>
    <row r="2579" spans="1:1">
      <c r="A2579" s="976"/>
    </row>
    <row r="2580" spans="1:1">
      <c r="A2580" s="976"/>
    </row>
    <row r="2581" spans="1:1">
      <c r="A2581" s="976"/>
    </row>
    <row r="2582" spans="1:1">
      <c r="A2582" s="976"/>
    </row>
    <row r="2583" spans="1:1">
      <c r="A2583" s="976"/>
    </row>
    <row r="2584" spans="1:1">
      <c r="A2584" s="976"/>
    </row>
    <row r="2585" spans="1:1">
      <c r="A2585" s="976"/>
    </row>
    <row r="2586" spans="1:1">
      <c r="A2586" s="976"/>
    </row>
    <row r="2587" spans="1:1">
      <c r="A2587" s="976"/>
    </row>
    <row r="2588" spans="1:1">
      <c r="A2588" s="976"/>
    </row>
    <row r="2589" spans="1:1">
      <c r="A2589" s="976"/>
    </row>
    <row r="2590" spans="1:1">
      <c r="A2590" s="976"/>
    </row>
    <row r="2591" spans="1:1">
      <c r="A2591" s="976"/>
    </row>
    <row r="2592" spans="1:1">
      <c r="A2592" s="976"/>
    </row>
    <row r="2593" spans="1:1">
      <c r="A2593" s="976"/>
    </row>
    <row r="2594" spans="1:1">
      <c r="A2594" s="976"/>
    </row>
    <row r="2595" spans="1:1">
      <c r="A2595" s="976"/>
    </row>
    <row r="2596" spans="1:1">
      <c r="A2596" s="976"/>
    </row>
    <row r="2597" spans="1:1">
      <c r="A2597" s="976"/>
    </row>
    <row r="2598" spans="1:1">
      <c r="A2598" s="976"/>
    </row>
    <row r="2599" spans="1:1">
      <c r="A2599" s="976"/>
    </row>
    <row r="2600" spans="1:1">
      <c r="A2600" s="976"/>
    </row>
    <row r="2601" spans="1:1">
      <c r="A2601" s="976"/>
    </row>
    <row r="2602" spans="1:1">
      <c r="A2602" s="976"/>
    </row>
    <row r="2603" spans="1:1">
      <c r="A2603" s="976"/>
    </row>
    <row r="2604" spans="1:1">
      <c r="A2604" s="976"/>
    </row>
    <row r="2605" spans="1:1">
      <c r="A2605" s="976"/>
    </row>
    <row r="2606" spans="1:1">
      <c r="A2606" s="976"/>
    </row>
    <row r="2607" spans="1:1">
      <c r="A2607" s="976"/>
    </row>
    <row r="2608" spans="1:1">
      <c r="A2608" s="976"/>
    </row>
    <row r="2609" spans="1:1">
      <c r="A2609" s="976"/>
    </row>
    <row r="2610" spans="1:1">
      <c r="A2610" s="976"/>
    </row>
    <row r="2611" spans="1:1">
      <c r="A2611" s="976"/>
    </row>
    <row r="2612" spans="1:1">
      <c r="A2612" s="976"/>
    </row>
    <row r="2613" spans="1:1">
      <c r="A2613" s="976"/>
    </row>
    <row r="2614" spans="1:1">
      <c r="A2614" s="976"/>
    </row>
    <row r="2615" spans="1:1">
      <c r="A2615" s="976"/>
    </row>
    <row r="2616" spans="1:1">
      <c r="A2616" s="976"/>
    </row>
    <row r="2617" spans="1:1">
      <c r="A2617" s="976"/>
    </row>
    <row r="2618" spans="1:1">
      <c r="A2618" s="976"/>
    </row>
    <row r="2619" spans="1:1">
      <c r="A2619" s="976"/>
    </row>
    <row r="2620" spans="1:1">
      <c r="A2620" s="976"/>
    </row>
    <row r="2621" spans="1:1">
      <c r="A2621" s="976"/>
    </row>
    <row r="2622" spans="1:1">
      <c r="A2622" s="976"/>
    </row>
    <row r="2623" spans="1:1">
      <c r="A2623" s="976"/>
    </row>
    <row r="2624" spans="1:1">
      <c r="A2624" s="976"/>
    </row>
    <row r="2625" spans="1:1">
      <c r="A2625" s="976"/>
    </row>
    <row r="2626" spans="1:1">
      <c r="A2626" s="976"/>
    </row>
    <row r="2627" spans="1:1">
      <c r="A2627" s="976"/>
    </row>
    <row r="2628" spans="1:1">
      <c r="A2628" s="976"/>
    </row>
    <row r="2629" spans="1:1">
      <c r="A2629" s="976"/>
    </row>
    <row r="2630" spans="1:1">
      <c r="A2630" s="976"/>
    </row>
    <row r="2631" spans="1:1">
      <c r="A2631" s="976"/>
    </row>
    <row r="2632" spans="1:1">
      <c r="A2632" s="976"/>
    </row>
    <row r="2633" spans="1:1">
      <c r="A2633" s="976"/>
    </row>
    <row r="2634" spans="1:1">
      <c r="A2634" s="976"/>
    </row>
    <row r="2635" spans="1:1">
      <c r="A2635" s="976"/>
    </row>
    <row r="2636" spans="1:1">
      <c r="A2636" s="976"/>
    </row>
    <row r="2637" spans="1:1">
      <c r="A2637" s="976"/>
    </row>
    <row r="2638" spans="1:1">
      <c r="A2638" s="976"/>
    </row>
    <row r="2639" spans="1:1">
      <c r="A2639" s="976"/>
    </row>
    <row r="2640" spans="1:1">
      <c r="A2640" s="976"/>
    </row>
    <row r="2641" spans="1:1">
      <c r="A2641" s="976"/>
    </row>
    <row r="2642" spans="1:1">
      <c r="A2642" s="976"/>
    </row>
    <row r="2643" spans="1:1">
      <c r="A2643" s="976"/>
    </row>
    <row r="2644" spans="1:1">
      <c r="A2644" s="976"/>
    </row>
    <row r="2645" spans="1:1">
      <c r="A2645" s="976"/>
    </row>
    <row r="2646" spans="1:1">
      <c r="A2646" s="976"/>
    </row>
    <row r="2647" spans="1:1">
      <c r="A2647" s="976"/>
    </row>
    <row r="2648" spans="1:1">
      <c r="A2648" s="976"/>
    </row>
    <row r="2649" spans="1:1">
      <c r="A2649" s="976"/>
    </row>
    <row r="2650" spans="1:1">
      <c r="A2650" s="976"/>
    </row>
    <row r="2651" spans="1:1">
      <c r="A2651" s="976"/>
    </row>
    <row r="2652" spans="1:1">
      <c r="A2652" s="976"/>
    </row>
    <row r="2653" spans="1:1">
      <c r="A2653" s="976"/>
    </row>
    <row r="2654" spans="1:1">
      <c r="A2654" s="976"/>
    </row>
    <row r="2655" spans="1:1">
      <c r="A2655" s="976"/>
    </row>
    <row r="2656" spans="1:1">
      <c r="A2656" s="976"/>
    </row>
    <row r="2657" spans="1:1">
      <c r="A2657" s="976"/>
    </row>
    <row r="2658" spans="1:1">
      <c r="A2658" s="976"/>
    </row>
    <row r="2659" spans="1:1">
      <c r="A2659" s="976"/>
    </row>
    <row r="2660" spans="1:1">
      <c r="A2660" s="976"/>
    </row>
    <row r="2661" spans="1:1">
      <c r="A2661" s="976"/>
    </row>
    <row r="2662" spans="1:1">
      <c r="A2662" s="976"/>
    </row>
    <row r="2663" spans="1:1">
      <c r="A2663" s="976"/>
    </row>
    <row r="2664" spans="1:1">
      <c r="A2664" s="976"/>
    </row>
    <row r="2665" spans="1:1">
      <c r="A2665" s="976"/>
    </row>
    <row r="2666" spans="1:1">
      <c r="A2666" s="976"/>
    </row>
    <row r="2667" spans="1:1">
      <c r="A2667" s="976"/>
    </row>
    <row r="2668" spans="1:1">
      <c r="A2668" s="976"/>
    </row>
    <row r="2669" spans="1:1">
      <c r="A2669" s="976"/>
    </row>
    <row r="2670" spans="1:1">
      <c r="A2670" s="976"/>
    </row>
    <row r="2671" spans="1:1">
      <c r="A2671" s="976"/>
    </row>
    <row r="2672" spans="1:1">
      <c r="A2672" s="976"/>
    </row>
    <row r="2673" spans="1:1">
      <c r="A2673" s="976"/>
    </row>
    <row r="2674" spans="1:1">
      <c r="A2674" s="976"/>
    </row>
    <row r="2675" spans="1:1">
      <c r="A2675" s="976"/>
    </row>
    <row r="2676" spans="1:1">
      <c r="A2676" s="976"/>
    </row>
    <row r="2677" spans="1:1">
      <c r="A2677" s="976"/>
    </row>
    <row r="2678" spans="1:1">
      <c r="A2678" s="976"/>
    </row>
    <row r="2679" spans="1:1">
      <c r="A2679" s="976"/>
    </row>
    <row r="2680" spans="1:1">
      <c r="A2680" s="976"/>
    </row>
    <row r="2681" spans="1:1">
      <c r="A2681" s="976"/>
    </row>
    <row r="2682" spans="1:1">
      <c r="A2682" s="976"/>
    </row>
    <row r="2683" spans="1:1">
      <c r="A2683" s="976"/>
    </row>
    <row r="2684" spans="1:1">
      <c r="A2684" s="976"/>
    </row>
    <row r="2685" spans="1:1">
      <c r="A2685" s="976"/>
    </row>
    <row r="2686" spans="1:1">
      <c r="A2686" s="976"/>
    </row>
    <row r="2687" spans="1:1">
      <c r="A2687" s="976"/>
    </row>
    <row r="2688" spans="1:1">
      <c r="A2688" s="976"/>
    </row>
    <row r="2689" spans="1:1">
      <c r="A2689" s="976"/>
    </row>
    <row r="2690" spans="1:1">
      <c r="A2690" s="976"/>
    </row>
    <row r="2691" spans="1:1">
      <c r="A2691" s="976"/>
    </row>
    <row r="2692" spans="1:1">
      <c r="A2692" s="976"/>
    </row>
    <row r="2693" spans="1:1">
      <c r="A2693" s="976"/>
    </row>
    <row r="2694" spans="1:1">
      <c r="A2694" s="976"/>
    </row>
    <row r="2695" spans="1:1">
      <c r="A2695" s="976"/>
    </row>
    <row r="2696" spans="1:1">
      <c r="A2696" s="976"/>
    </row>
    <row r="2697" spans="1:1">
      <c r="A2697" s="976"/>
    </row>
    <row r="2698" spans="1:1">
      <c r="A2698" s="976"/>
    </row>
    <row r="2699" spans="1:1">
      <c r="A2699" s="976"/>
    </row>
    <row r="2700" spans="1:1">
      <c r="A2700" s="976"/>
    </row>
    <row r="2701" spans="1:1">
      <c r="A2701" s="976"/>
    </row>
    <row r="2702" spans="1:1">
      <c r="A2702" s="976"/>
    </row>
    <row r="2703" spans="1:1">
      <c r="A2703" s="976"/>
    </row>
    <row r="2704" spans="1:1">
      <c r="A2704" s="976"/>
    </row>
    <row r="2705" spans="1:1">
      <c r="A2705" s="976"/>
    </row>
    <row r="2706" spans="1:1">
      <c r="A2706" s="976"/>
    </row>
    <row r="2707" spans="1:1">
      <c r="A2707" s="976"/>
    </row>
    <row r="2708" spans="1:1">
      <c r="A2708" s="976"/>
    </row>
    <row r="2709" spans="1:1">
      <c r="A2709" s="976"/>
    </row>
    <row r="2710" spans="1:1">
      <c r="A2710" s="976"/>
    </row>
    <row r="2711" spans="1:1">
      <c r="A2711" s="976"/>
    </row>
    <row r="2712" spans="1:1">
      <c r="A2712" s="976"/>
    </row>
    <row r="2713" spans="1:1">
      <c r="A2713" s="976"/>
    </row>
    <row r="2714" spans="1:1">
      <c r="A2714" s="976"/>
    </row>
    <row r="2715" spans="1:1">
      <c r="A2715" s="976"/>
    </row>
    <row r="2716" spans="1:1">
      <c r="A2716" s="976"/>
    </row>
    <row r="2717" spans="1:1">
      <c r="A2717" s="976"/>
    </row>
    <row r="2718" spans="1:1">
      <c r="A2718" s="976"/>
    </row>
    <row r="2719" spans="1:1">
      <c r="A2719" s="976"/>
    </row>
    <row r="2720" spans="1:1">
      <c r="A2720" s="976"/>
    </row>
    <row r="2721" spans="1:1">
      <c r="A2721" s="976"/>
    </row>
    <row r="2722" spans="1:1">
      <c r="A2722" s="976"/>
    </row>
    <row r="2723" spans="1:1">
      <c r="A2723" s="976"/>
    </row>
    <row r="2724" spans="1:1">
      <c r="A2724" s="976"/>
    </row>
    <row r="2725" spans="1:1">
      <c r="A2725" s="976"/>
    </row>
    <row r="2726" spans="1:1">
      <c r="A2726" s="976"/>
    </row>
    <row r="2727" spans="1:1">
      <c r="A2727" s="976"/>
    </row>
    <row r="2728" spans="1:1">
      <c r="A2728" s="976"/>
    </row>
    <row r="2729" spans="1:1">
      <c r="A2729" s="976"/>
    </row>
    <row r="2730" spans="1:1">
      <c r="A2730" s="976"/>
    </row>
    <row r="2731" spans="1:1">
      <c r="A2731" s="976"/>
    </row>
    <row r="2732" spans="1:1">
      <c r="A2732" s="976"/>
    </row>
    <row r="2733" spans="1:1">
      <c r="A2733" s="976"/>
    </row>
    <row r="2734" spans="1:1">
      <c r="A2734" s="976"/>
    </row>
    <row r="2735" spans="1:1">
      <c r="A2735" s="976"/>
    </row>
    <row r="2736" spans="1:1">
      <c r="A2736" s="976"/>
    </row>
    <row r="2737" spans="1:1">
      <c r="A2737" s="976"/>
    </row>
    <row r="2738" spans="1:1">
      <c r="A2738" s="976"/>
    </row>
    <row r="2739" spans="1:1">
      <c r="A2739" s="976"/>
    </row>
    <row r="2740" spans="1:1">
      <c r="A2740" s="976"/>
    </row>
    <row r="2741" spans="1:1">
      <c r="A2741" s="976"/>
    </row>
    <row r="2742" spans="1:1">
      <c r="A2742" s="976"/>
    </row>
    <row r="2743" spans="1:1">
      <c r="A2743" s="976"/>
    </row>
    <row r="2744" spans="1:1">
      <c r="A2744" s="976"/>
    </row>
    <row r="2745" spans="1:1">
      <c r="A2745" s="976"/>
    </row>
    <row r="2746" spans="1:1">
      <c r="A2746" s="976"/>
    </row>
    <row r="2747" spans="1:1">
      <c r="A2747" s="976"/>
    </row>
    <row r="2748" spans="1:1">
      <c r="A2748" s="976"/>
    </row>
    <row r="2749" spans="1:1">
      <c r="A2749" s="976"/>
    </row>
    <row r="2750" spans="1:1">
      <c r="A2750" s="976"/>
    </row>
    <row r="2751" spans="1:1">
      <c r="A2751" s="976"/>
    </row>
    <row r="2752" spans="1:1">
      <c r="A2752" s="976"/>
    </row>
    <row r="2753" spans="1:1">
      <c r="A2753" s="976"/>
    </row>
    <row r="2754" spans="1:1">
      <c r="A2754" s="976"/>
    </row>
    <row r="2755" spans="1:1">
      <c r="A2755" s="976"/>
    </row>
    <row r="2756" spans="1:1">
      <c r="A2756" s="976"/>
    </row>
    <row r="2757" spans="1:1">
      <c r="A2757" s="976"/>
    </row>
    <row r="2758" spans="1:1">
      <c r="A2758" s="976"/>
    </row>
    <row r="2759" spans="1:1">
      <c r="A2759" s="976"/>
    </row>
    <row r="2760" spans="1:1">
      <c r="A2760" s="976"/>
    </row>
    <row r="2761" spans="1:1">
      <c r="A2761" s="976"/>
    </row>
    <row r="2762" spans="1:1">
      <c r="A2762" s="976"/>
    </row>
    <row r="2763" spans="1:1">
      <c r="A2763" s="976"/>
    </row>
    <row r="2764" spans="1:1">
      <c r="A2764" s="976"/>
    </row>
    <row r="2765" spans="1:1">
      <c r="A2765" s="976"/>
    </row>
    <row r="2766" spans="1:1">
      <c r="A2766" s="976"/>
    </row>
    <row r="2767" spans="1:1">
      <c r="A2767" s="976"/>
    </row>
    <row r="2768" spans="1:1">
      <c r="A2768" s="976"/>
    </row>
    <row r="2769" spans="1:1">
      <c r="A2769" s="976"/>
    </row>
    <row r="2770" spans="1:1">
      <c r="A2770" s="976"/>
    </row>
    <row r="2771" spans="1:1">
      <c r="A2771" s="976"/>
    </row>
    <row r="2772" spans="1:1">
      <c r="A2772" s="976"/>
    </row>
    <row r="2773" spans="1:1">
      <c r="A2773" s="976"/>
    </row>
    <row r="2774" spans="1:1">
      <c r="A2774" s="976"/>
    </row>
    <row r="2775" spans="1:1">
      <c r="A2775" s="976"/>
    </row>
    <row r="2776" spans="1:1">
      <c r="A2776" s="976"/>
    </row>
    <row r="2777" spans="1:1">
      <c r="A2777" s="976"/>
    </row>
    <row r="2778" spans="1:1">
      <c r="A2778" s="976"/>
    </row>
    <row r="2779" spans="1:1">
      <c r="A2779" s="976"/>
    </row>
    <row r="2780" spans="1:1">
      <c r="A2780" s="976"/>
    </row>
    <row r="2781" spans="1:1">
      <c r="A2781" s="976"/>
    </row>
    <row r="2782" spans="1:1">
      <c r="A2782" s="976"/>
    </row>
    <row r="2783" spans="1:1">
      <c r="A2783" s="976"/>
    </row>
    <row r="2784" spans="1:1">
      <c r="A2784" s="976"/>
    </row>
    <row r="2785" spans="1:1">
      <c r="A2785" s="976"/>
    </row>
    <row r="2786" spans="1:1">
      <c r="A2786" s="976"/>
    </row>
    <row r="2787" spans="1:1">
      <c r="A2787" s="976"/>
    </row>
    <row r="2788" spans="1:1">
      <c r="A2788" s="976"/>
    </row>
    <row r="2789" spans="1:1">
      <c r="A2789" s="976"/>
    </row>
    <row r="2790" spans="1:1">
      <c r="A2790" s="976"/>
    </row>
    <row r="2791" spans="1:1">
      <c r="A2791" s="976"/>
    </row>
    <row r="2792" spans="1:1">
      <c r="A2792" s="976"/>
    </row>
    <row r="2793" spans="1:1">
      <c r="A2793" s="976"/>
    </row>
    <row r="2794" spans="1:1">
      <c r="A2794" s="976"/>
    </row>
    <row r="2795" spans="1:1">
      <c r="A2795" s="976"/>
    </row>
    <row r="2796" spans="1:1">
      <c r="A2796" s="976"/>
    </row>
    <row r="2797" spans="1:1">
      <c r="A2797" s="976"/>
    </row>
    <row r="2798" spans="1:1">
      <c r="A2798" s="976"/>
    </row>
    <row r="2799" spans="1:1">
      <c r="A2799" s="976"/>
    </row>
    <row r="2800" spans="1:1">
      <c r="A2800" s="976"/>
    </row>
    <row r="2801" spans="1:1">
      <c r="A2801" s="976"/>
    </row>
    <row r="2802" spans="1:1">
      <c r="A2802" s="976"/>
    </row>
    <row r="2803" spans="1:1">
      <c r="A2803" s="976"/>
    </row>
    <row r="2804" spans="1:1">
      <c r="A2804" s="976"/>
    </row>
    <row r="2805" spans="1:1">
      <c r="A2805" s="976"/>
    </row>
    <row r="2806" spans="1:1">
      <c r="A2806" s="976"/>
    </row>
    <row r="2807" spans="1:1">
      <c r="A2807" s="976"/>
    </row>
    <row r="2808" spans="1:1">
      <c r="A2808" s="976"/>
    </row>
    <row r="2809" spans="1:1">
      <c r="A2809" s="976"/>
    </row>
    <row r="2810" spans="1:1">
      <c r="A2810" s="976"/>
    </row>
    <row r="2811" spans="1:1">
      <c r="A2811" s="976"/>
    </row>
    <row r="2812" spans="1:1">
      <c r="A2812" s="976"/>
    </row>
    <row r="2813" spans="1:1">
      <c r="A2813" s="976"/>
    </row>
    <row r="2814" spans="1:1">
      <c r="A2814" s="976"/>
    </row>
    <row r="2815" spans="1:1">
      <c r="A2815" s="976"/>
    </row>
    <row r="2816" spans="1:1">
      <c r="A2816" s="976"/>
    </row>
    <row r="2817" spans="1:1">
      <c r="A2817" s="976"/>
    </row>
    <row r="2818" spans="1:1">
      <c r="A2818" s="976"/>
    </row>
    <row r="2819" spans="1:1">
      <c r="A2819" s="976"/>
    </row>
    <row r="2820" spans="1:1">
      <c r="A2820" s="976"/>
    </row>
    <row r="2821" spans="1:1">
      <c r="A2821" s="976"/>
    </row>
    <row r="2822" spans="1:1">
      <c r="A2822" s="976"/>
    </row>
    <row r="2823" spans="1:1">
      <c r="A2823" s="976"/>
    </row>
    <row r="2824" spans="1:1">
      <c r="A2824" s="976"/>
    </row>
    <row r="2825" spans="1:1">
      <c r="A2825" s="976"/>
    </row>
    <row r="2826" spans="1:1">
      <c r="A2826" s="976"/>
    </row>
    <row r="2827" spans="1:1">
      <c r="A2827" s="976"/>
    </row>
    <row r="2828" spans="1:1">
      <c r="A2828" s="976"/>
    </row>
    <row r="2829" spans="1:1">
      <c r="A2829" s="976"/>
    </row>
    <row r="2830" spans="1:1">
      <c r="A2830" s="976"/>
    </row>
    <row r="2831" spans="1:1">
      <c r="A2831" s="976"/>
    </row>
    <row r="2832" spans="1:1">
      <c r="A2832" s="976"/>
    </row>
    <row r="2833" spans="1:1">
      <c r="A2833" s="976"/>
    </row>
    <row r="2834" spans="1:1">
      <c r="A2834" s="976"/>
    </row>
    <row r="2835" spans="1:1">
      <c r="A2835" s="976"/>
    </row>
    <row r="2836" spans="1:1">
      <c r="A2836" s="976"/>
    </row>
    <row r="2837" spans="1:1">
      <c r="A2837" s="976"/>
    </row>
    <row r="2838" spans="1:1">
      <c r="A2838" s="976"/>
    </row>
    <row r="2839" spans="1:1">
      <c r="A2839" s="976"/>
    </row>
    <row r="2840" spans="1:1">
      <c r="A2840" s="976"/>
    </row>
    <row r="2841" spans="1:1">
      <c r="A2841" s="976"/>
    </row>
    <row r="2842" spans="1:1">
      <c r="A2842" s="976"/>
    </row>
    <row r="2843" spans="1:1">
      <c r="A2843" s="976"/>
    </row>
    <row r="2844" spans="1:1">
      <c r="A2844" s="976"/>
    </row>
    <row r="2845" spans="1:1">
      <c r="A2845" s="976"/>
    </row>
    <row r="2846" spans="1:1">
      <c r="A2846" s="976"/>
    </row>
    <row r="2847" spans="1:1">
      <c r="A2847" s="976"/>
    </row>
    <row r="2848" spans="1:1">
      <c r="A2848" s="976"/>
    </row>
    <row r="2849" spans="1:1">
      <c r="A2849" s="976"/>
    </row>
    <row r="2850" spans="1:1">
      <c r="A2850" s="976"/>
    </row>
    <row r="2851" spans="1:1">
      <c r="A2851" s="976"/>
    </row>
    <row r="2852" spans="1:1">
      <c r="A2852" s="976"/>
    </row>
    <row r="2853" spans="1:1">
      <c r="A2853" s="976"/>
    </row>
    <row r="2854" spans="1:1">
      <c r="A2854" s="976"/>
    </row>
    <row r="2855" spans="1:1">
      <c r="A2855" s="976"/>
    </row>
    <row r="2856" spans="1:1">
      <c r="A2856" s="976"/>
    </row>
    <row r="2857" spans="1:1">
      <c r="A2857" s="976"/>
    </row>
    <row r="2858" spans="1:1">
      <c r="A2858" s="976"/>
    </row>
    <row r="2859" spans="1:1">
      <c r="A2859" s="976"/>
    </row>
    <row r="2860" spans="1:1">
      <c r="A2860" s="976"/>
    </row>
    <row r="2861" spans="1:1">
      <c r="A2861" s="976"/>
    </row>
    <row r="2862" spans="1:1">
      <c r="A2862" s="976"/>
    </row>
    <row r="2863" spans="1:1">
      <c r="A2863" s="976"/>
    </row>
    <row r="2864" spans="1:1">
      <c r="A2864" s="976"/>
    </row>
    <row r="2865" spans="1:1">
      <c r="A2865" s="976"/>
    </row>
    <row r="2866" spans="1:1">
      <c r="A2866" s="976"/>
    </row>
    <row r="2867" spans="1:1">
      <c r="A2867" s="976"/>
    </row>
    <row r="2868" spans="1:1">
      <c r="A2868" s="976"/>
    </row>
    <row r="2869" spans="1:1">
      <c r="A2869" s="976"/>
    </row>
    <row r="2870" spans="1:1">
      <c r="A2870" s="976"/>
    </row>
    <row r="2871" spans="1:1">
      <c r="A2871" s="976"/>
    </row>
    <row r="2872" spans="1:1">
      <c r="A2872" s="976"/>
    </row>
    <row r="2873" spans="1:1">
      <c r="A2873" s="976"/>
    </row>
    <row r="2874" spans="1:1">
      <c r="A2874" s="976"/>
    </row>
    <row r="2875" spans="1:1">
      <c r="A2875" s="976"/>
    </row>
    <row r="2876" spans="1:1">
      <c r="A2876" s="976"/>
    </row>
    <row r="2877" spans="1:1">
      <c r="A2877" s="976"/>
    </row>
    <row r="2878" spans="1:1">
      <c r="A2878" s="976"/>
    </row>
    <row r="2879" spans="1:1">
      <c r="A2879" s="976"/>
    </row>
    <row r="2880" spans="1:1">
      <c r="A2880" s="976"/>
    </row>
    <row r="2881" spans="1:1">
      <c r="A2881" s="976"/>
    </row>
    <row r="2882" spans="1:1">
      <c r="A2882" s="976"/>
    </row>
    <row r="2883" spans="1:1">
      <c r="A2883" s="976"/>
    </row>
    <row r="2884" spans="1:1">
      <c r="A2884" s="976"/>
    </row>
    <row r="2885" spans="1:1">
      <c r="A2885" s="976"/>
    </row>
    <row r="2886" spans="1:1">
      <c r="A2886" s="976"/>
    </row>
    <row r="2887" spans="1:1">
      <c r="A2887" s="976"/>
    </row>
    <row r="2888" spans="1:1">
      <c r="A2888" s="976"/>
    </row>
    <row r="2889" spans="1:1">
      <c r="A2889" s="976"/>
    </row>
    <row r="2890" spans="1:1">
      <c r="A2890" s="976"/>
    </row>
    <row r="2891" spans="1:1">
      <c r="A2891" s="976"/>
    </row>
    <row r="2892" spans="1:1">
      <c r="A2892" s="976"/>
    </row>
    <row r="2893" spans="1:1">
      <c r="A2893" s="976"/>
    </row>
    <row r="2894" spans="1:1">
      <c r="A2894" s="976"/>
    </row>
    <row r="2895" spans="1:1">
      <c r="A2895" s="976"/>
    </row>
    <row r="2896" spans="1:1">
      <c r="A2896" s="976"/>
    </row>
    <row r="2897" spans="1:1">
      <c r="A2897" s="976"/>
    </row>
    <row r="2898" spans="1:1">
      <c r="A2898" s="976"/>
    </row>
    <row r="2899" spans="1:1">
      <c r="A2899" s="976"/>
    </row>
    <row r="2900" spans="1:1">
      <c r="A2900" s="976"/>
    </row>
    <row r="2901" spans="1:1">
      <c r="A2901" s="976"/>
    </row>
    <row r="2902" spans="1:1">
      <c r="A2902" s="976"/>
    </row>
    <row r="2903" spans="1:1">
      <c r="A2903" s="976"/>
    </row>
    <row r="2904" spans="1:1">
      <c r="A2904" s="976"/>
    </row>
    <row r="2905" spans="1:1">
      <c r="A2905" s="976"/>
    </row>
    <row r="2906" spans="1:1">
      <c r="A2906" s="976"/>
    </row>
    <row r="2907" spans="1:1">
      <c r="A2907" s="976"/>
    </row>
    <row r="2908" spans="1:1">
      <c r="A2908" s="976"/>
    </row>
    <row r="2909" spans="1:1">
      <c r="A2909" s="976"/>
    </row>
    <row r="2910" spans="1:1">
      <c r="A2910" s="976"/>
    </row>
    <row r="2911" spans="1:1">
      <c r="A2911" s="976"/>
    </row>
    <row r="2912" spans="1:1">
      <c r="A2912" s="976"/>
    </row>
    <row r="2913" spans="1:1">
      <c r="A2913" s="976"/>
    </row>
    <row r="2914" spans="1:1">
      <c r="A2914" s="976"/>
    </row>
    <row r="2915" spans="1:1">
      <c r="A2915" s="976"/>
    </row>
    <row r="2916" spans="1:1">
      <c r="A2916" s="976"/>
    </row>
    <row r="2917" spans="1:1">
      <c r="A2917" s="976"/>
    </row>
    <row r="2918" spans="1:1">
      <c r="A2918" s="976"/>
    </row>
    <row r="2919" spans="1:1">
      <c r="A2919" s="976"/>
    </row>
    <row r="2920" spans="1:1">
      <c r="A2920" s="976"/>
    </row>
    <row r="2921" spans="1:1">
      <c r="A2921" s="976"/>
    </row>
    <row r="2922" spans="1:1">
      <c r="A2922" s="976"/>
    </row>
    <row r="2923" spans="1:1">
      <c r="A2923" s="976"/>
    </row>
    <row r="2924" spans="1:1">
      <c r="A2924" s="976"/>
    </row>
    <row r="2925" spans="1:1">
      <c r="A2925" s="976"/>
    </row>
    <row r="2926" spans="1:1">
      <c r="A2926" s="976"/>
    </row>
    <row r="2927" spans="1:1">
      <c r="A2927" s="976"/>
    </row>
    <row r="2928" spans="1:1">
      <c r="A2928" s="976"/>
    </row>
    <row r="2929" spans="1:1">
      <c r="A2929" s="976"/>
    </row>
    <row r="2930" spans="1:1">
      <c r="A2930" s="976"/>
    </row>
    <row r="2931" spans="1:1">
      <c r="A2931" s="976"/>
    </row>
    <row r="2932" spans="1:1">
      <c r="A2932" s="976"/>
    </row>
    <row r="2933" spans="1:1">
      <c r="A2933" s="976"/>
    </row>
    <row r="2934" spans="1:1">
      <c r="A2934" s="976"/>
    </row>
    <row r="2935" spans="1:1">
      <c r="A2935" s="976"/>
    </row>
    <row r="2936" spans="1:1">
      <c r="A2936" s="976"/>
    </row>
    <row r="2937" spans="1:1">
      <c r="A2937" s="976"/>
    </row>
    <row r="2938" spans="1:1">
      <c r="A2938" s="976"/>
    </row>
    <row r="2939" spans="1:1">
      <c r="A2939" s="976"/>
    </row>
    <row r="2940" spans="1:1">
      <c r="A2940" s="976"/>
    </row>
    <row r="2941" spans="1:1">
      <c r="A2941" s="976"/>
    </row>
    <row r="2942" spans="1:1">
      <c r="A2942" s="976"/>
    </row>
    <row r="2943" spans="1:1">
      <c r="A2943" s="976"/>
    </row>
    <row r="2944" spans="1:1">
      <c r="A2944" s="976"/>
    </row>
    <row r="2945" spans="1:1">
      <c r="A2945" s="976"/>
    </row>
    <row r="2946" spans="1:1">
      <c r="A2946" s="976"/>
    </row>
    <row r="2947" spans="1:1">
      <c r="A2947" s="976"/>
    </row>
    <row r="2948" spans="1:1">
      <c r="A2948" s="976"/>
    </row>
    <row r="2949" spans="1:1">
      <c r="A2949" s="976"/>
    </row>
    <row r="2950" spans="1:1">
      <c r="A2950" s="976"/>
    </row>
    <row r="2951" spans="1:1">
      <c r="A2951" s="976"/>
    </row>
    <row r="2952" spans="1:1">
      <c r="A2952" s="976"/>
    </row>
    <row r="2953" spans="1:1">
      <c r="A2953" s="976"/>
    </row>
    <row r="2954" spans="1:1">
      <c r="A2954" s="976"/>
    </row>
    <row r="2955" spans="1:1">
      <c r="A2955" s="976"/>
    </row>
    <row r="2956" spans="1:1">
      <c r="A2956" s="976"/>
    </row>
    <row r="2957" spans="1:1">
      <c r="A2957" s="976"/>
    </row>
    <row r="2958" spans="1:1">
      <c r="A2958" s="976"/>
    </row>
    <row r="2959" spans="1:1">
      <c r="A2959" s="976"/>
    </row>
    <row r="2960" spans="1:1">
      <c r="A2960" s="976"/>
    </row>
    <row r="2961" spans="1:1">
      <c r="A2961" s="976"/>
    </row>
    <row r="2962" spans="1:1">
      <c r="A2962" s="976"/>
    </row>
    <row r="2963" spans="1:1">
      <c r="A2963" s="976"/>
    </row>
    <row r="2964" spans="1:1">
      <c r="A2964" s="976"/>
    </row>
    <row r="2965" spans="1:1">
      <c r="A2965" s="976"/>
    </row>
    <row r="2966" spans="1:1">
      <c r="A2966" s="976"/>
    </row>
    <row r="2967" spans="1:1">
      <c r="A2967" s="976"/>
    </row>
    <row r="2968" spans="1:1">
      <c r="A2968" s="976"/>
    </row>
    <row r="2969" spans="1:1">
      <c r="A2969" s="976"/>
    </row>
    <row r="2970" spans="1:1">
      <c r="A2970" s="976"/>
    </row>
    <row r="2971" spans="1:1">
      <c r="A2971" s="976"/>
    </row>
    <row r="2972" spans="1:1">
      <c r="A2972" s="976"/>
    </row>
    <row r="2973" spans="1:1">
      <c r="A2973" s="976"/>
    </row>
    <row r="2974" spans="1:1">
      <c r="A2974" s="976"/>
    </row>
    <row r="2975" spans="1:1">
      <c r="A2975" s="976"/>
    </row>
    <row r="2976" spans="1:1">
      <c r="A2976" s="976"/>
    </row>
    <row r="2977" spans="1:1">
      <c r="A2977" s="976"/>
    </row>
    <row r="2978" spans="1:1">
      <c r="A2978" s="976"/>
    </row>
    <row r="2979" spans="1:1">
      <c r="A2979" s="976"/>
    </row>
    <row r="2980" spans="1:1">
      <c r="A2980" s="976"/>
    </row>
    <row r="2981" spans="1:1">
      <c r="A2981" s="976"/>
    </row>
    <row r="2982" spans="1:1">
      <c r="A2982" s="976"/>
    </row>
    <row r="2983" spans="1:1">
      <c r="A2983" s="976"/>
    </row>
    <row r="2984" spans="1:1">
      <c r="A2984" s="976"/>
    </row>
    <row r="2985" spans="1:1">
      <c r="A2985" s="976"/>
    </row>
    <row r="2986" spans="1:1">
      <c r="A2986" s="976"/>
    </row>
    <row r="2987" spans="1:1">
      <c r="A2987" s="976"/>
    </row>
    <row r="2988" spans="1:1">
      <c r="A2988" s="976"/>
    </row>
    <row r="2989" spans="1:1">
      <c r="A2989" s="976"/>
    </row>
    <row r="2990" spans="1:1">
      <c r="A2990" s="976"/>
    </row>
    <row r="2991" spans="1:1">
      <c r="A2991" s="976"/>
    </row>
    <row r="2992" spans="1:1">
      <c r="A2992" s="976"/>
    </row>
    <row r="2993" spans="1:1">
      <c r="A2993" s="976"/>
    </row>
    <row r="2994" spans="1:1">
      <c r="A2994" s="976"/>
    </row>
    <row r="2995" spans="1:1">
      <c r="A2995" s="976"/>
    </row>
    <row r="2996" spans="1:1">
      <c r="A2996" s="976"/>
    </row>
    <row r="2997" spans="1:1">
      <c r="A2997" s="976"/>
    </row>
    <row r="2998" spans="1:1">
      <c r="A2998" s="976"/>
    </row>
    <row r="2999" spans="1:1">
      <c r="A2999" s="976"/>
    </row>
    <row r="3000" spans="1:1">
      <c r="A3000" s="976"/>
    </row>
    <row r="3001" spans="1:1">
      <c r="A3001" s="976"/>
    </row>
    <row r="3002" spans="1:1">
      <c r="A3002" s="976"/>
    </row>
    <row r="3003" spans="1:1">
      <c r="A3003" s="976"/>
    </row>
    <row r="3004" spans="1:1">
      <c r="A3004" s="976"/>
    </row>
    <row r="3005" spans="1:1">
      <c r="A3005" s="976"/>
    </row>
    <row r="3006" spans="1:1">
      <c r="A3006" s="976"/>
    </row>
    <row r="3007" spans="1:1">
      <c r="A3007" s="976"/>
    </row>
    <row r="3008" spans="1:1">
      <c r="A3008" s="976"/>
    </row>
    <row r="3009" spans="1:1">
      <c r="A3009" s="976"/>
    </row>
    <row r="3010" spans="1:1">
      <c r="A3010" s="976"/>
    </row>
    <row r="3011" spans="1:1">
      <c r="A3011" s="976"/>
    </row>
    <row r="3012" spans="1:1">
      <c r="A3012" s="976"/>
    </row>
    <row r="3013" spans="1:1">
      <c r="A3013" s="976"/>
    </row>
    <row r="3014" spans="1:1">
      <c r="A3014" s="976"/>
    </row>
    <row r="3015" spans="1:1">
      <c r="A3015" s="976"/>
    </row>
    <row r="3016" spans="1:1">
      <c r="A3016" s="976"/>
    </row>
    <row r="3017" spans="1:1">
      <c r="A3017" s="976"/>
    </row>
    <row r="3018" spans="1:1">
      <c r="A3018" s="976"/>
    </row>
    <row r="3019" spans="1:1">
      <c r="A3019" s="976"/>
    </row>
    <row r="3020" spans="1:1">
      <c r="A3020" s="976"/>
    </row>
    <row r="3021" spans="1:1">
      <c r="A3021" s="976"/>
    </row>
    <row r="3022" spans="1:1">
      <c r="A3022" s="976"/>
    </row>
    <row r="3023" spans="1:1">
      <c r="A3023" s="976"/>
    </row>
    <row r="3024" spans="1:1">
      <c r="A3024" s="976"/>
    </row>
    <row r="3025" spans="1:1">
      <c r="A3025" s="976"/>
    </row>
    <row r="3026" spans="1:1">
      <c r="A3026" s="976"/>
    </row>
    <row r="3027" spans="1:1">
      <c r="A3027" s="976"/>
    </row>
    <row r="3028" spans="1:1">
      <c r="A3028" s="976"/>
    </row>
    <row r="3029" spans="1:1">
      <c r="A3029" s="976"/>
    </row>
    <row r="3030" spans="1:1">
      <c r="A3030" s="976"/>
    </row>
    <row r="3031" spans="1:1">
      <c r="A3031" s="976"/>
    </row>
    <row r="3032" spans="1:1">
      <c r="A3032" s="976"/>
    </row>
    <row r="3033" spans="1:1">
      <c r="A3033" s="976"/>
    </row>
    <row r="3034" spans="1:1">
      <c r="A3034" s="976"/>
    </row>
    <row r="3035" spans="1:1">
      <c r="A3035" s="976"/>
    </row>
    <row r="3036" spans="1:1">
      <c r="A3036" s="976"/>
    </row>
    <row r="3037" spans="1:1">
      <c r="A3037" s="976"/>
    </row>
    <row r="3038" spans="1:1">
      <c r="A3038" s="976"/>
    </row>
    <row r="3039" spans="1:1">
      <c r="A3039" s="976"/>
    </row>
    <row r="3040" spans="1:1">
      <c r="A3040" s="976"/>
    </row>
    <row r="3041" spans="1:1">
      <c r="A3041" s="976"/>
    </row>
    <row r="3042" spans="1:1">
      <c r="A3042" s="976"/>
    </row>
    <row r="3043" spans="1:1">
      <c r="A3043" s="976"/>
    </row>
    <row r="3044" spans="1:1">
      <c r="A3044" s="976"/>
    </row>
    <row r="3045" spans="1:1">
      <c r="A3045" s="976"/>
    </row>
    <row r="3046" spans="1:1">
      <c r="A3046" s="976"/>
    </row>
    <row r="3047" spans="1:1">
      <c r="A3047" s="976"/>
    </row>
    <row r="3048" spans="1:1">
      <c r="A3048" s="976"/>
    </row>
    <row r="3049" spans="1:1">
      <c r="A3049" s="976"/>
    </row>
    <row r="3050" spans="1:1">
      <c r="A3050" s="976"/>
    </row>
    <row r="3051" spans="1:1">
      <c r="A3051" s="976"/>
    </row>
    <row r="3052" spans="1:1">
      <c r="A3052" s="976"/>
    </row>
    <row r="3053" spans="1:1">
      <c r="A3053" s="976"/>
    </row>
    <row r="3054" spans="1:1">
      <c r="A3054" s="976"/>
    </row>
    <row r="3055" spans="1:1">
      <c r="A3055" s="976"/>
    </row>
    <row r="3056" spans="1:1">
      <c r="A3056" s="976"/>
    </row>
    <row r="3057" spans="1:1">
      <c r="A3057" s="976"/>
    </row>
    <row r="3058" spans="1:1">
      <c r="A3058" s="976"/>
    </row>
    <row r="3059" spans="1:1">
      <c r="A3059" s="976"/>
    </row>
    <row r="3060" spans="1:1">
      <c r="A3060" s="976"/>
    </row>
    <row r="3061" spans="1:1">
      <c r="A3061" s="976"/>
    </row>
    <row r="3062" spans="1:1">
      <c r="A3062" s="976"/>
    </row>
    <row r="3063" spans="1:1">
      <c r="A3063" s="976"/>
    </row>
    <row r="3064" spans="1:1">
      <c r="A3064" s="976"/>
    </row>
    <row r="3065" spans="1:1">
      <c r="A3065" s="976"/>
    </row>
    <row r="3066" spans="1:1">
      <c r="A3066" s="976"/>
    </row>
    <row r="3067" spans="1:1">
      <c r="A3067" s="976"/>
    </row>
    <row r="3068" spans="1:1">
      <c r="A3068" s="976"/>
    </row>
    <row r="3069" spans="1:1">
      <c r="A3069" s="976"/>
    </row>
    <row r="3070" spans="1:1">
      <c r="A3070" s="976"/>
    </row>
    <row r="3071" spans="1:1">
      <c r="A3071" s="976"/>
    </row>
    <row r="3072" spans="1:1">
      <c r="A3072" s="976"/>
    </row>
    <row r="3073" spans="1:1">
      <c r="A3073" s="976"/>
    </row>
    <row r="3074" spans="1:1">
      <c r="A3074" s="976"/>
    </row>
    <row r="3075" spans="1:1">
      <c r="A3075" s="976"/>
    </row>
    <row r="3076" spans="1:1">
      <c r="A3076" s="976"/>
    </row>
    <row r="3077" spans="1:1">
      <c r="A3077" s="976"/>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topLeftCell="A13" workbookViewId="0">
      <selection activeCell="A26" sqref="A26"/>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33" customWidth="1"/>
    <col min="14" max="14" width="9.25" style="933" customWidth="1"/>
    <col min="15" max="15" width="16.375" style="933" customWidth="1"/>
    <col min="16" max="16" width="13.75" style="933" customWidth="1"/>
    <col min="17" max="17" width="9" style="933"/>
    <col min="18" max="18" width="7.25" style="933" customWidth="1"/>
    <col min="19" max="19" width="20.75" style="933" customWidth="1"/>
    <col min="20" max="20" width="15.375" style="933" customWidth="1"/>
    <col min="21" max="21" width="10.25" style="933" customWidth="1"/>
    <col min="22" max="22" width="11.125" style="934" customWidth="1"/>
    <col min="23" max="23" width="22.375" style="933" customWidth="1"/>
    <col min="24" max="24" width="7.125" style="934" customWidth="1"/>
    <col min="25" max="25" width="10.25" style="934" customWidth="1"/>
  </cols>
  <sheetData>
    <row r="1" customHeight="1" spans="1:35">
      <c r="A1" s="935" t="s">
        <v>175</v>
      </c>
      <c r="B1" s="935"/>
      <c r="C1" s="935"/>
      <c r="D1" s="935"/>
      <c r="E1" s="935"/>
      <c r="F1" s="935"/>
      <c r="G1" s="935"/>
      <c r="H1" s="935"/>
      <c r="I1" s="935"/>
      <c r="J1" s="935"/>
      <c r="K1" s="935"/>
      <c r="L1" s="935"/>
      <c r="M1" s="977"/>
      <c r="N1" s="977"/>
      <c r="O1" s="977"/>
      <c r="P1" s="977"/>
      <c r="Q1" s="977"/>
      <c r="R1" s="977"/>
      <c r="S1" s="977"/>
      <c r="T1" s="977"/>
      <c r="U1" s="977"/>
      <c r="V1" s="996"/>
      <c r="W1" s="977"/>
      <c r="X1" s="996"/>
      <c r="Y1" s="996"/>
      <c r="Z1" s="977"/>
      <c r="AA1" s="977"/>
      <c r="AB1" s="977"/>
      <c r="AC1" s="977"/>
      <c r="AD1" s="996"/>
      <c r="AE1" s="996"/>
      <c r="AF1" s="1008"/>
      <c r="AG1" s="1012"/>
      <c r="AH1" s="1013"/>
      <c r="AI1" s="1013"/>
    </row>
    <row r="2" customHeight="1" spans="1:31">
      <c r="A2" s="936" t="s">
        <v>1</v>
      </c>
      <c r="B2" s="937">
        <f>下料单!C2</f>
        <v>0</v>
      </c>
      <c r="C2" s="937" t="s">
        <v>2</v>
      </c>
      <c r="D2" s="937">
        <f>下料单!H2</f>
        <v>0</v>
      </c>
      <c r="E2" s="938"/>
      <c r="F2" s="938"/>
      <c r="G2" s="938"/>
      <c r="H2" s="938"/>
      <c r="I2" s="978" t="s">
        <v>9</v>
      </c>
      <c r="J2" s="978">
        <f>下料单!AG2</f>
        <v>0</v>
      </c>
      <c r="K2" s="979" t="s">
        <v>67</v>
      </c>
      <c r="L2" s="979" t="str">
        <f>下料单!AQ2</f>
        <v>简爱</v>
      </c>
      <c r="O2" s="980"/>
      <c r="P2" s="981"/>
      <c r="Q2" s="997"/>
      <c r="R2" s="997"/>
      <c r="S2" s="981"/>
      <c r="T2" s="981"/>
      <c r="U2" s="997"/>
      <c r="V2" s="827"/>
      <c r="AE2" s="1009"/>
    </row>
    <row r="3" customHeight="1" spans="2:31">
      <c r="B3" s="938"/>
      <c r="C3" s="937" t="s">
        <v>66</v>
      </c>
      <c r="D3" s="937">
        <f>下料单!R2</f>
        <v>0</v>
      </c>
      <c r="E3" s="937"/>
      <c r="F3" s="937"/>
      <c r="G3" s="938"/>
      <c r="H3" s="938"/>
      <c r="I3" s="937" t="s">
        <v>6</v>
      </c>
      <c r="J3" s="937">
        <f>下料单!AB2</f>
        <v>0</v>
      </c>
      <c r="K3" s="937" t="s">
        <v>7</v>
      </c>
      <c r="L3" s="937">
        <f>下料单!W2</f>
        <v>0</v>
      </c>
      <c r="O3" s="980"/>
      <c r="P3" s="981"/>
      <c r="Q3" s="997"/>
      <c r="R3" s="997"/>
      <c r="S3" s="981"/>
      <c r="T3" s="981"/>
      <c r="U3" s="997"/>
      <c r="V3" s="827"/>
      <c r="AE3" s="1009"/>
    </row>
    <row r="4" customHeight="1" spans="1:24">
      <c r="A4" s="882" t="s">
        <v>22</v>
      </c>
      <c r="B4" s="882" t="s">
        <v>176</v>
      </c>
      <c r="C4" s="939" t="s">
        <v>177</v>
      </c>
      <c r="D4" s="940"/>
      <c r="E4" s="882" t="s">
        <v>90</v>
      </c>
      <c r="F4" s="882" t="s">
        <v>26</v>
      </c>
      <c r="G4" s="882" t="s">
        <v>178</v>
      </c>
      <c r="H4" s="882" t="s">
        <v>22</v>
      </c>
      <c r="I4" s="982" t="s">
        <v>176</v>
      </c>
      <c r="J4" s="882" t="s">
        <v>177</v>
      </c>
      <c r="K4" s="983" t="s">
        <v>90</v>
      </c>
      <c r="L4" s="882" t="s">
        <v>26</v>
      </c>
      <c r="M4" s="827"/>
      <c r="N4" s="984" t="str">
        <f>+B5</f>
        <v>铝制踢脚板</v>
      </c>
      <c r="O4" s="984" t="str">
        <f>+I5</f>
        <v>层板铝扣条16mm板用</v>
      </c>
      <c r="P4" s="985" t="str">
        <f>+I19</f>
        <v>水灶柜铝
制横梁</v>
      </c>
      <c r="Q4" s="998" t="s">
        <v>179</v>
      </c>
      <c r="R4" s="981"/>
      <c r="S4" s="981"/>
      <c r="T4" s="981"/>
      <c r="U4" s="999" t="str">
        <f>VLOOKUP($B$17,$T$5:$X$10,2,FALSE)</f>
        <v>透明夹胶玻璃</v>
      </c>
      <c r="V4" s="999" t="str">
        <f>VLOOKUP($B$17,$T$5:$X$10,3,FALSE)</f>
        <v>LC-043铝框门</v>
      </c>
      <c r="W4" s="999" t="str">
        <f>VLOOKUP($B$17,$T$5:$X$10,4,FALSE)</f>
        <v>铝框（氧化铝JF383）6米/支</v>
      </c>
      <c r="X4" s="1000">
        <f>VLOOKUP($B$17,$T$5:$X$10,5,FALSE)</f>
        <v>5</v>
      </c>
    </row>
    <row r="5" customHeight="1" spans="1:24">
      <c r="A5" s="941">
        <v>2</v>
      </c>
      <c r="B5" s="942" t="s">
        <v>180</v>
      </c>
      <c r="C5" s="943">
        <v>2400</v>
      </c>
      <c r="D5" s="944"/>
      <c r="E5" s="945"/>
      <c r="F5" s="842" t="s">
        <v>181</v>
      </c>
      <c r="G5" s="946" t="str">
        <f>+IF(C5&gt;0,"注意高度见设计师要求、","")</f>
        <v>注意高度见设计师要求、</v>
      </c>
      <c r="H5" s="941">
        <v>1</v>
      </c>
      <c r="I5" s="965" t="s">
        <v>182</v>
      </c>
      <c r="J5" s="842">
        <f>下料单!AB5</f>
        <v>-33</v>
      </c>
      <c r="K5" s="986" t="str">
        <f>+IF(J5&gt;0,VLOOKUP(J5,下料单!$AB$5:$AD$47,3,0),"")</f>
        <v/>
      </c>
      <c r="L5" s="842" t="s">
        <v>181</v>
      </c>
      <c r="M5" s="827"/>
      <c r="N5" s="987" t="str">
        <f>+IF(E5&gt;0,C5*E5,"")</f>
        <v/>
      </c>
      <c r="O5" s="987" t="str">
        <f>+IF(J5&gt;0,J5*K5,"")</f>
        <v/>
      </c>
      <c r="P5" s="987" t="str">
        <f>+IF(N20&gt;0,J20*K20,"")</f>
        <v/>
      </c>
      <c r="Q5" s="1001">
        <f>+(铝材玻璃单!C13+铝材玻璃单!D13)*2*E13/1000/0.85</f>
        <v>0</v>
      </c>
      <c r="R5" s="997"/>
      <c r="S5" s="997"/>
      <c r="T5" s="1002" t="s">
        <v>183</v>
      </c>
      <c r="U5" s="1002" t="s">
        <v>184</v>
      </c>
      <c r="V5" s="1003" t="s">
        <v>185</v>
      </c>
      <c r="W5" s="1002" t="s">
        <v>186</v>
      </c>
      <c r="X5" s="1002" t="s">
        <v>187</v>
      </c>
    </row>
    <row r="6" customHeight="1" spans="1:24">
      <c r="A6" s="941">
        <v>3</v>
      </c>
      <c r="B6" s="945"/>
      <c r="C6" s="943">
        <v>2400</v>
      </c>
      <c r="D6" s="944"/>
      <c r="E6" s="947"/>
      <c r="F6" s="842" t="s">
        <v>181</v>
      </c>
      <c r="G6" s="946" t="str">
        <f t="shared" ref="G6:G12" si="0">+IF(C6&gt;0,"注意高度见设计师要求、","")</f>
        <v>注意高度见设计师要求、</v>
      </c>
      <c r="H6" s="941">
        <v>2</v>
      </c>
      <c r="I6" s="973"/>
      <c r="J6" s="842">
        <f>下料单!AB6</f>
        <v>-32</v>
      </c>
      <c r="K6" s="986" t="str">
        <f>+IF(J6&gt;0,VLOOKUP(J6,下料单!$AB$5:$AD$47,3,0),"")</f>
        <v/>
      </c>
      <c r="L6" s="842" t="s">
        <v>181</v>
      </c>
      <c r="M6" s="827"/>
      <c r="N6" s="987" t="str">
        <f t="shared" ref="N6:N12" si="1">+IF(E6&gt;0,B6*E6,"")</f>
        <v/>
      </c>
      <c r="O6" s="987" t="str">
        <f t="shared" ref="O6:O14" si="2">+IF(J7&gt;0,J7*K7,"")</f>
        <v/>
      </c>
      <c r="P6" s="987" t="str">
        <f>+IF(N22&gt;0,J22*K22,"")</f>
        <v/>
      </c>
      <c r="Q6" s="1001">
        <f>+(铝材玻璃单!C14+铝材玻璃单!D14)*2*E14/1000/0.85</f>
        <v>0</v>
      </c>
      <c r="R6" s="997"/>
      <c r="S6" s="997"/>
      <c r="T6" s="1004"/>
      <c r="U6" s="1005"/>
      <c r="V6" s="1003"/>
      <c r="W6" s="1004"/>
      <c r="X6" s="1002"/>
    </row>
    <row r="7" customHeight="1" spans="1:24">
      <c r="A7" s="941">
        <v>4</v>
      </c>
      <c r="B7" s="945"/>
      <c r="C7" s="943">
        <v>2400</v>
      </c>
      <c r="D7" s="944"/>
      <c r="E7" s="947"/>
      <c r="F7" s="842" t="s">
        <v>181</v>
      </c>
      <c r="G7" s="946" t="str">
        <f t="shared" si="0"/>
        <v>注意高度见设计师要求、</v>
      </c>
      <c r="H7" s="941">
        <v>3</v>
      </c>
      <c r="I7" s="973"/>
      <c r="J7" s="842">
        <f>下料单!AB7</f>
        <v>-31</v>
      </c>
      <c r="K7" s="986" t="str">
        <f>+IF(J7&gt;0,VLOOKUP(J7,下料单!$AB$5:$AD$47,3,0),"")</f>
        <v/>
      </c>
      <c r="L7" s="842" t="s">
        <v>181</v>
      </c>
      <c r="M7" s="827"/>
      <c r="N7" s="987" t="str">
        <f t="shared" si="1"/>
        <v/>
      </c>
      <c r="O7" s="987" t="str">
        <f t="shared" si="2"/>
        <v/>
      </c>
      <c r="P7" s="987" t="str">
        <f>+IF(N23&gt;0,J23*K23,"")</f>
        <v/>
      </c>
      <c r="Q7" s="1001">
        <f>+(铝材玻璃单!C15+铝材玻璃单!D15)*2*E15/1000/0.85</f>
        <v>0</v>
      </c>
      <c r="R7" s="997"/>
      <c r="S7" s="981"/>
      <c r="T7" s="1004" t="s">
        <v>188</v>
      </c>
      <c r="U7" s="1004" t="s">
        <v>189</v>
      </c>
      <c r="V7" s="1003" t="s">
        <v>190</v>
      </c>
      <c r="W7" s="1004" t="s">
        <v>191</v>
      </c>
      <c r="X7" s="1002">
        <v>4</v>
      </c>
    </row>
    <row r="8" customHeight="1" spans="1:24">
      <c r="A8" s="941">
        <v>5</v>
      </c>
      <c r="B8" s="945"/>
      <c r="C8" s="943">
        <v>2400</v>
      </c>
      <c r="D8" s="944"/>
      <c r="E8" s="947"/>
      <c r="F8" s="842" t="s">
        <v>181</v>
      </c>
      <c r="G8" s="946" t="str">
        <f t="shared" si="0"/>
        <v>注意高度见设计师要求、</v>
      </c>
      <c r="H8" s="941">
        <v>4</v>
      </c>
      <c r="I8" s="973"/>
      <c r="J8" s="842">
        <f>下料单!AB8</f>
        <v>-30</v>
      </c>
      <c r="K8" s="986" t="str">
        <f>+IF(J8&gt;0,VLOOKUP(J8,下料单!$AB$5:$AD$47,3,0),"")</f>
        <v/>
      </c>
      <c r="L8" s="842" t="s">
        <v>181</v>
      </c>
      <c r="M8" s="827"/>
      <c r="N8" s="987" t="str">
        <f t="shared" si="1"/>
        <v/>
      </c>
      <c r="O8" s="987" t="str">
        <f t="shared" si="2"/>
        <v/>
      </c>
      <c r="P8" s="987" t="str">
        <f>+IF(N24&gt;0,J24*K24,"")</f>
        <v/>
      </c>
      <c r="Q8" s="1001">
        <f>+(铝材玻璃单!C16+铝材玻璃单!D16)*2*E16/1000/0.85</f>
        <v>0</v>
      </c>
      <c r="R8" s="997"/>
      <c r="S8" s="981"/>
      <c r="T8" s="1004" t="s">
        <v>192</v>
      </c>
      <c r="U8" s="1004" t="s">
        <v>193</v>
      </c>
      <c r="V8" s="1003" t="s">
        <v>190</v>
      </c>
      <c r="W8" s="1004" t="s">
        <v>191</v>
      </c>
      <c r="X8" s="1002">
        <v>4</v>
      </c>
    </row>
    <row r="9" customHeight="1" spans="1:24">
      <c r="A9" s="941">
        <v>6</v>
      </c>
      <c r="B9" s="945"/>
      <c r="C9" s="943">
        <v>2400</v>
      </c>
      <c r="D9" s="944"/>
      <c r="E9" s="947"/>
      <c r="F9" s="842" t="s">
        <v>181</v>
      </c>
      <c r="G9" s="946" t="str">
        <f t="shared" si="0"/>
        <v>注意高度见设计师要求、</v>
      </c>
      <c r="H9" s="941">
        <v>5</v>
      </c>
      <c r="I9" s="973"/>
      <c r="J9" s="842">
        <f>下料单!AB9</f>
        <v>-29</v>
      </c>
      <c r="K9" s="986" t="str">
        <f>+IF(J9&gt;0,VLOOKUP(J9,下料单!$AB$5:$AD$47,3,0),"")</f>
        <v/>
      </c>
      <c r="L9" s="842" t="s">
        <v>181</v>
      </c>
      <c r="M9" s="827"/>
      <c r="N9" s="987" t="str">
        <f t="shared" si="1"/>
        <v/>
      </c>
      <c r="O9" s="988" t="str">
        <f t="shared" si="2"/>
        <v/>
      </c>
      <c r="P9" s="987" t="str">
        <f>+IF(N25&gt;0,J25*K25,"")</f>
        <v/>
      </c>
      <c r="Q9" s="981"/>
      <c r="R9" s="997"/>
      <c r="S9" s="981"/>
      <c r="T9" s="1004" t="s">
        <v>194</v>
      </c>
      <c r="U9" s="1004" t="s">
        <v>195</v>
      </c>
      <c r="V9" s="1003" t="s">
        <v>196</v>
      </c>
      <c r="W9" s="1004" t="s">
        <v>197</v>
      </c>
      <c r="X9" s="1002">
        <v>5</v>
      </c>
    </row>
    <row r="10" customHeight="1" spans="1:25">
      <c r="A10" s="941">
        <v>7</v>
      </c>
      <c r="B10" s="945"/>
      <c r="C10" s="943">
        <v>2400</v>
      </c>
      <c r="D10" s="944"/>
      <c r="E10" s="947"/>
      <c r="F10" s="842" t="s">
        <v>181</v>
      </c>
      <c r="G10" s="946" t="str">
        <f t="shared" si="0"/>
        <v>注意高度见设计师要求、</v>
      </c>
      <c r="H10" s="941">
        <v>6</v>
      </c>
      <c r="I10" s="973"/>
      <c r="J10" s="842">
        <f>下料单!AB10</f>
        <v>-28</v>
      </c>
      <c r="K10" s="986" t="str">
        <f>+IF(J10&gt;0,VLOOKUP(J10,下料单!$AB$5:$AD$47,3,0),"")</f>
        <v/>
      </c>
      <c r="L10" s="842" t="s">
        <v>181</v>
      </c>
      <c r="M10" s="827"/>
      <c r="N10" s="989" t="str">
        <f t="shared" si="1"/>
        <v/>
      </c>
      <c r="O10" s="987" t="str">
        <f t="shared" si="2"/>
        <v/>
      </c>
      <c r="P10" s="985"/>
      <c r="Q10" s="981"/>
      <c r="R10" s="997"/>
      <c r="S10" s="981"/>
      <c r="T10" s="1004" t="s">
        <v>198</v>
      </c>
      <c r="U10" s="1004" t="s">
        <v>199</v>
      </c>
      <c r="V10" s="1003" t="s">
        <v>196</v>
      </c>
      <c r="W10" s="1004" t="s">
        <v>197</v>
      </c>
      <c r="X10" s="1002">
        <v>5</v>
      </c>
      <c r="Y10" s="998"/>
    </row>
    <row r="11" customHeight="1" spans="1:20">
      <c r="A11" s="941">
        <v>8</v>
      </c>
      <c r="B11" s="945"/>
      <c r="C11" s="943">
        <v>2400</v>
      </c>
      <c r="D11" s="944"/>
      <c r="E11" s="947"/>
      <c r="F11" s="842" t="s">
        <v>181</v>
      </c>
      <c r="G11" s="946" t="str">
        <f t="shared" si="0"/>
        <v>注意高度见设计师要求、</v>
      </c>
      <c r="H11" s="941">
        <v>7</v>
      </c>
      <c r="I11" s="973"/>
      <c r="J11" s="842">
        <f>下料单!AB11</f>
        <v>-27</v>
      </c>
      <c r="K11" s="986" t="str">
        <f>+IF(J11&gt;0,VLOOKUP(J11,下料单!$AB$5:$AD$47,3,0),"")</f>
        <v/>
      </c>
      <c r="L11" s="842" t="s">
        <v>181</v>
      </c>
      <c r="M11" s="827"/>
      <c r="N11" s="989" t="str">
        <f t="shared" si="1"/>
        <v/>
      </c>
      <c r="O11" s="987" t="str">
        <f t="shared" si="2"/>
        <v/>
      </c>
      <c r="P11" s="985"/>
      <c r="Q11" s="981"/>
      <c r="R11" s="981"/>
      <c r="S11" s="981"/>
      <c r="T11" s="981"/>
    </row>
    <row r="12" customHeight="1" spans="1:20">
      <c r="A12" s="842">
        <v>9</v>
      </c>
      <c r="B12" s="948"/>
      <c r="C12" s="943">
        <v>2400</v>
      </c>
      <c r="D12" s="944"/>
      <c r="E12" s="947"/>
      <c r="F12" s="842" t="s">
        <v>181</v>
      </c>
      <c r="G12" s="946" t="str">
        <f t="shared" si="0"/>
        <v>注意高度见设计师要求、</v>
      </c>
      <c r="H12" s="941">
        <v>8</v>
      </c>
      <c r="I12" s="973"/>
      <c r="J12" s="842">
        <f>下料单!AB12</f>
        <v>-26</v>
      </c>
      <c r="K12" s="986" t="str">
        <f>+IF(J12&gt;0,VLOOKUP(J12,下料单!$AB$5:$AD$47,3,0),"")</f>
        <v/>
      </c>
      <c r="L12" s="842" t="s">
        <v>181</v>
      </c>
      <c r="M12" s="827"/>
      <c r="N12" s="989" t="str">
        <f t="shared" si="1"/>
        <v/>
      </c>
      <c r="O12" s="987" t="str">
        <f t="shared" si="2"/>
        <v/>
      </c>
      <c r="P12" s="985"/>
      <c r="Q12" s="981"/>
      <c r="R12" s="981"/>
      <c r="S12" s="981"/>
      <c r="T12" s="981"/>
    </row>
    <row r="13" customHeight="1" spans="1:20">
      <c r="A13" s="842">
        <v>10</v>
      </c>
      <c r="B13" s="949" t="str">
        <f>V4</f>
        <v>LC-043铝框门</v>
      </c>
      <c r="C13" s="950"/>
      <c r="D13" s="950"/>
      <c r="E13" s="951"/>
      <c r="F13" s="951"/>
      <c r="G13" s="948"/>
      <c r="H13" s="952">
        <v>9</v>
      </c>
      <c r="I13" s="973"/>
      <c r="J13" s="842">
        <f>下料单!AB13</f>
        <v>-25</v>
      </c>
      <c r="K13" s="986" t="str">
        <f>+IF(J13&gt;0,VLOOKUP(J13,下料单!$AB$5:$AD$47,3,0),"")</f>
        <v/>
      </c>
      <c r="L13" s="842" t="s">
        <v>181</v>
      </c>
      <c r="M13" s="827"/>
      <c r="N13" s="985"/>
      <c r="O13" s="987" t="str">
        <f t="shared" si="2"/>
        <v/>
      </c>
      <c r="P13" s="985"/>
      <c r="Q13" s="981"/>
      <c r="R13" s="981"/>
      <c r="S13" s="981"/>
      <c r="T13" s="981"/>
    </row>
    <row r="14" customHeight="1" spans="1:20">
      <c r="A14" s="866">
        <v>11</v>
      </c>
      <c r="B14" s="953"/>
      <c r="C14" s="866"/>
      <c r="D14" s="866"/>
      <c r="E14" s="954"/>
      <c r="F14" s="866" t="s">
        <v>33</v>
      </c>
      <c r="G14" s="955"/>
      <c r="H14" s="941">
        <v>10</v>
      </c>
      <c r="I14" s="973"/>
      <c r="J14" s="842">
        <f>下料单!AB14</f>
        <v>-24</v>
      </c>
      <c r="K14" s="986" t="str">
        <f>+IF(J14&gt;0,VLOOKUP(J14,下料单!$AB$5:$AD$47,3,0),"")</f>
        <v/>
      </c>
      <c r="L14" s="842" t="s">
        <v>181</v>
      </c>
      <c r="M14" s="827"/>
      <c r="N14" s="985"/>
      <c r="O14" s="987" t="str">
        <f t="shared" si="2"/>
        <v/>
      </c>
      <c r="P14" s="985"/>
      <c r="Q14" s="981"/>
      <c r="R14" s="981"/>
      <c r="S14" s="981"/>
      <c r="T14" s="981"/>
    </row>
    <row r="15" customHeight="1" spans="1:20">
      <c r="A15" s="842">
        <v>12</v>
      </c>
      <c r="B15" s="953"/>
      <c r="C15" s="956"/>
      <c r="D15" s="956"/>
      <c r="E15" s="947"/>
      <c r="F15" s="842" t="s">
        <v>33</v>
      </c>
      <c r="G15" s="957"/>
      <c r="H15" s="941">
        <v>11</v>
      </c>
      <c r="I15" s="973"/>
      <c r="J15" s="842">
        <f>下料单!AB15</f>
        <v>-23</v>
      </c>
      <c r="K15" s="986" t="str">
        <f>+IF(J15&gt;0,VLOOKUP(J15,下料单!$AB$5:$AD$47,3,0),"")</f>
        <v/>
      </c>
      <c r="L15" s="842" t="s">
        <v>181</v>
      </c>
      <c r="M15" s="827"/>
      <c r="N15" s="985"/>
      <c r="O15" s="987" t="str">
        <f>+IF(J15&gt;0,J15*K15,"")</f>
        <v/>
      </c>
      <c r="P15" s="985"/>
      <c r="Q15" s="981"/>
      <c r="R15" s="981"/>
      <c r="S15" s="981"/>
      <c r="T15" s="981"/>
    </row>
    <row r="16" customHeight="1" spans="1:20">
      <c r="A16" s="862">
        <v>13</v>
      </c>
      <c r="B16" s="953"/>
      <c r="C16" s="862"/>
      <c r="D16" s="862"/>
      <c r="E16" s="958"/>
      <c r="F16" s="862" t="s">
        <v>33</v>
      </c>
      <c r="G16" s="959"/>
      <c r="H16" s="941">
        <v>12</v>
      </c>
      <c r="I16" s="973"/>
      <c r="J16" s="842">
        <f>下料单!AB16</f>
        <v>-22</v>
      </c>
      <c r="K16" s="986" t="str">
        <f>+IF(J16&gt;0,VLOOKUP(J16,下料单!$AB$5:$AD$47,3,0),"")</f>
        <v/>
      </c>
      <c r="L16" s="842" t="s">
        <v>181</v>
      </c>
      <c r="M16" s="827"/>
      <c r="N16" s="985"/>
      <c r="O16" s="987" t="str">
        <f>+IF(J16&gt;0,J16*K16,"")</f>
        <v/>
      </c>
      <c r="P16" s="985"/>
      <c r="Q16" s="981"/>
      <c r="R16" s="981"/>
      <c r="S16" s="981"/>
      <c r="T16" s="981"/>
    </row>
    <row r="17" customHeight="1" spans="1:20">
      <c r="A17" s="842">
        <v>14</v>
      </c>
      <c r="B17" s="949" t="s">
        <v>194</v>
      </c>
      <c r="C17" s="950" t="str">
        <f>+IF(C13&lt;&gt;0,C13-铝材玻璃单!#REF!,"")</f>
        <v/>
      </c>
      <c r="D17" s="950" t="str">
        <f>+IF(D13&lt;&gt;0,D13-铝材玻璃单!#REF!,"")</f>
        <v/>
      </c>
      <c r="E17" s="951"/>
      <c r="F17" s="950"/>
      <c r="G17" s="948"/>
      <c r="H17" s="952">
        <v>13</v>
      </c>
      <c r="I17" s="973"/>
      <c r="J17" s="842">
        <f>下料单!AB17</f>
        <v>-21</v>
      </c>
      <c r="K17" s="986" t="str">
        <f>+IF(J17&gt;0,VLOOKUP(J17,下料单!$AB$5:$AD$47,3,0),"")</f>
        <v/>
      </c>
      <c r="L17" s="842" t="s">
        <v>181</v>
      </c>
      <c r="M17" s="827"/>
      <c r="N17" s="985"/>
      <c r="O17" s="987" t="str">
        <f>+IF(J17&gt;0,J17*K17,"")</f>
        <v/>
      </c>
      <c r="P17" s="985"/>
      <c r="Q17" s="981"/>
      <c r="R17" s="981"/>
      <c r="S17" s="981"/>
      <c r="T17" s="981"/>
    </row>
    <row r="18" customHeight="1" spans="1:20">
      <c r="A18" s="866">
        <v>15</v>
      </c>
      <c r="B18" s="949" t="str">
        <f>U4</f>
        <v>透明夹胶玻璃</v>
      </c>
      <c r="C18" s="866" t="str">
        <f>+IF(C14&lt;&gt;0,C14-X4,"")</f>
        <v/>
      </c>
      <c r="D18" s="866" t="str">
        <f>+IF(D14&lt;&gt;0,D14-X4,"")</f>
        <v/>
      </c>
      <c r="E18" s="866" t="str">
        <f>+IF(E14&lt;&gt;0,E14,"")</f>
        <v/>
      </c>
      <c r="F18" s="960" t="s">
        <v>33</v>
      </c>
      <c r="G18" s="955"/>
      <c r="H18" s="941">
        <v>14</v>
      </c>
      <c r="I18" s="973"/>
      <c r="J18" s="842">
        <f>下料单!AB18</f>
        <v>-20</v>
      </c>
      <c r="K18" s="986" t="str">
        <f>+IF(J18&gt;0,VLOOKUP(J18,下料单!$AB$5:$AD$47,3,0),"")</f>
        <v/>
      </c>
      <c r="L18" s="842" t="s">
        <v>181</v>
      </c>
      <c r="M18" s="827"/>
      <c r="N18" s="985"/>
      <c r="O18" s="987" t="str">
        <f>+IF(J18&gt;0,J18*K18,"")</f>
        <v/>
      </c>
      <c r="P18" s="985"/>
      <c r="Q18" s="981"/>
      <c r="R18" s="981"/>
      <c r="S18" s="981"/>
      <c r="T18" s="981"/>
    </row>
    <row r="19" customHeight="1" spans="1:20">
      <c r="A19" s="842">
        <v>16</v>
      </c>
      <c r="B19" s="949" t="str">
        <f>B18</f>
        <v>透明夹胶玻璃</v>
      </c>
      <c r="C19" s="842" t="str">
        <f t="shared" ref="C19:C20" si="3">+IF(C15&lt;&gt;0,C15-C42,"")</f>
        <v/>
      </c>
      <c r="D19" s="842" t="str">
        <f t="shared" ref="D19:D20" si="4">+IF(D15&lt;&gt;0,D15-C42,"")</f>
        <v/>
      </c>
      <c r="E19" s="842" t="str">
        <f>+IF(E15&lt;&gt;0,E15,"")</f>
        <v/>
      </c>
      <c r="F19" s="952" t="s">
        <v>33</v>
      </c>
      <c r="G19" s="957"/>
      <c r="H19" s="941">
        <v>15</v>
      </c>
      <c r="I19" s="962" t="s">
        <v>200</v>
      </c>
      <c r="J19" s="973"/>
      <c r="K19" s="990"/>
      <c r="L19" s="950"/>
      <c r="M19" s="874" t="s">
        <v>201</v>
      </c>
      <c r="N19" s="987" t="s">
        <v>202</v>
      </c>
      <c r="O19" s="985"/>
      <c r="P19" s="985"/>
      <c r="Q19" s="981"/>
      <c r="R19" s="981"/>
      <c r="S19" s="981"/>
      <c r="T19" s="981"/>
    </row>
    <row r="20" customHeight="1" spans="1:20">
      <c r="A20" s="862">
        <v>17</v>
      </c>
      <c r="B20" s="949" t="str">
        <f>B18</f>
        <v>透明夹胶玻璃</v>
      </c>
      <c r="C20" s="862" t="str">
        <f t="shared" si="3"/>
        <v/>
      </c>
      <c r="D20" s="862" t="str">
        <f t="shared" si="4"/>
        <v/>
      </c>
      <c r="E20" s="862" t="str">
        <f>+IF(E16&lt;&gt;0,E16,"")</f>
        <v/>
      </c>
      <c r="F20" s="961" t="s">
        <v>33</v>
      </c>
      <c r="G20" s="959"/>
      <c r="H20" s="941">
        <v>16</v>
      </c>
      <c r="I20" s="991"/>
      <c r="J20" s="842" t="str">
        <f t="shared" ref="J20:J25" si="5">IF(M20&gt;0,M20-33,"")</f>
        <v/>
      </c>
      <c r="K20" s="986" t="str">
        <f t="shared" ref="K20:K25" si="6">+IF(N20&gt;0,N20,"")</f>
        <v/>
      </c>
      <c r="L20" s="842" t="s">
        <v>181</v>
      </c>
      <c r="M20" s="874"/>
      <c r="N20" s="880"/>
      <c r="O20" s="985"/>
      <c r="P20" s="985"/>
      <c r="Q20" s="981"/>
      <c r="R20" s="981"/>
      <c r="S20" s="981"/>
      <c r="T20" s="981"/>
    </row>
    <row r="21" customHeight="1" spans="1:20">
      <c r="A21" s="842">
        <v>18</v>
      </c>
      <c r="B21" s="949" t="s">
        <v>203</v>
      </c>
      <c r="C21" s="962"/>
      <c r="D21" s="962"/>
      <c r="E21" s="951"/>
      <c r="F21" s="950"/>
      <c r="G21" s="948"/>
      <c r="H21" s="952">
        <v>17</v>
      </c>
      <c r="I21" s="973"/>
      <c r="J21" s="842" t="str">
        <f t="shared" si="5"/>
        <v/>
      </c>
      <c r="K21" s="986" t="str">
        <f t="shared" si="6"/>
        <v/>
      </c>
      <c r="L21" s="842" t="s">
        <v>181</v>
      </c>
      <c r="M21" s="874"/>
      <c r="N21" s="880"/>
      <c r="O21" s="985"/>
      <c r="P21" s="985"/>
      <c r="Q21" s="981"/>
      <c r="R21" s="981"/>
      <c r="S21" s="981"/>
      <c r="T21" s="981"/>
    </row>
    <row r="22" customHeight="1" spans="1:20">
      <c r="A22" s="866">
        <v>19</v>
      </c>
      <c r="B22" s="963"/>
      <c r="C22" s="964"/>
      <c r="D22" s="965"/>
      <c r="E22" s="966"/>
      <c r="F22" s="866" t="s">
        <v>33</v>
      </c>
      <c r="G22" s="955"/>
      <c r="H22" s="941">
        <v>18</v>
      </c>
      <c r="I22" s="973"/>
      <c r="J22" s="842" t="str">
        <f t="shared" si="5"/>
        <v/>
      </c>
      <c r="K22" s="986" t="str">
        <f t="shared" si="6"/>
        <v/>
      </c>
      <c r="L22" s="842" t="s">
        <v>181</v>
      </c>
      <c r="M22" s="874"/>
      <c r="N22" s="880"/>
      <c r="O22" s="985"/>
      <c r="P22" s="985"/>
      <c r="Q22" s="981"/>
      <c r="R22" s="981"/>
      <c r="S22" s="981"/>
      <c r="T22" s="981"/>
    </row>
    <row r="23" customHeight="1" spans="1:20">
      <c r="A23" s="842">
        <v>20</v>
      </c>
      <c r="B23" s="963"/>
      <c r="C23" s="964"/>
      <c r="D23" s="962"/>
      <c r="E23" s="967"/>
      <c r="F23" s="842" t="s">
        <v>33</v>
      </c>
      <c r="G23" s="957"/>
      <c r="H23" s="941">
        <v>19</v>
      </c>
      <c r="I23" s="973"/>
      <c r="J23" s="842" t="str">
        <f t="shared" si="5"/>
        <v/>
      </c>
      <c r="K23" s="986" t="str">
        <f t="shared" si="6"/>
        <v/>
      </c>
      <c r="L23" s="842" t="s">
        <v>181</v>
      </c>
      <c r="M23" s="874"/>
      <c r="N23" s="880"/>
      <c r="O23" s="985"/>
      <c r="P23" s="985"/>
      <c r="Q23" s="981"/>
      <c r="R23" s="981"/>
      <c r="S23" s="981"/>
      <c r="T23" s="981"/>
    </row>
    <row r="24" customHeight="1" spans="1:20">
      <c r="A24" s="842">
        <v>21</v>
      </c>
      <c r="B24" s="963"/>
      <c r="C24" s="964"/>
      <c r="D24" s="962"/>
      <c r="E24" s="967"/>
      <c r="F24" s="842" t="s">
        <v>33</v>
      </c>
      <c r="G24" s="957"/>
      <c r="H24" s="941">
        <v>20</v>
      </c>
      <c r="I24" s="973"/>
      <c r="J24" s="842" t="str">
        <f t="shared" si="5"/>
        <v/>
      </c>
      <c r="K24" s="986" t="str">
        <f t="shared" si="6"/>
        <v/>
      </c>
      <c r="L24" s="842" t="s">
        <v>181</v>
      </c>
      <c r="M24" s="874"/>
      <c r="N24" s="880"/>
      <c r="O24" s="985"/>
      <c r="P24" s="985"/>
      <c r="Q24" s="981"/>
      <c r="R24" s="981"/>
      <c r="S24" s="981"/>
      <c r="T24" s="981"/>
    </row>
    <row r="25" customHeight="1" spans="1:20">
      <c r="A25" s="842">
        <v>22</v>
      </c>
      <c r="B25" s="963"/>
      <c r="C25" s="964"/>
      <c r="D25" s="968"/>
      <c r="E25" s="969"/>
      <c r="F25" s="970" t="s">
        <v>33</v>
      </c>
      <c r="G25" s="971"/>
      <c r="H25" s="941">
        <v>21</v>
      </c>
      <c r="I25" s="992"/>
      <c r="J25" s="842" t="str">
        <f t="shared" si="5"/>
        <v/>
      </c>
      <c r="K25" s="993" t="str">
        <f t="shared" si="6"/>
        <v/>
      </c>
      <c r="L25" s="970" t="s">
        <v>181</v>
      </c>
      <c r="M25" s="874"/>
      <c r="N25" s="880"/>
      <c r="O25" s="985"/>
      <c r="P25" s="985"/>
      <c r="Q25" s="981"/>
      <c r="R25" s="981"/>
      <c r="S25" s="981"/>
      <c r="T25" s="981"/>
    </row>
    <row r="26" customHeight="1" spans="1:35">
      <c r="A26" s="972" t="s">
        <v>204</v>
      </c>
      <c r="B26" s="972"/>
      <c r="C26" s="973"/>
      <c r="D26" s="973"/>
      <c r="E26" s="973"/>
      <c r="F26" s="973"/>
      <c r="G26" s="973"/>
      <c r="H26" s="973"/>
      <c r="I26" s="973"/>
      <c r="J26" s="973"/>
      <c r="K26" s="973"/>
      <c r="L26" s="973"/>
      <c r="M26" s="973"/>
      <c r="N26" s="973"/>
      <c r="O26" s="973"/>
      <c r="P26" s="994"/>
      <c r="Q26" s="974"/>
      <c r="R26" s="974"/>
      <c r="S26" s="994"/>
      <c r="T26" s="994"/>
      <c r="U26" s="994"/>
      <c r="V26" s="827"/>
      <c r="W26" s="974"/>
      <c r="X26" s="995"/>
      <c r="Y26" s="995"/>
      <c r="Z26" s="973"/>
      <c r="AA26" s="973"/>
      <c r="AB26" s="973"/>
      <c r="AC26" s="995"/>
      <c r="AD26" s="973"/>
      <c r="AE26" s="973"/>
      <c r="AF26" s="1010"/>
      <c r="AG26" s="1014"/>
      <c r="AH26" s="1013"/>
      <c r="AI26" s="1013"/>
    </row>
    <row r="27" customHeight="1" spans="1:35">
      <c r="A27" s="973"/>
      <c r="B27" s="973"/>
      <c r="C27" s="973"/>
      <c r="D27" s="972"/>
      <c r="E27" s="972"/>
      <c r="F27" s="972"/>
      <c r="G27" s="972"/>
      <c r="H27" s="972"/>
      <c r="I27" s="972"/>
      <c r="J27" s="995"/>
      <c r="K27" s="995"/>
      <c r="L27" s="995"/>
      <c r="M27" s="995"/>
      <c r="N27" s="995"/>
      <c r="O27" s="995"/>
      <c r="P27" s="995"/>
      <c r="Q27" s="972"/>
      <c r="R27" s="973"/>
      <c r="S27" s="1006"/>
      <c r="T27" s="1006"/>
      <c r="U27" s="973"/>
      <c r="V27" s="995"/>
      <c r="W27" s="972"/>
      <c r="X27" s="995"/>
      <c r="Y27" s="995"/>
      <c r="Z27" s="975"/>
      <c r="AA27" s="1011"/>
      <c r="AB27" s="1011"/>
      <c r="AC27" s="995"/>
      <c r="AD27" s="973"/>
      <c r="AE27" s="973"/>
      <c r="AF27" s="1009"/>
      <c r="AG27" s="1012"/>
      <c r="AH27" s="1013"/>
      <c r="AI27" s="1013"/>
    </row>
    <row r="28" customHeight="1" spans="1:35">
      <c r="A28" s="972"/>
      <c r="B28" s="972"/>
      <c r="C28" s="973"/>
      <c r="D28" s="972"/>
      <c r="E28" s="972"/>
      <c r="F28" s="972"/>
      <c r="G28" s="972"/>
      <c r="H28" s="974"/>
      <c r="I28" s="974"/>
      <c r="J28" s="827"/>
      <c r="K28" s="827"/>
      <c r="L28" s="827"/>
      <c r="M28" s="827"/>
      <c r="N28" s="827"/>
      <c r="O28" s="827"/>
      <c r="P28" s="827"/>
      <c r="Q28" s="972"/>
      <c r="R28" s="973"/>
      <c r="S28" s="1006"/>
      <c r="T28" s="1006"/>
      <c r="U28" s="973"/>
      <c r="V28" s="995"/>
      <c r="W28" s="972"/>
      <c r="X28" s="995"/>
      <c r="Y28" s="995"/>
      <c r="Z28" s="975"/>
      <c r="AA28" s="1011"/>
      <c r="AB28" s="1011"/>
      <c r="AC28" s="973"/>
      <c r="AD28" s="973"/>
      <c r="AE28" s="973"/>
      <c r="AF28" s="1009"/>
      <c r="AG28" s="1012"/>
      <c r="AH28" s="1013"/>
      <c r="AI28" s="1013"/>
    </row>
    <row r="29" customHeight="1" spans="1:35">
      <c r="A29" s="972"/>
      <c r="B29" s="972"/>
      <c r="C29" s="973"/>
      <c r="D29" s="972"/>
      <c r="E29" s="972"/>
      <c r="F29" s="972"/>
      <c r="G29" s="972"/>
      <c r="H29" s="975"/>
      <c r="I29" s="975"/>
      <c r="J29" s="975"/>
      <c r="K29" s="975"/>
      <c r="L29" s="975"/>
      <c r="M29" s="975"/>
      <c r="N29" s="975"/>
      <c r="O29" s="975"/>
      <c r="P29" s="975"/>
      <c r="Q29" s="975"/>
      <c r="R29" s="973"/>
      <c r="S29" s="973"/>
      <c r="T29" s="973"/>
      <c r="U29" s="973"/>
      <c r="V29" s="995"/>
      <c r="W29" s="972"/>
      <c r="X29" s="995"/>
      <c r="Y29" s="995"/>
      <c r="Z29" s="972"/>
      <c r="AA29" s="973"/>
      <c r="AB29" s="973"/>
      <c r="AC29" s="973"/>
      <c r="AD29" s="973"/>
      <c r="AE29" s="973"/>
      <c r="AF29" s="1009"/>
      <c r="AG29" s="1012"/>
      <c r="AH29" s="1013"/>
      <c r="AI29" s="1013"/>
    </row>
    <row r="30" customHeight="1" spans="1:35">
      <c r="A30" s="976"/>
      <c r="B30" s="976"/>
      <c r="C30" s="976"/>
      <c r="D30" s="976"/>
      <c r="E30" s="976"/>
      <c r="F30" s="976"/>
      <c r="G30" s="976"/>
      <c r="H30" s="976"/>
      <c r="I30" s="976"/>
      <c r="J30" s="976"/>
      <c r="K30" s="976"/>
      <c r="L30" s="976"/>
      <c r="M30" s="976"/>
      <c r="N30" s="976"/>
      <c r="O30" s="976"/>
      <c r="P30" s="976"/>
      <c r="Q30" s="976"/>
      <c r="R30" s="976"/>
      <c r="S30" s="976"/>
      <c r="T30" s="976"/>
      <c r="U30" s="976"/>
      <c r="V30" s="1007"/>
      <c r="W30" s="976"/>
      <c r="X30" s="1007"/>
      <c r="Y30" s="1007"/>
      <c r="Z30" s="976"/>
      <c r="AA30" s="976"/>
      <c r="AB30" s="976"/>
      <c r="AC30" s="976"/>
      <c r="AD30" s="976"/>
      <c r="AE30" s="976"/>
      <c r="AF30" s="1009"/>
      <c r="AG30" s="1012"/>
      <c r="AH30" s="1013"/>
      <c r="AI30" s="1013"/>
    </row>
  </sheetData>
  <protectedRanges>
    <protectedRange sqref="V7:V8 T7:T8 U4:W4 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topLeftCell="A40" workbookViewId="0">
      <selection activeCell="D54" sqref="D54"/>
    </sheetView>
  </sheetViews>
  <sheetFormatPr defaultColWidth="9" defaultRowHeight="13.5" customHeight="1"/>
  <cols>
    <col min="1" max="1" width="7.75" style="826" customWidth="1"/>
    <col min="2" max="2" width="10.125" style="826" customWidth="1"/>
    <col min="3" max="3" width="45.625" style="827" customWidth="1"/>
    <col min="4" max="4" width="18.125" style="828" customWidth="1"/>
    <col min="5" max="5" width="12.5" style="826" customWidth="1"/>
    <col min="6" max="6" width="10.5" style="826" customWidth="1"/>
    <col min="7" max="7" width="2.125" style="826" customWidth="1"/>
    <col min="8" max="8" width="27.375" style="828" customWidth="1"/>
    <col min="9" max="9" width="12.5" style="828" customWidth="1"/>
    <col min="10" max="10" width="14.125" style="828" customWidth="1"/>
    <col min="11" max="11" width="5.625" style="826" customWidth="1"/>
    <col min="12" max="12" width="17.625" style="826" customWidth="1"/>
    <col min="13" max="13" width="11.375" style="828" customWidth="1"/>
    <col min="14" max="14" width="16.5" style="826" customWidth="1"/>
    <col min="15" max="15" width="6.625" style="826" customWidth="1"/>
    <col min="16" max="16" width="3.625" style="826" customWidth="1"/>
    <col min="17" max="17" width="30.125" style="826" customWidth="1"/>
    <col min="18" max="18" width="32" style="828" customWidth="1"/>
    <col min="19" max="19" width="27.875" style="829" customWidth="1"/>
    <col min="20" max="20" width="26.25" style="827" customWidth="1"/>
    <col min="21" max="21" width="9" style="826"/>
    <col min="22" max="22" width="37.5" style="826" customWidth="1"/>
    <col min="23" max="16384" width="9" style="826"/>
  </cols>
  <sheetData>
    <row r="1" ht="26.25" customHeight="1" spans="1:20">
      <c r="A1" s="830" t="str">
        <f>H1&amp;J1</f>
        <v>领料单——简爱</v>
      </c>
      <c r="B1" s="831"/>
      <c r="C1" s="831"/>
      <c r="D1" s="831"/>
      <c r="E1" s="831"/>
      <c r="F1" s="832"/>
      <c r="G1" s="833"/>
      <c r="H1" s="834" t="s">
        <v>205</v>
      </c>
      <c r="I1" s="874"/>
      <c r="J1" s="840" t="str">
        <f>柜体!B3</f>
        <v>简爱</v>
      </c>
      <c r="L1" s="875" t="s">
        <v>206</v>
      </c>
      <c r="M1" s="875"/>
      <c r="N1" s="875"/>
      <c r="O1" s="875"/>
      <c r="Q1" s="884" t="s">
        <v>207</v>
      </c>
      <c r="R1" s="885" t="s">
        <v>208</v>
      </c>
      <c r="S1" s="885" t="s">
        <v>209</v>
      </c>
      <c r="T1" s="885" t="s">
        <v>210</v>
      </c>
    </row>
    <row r="2" customHeight="1" spans="2:15">
      <c r="B2" s="835" t="s">
        <v>1</v>
      </c>
      <c r="C2" s="836">
        <f>下料单!C2</f>
        <v>0</v>
      </c>
      <c r="D2" s="836" t="s">
        <v>7</v>
      </c>
      <c r="E2" s="836">
        <f>+下料单!AC2</f>
        <v>0</v>
      </c>
      <c r="F2" s="836"/>
      <c r="G2" s="837"/>
      <c r="H2" s="838" t="s">
        <v>211</v>
      </c>
      <c r="I2" s="876"/>
      <c r="J2" s="877" t="s">
        <v>212</v>
      </c>
      <c r="L2" s="878" t="s">
        <v>213</v>
      </c>
      <c r="M2" s="840"/>
      <c r="N2" s="878"/>
      <c r="O2" s="879"/>
    </row>
    <row r="3" customHeight="1" spans="2:20">
      <c r="B3" s="835" t="s">
        <v>2</v>
      </c>
      <c r="C3" s="836">
        <f>下料单!J2</f>
        <v>0</v>
      </c>
      <c r="D3" s="836" t="s">
        <v>214</v>
      </c>
      <c r="E3" s="836"/>
      <c r="F3" s="836"/>
      <c r="G3" s="837"/>
      <c r="H3" s="839"/>
      <c r="I3" s="839"/>
      <c r="J3" s="839"/>
      <c r="L3" s="878" t="s">
        <v>215</v>
      </c>
      <c r="M3" s="840">
        <f>(下料单!E21*12+下料单!E33*14)</f>
        <v>0</v>
      </c>
      <c r="N3" s="878" t="s">
        <v>216</v>
      </c>
      <c r="O3" s="839">
        <f>$M$2*12</f>
        <v>0</v>
      </c>
      <c r="Q3" s="844" t="s">
        <v>217</v>
      </c>
      <c r="R3" s="874" t="s">
        <v>218</v>
      </c>
      <c r="S3" s="886" t="s">
        <v>219</v>
      </c>
      <c r="T3" s="887" t="s">
        <v>220</v>
      </c>
    </row>
    <row r="4" customHeight="1" spans="1:20">
      <c r="A4" s="836" t="s">
        <v>221</v>
      </c>
      <c r="B4" s="836" t="s">
        <v>22</v>
      </c>
      <c r="C4" s="836" t="s">
        <v>222</v>
      </c>
      <c r="D4" s="836" t="s">
        <v>90</v>
      </c>
      <c r="E4" s="836" t="s">
        <v>26</v>
      </c>
      <c r="F4" s="836" t="s">
        <v>223</v>
      </c>
      <c r="G4" s="837"/>
      <c r="H4" s="840"/>
      <c r="I4" s="840"/>
      <c r="J4" s="840"/>
      <c r="L4" s="878" t="s">
        <v>224</v>
      </c>
      <c r="M4" s="840">
        <f>(下料单!E21*22+下料单!E33*28)</f>
        <v>0</v>
      </c>
      <c r="N4" s="878" t="s">
        <v>225</v>
      </c>
      <c r="O4" s="839">
        <f>$M$2*22</f>
        <v>0</v>
      </c>
      <c r="Q4" s="844" t="s">
        <v>226</v>
      </c>
      <c r="R4" s="874" t="s">
        <v>227</v>
      </c>
      <c r="S4" s="886" t="s">
        <v>228</v>
      </c>
      <c r="T4" s="887" t="s">
        <v>229</v>
      </c>
    </row>
    <row r="5" customHeight="1" spans="1:20">
      <c r="A5" s="841" t="s">
        <v>230</v>
      </c>
      <c r="B5" s="836">
        <v>1</v>
      </c>
      <c r="C5" s="842" t="str">
        <f>H5&amp;J5</f>
        <v>米黄麻双贴三聚氰胺E0级刨花板16*1220*2440</v>
      </c>
      <c r="D5" s="843">
        <f>下料单!$AR$47</f>
        <v>-0.004579</v>
      </c>
      <c r="E5" s="836" t="s">
        <v>231</v>
      </c>
      <c r="F5" s="836"/>
      <c r="G5" s="837"/>
      <c r="H5" s="844" t="str">
        <f>下料单!BA3</f>
        <v>米黄麻双贴三聚氰胺E0级刨花板</v>
      </c>
      <c r="I5" s="844"/>
      <c r="J5" s="840" t="str">
        <f>+IF(H5="进口樱桃双贴三聚氰胺E0级刨花板","16*1830*2440","16*1220*2440")</f>
        <v>16*1220*2440</v>
      </c>
      <c r="Q5" s="844" t="s">
        <v>232</v>
      </c>
      <c r="R5" s="874" t="s">
        <v>233</v>
      </c>
      <c r="S5" s="886" t="s">
        <v>234</v>
      </c>
      <c r="T5" s="887" t="s">
        <v>235</v>
      </c>
    </row>
    <row r="6" customHeight="1" spans="1:20">
      <c r="A6" s="845"/>
      <c r="B6" s="836">
        <v>2</v>
      </c>
      <c r="C6" s="836" t="str">
        <f>+下料单!BB3</f>
        <v>米黄麻双贴三聚氰胺E1级中密度板3*1220*2440</v>
      </c>
      <c r="D6" s="843">
        <f>下料单!$AT$47</f>
        <v>0.000573322583534892</v>
      </c>
      <c r="E6" s="836" t="s">
        <v>231</v>
      </c>
      <c r="F6" s="836"/>
      <c r="G6" s="837"/>
      <c r="H6" s="840"/>
      <c r="I6" s="840"/>
      <c r="J6" s="840"/>
      <c r="Q6" s="844" t="s">
        <v>236</v>
      </c>
      <c r="R6" s="840" t="s">
        <v>237</v>
      </c>
      <c r="S6" s="886" t="s">
        <v>238</v>
      </c>
      <c r="T6" s="887" t="s">
        <v>239</v>
      </c>
    </row>
    <row r="7" customHeight="1" spans="1:20">
      <c r="A7" s="845"/>
      <c r="B7" s="836">
        <v>3</v>
      </c>
      <c r="C7" s="836" t="str">
        <f>H7&amp;J7</f>
        <v>米黄麻双贴三聚氰胺E0级刨花板12*1220*2440</v>
      </c>
      <c r="D7" s="843">
        <f>下料单!$AT$46</f>
        <v>0</v>
      </c>
      <c r="E7" s="836" t="s">
        <v>231</v>
      </c>
      <c r="F7" s="836"/>
      <c r="G7" s="837"/>
      <c r="H7" s="844" t="str">
        <f>H5</f>
        <v>米黄麻双贴三聚氰胺E0级刨花板</v>
      </c>
      <c r="I7" s="840"/>
      <c r="J7" s="840" t="s">
        <v>240</v>
      </c>
      <c r="Q7" s="888"/>
      <c r="R7" s="840" t="s">
        <v>241</v>
      </c>
      <c r="S7" s="886" t="s">
        <v>242</v>
      </c>
      <c r="T7" s="887" t="s">
        <v>243</v>
      </c>
    </row>
    <row r="8" customHeight="1" spans="1:20">
      <c r="A8" s="845"/>
      <c r="B8" s="836">
        <v>4</v>
      </c>
      <c r="C8" s="836" t="str">
        <f>H5&amp;J8</f>
        <v>米黄麻双贴三聚氰胺E0级刨花板18*1220*2440</v>
      </c>
      <c r="D8" s="843">
        <f>下料单!$AV$46</f>
        <v>0</v>
      </c>
      <c r="E8" s="836" t="s">
        <v>231</v>
      </c>
      <c r="F8" s="836"/>
      <c r="G8" s="837"/>
      <c r="H8" s="840" t="str">
        <f>H5</f>
        <v>米黄麻双贴三聚氰胺E0级刨花板</v>
      </c>
      <c r="I8" s="840"/>
      <c r="J8" s="840" t="s">
        <v>244</v>
      </c>
      <c r="R8" s="840" t="s">
        <v>245</v>
      </c>
      <c r="S8" s="886" t="s">
        <v>246</v>
      </c>
      <c r="T8" s="887" t="s">
        <v>247</v>
      </c>
    </row>
    <row r="9" customHeight="1" spans="1:20">
      <c r="A9" s="845"/>
      <c r="B9" s="836">
        <v>5</v>
      </c>
      <c r="C9" s="836" t="str">
        <f>H5&amp;J9</f>
        <v>米黄麻双贴三聚氰胺E0级刨花板25*1220*2440</v>
      </c>
      <c r="D9" s="843">
        <f>下料单!$AX$46</f>
        <v>0</v>
      </c>
      <c r="E9" s="836" t="s">
        <v>231</v>
      </c>
      <c r="F9" s="836"/>
      <c r="G9" s="837"/>
      <c r="H9" s="840" t="str">
        <f>H5</f>
        <v>米黄麻双贴三聚氰胺E0级刨花板</v>
      </c>
      <c r="I9" s="840"/>
      <c r="J9" s="840" t="s">
        <v>248</v>
      </c>
      <c r="R9" s="840" t="s">
        <v>249</v>
      </c>
      <c r="S9" s="886" t="s">
        <v>250</v>
      </c>
      <c r="T9" s="887" t="s">
        <v>251</v>
      </c>
    </row>
    <row r="10" customHeight="1" spans="1:20">
      <c r="A10" s="845"/>
      <c r="B10" s="846">
        <v>6</v>
      </c>
      <c r="C10" s="846" t="s">
        <v>252</v>
      </c>
      <c r="D10" s="847">
        <f>下料单!$AZ$46</f>
        <v>0</v>
      </c>
      <c r="E10" s="846" t="s">
        <v>231</v>
      </c>
      <c r="F10" s="848"/>
      <c r="G10" s="837"/>
      <c r="H10" s="840"/>
      <c r="I10" s="840"/>
      <c r="J10" s="840"/>
      <c r="Q10" s="844" t="s">
        <v>253</v>
      </c>
      <c r="R10" s="840" t="s">
        <v>254</v>
      </c>
      <c r="S10" s="886" t="s">
        <v>255</v>
      </c>
      <c r="T10" s="887" t="s">
        <v>256</v>
      </c>
    </row>
    <row r="11" customHeight="1" spans="1:20">
      <c r="A11" s="849"/>
      <c r="B11" s="850"/>
      <c r="C11" s="850"/>
      <c r="D11" s="850"/>
      <c r="E11" s="850"/>
      <c r="F11" s="850"/>
      <c r="H11" s="826"/>
      <c r="I11" s="826"/>
      <c r="J11" s="826"/>
      <c r="R11" s="840" t="s">
        <v>257</v>
      </c>
      <c r="S11" s="886" t="s">
        <v>258</v>
      </c>
      <c r="T11" s="887" t="s">
        <v>259</v>
      </c>
    </row>
    <row r="12" customHeight="1" spans="1:20">
      <c r="A12" s="851" t="s">
        <v>260</v>
      </c>
      <c r="B12" s="836">
        <v>1</v>
      </c>
      <c r="C12" s="836" t="str">
        <f>H12&amp;J12</f>
        <v>米黄麻PVC封边条1.0*16</v>
      </c>
      <c r="D12" s="843">
        <f>下料单!$AU$46</f>
        <v>0</v>
      </c>
      <c r="E12" s="836" t="s">
        <v>261</v>
      </c>
      <c r="F12" s="850"/>
      <c r="H12" s="840" t="str">
        <f>H13</f>
        <v>米黄麻PVC封边条</v>
      </c>
      <c r="I12" s="840"/>
      <c r="J12" s="840" t="s">
        <v>262</v>
      </c>
      <c r="R12" s="840" t="s">
        <v>263</v>
      </c>
      <c r="S12" s="886" t="s">
        <v>264</v>
      </c>
      <c r="T12" s="887" t="s">
        <v>265</v>
      </c>
    </row>
    <row r="13" customHeight="1" spans="1:20">
      <c r="A13" s="852"/>
      <c r="B13" s="836">
        <v>2</v>
      </c>
      <c r="C13" s="836" t="str">
        <f>H13&amp;J13</f>
        <v>米黄麻PVC封边条1.0*20</v>
      </c>
      <c r="D13" s="843">
        <f>下料单!$AS$47</f>
        <v>5.018</v>
      </c>
      <c r="E13" s="836" t="s">
        <v>261</v>
      </c>
      <c r="F13" s="836"/>
      <c r="G13" s="853"/>
      <c r="H13" s="840" t="str">
        <f>下料单!$BC$3</f>
        <v>米黄麻PVC封边条</v>
      </c>
      <c r="I13" s="840"/>
      <c r="J13" s="840" t="s">
        <v>266</v>
      </c>
      <c r="R13" s="840" t="s">
        <v>267</v>
      </c>
      <c r="S13" s="886" t="s">
        <v>268</v>
      </c>
      <c r="T13" s="887" t="s">
        <v>269</v>
      </c>
    </row>
    <row r="14" customHeight="1" spans="1:20">
      <c r="A14" s="799"/>
      <c r="B14" s="854">
        <v>3</v>
      </c>
      <c r="C14" s="854" t="str">
        <f>H14&amp;J14</f>
        <v>米黄麻PVC封边条1.0*22</v>
      </c>
      <c r="D14" s="855">
        <f>下料单!$AW$46</f>
        <v>0</v>
      </c>
      <c r="E14" s="854" t="s">
        <v>261</v>
      </c>
      <c r="F14" s="854"/>
      <c r="G14" s="837"/>
      <c r="H14" s="840" t="str">
        <f>H13</f>
        <v>米黄麻PVC封边条</v>
      </c>
      <c r="I14" s="840"/>
      <c r="J14" s="840" t="s">
        <v>270</v>
      </c>
      <c r="R14" s="840" t="s">
        <v>271</v>
      </c>
      <c r="S14" s="886" t="s">
        <v>272</v>
      </c>
      <c r="T14" s="887" t="s">
        <v>273</v>
      </c>
    </row>
    <row r="15" customHeight="1" spans="1:20">
      <c r="A15" s="799"/>
      <c r="B15" s="836">
        <v>4</v>
      </c>
      <c r="C15" s="836" t="str">
        <f>H15&amp;J15</f>
        <v>米黄麻PVC封边条1.0*29</v>
      </c>
      <c r="D15" s="843">
        <f>下料单!$AY$46</f>
        <v>0</v>
      </c>
      <c r="E15" s="836" t="s">
        <v>261</v>
      </c>
      <c r="F15" s="836"/>
      <c r="G15" s="837"/>
      <c r="H15" s="840" t="str">
        <f>H13</f>
        <v>米黄麻PVC封边条</v>
      </c>
      <c r="I15" s="840"/>
      <c r="J15" s="840" t="s">
        <v>274</v>
      </c>
      <c r="R15" s="840" t="s">
        <v>275</v>
      </c>
      <c r="S15" s="886" t="s">
        <v>276</v>
      </c>
      <c r="T15" s="887" t="s">
        <v>277</v>
      </c>
    </row>
    <row r="16" customHeight="1" spans="1:20">
      <c r="A16" s="799"/>
      <c r="B16" s="836">
        <v>5</v>
      </c>
      <c r="C16" s="836" t="s">
        <v>278</v>
      </c>
      <c r="D16" s="856">
        <f>D12*3+D13*3.8+D14*4.1+D15*5.5</f>
        <v>19.0684</v>
      </c>
      <c r="E16" s="836" t="s">
        <v>279</v>
      </c>
      <c r="F16" s="836"/>
      <c r="G16" s="837"/>
      <c r="H16" s="840"/>
      <c r="I16" s="840"/>
      <c r="J16" s="840"/>
      <c r="R16" s="840" t="s">
        <v>280</v>
      </c>
      <c r="S16" s="886" t="s">
        <v>281</v>
      </c>
      <c r="T16" s="887" t="s">
        <v>282</v>
      </c>
    </row>
    <row r="17" customHeight="1" spans="1:20">
      <c r="A17" s="799"/>
      <c r="B17" s="836">
        <v>6</v>
      </c>
      <c r="C17" s="836" t="s">
        <v>283</v>
      </c>
      <c r="D17" s="856"/>
      <c r="E17" s="836" t="s">
        <v>279</v>
      </c>
      <c r="F17" s="836"/>
      <c r="G17" s="837"/>
      <c r="H17" s="840"/>
      <c r="I17" s="840"/>
      <c r="J17" s="840"/>
      <c r="R17" s="844" t="s">
        <v>284</v>
      </c>
      <c r="S17" s="886" t="s">
        <v>285</v>
      </c>
      <c r="T17" s="887" t="s">
        <v>286</v>
      </c>
    </row>
    <row r="18" customHeight="1" spans="1:20">
      <c r="A18" s="857"/>
      <c r="B18" s="836"/>
      <c r="C18" s="836"/>
      <c r="D18" s="836"/>
      <c r="E18" s="836"/>
      <c r="F18" s="858"/>
      <c r="G18" s="837"/>
      <c r="H18" s="840"/>
      <c r="I18" s="840"/>
      <c r="J18" s="840"/>
      <c r="R18" s="844" t="s">
        <v>287</v>
      </c>
      <c r="S18" s="886" t="s">
        <v>288</v>
      </c>
      <c r="T18" s="887" t="s">
        <v>289</v>
      </c>
    </row>
    <row r="19" customHeight="1" spans="1:20">
      <c r="A19" s="846" t="s">
        <v>290</v>
      </c>
      <c r="B19" s="836">
        <v>1</v>
      </c>
      <c r="C19" s="836" t="str">
        <f>H19&amp;J19</f>
        <v>透明玻璃0</v>
      </c>
      <c r="D19" s="836">
        <f>铝材玻璃单!E22</f>
        <v>0</v>
      </c>
      <c r="E19" s="836" t="s">
        <v>33</v>
      </c>
      <c r="F19" s="836"/>
      <c r="G19" s="837"/>
      <c r="H19" s="840" t="s">
        <v>193</v>
      </c>
      <c r="I19" s="840"/>
      <c r="J19" s="880">
        <f>铝材玻璃单!C22</f>
        <v>0</v>
      </c>
      <c r="S19" s="886" t="s">
        <v>291</v>
      </c>
      <c r="T19" s="887" t="s">
        <v>292</v>
      </c>
    </row>
    <row r="20" customHeight="1" spans="1:20">
      <c r="A20" s="859"/>
      <c r="B20" s="836">
        <v>2</v>
      </c>
      <c r="C20" s="842" t="str">
        <f>H20&amp;J20</f>
        <v>透明玻璃0</v>
      </c>
      <c r="D20" s="836">
        <f>铝材玻璃单!E23</f>
        <v>0</v>
      </c>
      <c r="E20" s="836" t="s">
        <v>33</v>
      </c>
      <c r="F20" s="836"/>
      <c r="G20" s="837"/>
      <c r="H20" s="844" t="s">
        <v>193</v>
      </c>
      <c r="I20" s="844"/>
      <c r="J20" s="880">
        <f>铝材玻璃单!C23</f>
        <v>0</v>
      </c>
      <c r="R20" s="844" t="s">
        <v>293</v>
      </c>
      <c r="S20" s="886" t="s">
        <v>294</v>
      </c>
      <c r="T20" s="887" t="s">
        <v>295</v>
      </c>
    </row>
    <row r="21" customHeight="1" spans="1:20">
      <c r="A21" s="859"/>
      <c r="B21" s="836">
        <v>3</v>
      </c>
      <c r="C21" s="842" t="str">
        <f t="shared" ref="C21:C26" si="0">H21&amp;J21</f>
        <v>透明玻璃0</v>
      </c>
      <c r="D21" s="836">
        <f>铝材玻璃单!E24</f>
        <v>0</v>
      </c>
      <c r="E21" s="836" t="s">
        <v>33</v>
      </c>
      <c r="F21" s="836"/>
      <c r="G21" s="837"/>
      <c r="H21" s="844" t="s">
        <v>193</v>
      </c>
      <c r="I21" s="844"/>
      <c r="J21" s="880">
        <f>铝材玻璃单!C24</f>
        <v>0</v>
      </c>
      <c r="R21" s="844" t="s">
        <v>296</v>
      </c>
      <c r="S21" s="886" t="s">
        <v>297</v>
      </c>
      <c r="T21" s="887" t="s">
        <v>298</v>
      </c>
    </row>
    <row r="22" customHeight="1" spans="1:20">
      <c r="A22" s="859"/>
      <c r="B22" s="836">
        <v>4</v>
      </c>
      <c r="C22" s="842" t="str">
        <f t="shared" si="0"/>
        <v>透明玻璃0</v>
      </c>
      <c r="D22" s="836">
        <f>铝材玻璃单!E25</f>
        <v>0</v>
      </c>
      <c r="E22" s="836" t="s">
        <v>33</v>
      </c>
      <c r="F22" s="836"/>
      <c r="G22" s="837"/>
      <c r="H22" s="844" t="s">
        <v>193</v>
      </c>
      <c r="I22" s="844"/>
      <c r="J22" s="880">
        <f>铝材玻璃单!C25</f>
        <v>0</v>
      </c>
      <c r="S22" s="886" t="s">
        <v>299</v>
      </c>
      <c r="T22" s="886" t="s">
        <v>300</v>
      </c>
    </row>
    <row r="23" customHeight="1" spans="1:20">
      <c r="A23" s="859"/>
      <c r="B23" s="836">
        <v>5</v>
      </c>
      <c r="C23" s="842" t="str">
        <f t="shared" si="0"/>
        <v>透明夹胶玻璃尺寸</v>
      </c>
      <c r="D23" s="836" t="str">
        <f>铝材玻璃单!E18</f>
        <v/>
      </c>
      <c r="E23" s="836" t="s">
        <v>33</v>
      </c>
      <c r="F23" s="836"/>
      <c r="G23" s="837"/>
      <c r="H23" s="860" t="str">
        <f>铝材玻璃单!B18</f>
        <v>透明夹胶玻璃</v>
      </c>
      <c r="I23" s="844"/>
      <c r="J23" s="881" t="s">
        <v>301</v>
      </c>
      <c r="S23" s="886" t="s">
        <v>302</v>
      </c>
      <c r="T23" s="887" t="s">
        <v>303</v>
      </c>
    </row>
    <row r="24" customHeight="1" spans="1:20">
      <c r="A24" s="859"/>
      <c r="B24" s="836">
        <v>6</v>
      </c>
      <c r="C24" s="842" t="str">
        <f t="shared" si="0"/>
        <v>透明夹胶玻璃尺寸</v>
      </c>
      <c r="D24" s="836" t="str">
        <f>铝材玻璃单!E19</f>
        <v/>
      </c>
      <c r="E24" s="836" t="s">
        <v>33</v>
      </c>
      <c r="F24" s="836"/>
      <c r="G24" s="837"/>
      <c r="H24" s="860" t="str">
        <f>铝材玻璃单!B19</f>
        <v>透明夹胶玻璃</v>
      </c>
      <c r="I24" s="844"/>
      <c r="J24" s="881" t="s">
        <v>301</v>
      </c>
      <c r="S24" s="886" t="s">
        <v>304</v>
      </c>
      <c r="T24" s="887" t="s">
        <v>305</v>
      </c>
    </row>
    <row r="25" customHeight="1" spans="1:20">
      <c r="A25" s="859"/>
      <c r="B25" s="836">
        <v>7</v>
      </c>
      <c r="C25" s="842" t="str">
        <f t="shared" si="0"/>
        <v>透明夹胶玻璃尺寸</v>
      </c>
      <c r="D25" s="836" t="str">
        <f>铝材玻璃单!E20</f>
        <v/>
      </c>
      <c r="E25" s="836" t="s">
        <v>33</v>
      </c>
      <c r="F25" s="836"/>
      <c r="G25" s="837"/>
      <c r="H25" s="860" t="str">
        <f>铝材玻璃单!B20</f>
        <v>透明夹胶玻璃</v>
      </c>
      <c r="I25" s="840"/>
      <c r="J25" s="881" t="s">
        <v>301</v>
      </c>
      <c r="S25" s="886" t="s">
        <v>306</v>
      </c>
      <c r="T25" s="887" t="s">
        <v>307</v>
      </c>
    </row>
    <row r="26" customHeight="1" spans="1:20">
      <c r="A26" s="854"/>
      <c r="B26" s="836">
        <v>8</v>
      </c>
      <c r="C26" s="842" t="str">
        <f t="shared" si="0"/>
        <v/>
      </c>
      <c r="D26" s="861"/>
      <c r="E26" s="836" t="s">
        <v>33</v>
      </c>
      <c r="F26" s="850"/>
      <c r="G26" s="837"/>
      <c r="H26" s="840"/>
      <c r="I26" s="840"/>
      <c r="J26" s="840"/>
      <c r="S26" s="886" t="s">
        <v>308</v>
      </c>
      <c r="T26" s="887" t="s">
        <v>309</v>
      </c>
    </row>
    <row r="27" customHeight="1" spans="1:20">
      <c r="A27" s="862" t="s">
        <v>310</v>
      </c>
      <c r="B27" s="836">
        <v>1</v>
      </c>
      <c r="C27" s="863" t="str">
        <f>铝材玻璃单!W4</f>
        <v>铝框（氧化铝JF383）6米/支</v>
      </c>
      <c r="D27" s="843">
        <f>+SUM(铝材玻璃单!$Q$5:$Q$8)</f>
        <v>0</v>
      </c>
      <c r="E27" s="836" t="s">
        <v>261</v>
      </c>
      <c r="F27" s="836"/>
      <c r="G27" s="837"/>
      <c r="H27" s="840"/>
      <c r="I27" s="840"/>
      <c r="J27" s="840"/>
      <c r="R27" s="885" t="s">
        <v>311</v>
      </c>
      <c r="S27" s="886" t="s">
        <v>312</v>
      </c>
      <c r="T27" s="887" t="s">
        <v>313</v>
      </c>
    </row>
    <row r="28" customHeight="1" spans="1:20">
      <c r="A28" s="864"/>
      <c r="B28" s="836">
        <v>2</v>
      </c>
      <c r="C28" s="836" t="s">
        <v>314</v>
      </c>
      <c r="D28" s="836">
        <f>+SUM(铝材玻璃单!$E$14:$E$16)*4</f>
        <v>0</v>
      </c>
      <c r="E28" s="836" t="s">
        <v>315</v>
      </c>
      <c r="F28" s="836"/>
      <c r="G28" s="837"/>
      <c r="H28" s="840"/>
      <c r="I28" s="840"/>
      <c r="J28" s="840"/>
      <c r="R28" s="826"/>
      <c r="S28" s="886" t="s">
        <v>316</v>
      </c>
      <c r="T28" s="887" t="s">
        <v>317</v>
      </c>
    </row>
    <row r="29" customHeight="1" spans="1:20">
      <c r="A29" s="864"/>
      <c r="B29" s="836">
        <v>3</v>
      </c>
      <c r="C29" s="836" t="s">
        <v>318</v>
      </c>
      <c r="D29" s="836">
        <f>D28*2</f>
        <v>0</v>
      </c>
      <c r="E29" s="836" t="s">
        <v>315</v>
      </c>
      <c r="F29" s="865"/>
      <c r="G29" s="837"/>
      <c r="H29" s="840"/>
      <c r="I29" s="840"/>
      <c r="J29" s="840"/>
      <c r="R29" s="840" t="s">
        <v>319</v>
      </c>
      <c r="S29" s="886" t="s">
        <v>320</v>
      </c>
      <c r="T29" s="887" t="s">
        <v>321</v>
      </c>
    </row>
    <row r="30" customHeight="1" spans="1:20">
      <c r="A30" s="864"/>
      <c r="B30" s="836">
        <v>4</v>
      </c>
      <c r="C30" s="836" t="s">
        <v>322</v>
      </c>
      <c r="D30" s="843">
        <f>D27</f>
        <v>0</v>
      </c>
      <c r="E30" s="836" t="s">
        <v>261</v>
      </c>
      <c r="F30" s="865"/>
      <c r="G30" s="837"/>
      <c r="H30" s="840"/>
      <c r="I30" s="840"/>
      <c r="J30" s="840"/>
      <c r="R30" s="840" t="s">
        <v>323</v>
      </c>
      <c r="S30" s="886" t="s">
        <v>324</v>
      </c>
      <c r="T30" s="887" t="s">
        <v>325</v>
      </c>
    </row>
    <row r="31" customHeight="1" spans="1:20">
      <c r="A31" s="864"/>
      <c r="B31" s="836">
        <v>5</v>
      </c>
      <c r="C31" s="836" t="s">
        <v>326</v>
      </c>
      <c r="D31" s="843">
        <f>+$M$31/0.9</f>
        <v>0</v>
      </c>
      <c r="E31" s="836" t="s">
        <v>261</v>
      </c>
      <c r="F31" s="865"/>
      <c r="G31" s="837"/>
      <c r="H31" s="840"/>
      <c r="I31" s="840"/>
      <c r="J31" s="840"/>
      <c r="L31" s="878" t="s">
        <v>327</v>
      </c>
      <c r="M31" s="882">
        <f>+SUM(铝材玻璃单!O5:O18)/1000</f>
        <v>0</v>
      </c>
      <c r="R31" s="840"/>
      <c r="S31" s="886" t="s">
        <v>328</v>
      </c>
      <c r="T31" s="887" t="s">
        <v>329</v>
      </c>
    </row>
    <row r="32" customHeight="1" spans="1:20">
      <c r="A32" s="864"/>
      <c r="B32" s="836">
        <v>6</v>
      </c>
      <c r="C32" s="836" t="str">
        <f>H32&amp;J32&amp;I32</f>
        <v>铝踢脚板（氧化铝80mm条纹形）6米/支</v>
      </c>
      <c r="D32" s="843">
        <f>+$M$32/0.9</f>
        <v>0</v>
      </c>
      <c r="E32" s="836" t="s">
        <v>261</v>
      </c>
      <c r="F32" s="836" t="str">
        <f>IF(J101="60mm（自制）","80改60","")</f>
        <v>80改60</v>
      </c>
      <c r="G32" s="837"/>
      <c r="H32" s="840" t="s">
        <v>330</v>
      </c>
      <c r="I32" s="840" t="s">
        <v>331</v>
      </c>
      <c r="J32" s="840" t="str">
        <f>IF(J101="60mm（自制）","80mm",J101)</f>
        <v>80mm</v>
      </c>
      <c r="L32" s="878" t="s">
        <v>332</v>
      </c>
      <c r="M32" s="882">
        <f>+SUM(铝材玻璃单!N5:N12)/1000</f>
        <v>0</v>
      </c>
      <c r="R32" s="840" t="s">
        <v>333</v>
      </c>
      <c r="S32" s="886" t="s">
        <v>334</v>
      </c>
      <c r="T32" s="887" t="s">
        <v>335</v>
      </c>
    </row>
    <row r="33" customHeight="1" spans="1:20">
      <c r="A33" s="864"/>
      <c r="B33" s="836">
        <v>7</v>
      </c>
      <c r="C33" s="836" t="s">
        <v>336</v>
      </c>
      <c r="D33" s="843">
        <f>+$M$33/0.9</f>
        <v>0</v>
      </c>
      <c r="E33" s="836" t="s">
        <v>261</v>
      </c>
      <c r="F33" s="865"/>
      <c r="G33" s="837"/>
      <c r="H33" s="840"/>
      <c r="I33" s="840"/>
      <c r="J33" s="840"/>
      <c r="L33" s="878" t="s">
        <v>337</v>
      </c>
      <c r="M33" s="882">
        <f>+SUM(铝材玻璃单!P5:P9)/1000</f>
        <v>0</v>
      </c>
      <c r="R33" s="840" t="s">
        <v>338</v>
      </c>
      <c r="S33" s="886" t="s">
        <v>339</v>
      </c>
      <c r="T33" s="887" t="s">
        <v>340</v>
      </c>
    </row>
    <row r="34" customHeight="1" spans="1:20">
      <c r="A34" s="864"/>
      <c r="B34" s="836">
        <v>8</v>
      </c>
      <c r="C34" s="836" t="s">
        <v>341</v>
      </c>
      <c r="D34" s="836"/>
      <c r="E34" s="836" t="s">
        <v>261</v>
      </c>
      <c r="F34" s="865"/>
      <c r="G34" s="837"/>
      <c r="H34" s="840"/>
      <c r="I34" s="840"/>
      <c r="J34" s="840"/>
      <c r="S34" s="886" t="s">
        <v>342</v>
      </c>
      <c r="T34" s="887" t="s">
        <v>343</v>
      </c>
    </row>
    <row r="35" customHeight="1" spans="1:20">
      <c r="A35" s="866"/>
      <c r="B35" s="836">
        <v>9</v>
      </c>
      <c r="C35" s="836"/>
      <c r="D35" s="836"/>
      <c r="E35" s="836"/>
      <c r="F35" s="865"/>
      <c r="G35" s="837"/>
      <c r="H35" s="840"/>
      <c r="I35" s="840"/>
      <c r="J35" s="840"/>
      <c r="L35" s="827"/>
      <c r="S35" s="886" t="s">
        <v>344</v>
      </c>
      <c r="T35" s="887" t="s">
        <v>345</v>
      </c>
    </row>
    <row r="36" customHeight="1" spans="1:20">
      <c r="A36" s="841" t="s">
        <v>346</v>
      </c>
      <c r="B36" s="836">
        <v>1</v>
      </c>
      <c r="C36" s="836" t="s">
        <v>347</v>
      </c>
      <c r="D36" s="836">
        <f>IF(F36&gt;15,3,IF(AND(F36&gt;9,F36&lt;16),2,IF(AND(F36&gt;2,F36&lt;10),1.5,IF(F36&lt;3,1,""))))</f>
        <v>1</v>
      </c>
      <c r="E36" s="836" t="s">
        <v>181</v>
      </c>
      <c r="F36" s="867">
        <f>下料单!$E$47</f>
        <v>0</v>
      </c>
      <c r="G36" s="837"/>
      <c r="H36" s="840"/>
      <c r="I36" s="840"/>
      <c r="J36" s="840"/>
      <c r="L36" s="827"/>
      <c r="S36" s="886" t="s">
        <v>348</v>
      </c>
      <c r="T36" s="887" t="s">
        <v>349</v>
      </c>
    </row>
    <row r="37" customHeight="1" spans="1:20">
      <c r="A37" s="845"/>
      <c r="B37" s="836">
        <v>2</v>
      </c>
      <c r="C37" s="836" t="s">
        <v>350</v>
      </c>
      <c r="D37" s="843"/>
      <c r="E37" s="836" t="s">
        <v>315</v>
      </c>
      <c r="F37" s="836"/>
      <c r="G37" s="837"/>
      <c r="H37" s="840"/>
      <c r="I37" s="840"/>
      <c r="J37" s="840"/>
      <c r="L37" s="878" t="s">
        <v>351</v>
      </c>
      <c r="M37" s="826"/>
      <c r="S37" s="886" t="s">
        <v>352</v>
      </c>
      <c r="T37" s="887" t="s">
        <v>353</v>
      </c>
    </row>
    <row r="38" customHeight="1" spans="1:20">
      <c r="A38" s="845"/>
      <c r="B38" s="836">
        <v>3</v>
      </c>
      <c r="C38" s="836" t="str">
        <f>+IF(F38=0,"","铝箔板")</f>
        <v>铝箔板</v>
      </c>
      <c r="D38" s="868">
        <f>IF(F38=0,"",F38*0.7/1000)</f>
        <v>0.63</v>
      </c>
      <c r="E38" s="836" t="str">
        <f>+IF(F38=0,"","平米")</f>
        <v>平米</v>
      </c>
      <c r="F38" s="869">
        <v>900</v>
      </c>
      <c r="G38" s="837"/>
      <c r="H38" s="840"/>
      <c r="I38" s="840"/>
      <c r="J38" s="840"/>
      <c r="L38" s="878" t="s">
        <v>350</v>
      </c>
      <c r="M38" s="826"/>
      <c r="S38" s="886" t="s">
        <v>354</v>
      </c>
      <c r="T38" s="887" t="s">
        <v>355</v>
      </c>
    </row>
    <row r="39" customHeight="1" spans="1:20">
      <c r="A39" s="845"/>
      <c r="B39" s="836">
        <v>4</v>
      </c>
      <c r="C39" s="1153" t="str">
        <f>+IF(F38=0,"","铝箔板压条(2.2M/支)")</f>
        <v>铝箔板压条(2.2M/支)</v>
      </c>
      <c r="D39" s="836">
        <f>++IF(F38=0,"",1)</f>
        <v>1</v>
      </c>
      <c r="E39" s="836" t="str">
        <f>+IF(F38=0,"","根")</f>
        <v>根</v>
      </c>
      <c r="F39" s="836"/>
      <c r="G39" s="837"/>
      <c r="H39" s="840"/>
      <c r="I39" s="840"/>
      <c r="J39" s="840"/>
      <c r="M39" s="826"/>
      <c r="S39" s="886" t="s">
        <v>356</v>
      </c>
      <c r="T39" s="887" t="s">
        <v>357</v>
      </c>
    </row>
    <row r="40" customHeight="1" spans="1:20">
      <c r="A40" s="845"/>
      <c r="B40" s="836">
        <v>5</v>
      </c>
      <c r="C40" s="836" t="str">
        <f>+IF(F38=0,"","国产双面胶15mm")</f>
        <v>国产双面胶15mm</v>
      </c>
      <c r="D40" s="836" t="str">
        <f>+IF(F38=0,"","0.5")</f>
        <v>0.5</v>
      </c>
      <c r="E40" s="836" t="str">
        <f>+IF(F38=0,"","卷")</f>
        <v>卷</v>
      </c>
      <c r="F40" s="836"/>
      <c r="G40" s="837"/>
      <c r="H40" s="840"/>
      <c r="I40" s="840"/>
      <c r="J40" s="840"/>
      <c r="M40" s="826"/>
      <c r="S40" s="886" t="s">
        <v>358</v>
      </c>
      <c r="T40" s="889"/>
    </row>
    <row r="41" customHeight="1" spans="1:19">
      <c r="A41" s="845"/>
      <c r="B41" s="836">
        <v>6</v>
      </c>
      <c r="C41" s="1153" t="s">
        <v>359</v>
      </c>
      <c r="D41" s="836"/>
      <c r="E41" s="836" t="s">
        <v>315</v>
      </c>
      <c r="F41" s="836"/>
      <c r="G41" s="837"/>
      <c r="H41" s="840"/>
      <c r="I41" s="840"/>
      <c r="J41" s="840"/>
      <c r="M41" s="826"/>
      <c r="S41" s="886" t="s">
        <v>360</v>
      </c>
    </row>
    <row r="42" customHeight="1" spans="1:19">
      <c r="A42" s="845"/>
      <c r="B42" s="836">
        <v>7</v>
      </c>
      <c r="C42" s="836" t="s">
        <v>361</v>
      </c>
      <c r="D42" s="836">
        <f>D41</f>
        <v>0</v>
      </c>
      <c r="E42" s="836" t="s">
        <v>315</v>
      </c>
      <c r="F42" s="836"/>
      <c r="G42" s="837"/>
      <c r="H42" s="840"/>
      <c r="I42" s="840"/>
      <c r="J42" s="840"/>
      <c r="M42" s="826"/>
      <c r="S42" s="886" t="s">
        <v>362</v>
      </c>
    </row>
    <row r="43" customHeight="1" spans="1:20">
      <c r="A43" s="845"/>
      <c r="B43" s="836">
        <v>8</v>
      </c>
      <c r="C43" s="836" t="str">
        <f>+IF(下料单!AQ51&gt;0,"欧格风防滑垫（AGO-tex ）0.5m*2.1m
","")</f>
        <v/>
      </c>
      <c r="D43" s="868" t="str">
        <f>+IF(下料单!AQ51&gt;0,下料单!AQ51,"")</f>
        <v/>
      </c>
      <c r="E43" s="836" t="str">
        <f>+IF(下料单!AQ51&gt;0,"张","")</f>
        <v/>
      </c>
      <c r="F43" s="836"/>
      <c r="G43" s="837"/>
      <c r="H43" s="840"/>
      <c r="I43" s="840"/>
      <c r="J43" s="840"/>
      <c r="M43" s="826"/>
      <c r="S43" s="886" t="s">
        <v>363</v>
      </c>
      <c r="T43" s="889"/>
    </row>
    <row r="44" customHeight="1" spans="1:19">
      <c r="A44" s="845"/>
      <c r="B44" s="836">
        <v>9</v>
      </c>
      <c r="C44" s="836" t="s">
        <v>364</v>
      </c>
      <c r="D44" s="836">
        <f>(D54+D55+D56+D57)*26+(D62+D61)*4+(D63+D64+D65+D66)*20</f>
        <v>64</v>
      </c>
      <c r="E44" s="836" t="s">
        <v>315</v>
      </c>
      <c r="F44" s="836"/>
      <c r="G44" s="837"/>
      <c r="H44" s="840"/>
      <c r="I44" s="840"/>
      <c r="J44" s="840"/>
      <c r="M44" s="826"/>
      <c r="S44" s="886" t="s">
        <v>365</v>
      </c>
    </row>
    <row r="45" customHeight="1" spans="1:19">
      <c r="A45" s="845"/>
      <c r="B45" s="836">
        <v>10</v>
      </c>
      <c r="C45" s="836" t="s">
        <v>366</v>
      </c>
      <c r="D45" s="836"/>
      <c r="E45" s="836" t="s">
        <v>315</v>
      </c>
      <c r="F45" s="836"/>
      <c r="G45" s="837"/>
      <c r="H45" s="840"/>
      <c r="I45" s="840"/>
      <c r="J45" s="840"/>
      <c r="M45" s="826"/>
      <c r="S45" s="886" t="s">
        <v>367</v>
      </c>
    </row>
    <row r="46" customHeight="1" spans="1:19">
      <c r="A46" s="845"/>
      <c r="B46" s="836">
        <v>11</v>
      </c>
      <c r="C46" s="836" t="str">
        <f>H46&amp;J46</f>
        <v>U型阻水条（18板用）</v>
      </c>
      <c r="D46" s="843">
        <f>+D32</f>
        <v>0</v>
      </c>
      <c r="E46" s="836" t="str">
        <f>IF(D32&gt;0,"米","根")</f>
        <v>根</v>
      </c>
      <c r="F46" s="836"/>
      <c r="G46" s="837"/>
      <c r="H46" s="840" t="s">
        <v>368</v>
      </c>
      <c r="I46" s="840"/>
      <c r="J46" s="840" t="str">
        <f>IF(D32&gt;0,"铝制踢脚板用","（18板用）")</f>
        <v>（18板用）</v>
      </c>
      <c r="M46" s="826"/>
      <c r="S46" s="886" t="s">
        <v>369</v>
      </c>
    </row>
    <row r="47" customHeight="1" spans="1:19">
      <c r="A47" s="845"/>
      <c r="B47" s="870"/>
      <c r="C47" s="871"/>
      <c r="D47" s="871"/>
      <c r="E47" s="870"/>
      <c r="F47" s="870"/>
      <c r="G47" s="837"/>
      <c r="H47" s="840"/>
      <c r="I47" s="840"/>
      <c r="J47" s="840"/>
      <c r="M47" s="826"/>
      <c r="S47" s="886" t="s">
        <v>370</v>
      </c>
    </row>
    <row r="48" customHeight="1" spans="1:19">
      <c r="A48" s="845"/>
      <c r="B48" s="870"/>
      <c r="C48" s="871"/>
      <c r="D48" s="871"/>
      <c r="E48" s="870"/>
      <c r="F48" s="870"/>
      <c r="G48" s="837"/>
      <c r="H48" s="840"/>
      <c r="I48" s="840"/>
      <c r="J48" s="840"/>
      <c r="M48" s="826"/>
      <c r="S48" s="886" t="s">
        <v>371</v>
      </c>
    </row>
    <row r="49" customHeight="1" spans="1:19">
      <c r="A49" s="872"/>
      <c r="B49" s="870"/>
      <c r="C49" s="871"/>
      <c r="D49" s="871"/>
      <c r="E49" s="870"/>
      <c r="F49" s="870"/>
      <c r="G49" s="837"/>
      <c r="H49" s="840"/>
      <c r="I49" s="840"/>
      <c r="J49" s="840"/>
      <c r="L49" s="883"/>
      <c r="M49" s="826"/>
      <c r="S49" s="886" t="s">
        <v>372</v>
      </c>
    </row>
    <row r="50" customHeight="1" spans="1:19">
      <c r="A50" s="841" t="s">
        <v>373</v>
      </c>
      <c r="B50" s="842" t="s">
        <v>374</v>
      </c>
      <c r="C50" s="836"/>
      <c r="D50" s="856"/>
      <c r="E50" s="836"/>
      <c r="F50" s="865"/>
      <c r="G50" s="837"/>
      <c r="H50" s="840"/>
      <c r="I50" s="840"/>
      <c r="J50" s="840"/>
      <c r="L50" s="883"/>
      <c r="M50" s="826"/>
      <c r="S50" s="886" t="s">
        <v>375</v>
      </c>
    </row>
    <row r="51" customHeight="1" spans="1:19">
      <c r="A51" s="845"/>
      <c r="B51" s="842" t="s">
        <v>376</v>
      </c>
      <c r="C51" s="836"/>
      <c r="D51" s="856"/>
      <c r="E51" s="836"/>
      <c r="F51" s="865"/>
      <c r="G51" s="837"/>
      <c r="H51" s="840" t="s">
        <v>376</v>
      </c>
      <c r="I51" s="840"/>
      <c r="J51" s="877" t="s">
        <v>301</v>
      </c>
      <c r="M51" s="826"/>
      <c r="R51" s="827"/>
      <c r="S51" s="886" t="s">
        <v>377</v>
      </c>
    </row>
    <row r="52" customHeight="1" spans="1:19">
      <c r="A52" s="845"/>
      <c r="B52" s="862" t="s">
        <v>378</v>
      </c>
      <c r="C52" s="836" t="s">
        <v>319</v>
      </c>
      <c r="D52" s="856"/>
      <c r="E52" s="836" t="s">
        <v>379</v>
      </c>
      <c r="F52" s="865"/>
      <c r="G52" s="837"/>
      <c r="H52" s="840"/>
      <c r="I52" s="840"/>
      <c r="J52" s="877"/>
      <c r="M52" s="826"/>
      <c r="R52" s="827"/>
      <c r="S52" s="886" t="s">
        <v>380</v>
      </c>
    </row>
    <row r="53" customHeight="1" spans="1:19">
      <c r="A53" s="845"/>
      <c r="B53" s="866"/>
      <c r="C53" s="836" t="s">
        <v>323</v>
      </c>
      <c r="D53" s="856"/>
      <c r="E53" s="836" t="s">
        <v>379</v>
      </c>
      <c r="F53" s="865"/>
      <c r="G53" s="837"/>
      <c r="H53" s="840"/>
      <c r="I53" s="840"/>
      <c r="J53" s="877"/>
      <c r="M53" s="826"/>
      <c r="R53" s="827"/>
      <c r="S53" s="886" t="s">
        <v>381</v>
      </c>
    </row>
    <row r="54" customHeight="1" spans="1:19">
      <c r="A54" s="845"/>
      <c r="B54" s="841" t="s">
        <v>382</v>
      </c>
      <c r="C54" s="836" t="s">
        <v>284</v>
      </c>
      <c r="D54" s="836"/>
      <c r="E54" s="836" t="s">
        <v>379</v>
      </c>
      <c r="F54" s="836"/>
      <c r="G54" s="837"/>
      <c r="H54" s="840"/>
      <c r="I54" s="840"/>
      <c r="J54" s="840"/>
      <c r="M54" s="826"/>
      <c r="R54" s="827"/>
      <c r="S54" s="886" t="s">
        <v>383</v>
      </c>
    </row>
    <row r="55" customHeight="1" spans="1:20">
      <c r="A55" s="845"/>
      <c r="B55" s="845"/>
      <c r="C55" s="836" t="s">
        <v>287</v>
      </c>
      <c r="D55" s="836"/>
      <c r="E55" s="836" t="s">
        <v>379</v>
      </c>
      <c r="F55" s="836"/>
      <c r="G55" s="837"/>
      <c r="H55" s="840"/>
      <c r="I55" s="840"/>
      <c r="J55" s="840"/>
      <c r="L55" s="878" t="s">
        <v>384</v>
      </c>
      <c r="M55" s="878"/>
      <c r="R55" s="827"/>
      <c r="S55" s="886" t="s">
        <v>385</v>
      </c>
      <c r="T55" s="889"/>
    </row>
    <row r="56" customHeight="1" spans="1:20">
      <c r="A56" s="845"/>
      <c r="B56" s="845"/>
      <c r="C56" s="836" t="s">
        <v>245</v>
      </c>
      <c r="D56" s="836"/>
      <c r="E56" s="836" t="s">
        <v>379</v>
      </c>
      <c r="F56" s="836"/>
      <c r="G56" s="837"/>
      <c r="H56" s="840"/>
      <c r="I56" s="840"/>
      <c r="J56" s="840"/>
      <c r="L56" s="878" t="s">
        <v>386</v>
      </c>
      <c r="M56" s="878"/>
      <c r="R56" s="827"/>
      <c r="S56" s="886" t="s">
        <v>387</v>
      </c>
      <c r="T56" s="889"/>
    </row>
    <row r="57" customHeight="1" spans="1:19">
      <c r="A57" s="845"/>
      <c r="B57" s="845"/>
      <c r="C57" s="836" t="s">
        <v>227</v>
      </c>
      <c r="D57" s="836"/>
      <c r="E57" s="836" t="s">
        <v>379</v>
      </c>
      <c r="F57" s="836"/>
      <c r="G57" s="837"/>
      <c r="H57" s="840"/>
      <c r="I57" s="840"/>
      <c r="J57" s="840"/>
      <c r="R57" s="827"/>
      <c r="S57" s="886" t="s">
        <v>388</v>
      </c>
    </row>
    <row r="58" customHeight="1" spans="1:19">
      <c r="A58" s="845"/>
      <c r="B58" s="845"/>
      <c r="C58" s="873" t="s">
        <v>389</v>
      </c>
      <c r="D58" s="873"/>
      <c r="E58" s="836" t="s">
        <v>379</v>
      </c>
      <c r="F58" s="836"/>
      <c r="G58" s="837"/>
      <c r="H58" s="840"/>
      <c r="I58" s="840"/>
      <c r="J58" s="840"/>
      <c r="R58" s="827"/>
      <c r="S58" s="886" t="s">
        <v>390</v>
      </c>
    </row>
    <row r="59" customHeight="1" spans="1:19">
      <c r="A59" s="845"/>
      <c r="B59" s="872"/>
      <c r="C59" s="873" t="s">
        <v>391</v>
      </c>
      <c r="D59" s="873"/>
      <c r="E59" s="836" t="s">
        <v>379</v>
      </c>
      <c r="F59" s="865"/>
      <c r="G59" s="837"/>
      <c r="H59" s="840"/>
      <c r="I59" s="840"/>
      <c r="J59" s="840"/>
      <c r="R59" s="827"/>
      <c r="S59" s="886" t="s">
        <v>392</v>
      </c>
    </row>
    <row r="60" customHeight="1" spans="1:19">
      <c r="A60" s="845"/>
      <c r="B60" s="842" t="s">
        <v>393</v>
      </c>
      <c r="C60" s="873" t="s">
        <v>333</v>
      </c>
      <c r="D60" s="873"/>
      <c r="E60" s="836" t="s">
        <v>379</v>
      </c>
      <c r="F60" s="865"/>
      <c r="G60" s="837"/>
      <c r="H60" s="840"/>
      <c r="I60" s="840"/>
      <c r="J60" s="840"/>
      <c r="R60" s="827"/>
      <c r="S60" s="886" t="s">
        <v>394</v>
      </c>
    </row>
    <row r="61" customHeight="1" spans="1:19">
      <c r="A61" s="845"/>
      <c r="B61" s="846" t="s">
        <v>395</v>
      </c>
      <c r="C61" s="871"/>
      <c r="D61" s="870"/>
      <c r="E61" s="836"/>
      <c r="F61" s="869"/>
      <c r="G61" s="837"/>
      <c r="H61" s="840"/>
      <c r="I61" s="840"/>
      <c r="J61" s="840"/>
      <c r="R61" s="827"/>
      <c r="S61" s="886" t="s">
        <v>396</v>
      </c>
    </row>
    <row r="62" customHeight="1" spans="1:19">
      <c r="A62" s="845"/>
      <c r="B62" s="854"/>
      <c r="C62" s="836" t="s">
        <v>397</v>
      </c>
      <c r="D62" s="836">
        <v>16</v>
      </c>
      <c r="E62" s="836" t="s">
        <v>379</v>
      </c>
      <c r="F62" s="869"/>
      <c r="G62" s="837"/>
      <c r="H62" s="840"/>
      <c r="I62" s="840"/>
      <c r="J62" s="840"/>
      <c r="R62" s="827"/>
      <c r="S62" s="886" t="s">
        <v>398</v>
      </c>
    </row>
    <row r="63" customHeight="1" spans="1:19">
      <c r="A63" s="845"/>
      <c r="B63" s="846" t="s">
        <v>399</v>
      </c>
      <c r="C63" s="871"/>
      <c r="D63" s="870"/>
      <c r="E63" s="836"/>
      <c r="F63" s="865"/>
      <c r="G63" s="837"/>
      <c r="H63" s="840"/>
      <c r="I63" s="840"/>
      <c r="J63" s="840"/>
      <c r="R63" s="827"/>
      <c r="S63" s="886" t="s">
        <v>400</v>
      </c>
    </row>
    <row r="64" customHeight="1" spans="1:19">
      <c r="A64" s="845"/>
      <c r="B64" s="859"/>
      <c r="C64" s="836" t="s">
        <v>401</v>
      </c>
      <c r="D64" s="836"/>
      <c r="E64" s="836" t="s">
        <v>379</v>
      </c>
      <c r="F64" s="865"/>
      <c r="G64" s="837"/>
      <c r="H64" s="840"/>
      <c r="I64" s="840"/>
      <c r="J64" s="840"/>
      <c r="M64" s="826"/>
      <c r="R64" s="827"/>
      <c r="S64" s="886" t="s">
        <v>402</v>
      </c>
    </row>
    <row r="65" customHeight="1" spans="1:19">
      <c r="A65" s="845"/>
      <c r="B65" s="859"/>
      <c r="C65" s="836" t="s">
        <v>403</v>
      </c>
      <c r="D65" s="836"/>
      <c r="E65" s="836" t="s">
        <v>379</v>
      </c>
      <c r="F65" s="865"/>
      <c r="G65" s="837"/>
      <c r="H65" s="840"/>
      <c r="I65" s="840"/>
      <c r="J65" s="840"/>
      <c r="R65" s="827"/>
      <c r="S65" s="886" t="s">
        <v>404</v>
      </c>
    </row>
    <row r="66" customHeight="1" spans="1:19">
      <c r="A66" s="872"/>
      <c r="B66" s="854"/>
      <c r="C66" s="836" t="s">
        <v>405</v>
      </c>
      <c r="D66" s="836"/>
      <c r="E66" s="836" t="s">
        <v>379</v>
      </c>
      <c r="F66" s="865"/>
      <c r="G66" s="837"/>
      <c r="H66" s="840"/>
      <c r="I66" s="840"/>
      <c r="J66" s="840"/>
      <c r="R66" s="827"/>
      <c r="S66" s="886" t="s">
        <v>406</v>
      </c>
    </row>
    <row r="67" customHeight="1" spans="1:19">
      <c r="A67" s="890" t="s">
        <v>407</v>
      </c>
      <c r="B67" s="891"/>
      <c r="C67" s="891"/>
      <c r="D67" s="891"/>
      <c r="E67" s="891"/>
      <c r="F67" s="892"/>
      <c r="G67" s="837"/>
      <c r="H67" s="840"/>
      <c r="I67" s="840"/>
      <c r="J67" s="840"/>
      <c r="R67" s="827"/>
      <c r="S67" s="886" t="s">
        <v>408</v>
      </c>
    </row>
    <row r="68" customHeight="1" spans="1:10">
      <c r="A68" s="893" t="str">
        <f>H68&amp;J68</f>
        <v>装箱清单——简爱</v>
      </c>
      <c r="B68" s="894"/>
      <c r="C68" s="894"/>
      <c r="D68" s="894"/>
      <c r="E68" s="894"/>
      <c r="F68" s="895"/>
      <c r="G68" s="837"/>
      <c r="H68" s="896" t="s">
        <v>409</v>
      </c>
      <c r="I68" s="911"/>
      <c r="J68" s="912" t="str">
        <f>柜体!B3</f>
        <v>简爱</v>
      </c>
    </row>
    <row r="69" customHeight="1" spans="1:10">
      <c r="A69" s="897"/>
      <c r="B69" s="898"/>
      <c r="C69" s="898"/>
      <c r="D69" s="898"/>
      <c r="E69" s="898"/>
      <c r="F69" s="899"/>
      <c r="H69" s="900"/>
      <c r="I69" s="913"/>
      <c r="J69" s="914"/>
    </row>
    <row r="70" customHeight="1" spans="1:10">
      <c r="A70" s="835" t="s">
        <v>1</v>
      </c>
      <c r="B70" s="901"/>
      <c r="C70" s="836">
        <f>C2</f>
        <v>0</v>
      </c>
      <c r="D70" s="836" t="s">
        <v>410</v>
      </c>
      <c r="E70" s="836">
        <f>E2</f>
        <v>0</v>
      </c>
      <c r="F70" s="836"/>
      <c r="H70" s="840"/>
      <c r="I70" s="840"/>
      <c r="J70" s="840"/>
    </row>
    <row r="71" customHeight="1" spans="1:10">
      <c r="A71" s="835" t="s">
        <v>411</v>
      </c>
      <c r="B71" s="901"/>
      <c r="C71" s="836">
        <f>C3</f>
        <v>0</v>
      </c>
      <c r="D71" s="836" t="str">
        <f>D3</f>
        <v>销售单号</v>
      </c>
      <c r="E71" s="836"/>
      <c r="F71" s="836"/>
      <c r="H71" s="840"/>
      <c r="I71" s="840"/>
      <c r="J71" s="840"/>
    </row>
    <row r="72" customHeight="1" spans="1:10">
      <c r="A72" s="836" t="s">
        <v>221</v>
      </c>
      <c r="B72" s="836" t="s">
        <v>22</v>
      </c>
      <c r="C72" s="836" t="s">
        <v>222</v>
      </c>
      <c r="D72" s="836" t="s">
        <v>90</v>
      </c>
      <c r="E72" s="836" t="s">
        <v>26</v>
      </c>
      <c r="F72" s="836" t="s">
        <v>223</v>
      </c>
      <c r="H72" s="840"/>
      <c r="I72" s="840"/>
      <c r="J72" s="840"/>
    </row>
    <row r="73" customHeight="1" spans="1:10">
      <c r="A73" s="841" t="s">
        <v>412</v>
      </c>
      <c r="B73" s="836">
        <v>1</v>
      </c>
      <c r="C73" s="836" t="s">
        <v>413</v>
      </c>
      <c r="D73" s="902">
        <f>$M$3-$O$3</f>
        <v>0</v>
      </c>
      <c r="E73" s="836" t="s">
        <v>379</v>
      </c>
      <c r="F73" s="836"/>
      <c r="H73" s="840"/>
      <c r="I73" s="840"/>
      <c r="J73" s="840"/>
    </row>
    <row r="74" customHeight="1" spans="1:16">
      <c r="A74" s="845"/>
      <c r="B74" s="836">
        <v>2</v>
      </c>
      <c r="C74" s="836" t="s">
        <v>414</v>
      </c>
      <c r="D74" s="902">
        <f>$M$4-$O$4</f>
        <v>0</v>
      </c>
      <c r="E74" s="836" t="s">
        <v>315</v>
      </c>
      <c r="F74" s="836"/>
      <c r="H74" s="840"/>
      <c r="I74" s="840"/>
      <c r="J74" s="840"/>
      <c r="P74" s="915"/>
    </row>
    <row r="75" customHeight="1" spans="1:20">
      <c r="A75" s="845"/>
      <c r="B75" s="836">
        <v>3</v>
      </c>
      <c r="C75" s="836" t="str">
        <f>下料单!BF3</f>
        <v>排孔塞（米黄）</v>
      </c>
      <c r="D75" s="836">
        <f>下料单!$AD$47*12</f>
        <v>72</v>
      </c>
      <c r="E75" s="836" t="s">
        <v>315</v>
      </c>
      <c r="F75" s="836"/>
      <c r="H75" s="840"/>
      <c r="I75" s="840"/>
      <c r="J75" s="840"/>
      <c r="T75" s="889"/>
    </row>
    <row r="76" customHeight="1" spans="1:20">
      <c r="A76" s="845"/>
      <c r="B76" s="836">
        <v>4</v>
      </c>
      <c r="C76" s="836" t="s">
        <v>415</v>
      </c>
      <c r="D76" s="836">
        <f>($D$110+$D$112+$D$111+$D$113+$D$114+D62+D61+$D$64+$D$65+$D$66+$D$116+$D$117)*4</f>
        <v>64</v>
      </c>
      <c r="E76" s="836" t="s">
        <v>315</v>
      </c>
      <c r="F76" s="836"/>
      <c r="H76" s="840"/>
      <c r="I76" s="840"/>
      <c r="J76" s="840"/>
      <c r="T76" s="889"/>
    </row>
    <row r="77" customHeight="1" spans="1:20">
      <c r="A77" s="845"/>
      <c r="B77" s="836">
        <v>5</v>
      </c>
      <c r="C77" s="836"/>
      <c r="D77" s="902"/>
      <c r="E77" s="836"/>
      <c r="F77" s="836"/>
      <c r="H77" s="840"/>
      <c r="I77" s="840"/>
      <c r="J77" s="840"/>
      <c r="T77" s="889"/>
    </row>
    <row r="78" customHeight="1" spans="1:19">
      <c r="A78" s="845"/>
      <c r="B78" s="836">
        <v>6</v>
      </c>
      <c r="C78" s="873" t="s">
        <v>416</v>
      </c>
      <c r="D78" s="903"/>
      <c r="E78" s="873" t="s">
        <v>315</v>
      </c>
      <c r="F78" s="850"/>
      <c r="H78" s="840"/>
      <c r="I78" s="840"/>
      <c r="J78" s="840"/>
      <c r="S78" s="919"/>
    </row>
    <row r="79" customHeight="1" spans="1:19">
      <c r="A79" s="845"/>
      <c r="B79" s="836">
        <v>7</v>
      </c>
      <c r="C79" s="1154" t="s">
        <v>417</v>
      </c>
      <c r="D79" s="903"/>
      <c r="E79" s="873" t="s">
        <v>379</v>
      </c>
      <c r="F79" s="836"/>
      <c r="H79" s="840"/>
      <c r="I79" s="840"/>
      <c r="J79" s="840"/>
      <c r="S79" s="919"/>
    </row>
    <row r="80" customHeight="1" spans="1:19">
      <c r="A80" s="845"/>
      <c r="B80" s="836">
        <v>8</v>
      </c>
      <c r="C80" s="873" t="s">
        <v>418</v>
      </c>
      <c r="D80" s="903"/>
      <c r="E80" s="873" t="s">
        <v>315</v>
      </c>
      <c r="F80" s="850"/>
      <c r="H80" s="840"/>
      <c r="I80" s="840"/>
      <c r="J80" s="840"/>
      <c r="S80" s="919"/>
    </row>
    <row r="81" customHeight="1" spans="1:19">
      <c r="A81" s="845"/>
      <c r="B81" s="836">
        <v>9</v>
      </c>
      <c r="C81" s="836"/>
      <c r="D81" s="902"/>
      <c r="E81" s="836"/>
      <c r="F81" s="836"/>
      <c r="H81" s="840"/>
      <c r="I81" s="840"/>
      <c r="J81" s="916"/>
      <c r="S81" s="919"/>
    </row>
    <row r="82" customHeight="1" spans="1:19">
      <c r="A82" s="845"/>
      <c r="B82" s="836">
        <v>10</v>
      </c>
      <c r="C82" s="836" t="s">
        <v>419</v>
      </c>
      <c r="D82" s="836">
        <f>下料单!$AD$47*4</f>
        <v>24</v>
      </c>
      <c r="E82" s="836" t="s">
        <v>315</v>
      </c>
      <c r="F82" s="836"/>
      <c r="H82" s="840"/>
      <c r="I82" s="840"/>
      <c r="J82" s="840"/>
      <c r="S82" s="919"/>
    </row>
    <row r="83" customHeight="1" spans="1:19">
      <c r="A83" s="845"/>
      <c r="B83" s="836">
        <v>11</v>
      </c>
      <c r="C83" s="836" t="s">
        <v>420</v>
      </c>
      <c r="D83" s="836">
        <f>D82-D84</f>
        <v>24</v>
      </c>
      <c r="E83" s="836" t="s">
        <v>315</v>
      </c>
      <c r="F83" s="836"/>
      <c r="H83" s="840"/>
      <c r="I83" s="840"/>
      <c r="J83" s="840"/>
      <c r="S83" s="919"/>
    </row>
    <row r="84" customHeight="1" spans="1:20">
      <c r="A84" s="845"/>
      <c r="B84" s="836">
        <v>12</v>
      </c>
      <c r="C84" s="836" t="s">
        <v>421</v>
      </c>
      <c r="D84" s="836"/>
      <c r="E84" s="836" t="s">
        <v>315</v>
      </c>
      <c r="F84" s="869"/>
      <c r="H84" s="840"/>
      <c r="I84" s="840"/>
      <c r="J84" s="840"/>
      <c r="S84" s="919"/>
      <c r="T84" s="889"/>
    </row>
    <row r="85" customHeight="1" spans="1:20">
      <c r="A85" s="845"/>
      <c r="B85" s="836">
        <v>13</v>
      </c>
      <c r="C85" s="836" t="s">
        <v>422</v>
      </c>
      <c r="D85" s="836">
        <f>D90*2+D99*1</f>
        <v>0</v>
      </c>
      <c r="E85" s="836" t="s">
        <v>315</v>
      </c>
      <c r="F85" s="836"/>
      <c r="H85" s="840"/>
      <c r="I85" s="840"/>
      <c r="J85" s="840"/>
      <c r="S85" s="919"/>
      <c r="T85" s="889"/>
    </row>
    <row r="86" customHeight="1" spans="1:20">
      <c r="A86" s="845"/>
      <c r="B86" s="836">
        <v>14</v>
      </c>
      <c r="C86" s="836" t="s">
        <v>423</v>
      </c>
      <c r="D86" s="836">
        <f>下料单!$E$33*2</f>
        <v>0</v>
      </c>
      <c r="E86" s="836" t="s">
        <v>315</v>
      </c>
      <c r="F86" s="836"/>
      <c r="H86" s="840"/>
      <c r="I86" s="840"/>
      <c r="J86" s="840"/>
      <c r="K86" s="917"/>
      <c r="L86" s="917"/>
      <c r="M86" s="918"/>
      <c r="N86" s="917"/>
      <c r="S86" s="919"/>
      <c r="T86" s="889"/>
    </row>
    <row r="87" customHeight="1" spans="1:20">
      <c r="A87" s="845"/>
      <c r="B87" s="836">
        <v>15</v>
      </c>
      <c r="C87" s="836" t="s">
        <v>424</v>
      </c>
      <c r="D87" s="836"/>
      <c r="E87" s="836" t="s">
        <v>315</v>
      </c>
      <c r="F87" s="836"/>
      <c r="H87" s="840"/>
      <c r="I87" s="840"/>
      <c r="J87" s="840"/>
      <c r="S87" s="919"/>
      <c r="T87" s="889"/>
    </row>
    <row r="88" customHeight="1" spans="1:20">
      <c r="A88" s="845"/>
      <c r="B88" s="836">
        <v>16</v>
      </c>
      <c r="C88" s="836" t="s">
        <v>425</v>
      </c>
      <c r="D88" s="836">
        <f>D90</f>
        <v>0</v>
      </c>
      <c r="E88" s="836" t="s">
        <v>315</v>
      </c>
      <c r="F88" s="836"/>
      <c r="H88" s="840"/>
      <c r="I88" s="840"/>
      <c r="J88" s="840"/>
      <c r="T88" s="889"/>
    </row>
    <row r="89" customHeight="1" spans="1:10">
      <c r="A89" s="845"/>
      <c r="B89" s="836">
        <v>17</v>
      </c>
      <c r="C89" s="836" t="str">
        <f>下料单!BD3</f>
        <v>吊码片盖（白色）</v>
      </c>
      <c r="D89" s="836">
        <f>D88*2</f>
        <v>0</v>
      </c>
      <c r="E89" s="836" t="s">
        <v>315</v>
      </c>
      <c r="F89" s="836"/>
      <c r="H89" s="840"/>
      <c r="I89" s="840"/>
      <c r="J89" s="840"/>
    </row>
    <row r="90" customHeight="1" spans="1:19">
      <c r="A90" s="845"/>
      <c r="B90" s="836">
        <v>18</v>
      </c>
      <c r="C90" s="836" t="s">
        <v>426</v>
      </c>
      <c r="D90" s="836">
        <f>下料单!$E$33*2</f>
        <v>0</v>
      </c>
      <c r="E90" s="836" t="s">
        <v>315</v>
      </c>
      <c r="F90" s="836"/>
      <c r="H90" s="840"/>
      <c r="I90" s="840"/>
      <c r="J90" s="840"/>
      <c r="S90" s="919"/>
    </row>
    <row r="91" customHeight="1" spans="1:19">
      <c r="A91" s="845"/>
      <c r="B91" s="836">
        <v>19</v>
      </c>
      <c r="C91" s="836" t="s">
        <v>427</v>
      </c>
      <c r="D91" s="836"/>
      <c r="E91" s="836" t="s">
        <v>315</v>
      </c>
      <c r="F91" s="904"/>
      <c r="H91" s="840"/>
      <c r="I91" s="840"/>
      <c r="J91" s="840"/>
      <c r="S91" s="919"/>
    </row>
    <row r="92" customHeight="1" spans="1:20">
      <c r="A92" s="845"/>
      <c r="B92" s="836">
        <v>20</v>
      </c>
      <c r="C92" s="836" t="str">
        <f>下料单!BE3</f>
        <v>偏心件装饰盖（米黄）</v>
      </c>
      <c r="D92" s="836">
        <f>下料单!E33*14</f>
        <v>0</v>
      </c>
      <c r="E92" s="836" t="s">
        <v>315</v>
      </c>
      <c r="F92" s="836"/>
      <c r="H92" s="840"/>
      <c r="I92" s="840"/>
      <c r="J92" s="840"/>
      <c r="S92" s="919"/>
      <c r="T92" s="889"/>
    </row>
    <row r="93" customHeight="1" spans="1:20">
      <c r="A93" s="845"/>
      <c r="B93" s="836">
        <v>21</v>
      </c>
      <c r="C93" s="836" t="s">
        <v>428</v>
      </c>
      <c r="D93" s="836"/>
      <c r="E93" s="836" t="s">
        <v>315</v>
      </c>
      <c r="F93" s="836"/>
      <c r="H93" s="840"/>
      <c r="I93" s="840"/>
      <c r="J93" s="840"/>
      <c r="S93" s="919"/>
      <c r="T93" s="889"/>
    </row>
    <row r="94" customHeight="1" spans="1:20">
      <c r="A94" s="845"/>
      <c r="B94" s="836">
        <v>22</v>
      </c>
      <c r="C94" s="836" t="s">
        <v>364</v>
      </c>
      <c r="D94" s="836">
        <f>D90*4+(D101+D110+D112+D111+D113+D114)*4+(D63+D64+D65+D66)*20+下料单!AN47*5</f>
        <v>40</v>
      </c>
      <c r="E94" s="836" t="s">
        <v>315</v>
      </c>
      <c r="F94" s="836"/>
      <c r="H94" s="840"/>
      <c r="I94" s="840"/>
      <c r="J94" s="840"/>
      <c r="T94" s="889"/>
    </row>
    <row r="95" customHeight="1" spans="1:19">
      <c r="A95" s="845"/>
      <c r="B95" s="836">
        <v>23</v>
      </c>
      <c r="C95" s="836" t="s">
        <v>366</v>
      </c>
      <c r="D95" s="836"/>
      <c r="E95" s="836" t="s">
        <v>315</v>
      </c>
      <c r="F95" s="836"/>
      <c r="H95" s="840"/>
      <c r="I95" s="840"/>
      <c r="J95" s="840"/>
      <c r="S95" s="919"/>
    </row>
    <row r="96" customHeight="1" spans="1:20">
      <c r="A96" s="845"/>
      <c r="B96" s="836">
        <v>24</v>
      </c>
      <c r="C96" s="836" t="s">
        <v>429</v>
      </c>
      <c r="D96" s="836">
        <f>D99*3</f>
        <v>0</v>
      </c>
      <c r="E96" s="836" t="s">
        <v>315</v>
      </c>
      <c r="F96" s="836"/>
      <c r="H96" s="840"/>
      <c r="I96" s="840"/>
      <c r="J96" s="840"/>
      <c r="M96" s="840" t="s">
        <v>430</v>
      </c>
      <c r="N96" s="827"/>
      <c r="T96" s="889"/>
    </row>
    <row r="97" customHeight="1" spans="1:20">
      <c r="A97" s="845"/>
      <c r="B97" s="836">
        <v>25</v>
      </c>
      <c r="C97" s="836" t="str">
        <f>H97&amp;J97</f>
        <v>铝转角60mm高</v>
      </c>
      <c r="D97" s="836"/>
      <c r="E97" s="836" t="s">
        <v>315</v>
      </c>
      <c r="F97" s="836"/>
      <c r="H97" s="840" t="s">
        <v>431</v>
      </c>
      <c r="I97" s="840"/>
      <c r="J97" s="840" t="str">
        <f>J105</f>
        <v>60mm高</v>
      </c>
      <c r="M97" s="840" t="s">
        <v>432</v>
      </c>
      <c r="N97" s="827"/>
      <c r="S97" s="919"/>
      <c r="T97" s="889"/>
    </row>
    <row r="98" customHeight="1" spans="1:20">
      <c r="A98" s="845"/>
      <c r="B98" s="836">
        <v>26</v>
      </c>
      <c r="C98" s="836" t="str">
        <f>IF(D32&gt;0,"踢脚板卡子","木制踢脚板卡子底座")</f>
        <v>木制踢脚板卡子底座</v>
      </c>
      <c r="D98" s="836">
        <f>D101/2+2</f>
        <v>2</v>
      </c>
      <c r="E98" s="836" t="s">
        <v>315</v>
      </c>
      <c r="F98" s="836"/>
      <c r="H98" s="840"/>
      <c r="I98" s="840"/>
      <c r="J98" s="840"/>
      <c r="M98" s="840" t="s">
        <v>433</v>
      </c>
      <c r="N98" s="827"/>
      <c r="S98" s="919"/>
      <c r="T98" s="889"/>
    </row>
    <row r="99" customHeight="1" spans="1:20">
      <c r="A99" s="845"/>
      <c r="B99" s="836">
        <v>27</v>
      </c>
      <c r="C99" s="836" t="s">
        <v>434</v>
      </c>
      <c r="D99" s="836"/>
      <c r="E99" s="836" t="s">
        <v>379</v>
      </c>
      <c r="F99" s="836"/>
      <c r="H99" s="840"/>
      <c r="I99" s="840"/>
      <c r="J99" s="840"/>
      <c r="M99" s="840" t="s">
        <v>435</v>
      </c>
      <c r="N99" s="827"/>
      <c r="S99" s="919"/>
      <c r="T99" s="889"/>
    </row>
    <row r="100" customHeight="1" spans="1:20">
      <c r="A100" s="845"/>
      <c r="B100" s="836">
        <v>28</v>
      </c>
      <c r="C100" s="836" t="s">
        <v>436</v>
      </c>
      <c r="D100" s="836"/>
      <c r="E100" s="836" t="s">
        <v>315</v>
      </c>
      <c r="F100" s="836"/>
      <c r="H100" s="840"/>
      <c r="I100" s="840"/>
      <c r="J100" s="840"/>
      <c r="M100" s="840" t="s">
        <v>437</v>
      </c>
      <c r="N100" s="827"/>
      <c r="S100" s="919"/>
      <c r="T100" s="889"/>
    </row>
    <row r="101" customHeight="1" spans="1:20">
      <c r="A101" s="845"/>
      <c r="B101" s="836">
        <v>29</v>
      </c>
      <c r="C101" s="905" t="str">
        <f>H101&amp;J101</f>
        <v>塑料可调脚60mm（自制）</v>
      </c>
      <c r="D101" s="836">
        <f>下料单!$AP$47</f>
        <v>0</v>
      </c>
      <c r="E101" s="836" t="s">
        <v>315</v>
      </c>
      <c r="F101" s="869"/>
      <c r="H101" s="840" t="s">
        <v>430</v>
      </c>
      <c r="I101" s="840"/>
      <c r="J101" s="844" t="s">
        <v>433</v>
      </c>
      <c r="T101" s="889"/>
    </row>
    <row r="102" customHeight="1" spans="1:20">
      <c r="A102" s="845"/>
      <c r="B102" s="836">
        <v>30</v>
      </c>
      <c r="C102" s="836" t="s">
        <v>438</v>
      </c>
      <c r="D102" s="836"/>
      <c r="E102" s="836" t="s">
        <v>315</v>
      </c>
      <c r="F102" s="836"/>
      <c r="H102" s="840"/>
      <c r="I102" s="840"/>
      <c r="J102" s="840"/>
      <c r="T102" s="889"/>
    </row>
    <row r="103" customHeight="1" spans="1:20">
      <c r="A103" s="845"/>
      <c r="B103" s="836">
        <v>31</v>
      </c>
      <c r="C103" s="836" t="str">
        <f>J103&amp;H103</f>
        <v>瓷白中性玻璃胶</v>
      </c>
      <c r="D103" s="836">
        <v>1</v>
      </c>
      <c r="E103" s="836" t="s">
        <v>439</v>
      </c>
      <c r="F103" s="836"/>
      <c r="H103" s="840" t="s">
        <v>440</v>
      </c>
      <c r="I103" s="840"/>
      <c r="J103" s="844" t="s">
        <v>441</v>
      </c>
      <c r="L103" s="840" t="s">
        <v>441</v>
      </c>
      <c r="T103" s="889"/>
    </row>
    <row r="104" customHeight="1" spans="1:20">
      <c r="A104" s="845"/>
      <c r="B104" s="836">
        <v>32</v>
      </c>
      <c r="C104" s="836" t="s">
        <v>442</v>
      </c>
      <c r="D104" s="836"/>
      <c r="E104" s="836" t="s">
        <v>315</v>
      </c>
      <c r="F104" s="865"/>
      <c r="H104" s="840"/>
      <c r="I104" s="840"/>
      <c r="J104" s="840"/>
      <c r="L104" s="840" t="s">
        <v>443</v>
      </c>
      <c r="T104" s="889"/>
    </row>
    <row r="105" customHeight="1" spans="1:20">
      <c r="A105" s="845"/>
      <c r="B105" s="836">
        <v>33</v>
      </c>
      <c r="C105" s="836" t="str">
        <f>H105&amp;J105</f>
        <v>铝踢脚板连接件60mm高</v>
      </c>
      <c r="D105" s="870"/>
      <c r="E105" s="836" t="s">
        <v>315</v>
      </c>
      <c r="F105" s="865"/>
      <c r="H105" s="840" t="s">
        <v>444</v>
      </c>
      <c r="I105" s="840"/>
      <c r="J105" s="840" t="str">
        <f>IF(J101="60mm（自制）","60mm",J101)&amp;"高"</f>
        <v>60mm高</v>
      </c>
      <c r="T105" s="889"/>
    </row>
    <row r="106" customHeight="1" spans="1:20">
      <c r="A106" s="845"/>
      <c r="B106" s="846"/>
      <c r="C106" s="906"/>
      <c r="D106" s="848"/>
      <c r="E106" s="846"/>
      <c r="F106" s="907"/>
      <c r="H106" s="840"/>
      <c r="I106" s="840"/>
      <c r="J106" s="840"/>
      <c r="T106" s="889"/>
    </row>
    <row r="107" customHeight="1" spans="1:20">
      <c r="A107" s="841" t="s">
        <v>445</v>
      </c>
      <c r="B107" s="846" t="s">
        <v>393</v>
      </c>
      <c r="C107" s="836" t="s">
        <v>333</v>
      </c>
      <c r="D107" s="848"/>
      <c r="E107" s="836" t="s">
        <v>379</v>
      </c>
      <c r="F107" s="907"/>
      <c r="H107" s="840"/>
      <c r="I107" s="840"/>
      <c r="J107" s="840"/>
      <c r="T107" s="889"/>
    </row>
    <row r="108" customHeight="1" spans="1:20">
      <c r="A108" s="845"/>
      <c r="B108" s="854"/>
      <c r="C108" s="836" t="s">
        <v>338</v>
      </c>
      <c r="D108" s="848"/>
      <c r="E108" s="836" t="s">
        <v>379</v>
      </c>
      <c r="F108" s="907"/>
      <c r="H108" s="840"/>
      <c r="I108" s="840"/>
      <c r="J108" s="840"/>
      <c r="T108" s="889"/>
    </row>
    <row r="109" customHeight="1" spans="1:20">
      <c r="A109" s="845"/>
      <c r="B109" s="836" t="s">
        <v>395</v>
      </c>
      <c r="C109" s="836" t="s">
        <v>446</v>
      </c>
      <c r="D109" s="836"/>
      <c r="E109" s="836" t="s">
        <v>379</v>
      </c>
      <c r="F109" s="865"/>
      <c r="H109" s="840"/>
      <c r="I109" s="840"/>
      <c r="J109" s="840"/>
      <c r="T109" s="889"/>
    </row>
    <row r="110" customHeight="1" spans="1:20">
      <c r="A110" s="845"/>
      <c r="B110" s="836"/>
      <c r="C110" s="836" t="s">
        <v>397</v>
      </c>
      <c r="D110" s="836"/>
      <c r="E110" s="836" t="s">
        <v>379</v>
      </c>
      <c r="F110" s="865"/>
      <c r="H110" s="840"/>
      <c r="I110" s="840"/>
      <c r="J110" s="840"/>
      <c r="T110" s="889"/>
    </row>
    <row r="111" customHeight="1" spans="1:20">
      <c r="A111" s="845"/>
      <c r="B111" s="836"/>
      <c r="C111" s="836" t="s">
        <v>447</v>
      </c>
      <c r="D111" s="836"/>
      <c r="E111" s="836" t="s">
        <v>379</v>
      </c>
      <c r="F111" s="865"/>
      <c r="H111" s="840"/>
      <c r="I111" s="840"/>
      <c r="J111" s="840"/>
      <c r="T111" s="889"/>
    </row>
    <row r="112" customHeight="1" spans="1:20">
      <c r="A112" s="845"/>
      <c r="B112" s="836"/>
      <c r="C112" s="836" t="s">
        <v>448</v>
      </c>
      <c r="D112" s="836"/>
      <c r="E112" s="836" t="s">
        <v>379</v>
      </c>
      <c r="F112" s="865"/>
      <c r="H112" s="840"/>
      <c r="I112" s="840"/>
      <c r="J112" s="840"/>
      <c r="T112" s="889"/>
    </row>
    <row r="113" customHeight="1" spans="1:20">
      <c r="A113" s="845"/>
      <c r="B113" s="836"/>
      <c r="C113" s="836" t="s">
        <v>449</v>
      </c>
      <c r="D113" s="836"/>
      <c r="E113" s="836" t="s">
        <v>379</v>
      </c>
      <c r="F113" s="865"/>
      <c r="H113" s="840"/>
      <c r="I113" s="840"/>
      <c r="J113" s="840"/>
      <c r="T113" s="889"/>
    </row>
    <row r="114" customHeight="1" spans="1:20">
      <c r="A114" s="845"/>
      <c r="B114" s="836"/>
      <c r="C114" s="836" t="s">
        <v>450</v>
      </c>
      <c r="D114" s="836"/>
      <c r="E114" s="836" t="s">
        <v>379</v>
      </c>
      <c r="F114" s="865"/>
      <c r="H114" s="840"/>
      <c r="I114" s="840"/>
      <c r="J114" s="840"/>
      <c r="T114" s="889"/>
    </row>
    <row r="115" customHeight="1" spans="1:20">
      <c r="A115" s="845"/>
      <c r="B115" s="836"/>
      <c r="C115" s="873" t="s">
        <v>451</v>
      </c>
      <c r="D115" s="873"/>
      <c r="E115" s="873" t="s">
        <v>379</v>
      </c>
      <c r="F115" s="865"/>
      <c r="H115" s="840"/>
      <c r="I115" s="840"/>
      <c r="J115" s="840"/>
      <c r="S115" s="919"/>
      <c r="T115" s="889"/>
    </row>
    <row r="116" customHeight="1" spans="1:20">
      <c r="A116" s="845"/>
      <c r="B116" s="836" t="s">
        <v>452</v>
      </c>
      <c r="C116" s="836" t="s">
        <v>453</v>
      </c>
      <c r="D116" s="836"/>
      <c r="E116" s="836" t="s">
        <v>379</v>
      </c>
      <c r="F116" s="865"/>
      <c r="H116" s="840"/>
      <c r="I116" s="840"/>
      <c r="J116" s="840"/>
      <c r="S116" s="919"/>
      <c r="T116" s="889"/>
    </row>
    <row r="117" customHeight="1" spans="1:20">
      <c r="A117" s="845"/>
      <c r="B117" s="836"/>
      <c r="C117" s="836" t="s">
        <v>454</v>
      </c>
      <c r="D117" s="836"/>
      <c r="E117" s="836" t="s">
        <v>379</v>
      </c>
      <c r="F117" s="836"/>
      <c r="H117" s="840"/>
      <c r="I117" s="840"/>
      <c r="J117" s="840"/>
      <c r="S117" s="919"/>
      <c r="T117" s="889"/>
    </row>
    <row r="118" customHeight="1" spans="1:20">
      <c r="A118" s="845"/>
      <c r="B118" s="836"/>
      <c r="C118" s="873" t="s">
        <v>296</v>
      </c>
      <c r="D118" s="908"/>
      <c r="E118" s="873" t="s">
        <v>379</v>
      </c>
      <c r="F118" s="836"/>
      <c r="H118" s="840"/>
      <c r="I118" s="840"/>
      <c r="J118" s="840"/>
      <c r="S118" s="919"/>
      <c r="T118" s="889"/>
    </row>
    <row r="119" customHeight="1" spans="1:20">
      <c r="A119" s="845"/>
      <c r="B119" s="909" t="s">
        <v>209</v>
      </c>
      <c r="C119" s="836" t="s">
        <v>209</v>
      </c>
      <c r="D119" s="836"/>
      <c r="E119" s="836" t="s">
        <v>315</v>
      </c>
      <c r="F119" s="836"/>
      <c r="H119" s="840"/>
      <c r="I119" s="840"/>
      <c r="J119" s="840"/>
      <c r="S119" s="919"/>
      <c r="T119" s="889"/>
    </row>
    <row r="120" customHeight="1" spans="1:20">
      <c r="A120" s="845"/>
      <c r="B120" s="909"/>
      <c r="C120" s="836" t="s">
        <v>455</v>
      </c>
      <c r="D120" s="836"/>
      <c r="E120" s="836" t="s">
        <v>315</v>
      </c>
      <c r="F120" s="865"/>
      <c r="H120" s="840"/>
      <c r="I120" s="840"/>
      <c r="J120" s="840"/>
      <c r="T120" s="889"/>
    </row>
    <row r="121" customHeight="1" spans="1:20">
      <c r="A121" s="845"/>
      <c r="B121" s="909"/>
      <c r="C121" s="842" t="str">
        <f>H121&amp;J121</f>
        <v>玻璃拉手长垫片6.7mm</v>
      </c>
      <c r="D121" s="836"/>
      <c r="E121" s="836" t="s">
        <v>315</v>
      </c>
      <c r="F121" s="865"/>
      <c r="H121" s="910" t="s">
        <v>456</v>
      </c>
      <c r="I121" s="910"/>
      <c r="J121" s="840" t="str">
        <f>$L$121</f>
        <v>6.7mm</v>
      </c>
      <c r="L121" s="878" t="str">
        <f>VLOOKUP(H121,L123:M126,2,FALSE)</f>
        <v>6.7mm</v>
      </c>
      <c r="M121" s="878"/>
      <c r="S121" s="919"/>
      <c r="T121" s="889"/>
    </row>
    <row r="122" customHeight="1" spans="1:20">
      <c r="A122" s="845"/>
      <c r="B122" s="909" t="s">
        <v>382</v>
      </c>
      <c r="C122" s="836" t="s">
        <v>284</v>
      </c>
      <c r="D122" s="836"/>
      <c r="E122" s="836" t="s">
        <v>379</v>
      </c>
      <c r="F122" s="865"/>
      <c r="H122" s="840"/>
      <c r="I122" s="840"/>
      <c r="J122" s="840"/>
      <c r="L122" s="878"/>
      <c r="M122" s="878"/>
      <c r="S122" s="919"/>
      <c r="T122" s="889"/>
    </row>
    <row r="123" customHeight="1" spans="1:20">
      <c r="A123" s="845"/>
      <c r="B123" s="909"/>
      <c r="C123" s="836" t="s">
        <v>287</v>
      </c>
      <c r="D123" s="836"/>
      <c r="E123" s="836" t="s">
        <v>379</v>
      </c>
      <c r="F123" s="865"/>
      <c r="H123" s="840"/>
      <c r="I123" s="840"/>
      <c r="J123" s="840"/>
      <c r="L123" s="878" t="s">
        <v>456</v>
      </c>
      <c r="M123" s="878" t="s">
        <v>457</v>
      </c>
      <c r="S123" s="919"/>
      <c r="T123" s="889"/>
    </row>
    <row r="124" customHeight="1" spans="1:20">
      <c r="A124" s="845"/>
      <c r="B124" s="909"/>
      <c r="C124" s="836" t="s">
        <v>245</v>
      </c>
      <c r="D124" s="836"/>
      <c r="E124" s="836" t="s">
        <v>379</v>
      </c>
      <c r="F124" s="865"/>
      <c r="H124" s="840"/>
      <c r="I124" s="840"/>
      <c r="J124" s="840"/>
      <c r="L124" s="878" t="s">
        <v>456</v>
      </c>
      <c r="M124" s="878" t="s">
        <v>458</v>
      </c>
      <c r="S124" s="919"/>
      <c r="T124" s="889"/>
    </row>
    <row r="125" customHeight="1" spans="1:20">
      <c r="A125" s="845"/>
      <c r="B125" s="909"/>
      <c r="C125" s="836" t="s">
        <v>227</v>
      </c>
      <c r="D125" s="836"/>
      <c r="E125" s="836" t="s">
        <v>379</v>
      </c>
      <c r="F125" s="865"/>
      <c r="H125" s="840"/>
      <c r="I125" s="840"/>
      <c r="J125" s="840"/>
      <c r="L125" s="878" t="s">
        <v>459</v>
      </c>
      <c r="M125" s="878" t="s">
        <v>458</v>
      </c>
      <c r="S125" s="919"/>
      <c r="T125" s="889"/>
    </row>
    <row r="126" customHeight="1" spans="1:19">
      <c r="A126" s="845"/>
      <c r="B126" s="909" t="s">
        <v>460</v>
      </c>
      <c r="C126" s="836"/>
      <c r="D126" s="836"/>
      <c r="E126" s="836"/>
      <c r="F126" s="865"/>
      <c r="H126" s="840"/>
      <c r="I126" s="840"/>
      <c r="J126" s="840"/>
      <c r="L126" s="878" t="s">
        <v>459</v>
      </c>
      <c r="M126" s="878" t="s">
        <v>457</v>
      </c>
      <c r="S126" s="919"/>
    </row>
    <row r="127" customHeight="1" spans="1:10">
      <c r="A127" s="845"/>
      <c r="B127" s="909"/>
      <c r="C127" s="836" t="s">
        <v>461</v>
      </c>
      <c r="D127" s="836"/>
      <c r="E127" s="836" t="s">
        <v>315</v>
      </c>
      <c r="F127" s="865"/>
      <c r="H127" s="840"/>
      <c r="I127" s="840"/>
      <c r="J127" s="840"/>
    </row>
    <row r="128" customHeight="1" spans="1:19">
      <c r="A128" s="845"/>
      <c r="B128" s="909"/>
      <c r="C128" s="836" t="s">
        <v>462</v>
      </c>
      <c r="D128" s="836"/>
      <c r="E128" s="836" t="s">
        <v>261</v>
      </c>
      <c r="F128" s="865"/>
      <c r="H128" s="840"/>
      <c r="I128" s="840"/>
      <c r="J128" s="840"/>
      <c r="S128" s="919"/>
    </row>
    <row r="129" customHeight="1" spans="1:19">
      <c r="A129" s="845"/>
      <c r="B129" s="909"/>
      <c r="C129" s="836" t="s">
        <v>463</v>
      </c>
      <c r="D129" s="836"/>
      <c r="E129" s="836" t="s">
        <v>315</v>
      </c>
      <c r="F129" s="865"/>
      <c r="H129" s="840"/>
      <c r="I129" s="840"/>
      <c r="J129" s="840"/>
      <c r="S129" s="919"/>
    </row>
    <row r="130" customHeight="1" spans="1:19">
      <c r="A130" s="845"/>
      <c r="B130" s="909"/>
      <c r="C130" s="836" t="s">
        <v>464</v>
      </c>
      <c r="D130" s="836"/>
      <c r="E130" s="836" t="s">
        <v>315</v>
      </c>
      <c r="F130" s="865" t="s">
        <v>465</v>
      </c>
      <c r="H130" s="840"/>
      <c r="I130" s="840"/>
      <c r="J130" s="840"/>
      <c r="S130" s="919"/>
    </row>
    <row r="131" customHeight="1" spans="1:19">
      <c r="A131" s="845"/>
      <c r="B131" s="909"/>
      <c r="C131" s="836" t="s">
        <v>466</v>
      </c>
      <c r="D131" s="836"/>
      <c r="E131" s="836" t="s">
        <v>379</v>
      </c>
      <c r="F131" s="865" t="s">
        <v>467</v>
      </c>
      <c r="H131" s="840"/>
      <c r="I131" s="840"/>
      <c r="J131" s="840"/>
      <c r="S131" s="919"/>
    </row>
    <row r="132" customHeight="1" spans="1:19">
      <c r="A132" s="920" t="s">
        <v>468</v>
      </c>
      <c r="B132" s="920"/>
      <c r="C132" s="920"/>
      <c r="D132" s="920"/>
      <c r="E132" s="920"/>
      <c r="F132" s="920"/>
      <c r="H132" s="840"/>
      <c r="I132" s="840"/>
      <c r="J132" s="840"/>
      <c r="S132" s="919"/>
    </row>
    <row r="133" customHeight="1" spans="1:19">
      <c r="A133" s="920"/>
      <c r="B133" s="920"/>
      <c r="C133" s="920"/>
      <c r="D133" s="920"/>
      <c r="E133" s="920"/>
      <c r="F133" s="920"/>
      <c r="H133" s="827"/>
      <c r="I133" s="827"/>
      <c r="J133" s="827"/>
      <c r="S133" s="919"/>
    </row>
    <row r="134" customHeight="1" spans="19:19">
      <c r="S134" s="919"/>
    </row>
    <row r="135" customHeight="1" spans="1:19">
      <c r="A135" s="826" t="s">
        <v>469</v>
      </c>
      <c r="S135" s="919"/>
    </row>
    <row r="136" customHeight="1" spans="1:19">
      <c r="A136" s="826" t="s">
        <v>470</v>
      </c>
      <c r="S136" s="919"/>
    </row>
    <row r="137" customHeight="1" spans="1:19">
      <c r="A137" s="826" t="s">
        <v>471</v>
      </c>
      <c r="S137" s="919"/>
    </row>
    <row r="138" customHeight="1" spans="19:19">
      <c r="S138" s="919"/>
    </row>
    <row r="139" customHeight="1" spans="1:3">
      <c r="A139" s="921" t="s">
        <v>472</v>
      </c>
      <c r="B139" s="921"/>
      <c r="C139" s="921"/>
    </row>
    <row r="140" customHeight="1" spans="19:19">
      <c r="S140" s="919"/>
    </row>
    <row r="141" customHeight="1" spans="1:19">
      <c r="A141" s="844" t="s">
        <v>473</v>
      </c>
      <c r="B141" s="910"/>
      <c r="C141" s="844"/>
      <c r="D141" s="844"/>
      <c r="E141" s="888"/>
      <c r="F141" s="888"/>
      <c r="S141" s="919"/>
    </row>
    <row r="142" customHeight="1" spans="1:19">
      <c r="A142" s="844"/>
      <c r="B142" s="910" t="s">
        <v>474</v>
      </c>
      <c r="C142" s="844"/>
      <c r="D142" s="844" t="s">
        <v>379</v>
      </c>
      <c r="E142" s="888"/>
      <c r="F142" s="888"/>
      <c r="S142" s="919"/>
    </row>
    <row r="143" customHeight="1" spans="1:19">
      <c r="A143" s="844"/>
      <c r="B143" s="910" t="s">
        <v>475</v>
      </c>
      <c r="C143" s="922" t="s">
        <v>476</v>
      </c>
      <c r="D143" s="844" t="s">
        <v>379</v>
      </c>
      <c r="E143" s="923"/>
      <c r="F143" s="888"/>
      <c r="S143" s="919"/>
    </row>
    <row r="144" customHeight="1" spans="1:19">
      <c r="A144" s="844"/>
      <c r="B144" s="910"/>
      <c r="C144" s="844"/>
      <c r="D144" s="844"/>
      <c r="E144" s="888"/>
      <c r="F144" s="888"/>
      <c r="S144" s="919"/>
    </row>
    <row r="145" customHeight="1" spans="1:19">
      <c r="A145" s="844"/>
      <c r="B145" s="844"/>
      <c r="C145" s="844"/>
      <c r="D145" s="844"/>
      <c r="E145" s="888"/>
      <c r="F145" s="888"/>
      <c r="S145" s="919"/>
    </row>
    <row r="146" customHeight="1" spans="19:19">
      <c r="S146" s="919"/>
    </row>
    <row r="147" customHeight="1" spans="1:19">
      <c r="A147" s="924" t="s">
        <v>477</v>
      </c>
      <c r="B147" s="925">
        <f>+B148*2</f>
        <v>2</v>
      </c>
      <c r="C147" s="926" t="s">
        <v>261</v>
      </c>
      <c r="D147" s="826"/>
      <c r="J147" s="931" t="s">
        <v>478</v>
      </c>
      <c r="S147" s="919"/>
    </row>
    <row r="148" customHeight="1" spans="1:19">
      <c r="A148" s="924" t="s">
        <v>479</v>
      </c>
      <c r="B148" s="925">
        <v>1</v>
      </c>
      <c r="C148" s="926" t="s">
        <v>315</v>
      </c>
      <c r="D148" s="826"/>
      <c r="J148" s="931"/>
      <c r="S148" s="919"/>
    </row>
    <row r="149" customHeight="1" spans="1:19">
      <c r="A149" s="924" t="s">
        <v>464</v>
      </c>
      <c r="B149" s="925">
        <f>+B148</f>
        <v>1</v>
      </c>
      <c r="C149" s="926" t="s">
        <v>379</v>
      </c>
      <c r="D149" s="927" t="s">
        <v>480</v>
      </c>
      <c r="J149" s="931"/>
      <c r="S149" s="919"/>
    </row>
    <row r="150" customHeight="1" spans="1:19">
      <c r="A150" s="924" t="s">
        <v>466</v>
      </c>
      <c r="B150" s="925">
        <f>+B148</f>
        <v>1</v>
      </c>
      <c r="C150" s="926" t="s">
        <v>379</v>
      </c>
      <c r="D150" s="928"/>
      <c r="J150" s="931"/>
      <c r="S150" s="919"/>
    </row>
    <row r="151" customHeight="1" spans="3:10">
      <c r="C151" s="828"/>
      <c r="D151" s="826"/>
      <c r="J151" s="931"/>
    </row>
    <row r="152" customHeight="1" spans="3:19">
      <c r="C152" s="828"/>
      <c r="D152" s="826"/>
      <c r="J152" s="931"/>
      <c r="K152" s="931"/>
      <c r="L152" s="931"/>
      <c r="M152" s="932"/>
      <c r="N152" s="931"/>
      <c r="S152" s="919"/>
    </row>
    <row r="153" customHeight="1" spans="3:19">
      <c r="C153" s="828"/>
      <c r="D153" s="826"/>
      <c r="J153" s="931"/>
      <c r="K153" s="931"/>
      <c r="L153" s="931"/>
      <c r="M153" s="932"/>
      <c r="N153" s="931"/>
      <c r="S153" s="919"/>
    </row>
    <row r="154" customHeight="1" spans="3:14">
      <c r="C154" s="828"/>
      <c r="D154" s="826"/>
      <c r="J154" s="931"/>
      <c r="K154" s="931"/>
      <c r="L154" s="931"/>
      <c r="M154" s="932"/>
      <c r="N154" s="931"/>
    </row>
    <row r="155" customHeight="1" spans="3:14">
      <c r="C155" s="929"/>
      <c r="D155" s="930"/>
      <c r="E155" s="930"/>
      <c r="J155" s="931"/>
      <c r="K155" s="931"/>
      <c r="L155" s="931"/>
      <c r="M155" s="932"/>
      <c r="N155" s="931"/>
    </row>
    <row r="156" customHeight="1" spans="3:14">
      <c r="C156" s="929"/>
      <c r="D156" s="930"/>
      <c r="E156" s="930"/>
      <c r="J156" s="931"/>
      <c r="K156" s="931"/>
      <c r="L156" s="931"/>
      <c r="M156" s="932"/>
      <c r="N156" s="931"/>
    </row>
    <row r="157" customHeight="1" spans="2:14">
      <c r="B157" s="930"/>
      <c r="C157" s="929"/>
      <c r="D157" s="930"/>
      <c r="E157" s="930"/>
      <c r="J157" s="931"/>
      <c r="K157" s="931"/>
      <c r="L157" s="931"/>
      <c r="M157" s="932"/>
      <c r="N157" s="931"/>
    </row>
    <row r="158" customHeight="1" spans="11:14">
      <c r="K158" s="931"/>
      <c r="L158" s="931"/>
      <c r="M158" s="932"/>
      <c r="N158" s="931"/>
    </row>
    <row r="159" customHeight="1" spans="11:19">
      <c r="K159" s="931"/>
      <c r="L159" s="931"/>
      <c r="M159" s="932"/>
      <c r="N159" s="931"/>
      <c r="S159" s="919"/>
    </row>
    <row r="160" customHeight="1" spans="11:19">
      <c r="K160" s="931"/>
      <c r="L160" s="931"/>
      <c r="M160" s="932"/>
      <c r="N160" s="931"/>
      <c r="S160" s="919"/>
    </row>
    <row r="161" customHeight="1" spans="11:14">
      <c r="K161" s="931"/>
      <c r="L161" s="931"/>
      <c r="M161" s="932"/>
      <c r="N161" s="931"/>
    </row>
    <row r="162" customHeight="1" spans="11:19">
      <c r="K162" s="931"/>
      <c r="L162" s="931"/>
      <c r="M162" s="932"/>
      <c r="N162" s="931"/>
      <c r="S162" s="919"/>
    </row>
    <row r="163" customHeight="1" spans="19:19">
      <c r="S163" s="919"/>
    </row>
    <row r="164" customHeight="1" spans="19:19">
      <c r="S164" s="919"/>
    </row>
    <row r="165" customHeight="1" spans="19:19">
      <c r="S165" s="919"/>
    </row>
    <row r="166" customHeight="1" spans="19:19">
      <c r="S166" s="919"/>
    </row>
    <row r="167" customHeight="1" spans="19:19">
      <c r="S167" s="919"/>
    </row>
    <row r="168" customHeight="1" spans="19:19">
      <c r="S168" s="919"/>
    </row>
    <row r="169" customHeight="1" spans="19:19">
      <c r="S169" s="919"/>
    </row>
    <row r="170" customHeight="1" spans="19:19">
      <c r="S170" s="919"/>
    </row>
    <row r="171" customHeight="1" spans="19:19">
      <c r="S171" s="919"/>
    </row>
    <row r="172" customHeight="1" spans="19:19">
      <c r="S172" s="919"/>
    </row>
    <row r="173" customHeight="1" spans="19:19">
      <c r="S173" s="919"/>
    </row>
    <row r="174" customHeight="1" spans="19:19">
      <c r="S174" s="919"/>
    </row>
    <row r="175" customHeight="1" spans="19:19">
      <c r="S175" s="919"/>
    </row>
    <row r="176" customHeight="1" spans="19:19">
      <c r="S176" s="919"/>
    </row>
    <row r="177" customHeight="1" spans="19:19">
      <c r="S177" s="919"/>
    </row>
    <row r="178" customHeight="1" spans="19:19">
      <c r="S178" s="919"/>
    </row>
    <row r="179" customHeight="1" spans="19:19">
      <c r="S179" s="919"/>
    </row>
    <row r="180" customHeight="1" spans="19:19">
      <c r="S180" s="919"/>
    </row>
    <row r="181" customHeight="1" spans="19:19">
      <c r="S181" s="919"/>
    </row>
    <row r="182" customHeight="1" spans="19:19">
      <c r="S182" s="919"/>
    </row>
    <row r="183" customHeight="1" spans="19:19">
      <c r="S183" s="919"/>
    </row>
    <row r="184" customHeight="1" spans="19:19">
      <c r="S184" s="919"/>
    </row>
    <row r="185" customHeight="1" spans="19:19">
      <c r="S185" s="919"/>
    </row>
    <row r="186" customHeight="1" spans="19:19">
      <c r="S186" s="919"/>
    </row>
    <row r="187" customHeight="1" spans="19:19">
      <c r="S187" s="919"/>
    </row>
    <row r="188" customHeight="1" spans="19:19">
      <c r="S188" s="919"/>
    </row>
    <row r="189" customHeight="1" spans="19:19">
      <c r="S189" s="919"/>
    </row>
    <row r="190" customHeight="1" spans="19:19">
      <c r="S190" s="919"/>
    </row>
    <row r="191" customHeight="1" spans="19:19">
      <c r="S191" s="919"/>
    </row>
    <row r="193" customHeight="1" spans="19:19">
      <c r="S193" s="919"/>
    </row>
    <row r="213" customHeight="1" spans="19:19">
      <c r="S213" s="919"/>
    </row>
    <row r="214" customHeight="1" spans="19:19">
      <c r="S214" s="919"/>
    </row>
    <row r="215" customHeight="1" spans="19:19">
      <c r="S215" s="919"/>
    </row>
    <row r="216" customHeight="1" spans="19:19">
      <c r="S216" s="919"/>
    </row>
    <row r="218" customHeight="1" spans="19:19">
      <c r="S218" s="919"/>
    </row>
    <row r="219" customHeight="1" spans="19:19">
      <c r="S219" s="919"/>
    </row>
    <row r="220" customHeight="1" spans="19:19">
      <c r="S220" s="919"/>
    </row>
    <row r="221" customHeight="1" spans="19:19">
      <c r="S221" s="919"/>
    </row>
    <row r="222" customHeight="1" spans="19:19">
      <c r="S222" s="919"/>
    </row>
    <row r="223" customHeight="1" spans="19:19">
      <c r="S223" s="919"/>
    </row>
    <row r="224" customHeight="1" spans="19:19">
      <c r="S224" s="919"/>
    </row>
    <row r="225" customHeight="1" spans="19:19">
      <c r="S225" s="919"/>
    </row>
    <row r="226" customHeight="1" spans="19:19">
      <c r="S226" s="919"/>
    </row>
    <row r="230" customHeight="1" spans="19:19">
      <c r="S230" s="919"/>
    </row>
    <row r="231" customHeight="1" spans="19:19">
      <c r="S231" s="919"/>
    </row>
    <row r="232" customHeight="1" spans="19:19">
      <c r="S232" s="919"/>
    </row>
    <row r="233" customHeight="1" spans="19:19">
      <c r="S233" s="919"/>
    </row>
    <row r="235" customHeight="1" spans="19:19">
      <c r="S235" s="919"/>
    </row>
    <row r="236" customHeight="1" spans="19:19">
      <c r="S236" s="919"/>
    </row>
    <row r="237" customHeight="1" spans="19:19">
      <c r="S237" s="919"/>
    </row>
    <row r="238" customHeight="1" spans="19:19">
      <c r="S238" s="919"/>
    </row>
    <row r="239" customHeight="1" spans="19:19">
      <c r="S239" s="919"/>
    </row>
    <row r="240" customHeight="1" spans="19:19">
      <c r="S240" s="919"/>
    </row>
    <row r="246" customHeight="1" spans="19:19">
      <c r="S246" s="919"/>
    </row>
    <row r="247" customHeight="1" spans="19:19">
      <c r="S247" s="919"/>
    </row>
    <row r="248" customHeight="1" spans="19:19">
      <c r="S248" s="919"/>
    </row>
    <row r="249" customHeight="1" spans="19:19">
      <c r="S249" s="919"/>
    </row>
    <row r="250" customHeight="1" spans="19:19">
      <c r="S250" s="919"/>
    </row>
    <row r="251" customHeight="1" spans="19:19">
      <c r="S251" s="919"/>
    </row>
    <row r="252" customHeight="1" spans="19:19">
      <c r="S252" s="919"/>
    </row>
    <row r="253" customHeight="1" spans="19:19">
      <c r="S253" s="919"/>
    </row>
    <row r="254" customHeight="1" spans="19:19">
      <c r="S254" s="919"/>
    </row>
    <row r="255" customHeight="1" spans="19:19">
      <c r="S255" s="919"/>
    </row>
    <row r="256" customHeight="1" spans="19:19">
      <c r="S256" s="919"/>
    </row>
    <row r="257" customHeight="1" spans="19:19">
      <c r="S257" s="919"/>
    </row>
    <row r="258" customHeight="1" spans="19:19">
      <c r="S258" s="919"/>
    </row>
    <row r="259" customHeight="1" spans="19:19">
      <c r="S259" s="919"/>
    </row>
    <row r="260" customHeight="1" spans="19:19">
      <c r="S260" s="919"/>
    </row>
    <row r="261" customHeight="1" spans="19:19">
      <c r="S261" s="919"/>
    </row>
    <row r="262" customHeight="1" spans="19:19">
      <c r="S262" s="919"/>
    </row>
    <row r="263" customHeight="1" spans="19:19">
      <c r="S263" s="919"/>
    </row>
    <row r="264" customHeight="1" spans="19:19">
      <c r="S264" s="919"/>
    </row>
    <row r="265" customHeight="1" spans="19:19">
      <c r="S265" s="919"/>
    </row>
    <row r="266" customHeight="1" spans="19:19">
      <c r="S266" s="919"/>
    </row>
    <row r="267" customHeight="1" spans="19:19">
      <c r="S267" s="919"/>
    </row>
    <row r="268" customHeight="1" spans="19:19">
      <c r="S268" s="919"/>
    </row>
    <row r="269" customHeight="1" spans="19:19">
      <c r="S269" s="919"/>
    </row>
    <row r="270" customHeight="1" spans="19:19">
      <c r="S270" s="919"/>
    </row>
    <row r="271" customHeight="1" spans="19:19">
      <c r="S271" s="919"/>
    </row>
    <row r="272" customHeight="1" spans="19:19">
      <c r="S272" s="919"/>
    </row>
    <row r="273" customHeight="1" spans="19:19">
      <c r="S273" s="919"/>
    </row>
    <row r="274" customHeight="1" spans="4:19">
      <c r="D274" s="826"/>
      <c r="S274" s="919"/>
    </row>
    <row r="275" customHeight="1" spans="4:19">
      <c r="D275" s="826"/>
      <c r="S275" s="919"/>
    </row>
    <row r="276" customHeight="1" spans="4:19">
      <c r="D276" s="826"/>
      <c r="S276" s="919"/>
    </row>
    <row r="277" customHeight="1" spans="4:19">
      <c r="D277" s="826"/>
      <c r="S277" s="919"/>
    </row>
    <row r="278" customHeight="1" spans="4:19">
      <c r="D278" s="826"/>
      <c r="S278" s="919"/>
    </row>
    <row r="279" customHeight="1" spans="4:19">
      <c r="D279" s="826"/>
      <c r="S279" s="919"/>
    </row>
    <row r="280" customHeight="1" spans="4:19">
      <c r="D280" s="826"/>
      <c r="S280" s="919"/>
    </row>
    <row r="281" customHeight="1" spans="4:19">
      <c r="D281" s="826"/>
      <c r="S281" s="919"/>
    </row>
    <row r="282" customHeight="1" spans="4:19">
      <c r="D282" s="826"/>
      <c r="S282" s="919"/>
    </row>
    <row r="283" customHeight="1" spans="4:19">
      <c r="D283" s="826"/>
      <c r="S283" s="919"/>
    </row>
    <row r="284" customHeight="1" spans="4:19">
      <c r="D284" s="826"/>
      <c r="S284" s="919"/>
    </row>
    <row r="285" customHeight="1" spans="19:19">
      <c r="S285" s="919"/>
    </row>
    <row r="286" customHeight="1" spans="19:19">
      <c r="S286" s="919"/>
    </row>
    <row r="287" customHeight="1" spans="19:19">
      <c r="S287" s="919"/>
    </row>
    <row r="288" customHeight="1" spans="19:19">
      <c r="S288" s="919"/>
    </row>
    <row r="289" customHeight="1" spans="19:19">
      <c r="S289" s="919"/>
    </row>
    <row r="290" customHeight="1" spans="19:19">
      <c r="S290" s="919"/>
    </row>
    <row r="291" customHeight="1" spans="19:19">
      <c r="S291" s="919"/>
    </row>
    <row r="292" customHeight="1" spans="19:19">
      <c r="S292" s="919"/>
    </row>
    <row r="293" customHeight="1" spans="19:19">
      <c r="S293" s="919"/>
    </row>
    <row r="294" customHeight="1" spans="19:19">
      <c r="S294" s="919"/>
    </row>
    <row r="295" customHeight="1" spans="19:19">
      <c r="S295" s="919"/>
    </row>
    <row r="296" customHeight="1" spans="19:19">
      <c r="S296" s="919"/>
    </row>
    <row r="297" customHeight="1" spans="19:19">
      <c r="S297" s="919"/>
    </row>
    <row r="298" customHeight="1" spans="19:19">
      <c r="S298" s="919"/>
    </row>
    <row r="299" customHeight="1" spans="19:19">
      <c r="S299" s="919"/>
    </row>
    <row r="300" customHeight="1" spans="19:19">
      <c r="S300" s="919"/>
    </row>
    <row r="301" customHeight="1" spans="19:19">
      <c r="S301" s="919"/>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05" customWidth="1"/>
    <col min="2" max="2" width="13.25" style="805" customWidth="1"/>
    <col min="3" max="3" width="9.25" style="805" customWidth="1"/>
    <col min="4" max="4" width="12.375" style="805" customWidth="1"/>
    <col min="5" max="5" width="9.625" style="805" customWidth="1"/>
    <col min="6" max="6" width="9.25" style="805" customWidth="1"/>
    <col min="7" max="7" width="13.125" style="805" customWidth="1"/>
    <col min="8" max="8" width="10.25" style="805" customWidth="1"/>
    <col min="9" max="16384" width="9" style="806"/>
  </cols>
  <sheetData>
    <row r="1" ht="33" spans="1:8">
      <c r="A1" s="807" t="s">
        <v>481</v>
      </c>
      <c r="B1" s="807"/>
      <c r="C1" s="807"/>
      <c r="D1" s="807"/>
      <c r="E1" s="807"/>
      <c r="F1" s="807"/>
      <c r="G1" s="807"/>
      <c r="H1" s="807"/>
    </row>
    <row r="2" ht="21.95" customHeight="1" spans="2:8">
      <c r="B2" s="808" t="s">
        <v>71</v>
      </c>
      <c r="E2" s="809" t="s">
        <v>482</v>
      </c>
      <c r="F2" s="809"/>
      <c r="G2" s="810">
        <f>下料单!I2</f>
        <v>0</v>
      </c>
      <c r="H2" s="810"/>
    </row>
    <row r="3" customHeight="1" spans="1:8">
      <c r="A3" s="811" t="s">
        <v>1</v>
      </c>
      <c r="B3" s="812">
        <f>下料单!C2</f>
        <v>0</v>
      </c>
      <c r="C3" s="813"/>
      <c r="D3" s="811" t="s">
        <v>7</v>
      </c>
      <c r="E3" s="812"/>
      <c r="F3" s="813"/>
      <c r="G3" s="811" t="s">
        <v>483</v>
      </c>
      <c r="H3" s="814">
        <f>下料单!Y2</f>
        <v>0</v>
      </c>
    </row>
    <row r="4" customHeight="1" spans="1:8">
      <c r="A4" s="811" t="s">
        <v>6</v>
      </c>
      <c r="B4" s="815">
        <f>下料单!AC2</f>
        <v>0</v>
      </c>
      <c r="C4" s="813"/>
      <c r="D4" s="811" t="s">
        <v>9</v>
      </c>
      <c r="E4" s="815"/>
      <c r="F4" s="813"/>
      <c r="G4" s="811" t="s">
        <v>484</v>
      </c>
      <c r="H4" s="814"/>
    </row>
    <row r="5" customHeight="1" spans="1:8">
      <c r="A5" s="811" t="s">
        <v>10</v>
      </c>
      <c r="B5" s="811" t="s">
        <v>11</v>
      </c>
      <c r="C5" s="811" t="s">
        <v>485</v>
      </c>
      <c r="D5" s="811" t="s">
        <v>14</v>
      </c>
      <c r="E5" s="811" t="s">
        <v>486</v>
      </c>
      <c r="F5" s="811" t="s">
        <v>487</v>
      </c>
      <c r="G5" s="811" t="s">
        <v>488</v>
      </c>
      <c r="H5" s="811" t="s">
        <v>489</v>
      </c>
    </row>
    <row r="6" customHeight="1" spans="1:8">
      <c r="A6" s="811" t="s">
        <v>490</v>
      </c>
      <c r="B6" s="816">
        <f>下料单!E21</f>
        <v>0</v>
      </c>
      <c r="C6" s="817"/>
      <c r="D6" s="811" t="s">
        <v>491</v>
      </c>
      <c r="E6" s="816">
        <f>下料单!E33</f>
        <v>0</v>
      </c>
      <c r="F6" s="817"/>
      <c r="G6" s="811" t="s">
        <v>492</v>
      </c>
      <c r="H6" s="811"/>
    </row>
    <row r="7" customHeight="1" spans="1:8">
      <c r="A7" s="811" t="s">
        <v>493</v>
      </c>
      <c r="B7" s="816" t="str">
        <f>下料单!AN34</f>
        <v>数量</v>
      </c>
      <c r="C7" s="817"/>
      <c r="D7" s="811" t="s">
        <v>494</v>
      </c>
      <c r="E7" s="816"/>
      <c r="F7" s="817"/>
      <c r="G7" s="811" t="s">
        <v>495</v>
      </c>
      <c r="H7" s="811"/>
    </row>
    <row r="8" s="805" customFormat="1" customHeight="1" spans="1:8">
      <c r="A8" s="811" t="s">
        <v>22</v>
      </c>
      <c r="B8" s="811" t="s">
        <v>24</v>
      </c>
      <c r="C8" s="811" t="s">
        <v>25</v>
      </c>
      <c r="D8" s="811" t="s">
        <v>27</v>
      </c>
      <c r="E8" s="811" t="s">
        <v>496</v>
      </c>
      <c r="F8" s="811" t="s">
        <v>28</v>
      </c>
      <c r="G8" s="811" t="s">
        <v>29</v>
      </c>
      <c r="H8" s="811" t="s">
        <v>30</v>
      </c>
    </row>
    <row r="9" customHeight="1" spans="1:8">
      <c r="A9" s="818">
        <v>1</v>
      </c>
      <c r="B9" s="811" t="s">
        <v>169</v>
      </c>
      <c r="C9" s="819">
        <f>下料单!AN35</f>
        <v>0</v>
      </c>
      <c r="D9" s="820"/>
      <c r="E9" s="820"/>
      <c r="F9" s="820"/>
      <c r="G9" s="820"/>
      <c r="H9" s="820"/>
    </row>
    <row r="10" customHeight="1" spans="1:8">
      <c r="A10" s="818">
        <v>2</v>
      </c>
      <c r="B10" s="811" t="s">
        <v>170</v>
      </c>
      <c r="C10" s="819">
        <f>下料单!AN36</f>
        <v>0</v>
      </c>
      <c r="D10" s="820"/>
      <c r="E10" s="820"/>
      <c r="F10" s="820"/>
      <c r="G10" s="820"/>
      <c r="H10" s="820"/>
    </row>
    <row r="11" customHeight="1" spans="1:8">
      <c r="A11" s="818">
        <v>3</v>
      </c>
      <c r="B11" s="811" t="s">
        <v>497</v>
      </c>
      <c r="C11" s="819">
        <f>下料单!AN37</f>
        <v>0</v>
      </c>
      <c r="D11" s="820"/>
      <c r="E11" s="820"/>
      <c r="F11" s="820"/>
      <c r="G11" s="820"/>
      <c r="H11" s="820"/>
    </row>
    <row r="12" customHeight="1" spans="1:8">
      <c r="A12" s="818">
        <v>4</v>
      </c>
      <c r="B12" s="811" t="s">
        <v>498</v>
      </c>
      <c r="C12" s="819" t="s">
        <v>499</v>
      </c>
      <c r="D12" s="820"/>
      <c r="E12" s="820"/>
      <c r="F12" s="820"/>
      <c r="G12" s="820"/>
      <c r="H12" s="820"/>
    </row>
    <row r="13" customHeight="1" spans="1:8">
      <c r="A13" s="818">
        <v>5</v>
      </c>
      <c r="B13" s="811" t="s">
        <v>180</v>
      </c>
      <c r="C13" s="819"/>
      <c r="D13" s="820"/>
      <c r="E13" s="820"/>
      <c r="F13" s="820"/>
      <c r="G13" s="820"/>
      <c r="H13" s="820"/>
    </row>
    <row r="14" customHeight="1" spans="1:8">
      <c r="A14" s="818">
        <v>6</v>
      </c>
      <c r="B14" s="811" t="s">
        <v>500</v>
      </c>
      <c r="C14" s="819"/>
      <c r="D14" s="820"/>
      <c r="E14" s="820"/>
      <c r="F14" s="820"/>
      <c r="G14" s="820"/>
      <c r="H14" s="820"/>
    </row>
    <row r="15" customHeight="1" spans="1:8">
      <c r="A15" s="818">
        <v>7</v>
      </c>
      <c r="B15" s="811" t="s">
        <v>501</v>
      </c>
      <c r="C15" s="819"/>
      <c r="D15" s="820"/>
      <c r="E15" s="820"/>
      <c r="F15" s="820"/>
      <c r="G15" s="820"/>
      <c r="H15" s="820"/>
    </row>
    <row r="16" customHeight="1" spans="1:8">
      <c r="A16" s="818">
        <v>8</v>
      </c>
      <c r="B16" s="811" t="s">
        <v>502</v>
      </c>
      <c r="C16" s="819"/>
      <c r="D16" s="820"/>
      <c r="E16" s="820"/>
      <c r="F16" s="820"/>
      <c r="G16" s="820"/>
      <c r="H16" s="820"/>
    </row>
    <row r="17" customHeight="1" spans="1:8">
      <c r="A17" s="818">
        <v>9</v>
      </c>
      <c r="B17" s="811" t="s">
        <v>503</v>
      </c>
      <c r="C17" s="819"/>
      <c r="D17" s="820"/>
      <c r="E17" s="820"/>
      <c r="F17" s="820"/>
      <c r="G17" s="820"/>
      <c r="H17" s="820"/>
    </row>
    <row r="18" customHeight="1" spans="1:8">
      <c r="A18" s="818">
        <v>10</v>
      </c>
      <c r="B18" s="811" t="s">
        <v>504</v>
      </c>
      <c r="C18" s="819">
        <f>B6+E6</f>
        <v>0</v>
      </c>
      <c r="D18" s="820"/>
      <c r="E18" s="820"/>
      <c r="F18" s="820"/>
      <c r="G18" s="820"/>
      <c r="H18" s="820"/>
    </row>
    <row r="19" customHeight="1" spans="1:8">
      <c r="A19" s="818">
        <v>11</v>
      </c>
      <c r="B19" s="811" t="s">
        <v>505</v>
      </c>
      <c r="C19" s="819" t="e">
        <f>领料单!D114+领料单!#REF!+领料单!#REF!+领料单!D64+领料单!D65+领料单!D66</f>
        <v>#REF!</v>
      </c>
      <c r="D19" s="820"/>
      <c r="E19" s="820"/>
      <c r="F19" s="820"/>
      <c r="G19" s="820"/>
      <c r="H19" s="820"/>
    </row>
    <row r="20" customHeight="1" spans="1:8">
      <c r="A20" s="818">
        <v>12</v>
      </c>
      <c r="B20" s="811" t="s">
        <v>506</v>
      </c>
      <c r="C20" s="819"/>
      <c r="D20" s="820"/>
      <c r="E20" s="820"/>
      <c r="F20" s="820"/>
      <c r="G20" s="820"/>
      <c r="H20" s="820"/>
    </row>
    <row r="21" customHeight="1" spans="1:8">
      <c r="A21" s="818">
        <v>13</v>
      </c>
      <c r="B21" s="811" t="s">
        <v>507</v>
      </c>
      <c r="C21" s="819"/>
      <c r="D21" s="820"/>
      <c r="E21" s="820"/>
      <c r="F21" s="820"/>
      <c r="G21" s="820"/>
      <c r="H21" s="820"/>
    </row>
    <row r="22" customHeight="1" spans="1:8">
      <c r="A22" s="818">
        <v>14</v>
      </c>
      <c r="B22" s="811" t="s">
        <v>508</v>
      </c>
      <c r="C22" s="819"/>
      <c r="D22" s="820"/>
      <c r="E22" s="820"/>
      <c r="F22" s="820"/>
      <c r="G22" s="820"/>
      <c r="H22" s="820"/>
    </row>
    <row r="23" customHeight="1" spans="1:8">
      <c r="A23" s="818">
        <v>15</v>
      </c>
      <c r="B23" s="811" t="s">
        <v>509</v>
      </c>
      <c r="C23" s="819">
        <f>(领料单!D110+领料单!D112+领料单!D111)/2</f>
        <v>0</v>
      </c>
      <c r="D23" s="820"/>
      <c r="E23" s="820"/>
      <c r="F23" s="820"/>
      <c r="G23" s="820"/>
      <c r="H23" s="820"/>
    </row>
    <row r="24" customHeight="1" spans="1:8">
      <c r="A24" s="818">
        <v>16</v>
      </c>
      <c r="B24" s="811" t="s">
        <v>510</v>
      </c>
      <c r="C24" s="819"/>
      <c r="D24" s="820"/>
      <c r="E24" s="820"/>
      <c r="F24" s="820"/>
      <c r="G24" s="820"/>
      <c r="H24" s="820"/>
    </row>
    <row r="25" customHeight="1" spans="1:8">
      <c r="A25" s="818">
        <v>17</v>
      </c>
      <c r="B25" s="811" t="s">
        <v>511</v>
      </c>
      <c r="C25" s="819"/>
      <c r="D25" s="820"/>
      <c r="E25" s="820"/>
      <c r="F25" s="820"/>
      <c r="G25" s="820"/>
      <c r="H25" s="820"/>
    </row>
    <row r="26" customHeight="1" spans="1:8">
      <c r="A26" s="818">
        <v>18</v>
      </c>
      <c r="B26" s="811" t="s">
        <v>512</v>
      </c>
      <c r="C26" s="819">
        <f>领料单!D20/2</f>
        <v>0</v>
      </c>
      <c r="D26" s="820"/>
      <c r="E26" s="820"/>
      <c r="F26" s="820"/>
      <c r="G26" s="820"/>
      <c r="H26" s="820"/>
    </row>
    <row r="27" customHeight="1" spans="1:8">
      <c r="A27" s="818">
        <v>19</v>
      </c>
      <c r="B27" s="811" t="s">
        <v>513</v>
      </c>
      <c r="C27" s="819"/>
      <c r="D27" s="820"/>
      <c r="E27" s="820"/>
      <c r="F27" s="820"/>
      <c r="G27" s="820"/>
      <c r="H27" s="820"/>
    </row>
    <row r="28" customHeight="1" spans="1:8">
      <c r="A28" s="818">
        <v>20</v>
      </c>
      <c r="B28" s="811" t="s">
        <v>514</v>
      </c>
      <c r="C28" s="819"/>
      <c r="D28" s="820"/>
      <c r="E28" s="820"/>
      <c r="F28" s="820"/>
      <c r="G28" s="820"/>
      <c r="H28" s="820"/>
    </row>
    <row r="29" customHeight="1" spans="1:8">
      <c r="A29" s="818">
        <v>21</v>
      </c>
      <c r="B29" s="811" t="s">
        <v>515</v>
      </c>
      <c r="C29" s="819"/>
      <c r="D29" s="820"/>
      <c r="E29" s="820"/>
      <c r="F29" s="820"/>
      <c r="G29" s="820"/>
      <c r="H29" s="820"/>
    </row>
    <row r="30" customHeight="1" spans="1:8">
      <c r="A30" s="818">
        <v>22</v>
      </c>
      <c r="B30" s="811" t="s">
        <v>516</v>
      </c>
      <c r="C30" s="821">
        <f>下料单!E47*1.2</f>
        <v>0</v>
      </c>
      <c r="D30" s="820"/>
      <c r="E30" s="820"/>
      <c r="F30" s="820"/>
      <c r="G30" s="820"/>
      <c r="H30" s="820"/>
    </row>
    <row r="31" customHeight="1" spans="1:8">
      <c r="A31" s="822"/>
      <c r="B31" s="822"/>
      <c r="C31" s="823"/>
      <c r="D31" s="823"/>
      <c r="E31" s="823"/>
      <c r="F31" s="823"/>
      <c r="G31" s="823"/>
      <c r="H31" s="822"/>
    </row>
    <row r="32" customHeight="1" spans="1:7">
      <c r="A32" s="824" t="s">
        <v>517</v>
      </c>
      <c r="B32" s="824"/>
      <c r="C32" s="810"/>
      <c r="F32" s="805" t="s">
        <v>518</v>
      </c>
      <c r="G32" s="810" t="s">
        <v>519</v>
      </c>
    </row>
    <row r="33" customHeight="1" spans="1:7">
      <c r="A33" s="824"/>
      <c r="B33" s="824"/>
      <c r="C33" s="822"/>
      <c r="G33" s="822"/>
    </row>
    <row r="34" customHeight="1" spans="6:8">
      <c r="F34" s="805" t="s">
        <v>520</v>
      </c>
      <c r="G34" s="825">
        <f>B4</f>
        <v>0</v>
      </c>
      <c r="H34" s="82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76" customWidth="1"/>
    <col min="2" max="2" width="15.625" style="676" customWidth="1"/>
    <col min="3" max="4" width="6" style="676" customWidth="1"/>
    <col min="5" max="6" width="8.125" style="676" customWidth="1"/>
    <col min="7" max="7" width="15.875" style="676" customWidth="1"/>
    <col min="8" max="8" width="31" style="676" customWidth="1"/>
    <col min="9" max="9" width="5" style="677" customWidth="1"/>
    <col min="10" max="11" width="5" style="678" hidden="1" customWidth="1"/>
    <col min="12" max="12" width="16.125" style="676" hidden="1" customWidth="1"/>
    <col min="13" max="13" width="19.875" style="676" hidden="1" customWidth="1"/>
    <col min="14" max="14" width="4.875" style="676" hidden="1" customWidth="1"/>
    <col min="15" max="15" width="26.375" style="676" hidden="1" customWidth="1"/>
    <col min="16" max="17" width="14.5" style="676" hidden="1" customWidth="1"/>
    <col min="18" max="21" width="10" style="679" hidden="1" customWidth="1"/>
    <col min="22" max="22" width="11.125" style="679" hidden="1" customWidth="1"/>
    <col min="23" max="23" width="10" style="679" hidden="1" customWidth="1"/>
    <col min="24" max="24" width="7.375" style="677" hidden="1" customWidth="1"/>
    <col min="25" max="27" width="9" style="676" hidden="1" customWidth="1"/>
    <col min="28" max="28" width="34.125" style="676" hidden="1" customWidth="1"/>
    <col min="29" max="44" width="9" style="676" hidden="1" customWidth="1"/>
    <col min="45" max="16384" width="9" style="676"/>
  </cols>
  <sheetData>
    <row r="1" s="672" customFormat="1" customHeight="1" spans="1:24">
      <c r="A1" s="680" t="s">
        <v>521</v>
      </c>
      <c r="B1" s="680"/>
      <c r="C1" s="680"/>
      <c r="D1" s="680"/>
      <c r="E1" s="680"/>
      <c r="F1" s="680"/>
      <c r="G1" s="680"/>
      <c r="H1" s="680"/>
      <c r="I1" s="680"/>
      <c r="J1" s="743"/>
      <c r="K1" s="743"/>
      <c r="L1" s="743"/>
      <c r="M1" s="743"/>
      <c r="N1" s="743"/>
      <c r="O1" s="743"/>
      <c r="P1" s="743"/>
      <c r="Q1" s="743"/>
      <c r="R1" s="743"/>
      <c r="S1" s="743"/>
      <c r="T1" s="743"/>
      <c r="U1" s="743"/>
      <c r="V1" s="743"/>
      <c r="W1" s="743"/>
      <c r="X1" s="777"/>
    </row>
    <row r="2" s="672" customFormat="1" customHeight="1" spans="1:24">
      <c r="A2" s="680" t="s">
        <v>2</v>
      </c>
      <c r="B2" s="680">
        <f>下料单!I2</f>
        <v>0</v>
      </c>
      <c r="C2" s="680" t="s">
        <v>522</v>
      </c>
      <c r="D2" s="680"/>
      <c r="E2" s="680">
        <f>下料单!C2</f>
        <v>0</v>
      </c>
      <c r="F2" s="680"/>
      <c r="G2" s="680" t="s">
        <v>523</v>
      </c>
      <c r="H2" s="681">
        <f>下料单!AC2</f>
        <v>0</v>
      </c>
      <c r="I2" s="680"/>
      <c r="J2" s="743"/>
      <c r="K2" s="743"/>
      <c r="L2" s="743"/>
      <c r="M2" s="743"/>
      <c r="N2" s="743"/>
      <c r="O2" s="743"/>
      <c r="P2" s="743"/>
      <c r="Q2" s="743"/>
      <c r="R2" s="743"/>
      <c r="S2" s="743"/>
      <c r="T2" s="743"/>
      <c r="U2" s="743"/>
      <c r="V2" s="743"/>
      <c r="W2" s="743"/>
      <c r="X2" s="777"/>
    </row>
    <row r="3" s="672" customFormat="1" customHeight="1" spans="1:24">
      <c r="A3" s="680" t="s">
        <v>524</v>
      </c>
      <c r="B3" s="680" t="str">
        <f>领料单!D70</f>
        <v>销售点：</v>
      </c>
      <c r="C3" s="682" t="s">
        <v>525</v>
      </c>
      <c r="D3" s="682"/>
      <c r="E3" s="682">
        <f>下料单!Y2</f>
        <v>0</v>
      </c>
      <c r="F3" s="682"/>
      <c r="G3" s="680" t="s">
        <v>526</v>
      </c>
      <c r="H3" s="681">
        <f>下料单!AL2</f>
        <v>0</v>
      </c>
      <c r="I3" s="680"/>
      <c r="J3" s="743"/>
      <c r="K3" s="743"/>
      <c r="L3" s="743"/>
      <c r="M3" s="743"/>
      <c r="N3" s="743"/>
      <c r="O3" s="743"/>
      <c r="P3" s="743"/>
      <c r="Q3" s="743"/>
      <c r="R3" s="743"/>
      <c r="S3" s="743"/>
      <c r="T3" s="743"/>
      <c r="U3" s="743"/>
      <c r="V3" s="743"/>
      <c r="W3" s="743"/>
      <c r="X3" s="777"/>
    </row>
    <row r="4" s="672" customFormat="1" customHeight="1" spans="1:24">
      <c r="A4" s="683" t="s">
        <v>527</v>
      </c>
      <c r="B4" s="684" t="s">
        <v>222</v>
      </c>
      <c r="C4" s="685" t="s">
        <v>528</v>
      </c>
      <c r="D4" s="685"/>
      <c r="E4" s="685"/>
      <c r="F4" s="686" t="s">
        <v>529</v>
      </c>
      <c r="G4" s="685" t="s">
        <v>530</v>
      </c>
      <c r="H4" s="685"/>
      <c r="I4" s="744"/>
      <c r="J4" s="745" t="s">
        <v>531</v>
      </c>
      <c r="K4" s="746"/>
      <c r="L4" s="747" t="s">
        <v>532</v>
      </c>
      <c r="M4" s="748"/>
      <c r="N4" s="748"/>
      <c r="R4" s="778" t="s">
        <v>533</v>
      </c>
      <c r="S4" s="779" t="s">
        <v>534</v>
      </c>
      <c r="T4" s="779" t="s">
        <v>535</v>
      </c>
      <c r="U4" s="779" t="s">
        <v>536</v>
      </c>
      <c r="V4" s="779" t="s">
        <v>537</v>
      </c>
      <c r="W4" s="780" t="s">
        <v>538</v>
      </c>
      <c r="X4" s="781" t="s">
        <v>539</v>
      </c>
    </row>
    <row r="5" s="673" customFormat="1" customHeight="1" spans="1:24">
      <c r="A5" s="687"/>
      <c r="B5" s="688"/>
      <c r="C5" s="689" t="s">
        <v>540</v>
      </c>
      <c r="D5" s="689" t="s">
        <v>541</v>
      </c>
      <c r="E5" s="689" t="s">
        <v>542</v>
      </c>
      <c r="F5" s="690"/>
      <c r="G5" s="689" t="s">
        <v>543</v>
      </c>
      <c r="H5" s="689" t="s">
        <v>222</v>
      </c>
      <c r="I5" s="749" t="s">
        <v>90</v>
      </c>
      <c r="J5" s="750" t="s">
        <v>71</v>
      </c>
      <c r="K5" s="751" t="s">
        <v>544</v>
      </c>
      <c r="L5" s="747" t="s">
        <v>543</v>
      </c>
      <c r="M5" s="748" t="s">
        <v>222</v>
      </c>
      <c r="N5" s="748" t="s">
        <v>90</v>
      </c>
      <c r="R5" s="782"/>
      <c r="S5" s="783"/>
      <c r="T5" s="783"/>
      <c r="U5" s="783"/>
      <c r="V5" s="783"/>
      <c r="W5" s="784"/>
      <c r="X5" s="781"/>
    </row>
    <row r="6" s="674" customFormat="1" customHeight="1" spans="1:19">
      <c r="A6" s="691"/>
      <c r="B6" s="692" t="s">
        <v>545</v>
      </c>
      <c r="C6" s="693">
        <v>300</v>
      </c>
      <c r="D6" s="693">
        <v>560</v>
      </c>
      <c r="E6" s="693">
        <v>720</v>
      </c>
      <c r="F6" s="694">
        <v>1</v>
      </c>
      <c r="G6" s="695" t="s">
        <v>546</v>
      </c>
      <c r="H6" s="695" t="s">
        <v>547</v>
      </c>
      <c r="I6" s="752">
        <f>F6</f>
        <v>1</v>
      </c>
      <c r="J6" s="753" t="e">
        <f>I6*#REF!</f>
        <v>#REF!</v>
      </c>
      <c r="K6" s="754"/>
      <c r="L6" s="755"/>
      <c r="M6" s="755"/>
      <c r="N6" s="755"/>
      <c r="O6" s="755"/>
      <c r="P6" s="755"/>
      <c r="Q6" s="785" t="e">
        <f t="shared" ref="Q6:Q11" si="0">J6*560*720/1000000/0.9</f>
        <v>#REF!</v>
      </c>
      <c r="R6" s="785"/>
      <c r="S6" s="785"/>
    </row>
    <row r="7" s="674" customFormat="1" customHeight="1" spans="1:19">
      <c r="A7" s="696"/>
      <c r="B7" s="697"/>
      <c r="C7" s="698"/>
      <c r="D7" s="698"/>
      <c r="E7" s="698"/>
      <c r="F7" s="699"/>
      <c r="G7" s="700" t="s">
        <v>548</v>
      </c>
      <c r="H7" s="700" t="s">
        <v>549</v>
      </c>
      <c r="I7" s="756">
        <f>F6</f>
        <v>1</v>
      </c>
      <c r="J7" s="753" t="e">
        <f>I7*#REF!</f>
        <v>#REF!</v>
      </c>
      <c r="K7" s="754"/>
      <c r="L7" s="755"/>
      <c r="M7" s="755"/>
      <c r="N7" s="755"/>
      <c r="O7" s="755"/>
      <c r="P7" s="755"/>
      <c r="Q7" s="785" t="e">
        <f t="shared" si="0"/>
        <v>#REF!</v>
      </c>
      <c r="R7" s="785"/>
      <c r="S7" s="785"/>
    </row>
    <row r="8" s="674" customFormat="1" customHeight="1" spans="1:19">
      <c r="A8" s="696"/>
      <c r="B8" s="697"/>
      <c r="C8" s="698"/>
      <c r="D8" s="698"/>
      <c r="E8" s="698"/>
      <c r="F8" s="699"/>
      <c r="G8" s="700" t="s">
        <v>550</v>
      </c>
      <c r="H8" s="700" t="s">
        <v>551</v>
      </c>
      <c r="I8" s="756">
        <f>F6</f>
        <v>1</v>
      </c>
      <c r="J8" s="753" t="e">
        <f>I8*#REF!</f>
        <v>#REF!</v>
      </c>
      <c r="K8" s="754"/>
      <c r="L8" s="755"/>
      <c r="M8" s="755"/>
      <c r="N8" s="755"/>
      <c r="O8" s="755"/>
      <c r="P8" s="755"/>
      <c r="Q8" s="785" t="e">
        <f t="shared" si="0"/>
        <v>#REF!</v>
      </c>
      <c r="R8" s="785"/>
      <c r="S8" s="785"/>
    </row>
    <row r="9" s="674" customFormat="1" customHeight="1" spans="1:19">
      <c r="A9" s="696"/>
      <c r="B9" s="697"/>
      <c r="C9" s="698"/>
      <c r="D9" s="698"/>
      <c r="E9" s="698"/>
      <c r="F9" s="699"/>
      <c r="G9" s="700" t="s">
        <v>552</v>
      </c>
      <c r="H9" s="700" t="s">
        <v>553</v>
      </c>
      <c r="I9" s="756">
        <f>F6</f>
        <v>1</v>
      </c>
      <c r="J9" s="753" t="e">
        <f>I9*#REF!</f>
        <v>#REF!</v>
      </c>
      <c r="K9" s="754"/>
      <c r="L9" s="755"/>
      <c r="M9" s="755"/>
      <c r="N9" s="755"/>
      <c r="O9" s="755"/>
      <c r="P9" s="755"/>
      <c r="Q9" s="785" t="e">
        <f t="shared" si="0"/>
        <v>#REF!</v>
      </c>
      <c r="R9" s="785"/>
      <c r="S9" s="785"/>
    </row>
    <row r="10" s="674" customFormat="1" customHeight="1" spans="1:19">
      <c r="A10" s="696"/>
      <c r="B10" s="697"/>
      <c r="C10" s="698"/>
      <c r="D10" s="698"/>
      <c r="E10" s="698"/>
      <c r="F10" s="699"/>
      <c r="G10" s="700" t="s">
        <v>554</v>
      </c>
      <c r="H10" s="700" t="s">
        <v>555</v>
      </c>
      <c r="I10" s="756">
        <f>F6</f>
        <v>1</v>
      </c>
      <c r="J10" s="753" t="e">
        <f>I10*#REF!</f>
        <v>#REF!</v>
      </c>
      <c r="K10" s="754"/>
      <c r="L10" s="755"/>
      <c r="M10" s="755"/>
      <c r="N10" s="755"/>
      <c r="O10" s="755"/>
      <c r="P10" s="755"/>
      <c r="Q10" s="785" t="e">
        <f t="shared" si="0"/>
        <v>#REF!</v>
      </c>
      <c r="R10" s="785"/>
      <c r="S10" s="785"/>
    </row>
    <row r="11" s="674" customFormat="1" customHeight="1" spans="1:19">
      <c r="A11" s="696"/>
      <c r="B11" s="697"/>
      <c r="C11" s="701"/>
      <c r="D11" s="701"/>
      <c r="E11" s="701"/>
      <c r="F11" s="699"/>
      <c r="G11" s="700" t="s">
        <v>556</v>
      </c>
      <c r="H11" s="700" t="s">
        <v>557</v>
      </c>
      <c r="I11" s="756">
        <f>F6*2</f>
        <v>2</v>
      </c>
      <c r="J11" s="753" t="e">
        <f>I11*#REF!</f>
        <v>#REF!</v>
      </c>
      <c r="K11" s="754"/>
      <c r="L11" s="755"/>
      <c r="M11" s="755"/>
      <c r="N11" s="755"/>
      <c r="O11" s="755"/>
      <c r="P11" s="755"/>
      <c r="Q11" s="785" t="e">
        <f t="shared" si="0"/>
        <v>#REF!</v>
      </c>
      <c r="R11" s="785"/>
      <c r="S11" s="785"/>
    </row>
    <row r="12" s="672" customFormat="1" customHeight="1" spans="1:24">
      <c r="A12" s="696"/>
      <c r="B12" s="697"/>
      <c r="C12" s="693">
        <v>450</v>
      </c>
      <c r="D12" s="693">
        <v>560</v>
      </c>
      <c r="E12" s="693">
        <v>720</v>
      </c>
      <c r="F12" s="693">
        <v>1</v>
      </c>
      <c r="G12" s="702" t="s">
        <v>546</v>
      </c>
      <c r="H12" s="702" t="s">
        <v>547</v>
      </c>
      <c r="I12" s="757">
        <f>F12</f>
        <v>1</v>
      </c>
      <c r="J12" s="758">
        <v>35</v>
      </c>
      <c r="K12" s="759">
        <f>I12*J12</f>
        <v>35</v>
      </c>
      <c r="L12" s="760" t="s">
        <v>558</v>
      </c>
      <c r="M12" s="703" t="s">
        <v>559</v>
      </c>
      <c r="N12" s="703">
        <v>1</v>
      </c>
      <c r="O12" s="761" t="s">
        <v>560</v>
      </c>
      <c r="P12" s="761" t="s">
        <v>561</v>
      </c>
      <c r="Q12" s="786">
        <v>24</v>
      </c>
      <c r="R12" s="787">
        <f>K12*560*720/1000000/0.9</f>
        <v>15.68</v>
      </c>
      <c r="S12" s="788">
        <f>K12*((560+720)*2+40)/1000</f>
        <v>91</v>
      </c>
      <c r="T12" s="788">
        <f>S12-U12</f>
        <v>25.2</v>
      </c>
      <c r="U12" s="788">
        <f>S12-0.72*K12</f>
        <v>65.8</v>
      </c>
      <c r="V12" s="789">
        <f>J12*11</f>
        <v>385</v>
      </c>
      <c r="W12" s="790">
        <f>K12*560*720*16/1000000000</f>
        <v>0.225792</v>
      </c>
      <c r="X12" s="777">
        <v>0</v>
      </c>
    </row>
    <row r="13" s="672" customFormat="1" customHeight="1" spans="1:32">
      <c r="A13" s="696"/>
      <c r="B13" s="697"/>
      <c r="C13" s="698"/>
      <c r="D13" s="698"/>
      <c r="E13" s="698"/>
      <c r="F13" s="698"/>
      <c r="G13" s="703" t="s">
        <v>548</v>
      </c>
      <c r="H13" s="703" t="s">
        <v>549</v>
      </c>
      <c r="I13" s="762">
        <f>F12</f>
        <v>1</v>
      </c>
      <c r="J13" s="763"/>
      <c r="K13" s="759">
        <f>I13*J12</f>
        <v>35</v>
      </c>
      <c r="L13" s="760" t="s">
        <v>562</v>
      </c>
      <c r="M13" s="703" t="s">
        <v>563</v>
      </c>
      <c r="N13" s="703">
        <v>1</v>
      </c>
      <c r="O13" s="761" t="s">
        <v>564</v>
      </c>
      <c r="P13" s="761" t="s">
        <v>561</v>
      </c>
      <c r="Q13" s="786">
        <v>24</v>
      </c>
      <c r="R13" s="787">
        <f>K13*560*720/1000000/0.9</f>
        <v>15.68</v>
      </c>
      <c r="S13" s="788">
        <f>K13*((560+720)*2+40)/1000</f>
        <v>91</v>
      </c>
      <c r="T13" s="788">
        <f t="shared" ref="T13:T104" si="1">S13-U13</f>
        <v>25.2</v>
      </c>
      <c r="U13" s="788">
        <f>S13-0.72*K13</f>
        <v>65.8</v>
      </c>
      <c r="V13" s="791"/>
      <c r="W13" s="790">
        <f>K13*560*720*16/1000000000</f>
        <v>0.225792</v>
      </c>
      <c r="X13" s="792">
        <v>0</v>
      </c>
      <c r="AB13" s="797" t="s">
        <v>565</v>
      </c>
      <c r="AC13" s="798" t="s">
        <v>561</v>
      </c>
      <c r="AD13" s="798">
        <v>147</v>
      </c>
      <c r="AE13" s="672">
        <f>AD13/AF13</f>
        <v>36.75</v>
      </c>
      <c r="AF13" s="672">
        <v>4</v>
      </c>
    </row>
    <row r="14" customHeight="1" spans="1:32">
      <c r="A14" s="696"/>
      <c r="B14" s="697"/>
      <c r="C14" s="698"/>
      <c r="D14" s="698"/>
      <c r="E14" s="698"/>
      <c r="F14" s="698"/>
      <c r="G14" s="703" t="s">
        <v>566</v>
      </c>
      <c r="H14" s="703" t="s">
        <v>567</v>
      </c>
      <c r="I14" s="762">
        <f>F12</f>
        <v>1</v>
      </c>
      <c r="J14" s="763"/>
      <c r="K14" s="759">
        <f>I14*J12</f>
        <v>35</v>
      </c>
      <c r="L14" s="760" t="s">
        <v>568</v>
      </c>
      <c r="M14" s="703" t="s">
        <v>569</v>
      </c>
      <c r="N14" s="703">
        <v>1</v>
      </c>
      <c r="O14" s="761" t="s">
        <v>570</v>
      </c>
      <c r="P14" s="761" t="s">
        <v>561</v>
      </c>
      <c r="Q14" s="786">
        <v>20</v>
      </c>
      <c r="R14" s="787">
        <f>K14*560*417/1000000/0.9</f>
        <v>9.08133333333333</v>
      </c>
      <c r="S14" s="788">
        <f>K14*((560+417)*2+40)/1000</f>
        <v>69.79</v>
      </c>
      <c r="T14" s="788">
        <f t="shared" si="1"/>
        <v>14.595</v>
      </c>
      <c r="U14" s="788">
        <f>S14-0.417*K14</f>
        <v>55.195</v>
      </c>
      <c r="V14" s="791"/>
      <c r="W14" s="790">
        <f>K14*560*417*16/1000000000</f>
        <v>0.1307712</v>
      </c>
      <c r="X14" s="677">
        <v>1</v>
      </c>
      <c r="Y14" s="672"/>
      <c r="Z14" s="672"/>
      <c r="AB14" s="797" t="s">
        <v>571</v>
      </c>
      <c r="AC14" s="798" t="s">
        <v>561</v>
      </c>
      <c r="AD14" s="798">
        <v>142</v>
      </c>
      <c r="AE14" s="672">
        <f t="shared" ref="AE14:AE28" si="2">AD14/AF14</f>
        <v>35.5</v>
      </c>
      <c r="AF14" s="672">
        <v>4</v>
      </c>
    </row>
    <row r="15" customHeight="1" spans="1:32">
      <c r="A15" s="696"/>
      <c r="B15" s="697"/>
      <c r="C15" s="698"/>
      <c r="D15" s="698"/>
      <c r="E15" s="698"/>
      <c r="F15" s="698"/>
      <c r="G15" s="703" t="s">
        <v>572</v>
      </c>
      <c r="H15" s="703" t="s">
        <v>573</v>
      </c>
      <c r="I15" s="762">
        <f>F12</f>
        <v>1</v>
      </c>
      <c r="J15" s="763"/>
      <c r="K15" s="759">
        <f>I15*J12</f>
        <v>35</v>
      </c>
      <c r="L15" s="760" t="s">
        <v>574</v>
      </c>
      <c r="M15" s="703" t="s">
        <v>575</v>
      </c>
      <c r="N15" s="703">
        <v>1</v>
      </c>
      <c r="O15" s="761"/>
      <c r="P15" s="761"/>
      <c r="Q15" s="786"/>
      <c r="R15" s="787">
        <f>K15*514*416/1000000/0.9</f>
        <v>8.31537777777778</v>
      </c>
      <c r="S15" s="788">
        <f>K15*((514+416)*2+40)/1000</f>
        <v>66.5</v>
      </c>
      <c r="T15" s="788">
        <f t="shared" si="1"/>
        <v>14.56</v>
      </c>
      <c r="U15" s="788">
        <f>S15-0.416*K15</f>
        <v>51.94</v>
      </c>
      <c r="V15" s="791"/>
      <c r="W15" s="790">
        <f>K15*514*416*16/1000000000</f>
        <v>0.11974144</v>
      </c>
      <c r="X15" s="677">
        <v>0</v>
      </c>
      <c r="Y15" s="672"/>
      <c r="Z15" s="672"/>
      <c r="AB15" s="797" t="s">
        <v>576</v>
      </c>
      <c r="AC15" s="798" t="s">
        <v>561</v>
      </c>
      <c r="AD15" s="798">
        <v>140</v>
      </c>
      <c r="AE15" s="672">
        <f t="shared" si="2"/>
        <v>35</v>
      </c>
      <c r="AF15" s="672">
        <v>4</v>
      </c>
    </row>
    <row r="16" customHeight="1" spans="1:32">
      <c r="A16" s="696"/>
      <c r="B16" s="697"/>
      <c r="C16" s="698"/>
      <c r="D16" s="698"/>
      <c r="E16" s="698"/>
      <c r="F16" s="698"/>
      <c r="G16" s="703" t="s">
        <v>577</v>
      </c>
      <c r="H16" s="703" t="s">
        <v>578</v>
      </c>
      <c r="I16" s="762">
        <f>F12</f>
        <v>1</v>
      </c>
      <c r="J16" s="763"/>
      <c r="K16" s="759">
        <f>I16*J12</f>
        <v>35</v>
      </c>
      <c r="L16" s="760" t="s">
        <v>579</v>
      </c>
      <c r="M16" s="703" t="s">
        <v>580</v>
      </c>
      <c r="N16" s="703">
        <v>1</v>
      </c>
      <c r="O16" s="761"/>
      <c r="P16" s="761"/>
      <c r="Q16" s="786"/>
      <c r="R16" s="787">
        <f>K16*708*428/1000000/0.9</f>
        <v>11.7842666666667</v>
      </c>
      <c r="S16" s="788"/>
      <c r="T16" s="788"/>
      <c r="U16" s="788"/>
      <c r="V16" s="791"/>
      <c r="W16" s="790">
        <f>K16*708*428*3/1000000000</f>
        <v>0.03181752</v>
      </c>
      <c r="X16" s="677">
        <v>1</v>
      </c>
      <c r="Y16" s="672"/>
      <c r="Z16" s="672"/>
      <c r="AB16" s="797" t="s">
        <v>581</v>
      </c>
      <c r="AC16" s="798" t="s">
        <v>561</v>
      </c>
      <c r="AD16" s="798">
        <v>136</v>
      </c>
      <c r="AE16" s="672">
        <f t="shared" si="2"/>
        <v>34</v>
      </c>
      <c r="AF16" s="672">
        <v>4</v>
      </c>
    </row>
    <row r="17" customHeight="1" spans="1:32">
      <c r="A17" s="696"/>
      <c r="B17" s="697"/>
      <c r="C17" s="701"/>
      <c r="D17" s="701"/>
      <c r="E17" s="701"/>
      <c r="F17" s="701"/>
      <c r="G17" s="704" t="s">
        <v>582</v>
      </c>
      <c r="H17" s="704" t="s">
        <v>583</v>
      </c>
      <c r="I17" s="764">
        <f>F12*2</f>
        <v>2</v>
      </c>
      <c r="J17" s="765"/>
      <c r="K17" s="766">
        <f>I17*J12</f>
        <v>70</v>
      </c>
      <c r="L17" s="760" t="s">
        <v>584</v>
      </c>
      <c r="M17" s="703" t="s">
        <v>585</v>
      </c>
      <c r="N17" s="703">
        <v>2</v>
      </c>
      <c r="O17" s="761"/>
      <c r="P17" s="761"/>
      <c r="Q17" s="786"/>
      <c r="R17" s="787">
        <f>K17*88*417/1000000/0.9</f>
        <v>2.85413333333333</v>
      </c>
      <c r="S17" s="788">
        <f>K17*((88+417)+10)/1000</f>
        <v>36.05</v>
      </c>
      <c r="T17" s="788">
        <f t="shared" si="1"/>
        <v>29.19</v>
      </c>
      <c r="U17" s="788">
        <f>S17-0.417*K17</f>
        <v>6.86</v>
      </c>
      <c r="V17" s="793"/>
      <c r="W17" s="790">
        <f>K17*88*417*16/1000000000</f>
        <v>0.04109952</v>
      </c>
      <c r="X17" s="677">
        <v>1</v>
      </c>
      <c r="Y17" s="672"/>
      <c r="Z17" s="672"/>
      <c r="AB17" s="797" t="s">
        <v>586</v>
      </c>
      <c r="AC17" s="798" t="s">
        <v>561</v>
      </c>
      <c r="AD17" s="798">
        <v>117</v>
      </c>
      <c r="AE17" s="672">
        <f t="shared" si="2"/>
        <v>29.25</v>
      </c>
      <c r="AF17" s="672">
        <v>4</v>
      </c>
    </row>
    <row r="18" customFormat="1" customHeight="1" spans="1:20">
      <c r="A18" s="696"/>
      <c r="B18" s="697"/>
      <c r="C18" s="705">
        <v>600</v>
      </c>
      <c r="D18" s="705">
        <v>560</v>
      </c>
      <c r="E18" s="705">
        <v>720</v>
      </c>
      <c r="F18" s="706">
        <v>1</v>
      </c>
      <c r="G18" s="700" t="s">
        <v>546</v>
      </c>
      <c r="H18" s="700" t="s">
        <v>547</v>
      </c>
      <c r="I18" s="756">
        <f>F18</f>
        <v>1</v>
      </c>
      <c r="J18" s="767" t="e">
        <f>I18*#REF!</f>
        <v>#REF!</v>
      </c>
      <c r="K18" s="754"/>
      <c r="L18" s="768"/>
      <c r="M18" s="768"/>
      <c r="N18" s="768"/>
      <c r="O18" s="768"/>
      <c r="P18" s="768"/>
      <c r="Q18" s="785" t="e">
        <f>J18*560*720/1000000/0.9</f>
        <v>#REF!</v>
      </c>
      <c r="R18" s="785"/>
      <c r="S18" s="785"/>
      <c r="T18" s="677">
        <v>1</v>
      </c>
    </row>
    <row r="19" customFormat="1" customHeight="1" spans="1:20">
      <c r="A19" s="696"/>
      <c r="B19" s="697"/>
      <c r="C19" s="707"/>
      <c r="D19" s="707"/>
      <c r="E19" s="707"/>
      <c r="F19" s="706"/>
      <c r="G19" s="700" t="s">
        <v>548</v>
      </c>
      <c r="H19" s="700" t="s">
        <v>549</v>
      </c>
      <c r="I19" s="756">
        <f>F18</f>
        <v>1</v>
      </c>
      <c r="J19" s="767" t="e">
        <f>I19*#REF!</f>
        <v>#REF!</v>
      </c>
      <c r="K19" s="754"/>
      <c r="L19" s="768"/>
      <c r="M19" s="768"/>
      <c r="N19" s="768"/>
      <c r="O19" s="768"/>
      <c r="P19" s="768"/>
      <c r="Q19" s="785" t="e">
        <f>J19*560*720/1000000/0.9</f>
        <v>#REF!</v>
      </c>
      <c r="R19" s="785"/>
      <c r="S19" s="785"/>
      <c r="T19" s="677">
        <v>1</v>
      </c>
    </row>
    <row r="20" customFormat="1" customHeight="1" spans="1:20">
      <c r="A20" s="696"/>
      <c r="B20" s="697"/>
      <c r="C20" s="707"/>
      <c r="D20" s="707"/>
      <c r="E20" s="707"/>
      <c r="F20" s="706"/>
      <c r="G20" s="700" t="s">
        <v>587</v>
      </c>
      <c r="H20" s="700" t="s">
        <v>588</v>
      </c>
      <c r="I20" s="756">
        <f>F18</f>
        <v>1</v>
      </c>
      <c r="J20" s="767" t="e">
        <f>I20*#REF!</f>
        <v>#REF!</v>
      </c>
      <c r="K20" s="754"/>
      <c r="L20" s="768"/>
      <c r="M20" s="768"/>
      <c r="N20" s="768"/>
      <c r="O20" s="768"/>
      <c r="P20" s="768"/>
      <c r="Q20" s="785" t="e">
        <f>J20*560*567/1000000/0.9</f>
        <v>#REF!</v>
      </c>
      <c r="R20" s="785"/>
      <c r="S20" s="785"/>
      <c r="T20" s="677">
        <v>0</v>
      </c>
    </row>
    <row r="21" customFormat="1" customHeight="1" spans="1:20">
      <c r="A21" s="696"/>
      <c r="B21" s="697"/>
      <c r="C21" s="707"/>
      <c r="D21" s="707"/>
      <c r="E21" s="707"/>
      <c r="F21" s="706"/>
      <c r="G21" s="700" t="s">
        <v>589</v>
      </c>
      <c r="H21" s="700" t="s">
        <v>590</v>
      </c>
      <c r="I21" s="756">
        <f>F18</f>
        <v>1</v>
      </c>
      <c r="J21" s="767" t="e">
        <f>I21*#REF!</f>
        <v>#REF!</v>
      </c>
      <c r="K21" s="754"/>
      <c r="L21" s="768"/>
      <c r="M21" s="768"/>
      <c r="N21" s="768"/>
      <c r="O21" s="768"/>
      <c r="P21" s="768"/>
      <c r="Q21" s="785" t="e">
        <f>J21*514*566/1000000/0.9</f>
        <v>#REF!</v>
      </c>
      <c r="R21" s="785"/>
      <c r="S21" s="785"/>
      <c r="T21" s="677">
        <v>0</v>
      </c>
    </row>
    <row r="22" customFormat="1" customHeight="1" spans="1:20">
      <c r="A22" s="696"/>
      <c r="B22" s="697"/>
      <c r="C22" s="707"/>
      <c r="D22" s="707"/>
      <c r="E22" s="707"/>
      <c r="F22" s="706"/>
      <c r="G22" s="700" t="s">
        <v>591</v>
      </c>
      <c r="H22" s="700" t="s">
        <v>592</v>
      </c>
      <c r="I22" s="756">
        <f>F18</f>
        <v>1</v>
      </c>
      <c r="J22" s="767" t="e">
        <f>I22*#REF!</f>
        <v>#REF!</v>
      </c>
      <c r="K22" s="754"/>
      <c r="L22" s="768"/>
      <c r="M22" s="768"/>
      <c r="N22" s="768"/>
      <c r="O22" s="768"/>
      <c r="P22" s="768"/>
      <c r="Q22" s="785" t="e">
        <f>J22*708*578/1000000/0.9</f>
        <v>#REF!</v>
      </c>
      <c r="R22" s="785"/>
      <c r="S22" s="785"/>
      <c r="T22" s="677">
        <v>0</v>
      </c>
    </row>
    <row r="23" customFormat="1" customHeight="1" spans="1:20">
      <c r="A23" s="708"/>
      <c r="B23" s="709"/>
      <c r="C23" s="710"/>
      <c r="D23" s="710"/>
      <c r="E23" s="710"/>
      <c r="F23" s="706"/>
      <c r="G23" s="700" t="s">
        <v>593</v>
      </c>
      <c r="H23" s="700" t="s">
        <v>594</v>
      </c>
      <c r="I23" s="756">
        <f>F18*2</f>
        <v>2</v>
      </c>
      <c r="J23" s="767" t="e">
        <f>I23*#REF!</f>
        <v>#REF!</v>
      </c>
      <c r="K23" s="754"/>
      <c r="L23" s="768"/>
      <c r="M23" s="768"/>
      <c r="N23" s="768"/>
      <c r="O23" s="768"/>
      <c r="P23" s="768"/>
      <c r="Q23" s="785" t="e">
        <f>J23*88*567/1000000/0.9</f>
        <v>#REF!</v>
      </c>
      <c r="R23" s="785" t="e">
        <f>J23*((88+417)+10)/1000</f>
        <v>#REF!</v>
      </c>
      <c r="S23" s="785" t="e">
        <f>J23*88*417*16/1000000000</f>
        <v>#REF!</v>
      </c>
      <c r="T23" s="677">
        <v>1</v>
      </c>
    </row>
    <row r="24" customHeight="1" spans="1:32">
      <c r="A24" s="711"/>
      <c r="B24" s="712" t="s">
        <v>595</v>
      </c>
      <c r="C24" s="693">
        <v>450</v>
      </c>
      <c r="D24" s="693">
        <v>560</v>
      </c>
      <c r="E24" s="693">
        <v>720</v>
      </c>
      <c r="F24" s="693">
        <v>1</v>
      </c>
      <c r="G24" s="702" t="s">
        <v>596</v>
      </c>
      <c r="H24" s="702" t="s">
        <v>597</v>
      </c>
      <c r="I24" s="757">
        <f>F24</f>
        <v>1</v>
      </c>
      <c r="J24" s="769">
        <v>25</v>
      </c>
      <c r="K24" s="759">
        <f>I24*J24</f>
        <v>25</v>
      </c>
      <c r="L24" s="760" t="s">
        <v>598</v>
      </c>
      <c r="M24" s="703" t="s">
        <v>599</v>
      </c>
      <c r="N24" s="703">
        <v>1</v>
      </c>
      <c r="R24" s="787">
        <f>K24*560*720/1000000/0.9</f>
        <v>11.2</v>
      </c>
      <c r="S24" s="788">
        <f>K24*((560+720)*2+40)/1000</f>
        <v>65</v>
      </c>
      <c r="T24" s="788">
        <f t="shared" si="1"/>
        <v>18</v>
      </c>
      <c r="U24" s="788">
        <f>S24-0.72*K24</f>
        <v>47</v>
      </c>
      <c r="V24" s="789">
        <f>J24*13</f>
        <v>325</v>
      </c>
      <c r="W24" s="790">
        <f>K24*560*720*16/1000000000</f>
        <v>0.16128</v>
      </c>
      <c r="X24" s="677">
        <v>1</v>
      </c>
      <c r="Y24" s="672"/>
      <c r="Z24" s="672"/>
      <c r="AB24" s="797" t="s">
        <v>600</v>
      </c>
      <c r="AC24" s="798" t="s">
        <v>561</v>
      </c>
      <c r="AD24" s="798">
        <v>105</v>
      </c>
      <c r="AE24" s="672">
        <f t="shared" si="2"/>
        <v>26.25</v>
      </c>
      <c r="AF24" s="672">
        <v>4</v>
      </c>
    </row>
    <row r="25" customHeight="1" spans="1:32">
      <c r="A25" s="713"/>
      <c r="B25" s="714"/>
      <c r="C25" s="698"/>
      <c r="D25" s="698"/>
      <c r="E25" s="698"/>
      <c r="F25" s="698"/>
      <c r="G25" s="703" t="s">
        <v>601</v>
      </c>
      <c r="H25" s="703" t="s">
        <v>602</v>
      </c>
      <c r="I25" s="762">
        <f>F24</f>
        <v>1</v>
      </c>
      <c r="J25" s="763"/>
      <c r="K25" s="759">
        <f>I25*J24</f>
        <v>25</v>
      </c>
      <c r="L25" s="760" t="s">
        <v>603</v>
      </c>
      <c r="M25" s="703" t="s">
        <v>604</v>
      </c>
      <c r="N25" s="703">
        <v>1</v>
      </c>
      <c r="R25" s="787">
        <f>K25*560*720/1000000/0.9</f>
        <v>11.2</v>
      </c>
      <c r="S25" s="788">
        <f>K25*((560+720)*2+40)/1000</f>
        <v>65</v>
      </c>
      <c r="T25" s="788">
        <f t="shared" si="1"/>
        <v>18</v>
      </c>
      <c r="U25" s="788">
        <f>S25-0.72*K25</f>
        <v>47</v>
      </c>
      <c r="V25" s="791"/>
      <c r="W25" s="790">
        <f>K25*560*720*16/1000000000</f>
        <v>0.16128</v>
      </c>
      <c r="X25" s="677">
        <v>1</v>
      </c>
      <c r="Y25" s="672"/>
      <c r="Z25" s="672"/>
      <c r="AB25" s="797" t="s">
        <v>605</v>
      </c>
      <c r="AC25" s="798" t="s">
        <v>561</v>
      </c>
      <c r="AD25" s="798">
        <v>98</v>
      </c>
      <c r="AE25" s="672">
        <f t="shared" si="2"/>
        <v>24.5</v>
      </c>
      <c r="AF25" s="672">
        <v>4</v>
      </c>
    </row>
    <row r="26" customHeight="1" spans="1:32">
      <c r="A26" s="713"/>
      <c r="B26" s="714"/>
      <c r="C26" s="698"/>
      <c r="D26" s="698"/>
      <c r="E26" s="698"/>
      <c r="F26" s="698"/>
      <c r="G26" s="703" t="s">
        <v>566</v>
      </c>
      <c r="H26" s="703" t="s">
        <v>567</v>
      </c>
      <c r="I26" s="762">
        <f>F24</f>
        <v>1</v>
      </c>
      <c r="J26" s="763"/>
      <c r="K26" s="759">
        <f>I26*J24</f>
        <v>25</v>
      </c>
      <c r="L26" s="760" t="s">
        <v>568</v>
      </c>
      <c r="M26" s="703" t="s">
        <v>569</v>
      </c>
      <c r="N26" s="703">
        <v>1</v>
      </c>
      <c r="R26" s="787">
        <f>K26*560*417/1000000/0.9</f>
        <v>6.48666666666667</v>
      </c>
      <c r="S26" s="788">
        <f>K26*((560+417)*2+40)/1000</f>
        <v>49.85</v>
      </c>
      <c r="T26" s="788">
        <f t="shared" si="1"/>
        <v>10.425</v>
      </c>
      <c r="U26" s="788">
        <f>S26-0.417*K26</f>
        <v>39.425</v>
      </c>
      <c r="V26" s="791"/>
      <c r="W26" s="790">
        <f>K26*560*417*16/1000000000</f>
        <v>0.093408</v>
      </c>
      <c r="X26" s="677">
        <v>1</v>
      </c>
      <c r="Y26" s="672"/>
      <c r="Z26" s="672"/>
      <c r="AB26" s="797" t="s">
        <v>560</v>
      </c>
      <c r="AC26" s="798" t="s">
        <v>561</v>
      </c>
      <c r="AD26" s="798">
        <v>97</v>
      </c>
      <c r="AE26" s="672">
        <f t="shared" si="2"/>
        <v>24.25</v>
      </c>
      <c r="AF26" s="672">
        <v>4</v>
      </c>
    </row>
    <row r="27" customHeight="1" spans="1:32">
      <c r="A27" s="713"/>
      <c r="B27" s="714"/>
      <c r="C27" s="698"/>
      <c r="D27" s="698"/>
      <c r="E27" s="698"/>
      <c r="F27" s="698"/>
      <c r="G27" s="703" t="s">
        <v>577</v>
      </c>
      <c r="H27" s="703" t="s">
        <v>578</v>
      </c>
      <c r="I27" s="762">
        <f>F24</f>
        <v>1</v>
      </c>
      <c r="J27" s="763"/>
      <c r="K27" s="759">
        <f>I27*J24</f>
        <v>25</v>
      </c>
      <c r="L27" s="760" t="s">
        <v>579</v>
      </c>
      <c r="M27" s="703" t="s">
        <v>580</v>
      </c>
      <c r="N27" s="703">
        <v>1</v>
      </c>
      <c r="R27" s="787">
        <f>K27*708*428/1000000/0.9</f>
        <v>8.41733333333333</v>
      </c>
      <c r="S27" s="788"/>
      <c r="T27" s="788"/>
      <c r="U27" s="788"/>
      <c r="V27" s="791"/>
      <c r="W27" s="790">
        <f>K27*560*428*3/1000000000</f>
        <v>0.017976</v>
      </c>
      <c r="X27" s="677">
        <v>1</v>
      </c>
      <c r="Y27" s="672"/>
      <c r="Z27" s="672"/>
      <c r="AB27" s="797" t="s">
        <v>564</v>
      </c>
      <c r="AC27" s="798" t="s">
        <v>561</v>
      </c>
      <c r="AD27" s="798">
        <v>97</v>
      </c>
      <c r="AE27" s="672">
        <f t="shared" si="2"/>
        <v>24.25</v>
      </c>
      <c r="AF27" s="672">
        <v>4</v>
      </c>
    </row>
    <row r="28" customHeight="1" spans="1:32">
      <c r="A28" s="713"/>
      <c r="B28" s="714"/>
      <c r="C28" s="701"/>
      <c r="D28" s="701"/>
      <c r="E28" s="701"/>
      <c r="F28" s="701"/>
      <c r="G28" s="704" t="s">
        <v>582</v>
      </c>
      <c r="H28" s="704" t="s">
        <v>583</v>
      </c>
      <c r="I28" s="764">
        <f>F24*3</f>
        <v>3</v>
      </c>
      <c r="J28" s="765"/>
      <c r="K28" s="766">
        <f>I28*J24</f>
        <v>75</v>
      </c>
      <c r="L28" s="760" t="s">
        <v>584</v>
      </c>
      <c r="M28" s="703" t="s">
        <v>585</v>
      </c>
      <c r="N28" s="703">
        <v>3</v>
      </c>
      <c r="R28" s="787">
        <f>K28*88*417/1000000/0.9</f>
        <v>3.058</v>
      </c>
      <c r="S28" s="788">
        <f>K28*((560+720)+10)/1000</f>
        <v>96.75</v>
      </c>
      <c r="T28" s="788">
        <f t="shared" si="1"/>
        <v>31.275</v>
      </c>
      <c r="U28" s="788">
        <f>S28-0.417*K28</f>
        <v>65.475</v>
      </c>
      <c r="V28" s="793"/>
      <c r="W28" s="790">
        <f>K28*560*720*16/1000000000</f>
        <v>0.48384</v>
      </c>
      <c r="X28" s="677">
        <v>1</v>
      </c>
      <c r="Y28" s="672"/>
      <c r="Z28" s="672"/>
      <c r="AB28" s="797" t="s">
        <v>570</v>
      </c>
      <c r="AC28" s="798" t="s">
        <v>561</v>
      </c>
      <c r="AD28" s="798">
        <v>80</v>
      </c>
      <c r="AE28" s="672">
        <f t="shared" si="2"/>
        <v>20</v>
      </c>
      <c r="AF28" s="672">
        <v>4</v>
      </c>
    </row>
    <row r="29" customHeight="1" spans="1:26">
      <c r="A29" s="713"/>
      <c r="B29" s="714"/>
      <c r="C29" s="698">
        <v>600</v>
      </c>
      <c r="D29" s="698">
        <v>560</v>
      </c>
      <c r="E29" s="698">
        <v>720</v>
      </c>
      <c r="F29" s="698">
        <v>1</v>
      </c>
      <c r="G29" s="715" t="s">
        <v>596</v>
      </c>
      <c r="H29" s="715" t="s">
        <v>597</v>
      </c>
      <c r="I29" s="770">
        <f>F29</f>
        <v>1</v>
      </c>
      <c r="J29" s="769">
        <v>25</v>
      </c>
      <c r="K29" s="759">
        <f>I29*J29</f>
        <v>25</v>
      </c>
      <c r="L29" s="760" t="s">
        <v>598</v>
      </c>
      <c r="M29" s="703" t="s">
        <v>599</v>
      </c>
      <c r="N29" s="703">
        <v>1</v>
      </c>
      <c r="R29" s="787">
        <f>K29*560*720/1000000/0.9</f>
        <v>11.2</v>
      </c>
      <c r="S29" s="788">
        <f>K29*((560+720)*2+40)/1000</f>
        <v>65</v>
      </c>
      <c r="T29" s="788">
        <f t="shared" si="1"/>
        <v>18</v>
      </c>
      <c r="U29" s="788">
        <f>S29-0.72*K29</f>
        <v>47</v>
      </c>
      <c r="V29" s="789">
        <f>J29*13</f>
        <v>325</v>
      </c>
      <c r="W29" s="790">
        <f>K29*560*720*16/1000000000</f>
        <v>0.16128</v>
      </c>
      <c r="X29" s="677">
        <v>1</v>
      </c>
      <c r="Y29" s="672"/>
      <c r="Z29" s="672"/>
    </row>
    <row r="30" customHeight="1" spans="1:26">
      <c r="A30" s="713"/>
      <c r="B30" s="714"/>
      <c r="C30" s="698"/>
      <c r="D30" s="698"/>
      <c r="E30" s="698"/>
      <c r="F30" s="698"/>
      <c r="G30" s="703" t="s">
        <v>601</v>
      </c>
      <c r="H30" s="703" t="s">
        <v>602</v>
      </c>
      <c r="I30" s="762">
        <f>F29</f>
        <v>1</v>
      </c>
      <c r="J30" s="763"/>
      <c r="K30" s="759">
        <f>I30*J29</f>
        <v>25</v>
      </c>
      <c r="L30" s="760" t="s">
        <v>603</v>
      </c>
      <c r="M30" s="703" t="s">
        <v>604</v>
      </c>
      <c r="N30" s="703">
        <v>1</v>
      </c>
      <c r="R30" s="787">
        <f>K30*560*720/1000000/0.9</f>
        <v>11.2</v>
      </c>
      <c r="S30" s="788">
        <f>K30*((560+720)*2+40)/1000</f>
        <v>65</v>
      </c>
      <c r="T30" s="788">
        <f t="shared" si="1"/>
        <v>18</v>
      </c>
      <c r="U30" s="788">
        <f>S30-0.72*K30</f>
        <v>47</v>
      </c>
      <c r="V30" s="791"/>
      <c r="W30" s="790">
        <f>K30*560*720*16/1000000000</f>
        <v>0.16128</v>
      </c>
      <c r="X30" s="677">
        <v>1</v>
      </c>
      <c r="Y30" s="672"/>
      <c r="Z30" s="672"/>
    </row>
    <row r="31" customHeight="1" spans="1:26">
      <c r="A31" s="713"/>
      <c r="B31" s="714"/>
      <c r="C31" s="698"/>
      <c r="D31" s="698"/>
      <c r="E31" s="698"/>
      <c r="F31" s="698"/>
      <c r="G31" s="703" t="s">
        <v>587</v>
      </c>
      <c r="H31" s="703" t="s">
        <v>588</v>
      </c>
      <c r="I31" s="762">
        <f>F29</f>
        <v>1</v>
      </c>
      <c r="J31" s="763"/>
      <c r="K31" s="759">
        <f>I31*J29</f>
        <v>25</v>
      </c>
      <c r="L31" s="760" t="s">
        <v>606</v>
      </c>
      <c r="M31" s="703" t="s">
        <v>607</v>
      </c>
      <c r="N31" s="703">
        <v>1</v>
      </c>
      <c r="R31" s="787">
        <f>K31*560*567/1000000/0.9</f>
        <v>8.82</v>
      </c>
      <c r="S31" s="788">
        <f>K31*((560+567)*2+40)/1000</f>
        <v>57.35</v>
      </c>
      <c r="T31" s="788">
        <f t="shared" si="1"/>
        <v>14.175</v>
      </c>
      <c r="U31" s="788">
        <f>S31-0.567*K31</f>
        <v>43.175</v>
      </c>
      <c r="V31" s="791"/>
      <c r="W31" s="790">
        <f>K31*560*567*16/1000000000</f>
        <v>0.127008</v>
      </c>
      <c r="X31" s="677">
        <v>0</v>
      </c>
      <c r="Y31" s="672"/>
      <c r="Z31" s="672"/>
    </row>
    <row r="32" customHeight="1" spans="1:26">
      <c r="A32" s="713"/>
      <c r="B32" s="714"/>
      <c r="C32" s="698"/>
      <c r="D32" s="698"/>
      <c r="E32" s="698"/>
      <c r="F32" s="698"/>
      <c r="G32" s="703" t="s">
        <v>591</v>
      </c>
      <c r="H32" s="703" t="s">
        <v>592</v>
      </c>
      <c r="I32" s="762">
        <f>F29</f>
        <v>1</v>
      </c>
      <c r="J32" s="763"/>
      <c r="K32" s="759">
        <f>I32*J29</f>
        <v>25</v>
      </c>
      <c r="L32" s="760" t="s">
        <v>608</v>
      </c>
      <c r="M32" s="703" t="s">
        <v>609</v>
      </c>
      <c r="N32" s="703">
        <v>1</v>
      </c>
      <c r="R32" s="787">
        <f>K32*708*578/1000000/0.9</f>
        <v>11.3673333333333</v>
      </c>
      <c r="S32" s="788"/>
      <c r="T32" s="788"/>
      <c r="U32" s="788"/>
      <c r="V32" s="791"/>
      <c r="W32" s="790">
        <f>K32*708*578*3/1000000000</f>
        <v>0.0306918</v>
      </c>
      <c r="X32" s="677">
        <v>0</v>
      </c>
      <c r="Y32" s="672"/>
      <c r="Z32" s="672"/>
    </row>
    <row r="33" customHeight="1" spans="1:26">
      <c r="A33" s="716"/>
      <c r="B33" s="717"/>
      <c r="C33" s="701"/>
      <c r="D33" s="701"/>
      <c r="E33" s="701"/>
      <c r="F33" s="701"/>
      <c r="G33" s="704" t="s">
        <v>593</v>
      </c>
      <c r="H33" s="704" t="s">
        <v>594</v>
      </c>
      <c r="I33" s="764">
        <f>F29*3</f>
        <v>3</v>
      </c>
      <c r="J33" s="765"/>
      <c r="K33" s="766">
        <f>I33*J29</f>
        <v>75</v>
      </c>
      <c r="L33" s="760" t="s">
        <v>610</v>
      </c>
      <c r="M33" s="703" t="s">
        <v>611</v>
      </c>
      <c r="N33" s="703">
        <v>3</v>
      </c>
      <c r="R33" s="787">
        <f>K33*88*567/1000000/0.9</f>
        <v>4.158</v>
      </c>
      <c r="S33" s="788">
        <f>K33*((88+567)+10)/1000</f>
        <v>49.875</v>
      </c>
      <c r="T33" s="788">
        <f t="shared" si="1"/>
        <v>49.875</v>
      </c>
      <c r="U33" s="788"/>
      <c r="V33" s="793"/>
      <c r="W33" s="790">
        <f>K33*560*720*16/1000000000</f>
        <v>0.48384</v>
      </c>
      <c r="X33" s="677">
        <v>1</v>
      </c>
      <c r="Y33" s="672"/>
      <c r="Z33" s="672"/>
    </row>
    <row r="34" customFormat="1" customHeight="1" spans="1:20">
      <c r="A34" s="711"/>
      <c r="B34" s="712" t="s">
        <v>612</v>
      </c>
      <c r="C34" s="693">
        <v>900</v>
      </c>
      <c r="D34" s="693">
        <v>560</v>
      </c>
      <c r="E34" s="693">
        <v>720</v>
      </c>
      <c r="F34" s="718">
        <v>1</v>
      </c>
      <c r="G34" s="695" t="s">
        <v>546</v>
      </c>
      <c r="H34" s="695" t="s">
        <v>547</v>
      </c>
      <c r="I34" s="752">
        <f>F34</f>
        <v>1</v>
      </c>
      <c r="J34" s="767" t="e">
        <f>I34*#REF!</f>
        <v>#REF!</v>
      </c>
      <c r="K34" s="754"/>
      <c r="L34" s="768"/>
      <c r="M34" s="768"/>
      <c r="N34" s="768"/>
      <c r="O34" s="768"/>
      <c r="P34" s="768"/>
      <c r="Q34" s="785" t="e">
        <f>J34*560*720/1000000/0.9</f>
        <v>#REF!</v>
      </c>
      <c r="R34" s="785"/>
      <c r="S34" s="785"/>
      <c r="T34" s="677">
        <v>1</v>
      </c>
    </row>
    <row r="35" customFormat="1" customHeight="1" spans="1:20">
      <c r="A35" s="713"/>
      <c r="B35" s="714"/>
      <c r="C35" s="698"/>
      <c r="D35" s="698"/>
      <c r="E35" s="698"/>
      <c r="F35" s="706"/>
      <c r="G35" s="700" t="s">
        <v>548</v>
      </c>
      <c r="H35" s="700" t="s">
        <v>549</v>
      </c>
      <c r="I35" s="756">
        <f>F34</f>
        <v>1</v>
      </c>
      <c r="J35" s="767" t="e">
        <f>I35*#REF!</f>
        <v>#REF!</v>
      </c>
      <c r="K35" s="754"/>
      <c r="L35" s="768"/>
      <c r="M35" s="768"/>
      <c r="N35" s="768"/>
      <c r="O35" s="768"/>
      <c r="P35" s="768"/>
      <c r="Q35" s="785" t="e">
        <f>J35*560*720/1000000/0.9</f>
        <v>#REF!</v>
      </c>
      <c r="R35" s="785"/>
      <c r="S35" s="785"/>
      <c r="T35" s="677">
        <v>1</v>
      </c>
    </row>
    <row r="36" customFormat="1" customHeight="1" spans="1:20">
      <c r="A36" s="713"/>
      <c r="B36" s="714"/>
      <c r="C36" s="698"/>
      <c r="D36" s="698"/>
      <c r="E36" s="698"/>
      <c r="F36" s="706"/>
      <c r="G36" s="700" t="s">
        <v>613</v>
      </c>
      <c r="H36" s="700" t="s">
        <v>614</v>
      </c>
      <c r="I36" s="756">
        <f>F34</f>
        <v>1</v>
      </c>
      <c r="J36" s="767" t="e">
        <f>I36*#REF!</f>
        <v>#REF!</v>
      </c>
      <c r="K36" s="754"/>
      <c r="L36" s="768"/>
      <c r="M36" s="768"/>
      <c r="N36" s="768"/>
      <c r="O36" s="768"/>
      <c r="P36" s="768"/>
      <c r="Q36" s="785" t="e">
        <f>J36*560*867/1000000/0.9</f>
        <v>#REF!</v>
      </c>
      <c r="R36" s="785"/>
      <c r="S36" s="785"/>
      <c r="T36" s="677">
        <v>1</v>
      </c>
    </row>
    <row r="37" customFormat="1" customHeight="1" spans="1:20">
      <c r="A37" s="713"/>
      <c r="B37" s="714"/>
      <c r="C37" s="698"/>
      <c r="D37" s="698"/>
      <c r="E37" s="698"/>
      <c r="F37" s="706"/>
      <c r="G37" s="700" t="s">
        <v>615</v>
      </c>
      <c r="H37" s="700" t="s">
        <v>616</v>
      </c>
      <c r="I37" s="756">
        <f>F34</f>
        <v>1</v>
      </c>
      <c r="J37" s="767" t="e">
        <f>I37*#REF!</f>
        <v>#REF!</v>
      </c>
      <c r="K37" s="754"/>
      <c r="L37" s="768"/>
      <c r="M37" s="768"/>
      <c r="N37" s="768"/>
      <c r="O37" s="768"/>
      <c r="P37" s="768"/>
      <c r="Q37" s="785" t="e">
        <f>J37*514*866/1000000/0.9</f>
        <v>#REF!</v>
      </c>
      <c r="R37" s="785"/>
      <c r="S37" s="785"/>
      <c r="T37" s="677">
        <v>0</v>
      </c>
    </row>
    <row r="38" customFormat="1" customHeight="1" spans="1:20">
      <c r="A38" s="713"/>
      <c r="B38" s="714"/>
      <c r="C38" s="698"/>
      <c r="D38" s="698"/>
      <c r="E38" s="698"/>
      <c r="F38" s="706"/>
      <c r="G38" s="700" t="s">
        <v>617</v>
      </c>
      <c r="H38" s="700" t="s">
        <v>618</v>
      </c>
      <c r="I38" s="756">
        <f>F34</f>
        <v>1</v>
      </c>
      <c r="J38" s="767" t="e">
        <f>I38*#REF!</f>
        <v>#REF!</v>
      </c>
      <c r="K38" s="754"/>
      <c r="L38" s="768"/>
      <c r="M38" s="768"/>
      <c r="N38" s="768"/>
      <c r="O38" s="768"/>
      <c r="P38" s="768"/>
      <c r="Q38" s="785" t="e">
        <f>J38*708*878/1000000/0.9</f>
        <v>#REF!</v>
      </c>
      <c r="R38" s="785"/>
      <c r="S38" s="785"/>
      <c r="T38" s="677">
        <v>1</v>
      </c>
    </row>
    <row r="39" customFormat="1" customHeight="1" spans="1:20">
      <c r="A39" s="716"/>
      <c r="B39" s="717"/>
      <c r="C39" s="701"/>
      <c r="D39" s="701"/>
      <c r="E39" s="701"/>
      <c r="F39" s="719"/>
      <c r="G39" s="720" t="s">
        <v>619</v>
      </c>
      <c r="H39" s="720" t="s">
        <v>620</v>
      </c>
      <c r="I39" s="771">
        <f>F34*2</f>
        <v>2</v>
      </c>
      <c r="J39" s="767" t="e">
        <f>I39*#REF!</f>
        <v>#REF!</v>
      </c>
      <c r="K39" s="754"/>
      <c r="L39" s="768"/>
      <c r="M39" s="768"/>
      <c r="N39" s="768"/>
      <c r="O39" s="768"/>
      <c r="P39" s="768"/>
      <c r="Q39" s="785" t="e">
        <f>J39*88*867/1000000/0.9</f>
        <v>#REF!</v>
      </c>
      <c r="R39" s="785"/>
      <c r="S39" s="785"/>
      <c r="T39" s="677">
        <v>1</v>
      </c>
    </row>
    <row r="40" customHeight="1" spans="1:26">
      <c r="A40" s="721"/>
      <c r="B40" s="722" t="s">
        <v>621</v>
      </c>
      <c r="C40" s="723">
        <v>900</v>
      </c>
      <c r="D40" s="723">
        <v>560</v>
      </c>
      <c r="E40" s="723">
        <v>720</v>
      </c>
      <c r="F40" s="723">
        <v>1</v>
      </c>
      <c r="G40" s="702" t="s">
        <v>622</v>
      </c>
      <c r="H40" s="702" t="s">
        <v>623</v>
      </c>
      <c r="I40" s="757">
        <f>F40</f>
        <v>1</v>
      </c>
      <c r="J40" s="769">
        <v>40</v>
      </c>
      <c r="K40" s="759">
        <f>I40*J40</f>
        <v>40</v>
      </c>
      <c r="L40" s="760" t="s">
        <v>624</v>
      </c>
      <c r="M40" s="703" t="s">
        <v>625</v>
      </c>
      <c r="N40" s="703">
        <v>1</v>
      </c>
      <c r="R40" s="787">
        <f>K40*560*720/1000000/0.9</f>
        <v>17.92</v>
      </c>
      <c r="S40" s="788">
        <f>K40*((560+720)*2+40)/1000</f>
        <v>104</v>
      </c>
      <c r="T40" s="788">
        <f t="shared" si="1"/>
        <v>28.8</v>
      </c>
      <c r="U40" s="788">
        <f>S40-0.72*K40</f>
        <v>75.2</v>
      </c>
      <c r="V40" s="789">
        <f>J40*9</f>
        <v>360</v>
      </c>
      <c r="W40" s="790">
        <f>K40*560*720*16/1000000000</f>
        <v>0.258048</v>
      </c>
      <c r="X40" s="677">
        <v>0</v>
      </c>
      <c r="Y40" s="672"/>
      <c r="Z40" s="672"/>
    </row>
    <row r="41" customHeight="1" spans="1:26">
      <c r="A41" s="724"/>
      <c r="B41" s="725"/>
      <c r="C41" s="726"/>
      <c r="D41" s="726"/>
      <c r="E41" s="726"/>
      <c r="F41" s="726"/>
      <c r="G41" s="703" t="s">
        <v>626</v>
      </c>
      <c r="H41" s="703" t="s">
        <v>627</v>
      </c>
      <c r="I41" s="762">
        <f>F40</f>
        <v>1</v>
      </c>
      <c r="J41" s="763"/>
      <c r="K41" s="759">
        <f>I41*J40</f>
        <v>40</v>
      </c>
      <c r="L41" s="760" t="s">
        <v>628</v>
      </c>
      <c r="M41" s="703" t="s">
        <v>629</v>
      </c>
      <c r="N41" s="703">
        <v>1</v>
      </c>
      <c r="R41" s="787">
        <f>K41*560*720/1000000/0.9</f>
        <v>17.92</v>
      </c>
      <c r="S41" s="788">
        <f>K41*((560+720)*2+40)/1000</f>
        <v>104</v>
      </c>
      <c r="T41" s="788">
        <f t="shared" si="1"/>
        <v>28.8</v>
      </c>
      <c r="U41" s="788">
        <f>S41-0.72*K41</f>
        <v>75.2</v>
      </c>
      <c r="V41" s="791"/>
      <c r="W41" s="790">
        <f>K41*560*720*16/1000000000</f>
        <v>0.258048</v>
      </c>
      <c r="X41" s="677">
        <v>0</v>
      </c>
      <c r="Y41" s="672"/>
      <c r="Z41" s="672"/>
    </row>
    <row r="42" customHeight="1" spans="1:26">
      <c r="A42" s="724"/>
      <c r="B42" s="725"/>
      <c r="C42" s="726"/>
      <c r="D42" s="726"/>
      <c r="E42" s="726"/>
      <c r="F42" s="726"/>
      <c r="G42" s="703" t="s">
        <v>630</v>
      </c>
      <c r="H42" s="703" t="s">
        <v>631</v>
      </c>
      <c r="I42" s="762">
        <f>F40</f>
        <v>1</v>
      </c>
      <c r="J42" s="763"/>
      <c r="K42" s="759">
        <f>I42*J40</f>
        <v>40</v>
      </c>
      <c r="L42" s="760" t="s">
        <v>632</v>
      </c>
      <c r="M42" s="703" t="s">
        <v>633</v>
      </c>
      <c r="N42" s="703">
        <v>1</v>
      </c>
      <c r="R42" s="787">
        <f>K42*558*867/1000000/0.9</f>
        <v>21.5016</v>
      </c>
      <c r="S42" s="788">
        <f>K42*((560+867)*2+40)/1000</f>
        <v>115.76</v>
      </c>
      <c r="T42" s="788">
        <f t="shared" si="1"/>
        <v>34.68</v>
      </c>
      <c r="U42" s="788">
        <f>S42-0.867*K42</f>
        <v>81.08</v>
      </c>
      <c r="V42" s="791"/>
      <c r="W42" s="790">
        <f>K42*558*867*16/1000000000</f>
        <v>0.30962304</v>
      </c>
      <c r="X42" s="677">
        <v>0</v>
      </c>
      <c r="Y42" s="672"/>
      <c r="Z42" s="672"/>
    </row>
    <row r="43" customHeight="1" spans="1:26">
      <c r="A43" s="724"/>
      <c r="B43" s="725"/>
      <c r="C43" s="726"/>
      <c r="D43" s="726"/>
      <c r="E43" s="726"/>
      <c r="F43" s="726"/>
      <c r="G43" s="703" t="s">
        <v>619</v>
      </c>
      <c r="H43" s="703" t="s">
        <v>620</v>
      </c>
      <c r="I43" s="762">
        <f>F40</f>
        <v>1</v>
      </c>
      <c r="J43" s="763"/>
      <c r="K43" s="759">
        <f>I43*J40</f>
        <v>40</v>
      </c>
      <c r="L43" s="760" t="s">
        <v>634</v>
      </c>
      <c r="M43" s="703" t="s">
        <v>635</v>
      </c>
      <c r="N43" s="703">
        <v>1</v>
      </c>
      <c r="R43" s="787">
        <f>K43*88*867/1000000/0.9</f>
        <v>3.39093333333333</v>
      </c>
      <c r="S43" s="788">
        <f>K43*((88+867)+10)/1000</f>
        <v>38.6</v>
      </c>
      <c r="T43" s="788">
        <f t="shared" si="1"/>
        <v>34.68</v>
      </c>
      <c r="U43" s="788">
        <f>S43-0.867*K43</f>
        <v>3.92</v>
      </c>
      <c r="V43" s="791"/>
      <c r="W43" s="790">
        <f>K43*88*867*16/1000000000</f>
        <v>0.04882944</v>
      </c>
      <c r="X43" s="677">
        <v>1</v>
      </c>
      <c r="Y43" s="672"/>
      <c r="Z43" s="672"/>
    </row>
    <row r="44" s="675" customFormat="1" ht="15.75" customHeight="1" spans="1:22">
      <c r="A44" s="727"/>
      <c r="B44" s="728"/>
      <c r="C44" s="729"/>
      <c r="D44" s="729"/>
      <c r="E44" s="729"/>
      <c r="F44" s="729"/>
      <c r="G44" s="730" t="s">
        <v>636</v>
      </c>
      <c r="H44" s="730" t="s">
        <v>637</v>
      </c>
      <c r="I44" s="762">
        <f>F40</f>
        <v>1</v>
      </c>
      <c r="J44" s="772"/>
      <c r="K44" s="773" t="s">
        <v>636</v>
      </c>
      <c r="L44" s="773" t="s">
        <v>637</v>
      </c>
      <c r="M44" s="773">
        <v>1</v>
      </c>
      <c r="N44" s="774"/>
      <c r="O44" s="774"/>
      <c r="P44" s="774"/>
      <c r="Q44" s="785"/>
      <c r="R44" s="785"/>
      <c r="S44" s="785">
        <f>J44*560*720*16/1000000000</f>
        <v>0</v>
      </c>
      <c r="T44" s="794">
        <v>0</v>
      </c>
      <c r="U44" s="795"/>
      <c r="V44" s="796"/>
    </row>
    <row r="45" customHeight="1" spans="1:26">
      <c r="A45" s="731"/>
      <c r="B45" s="732" t="s">
        <v>638</v>
      </c>
      <c r="C45" s="693">
        <v>600</v>
      </c>
      <c r="D45" s="693">
        <v>560</v>
      </c>
      <c r="E45" s="693">
        <v>720</v>
      </c>
      <c r="F45" s="693">
        <v>1</v>
      </c>
      <c r="G45" s="702" t="s">
        <v>639</v>
      </c>
      <c r="H45" s="702" t="s">
        <v>640</v>
      </c>
      <c r="I45" s="757">
        <f>F45</f>
        <v>1</v>
      </c>
      <c r="J45" s="769">
        <v>25</v>
      </c>
      <c r="K45" s="759">
        <f>I45*J45</f>
        <v>25</v>
      </c>
      <c r="L45" s="760" t="s">
        <v>641</v>
      </c>
      <c r="M45" s="703" t="s">
        <v>642</v>
      </c>
      <c r="N45" s="703">
        <v>1</v>
      </c>
      <c r="R45" s="787">
        <f>K45*560*720/1000000/0.9</f>
        <v>11.2</v>
      </c>
      <c r="S45" s="788">
        <f>K45*((560+720)*2+40)/1000</f>
        <v>65</v>
      </c>
      <c r="T45" s="788">
        <f t="shared" si="1"/>
        <v>18</v>
      </c>
      <c r="U45" s="788">
        <f>S45-0.72*K45</f>
        <v>47</v>
      </c>
      <c r="V45" s="789">
        <f>J45*11</f>
        <v>275</v>
      </c>
      <c r="W45" s="790">
        <f>K45*560*720*16/1000000000</f>
        <v>0.16128</v>
      </c>
      <c r="X45" s="677">
        <v>0</v>
      </c>
      <c r="Y45" s="672"/>
      <c r="Z45" s="672"/>
    </row>
    <row r="46" customHeight="1" spans="1:26">
      <c r="A46" s="733"/>
      <c r="B46" s="734"/>
      <c r="C46" s="698"/>
      <c r="D46" s="698"/>
      <c r="E46" s="698"/>
      <c r="F46" s="698"/>
      <c r="G46" s="703" t="s">
        <v>643</v>
      </c>
      <c r="H46" s="703" t="s">
        <v>644</v>
      </c>
      <c r="I46" s="762">
        <f>F45</f>
        <v>1</v>
      </c>
      <c r="J46" s="763"/>
      <c r="K46" s="759">
        <f>I46*J45</f>
        <v>25</v>
      </c>
      <c r="L46" s="760" t="s">
        <v>645</v>
      </c>
      <c r="M46" s="703" t="s">
        <v>646</v>
      </c>
      <c r="N46" s="703">
        <v>1</v>
      </c>
      <c r="R46" s="787">
        <f>K46*560*720/1000000/0.9</f>
        <v>11.2</v>
      </c>
      <c r="S46" s="788">
        <f>K46*((560+720)*2+40)/1000</f>
        <v>65</v>
      </c>
      <c r="T46" s="788">
        <f t="shared" si="1"/>
        <v>18</v>
      </c>
      <c r="U46" s="788">
        <f>S46-0.72*K46</f>
        <v>47</v>
      </c>
      <c r="V46" s="791"/>
      <c r="W46" s="790">
        <f>K46*560*720*16/1000000000</f>
        <v>0.16128</v>
      </c>
      <c r="X46" s="677">
        <v>0</v>
      </c>
      <c r="Y46" s="672"/>
      <c r="Z46" s="672"/>
    </row>
    <row r="47" customHeight="1" spans="1:26">
      <c r="A47" s="733"/>
      <c r="B47" s="734"/>
      <c r="C47" s="698"/>
      <c r="D47" s="698"/>
      <c r="E47" s="698"/>
      <c r="F47" s="698"/>
      <c r="G47" s="703" t="s">
        <v>647</v>
      </c>
      <c r="H47" s="703" t="s">
        <v>648</v>
      </c>
      <c r="I47" s="762">
        <f>F45</f>
        <v>1</v>
      </c>
      <c r="J47" s="763"/>
      <c r="K47" s="759">
        <f>I47*J45</f>
        <v>25</v>
      </c>
      <c r="L47" s="760" t="s">
        <v>649</v>
      </c>
      <c r="M47" s="703" t="s">
        <v>650</v>
      </c>
      <c r="N47" s="703">
        <v>1</v>
      </c>
      <c r="R47" s="787">
        <f>K47*520*567/1000000/0.9</f>
        <v>8.19</v>
      </c>
      <c r="S47" s="788">
        <f>K47*((520+567)*2+40)/1000</f>
        <v>55.35</v>
      </c>
      <c r="T47" s="788">
        <f t="shared" si="1"/>
        <v>14.175</v>
      </c>
      <c r="U47" s="788">
        <f>S47-0.567*K47</f>
        <v>41.175</v>
      </c>
      <c r="V47" s="791"/>
      <c r="W47" s="790">
        <f>K47*520*567*16/1000000000</f>
        <v>0.117936</v>
      </c>
      <c r="X47" s="677">
        <v>0</v>
      </c>
      <c r="Y47" s="672"/>
      <c r="Z47" s="672"/>
    </row>
    <row r="48" customHeight="1" spans="1:26">
      <c r="A48" s="733"/>
      <c r="B48" s="734"/>
      <c r="C48" s="698"/>
      <c r="D48" s="698"/>
      <c r="E48" s="698"/>
      <c r="F48" s="698"/>
      <c r="G48" s="703" t="s">
        <v>593</v>
      </c>
      <c r="H48" s="703" t="s">
        <v>594</v>
      </c>
      <c r="I48" s="762">
        <f>F45*2</f>
        <v>2</v>
      </c>
      <c r="J48" s="763"/>
      <c r="K48" s="759">
        <f>I48*J45</f>
        <v>50</v>
      </c>
      <c r="L48" s="760" t="s">
        <v>610</v>
      </c>
      <c r="M48" s="703" t="s">
        <v>611</v>
      </c>
      <c r="N48" s="703">
        <v>2</v>
      </c>
      <c r="R48" s="787">
        <f>K48*88*567/1000000/0.9</f>
        <v>2.772</v>
      </c>
      <c r="S48" s="788">
        <f>K48*((88+567)+10)/1000</f>
        <v>33.25</v>
      </c>
      <c r="T48" s="788">
        <f t="shared" si="1"/>
        <v>28.35</v>
      </c>
      <c r="U48" s="788">
        <f>S48-0.567*K48</f>
        <v>4.9</v>
      </c>
      <c r="V48" s="791"/>
      <c r="W48" s="790">
        <f>K48*88*567*16/1000000000</f>
        <v>0.0399168</v>
      </c>
      <c r="X48" s="677">
        <v>1</v>
      </c>
      <c r="Y48" s="672"/>
      <c r="Z48" s="672"/>
    </row>
    <row r="49" customHeight="1" spans="1:26">
      <c r="A49" s="735"/>
      <c r="B49" s="736"/>
      <c r="C49" s="701"/>
      <c r="D49" s="701"/>
      <c r="E49" s="701"/>
      <c r="F49" s="701"/>
      <c r="G49" s="704" t="s">
        <v>651</v>
      </c>
      <c r="H49" s="704" t="s">
        <v>652</v>
      </c>
      <c r="I49" s="764">
        <f>F45</f>
        <v>1</v>
      </c>
      <c r="J49" s="765"/>
      <c r="K49" s="766">
        <f>I49*J45</f>
        <v>25</v>
      </c>
      <c r="L49" s="760" t="s">
        <v>653</v>
      </c>
      <c r="M49" s="703" t="s">
        <v>654</v>
      </c>
      <c r="N49" s="703">
        <v>1</v>
      </c>
      <c r="R49" s="787">
        <f>K49*520*567/1000000/0.9</f>
        <v>8.19</v>
      </c>
      <c r="S49" s="788">
        <f>K49*((520+567)*2+40)/1000</f>
        <v>55.35</v>
      </c>
      <c r="T49" s="788">
        <f t="shared" si="1"/>
        <v>14.175</v>
      </c>
      <c r="U49" s="788">
        <f>S49-0.567*K49</f>
        <v>41.175</v>
      </c>
      <c r="V49" s="793"/>
      <c r="W49" s="790">
        <f>K49*520*567*16/1000000000</f>
        <v>0.117936</v>
      </c>
      <c r="X49" s="677">
        <v>0</v>
      </c>
      <c r="Y49" s="672"/>
      <c r="Z49" s="672"/>
    </row>
    <row r="50" customHeight="1" spans="1:26">
      <c r="A50" s="737"/>
      <c r="B50" s="738" t="s">
        <v>655</v>
      </c>
      <c r="C50" s="693">
        <v>150</v>
      </c>
      <c r="D50" s="693">
        <v>560</v>
      </c>
      <c r="E50" s="693">
        <v>720</v>
      </c>
      <c r="F50" s="693">
        <v>1</v>
      </c>
      <c r="G50" s="695" t="s">
        <v>546</v>
      </c>
      <c r="H50" s="702" t="s">
        <v>656</v>
      </c>
      <c r="I50" s="757">
        <f>F50</f>
        <v>1</v>
      </c>
      <c r="J50" s="769">
        <v>25</v>
      </c>
      <c r="K50" s="759">
        <f>I50*J50</f>
        <v>25</v>
      </c>
      <c r="L50" s="760" t="s">
        <v>657</v>
      </c>
      <c r="M50" s="703" t="s">
        <v>658</v>
      </c>
      <c r="N50" s="703">
        <v>1</v>
      </c>
      <c r="R50" s="787">
        <f>K50*560*720/1000000/0.9</f>
        <v>11.2</v>
      </c>
      <c r="S50" s="788">
        <f>K50*((560+720)*2+40)/1000</f>
        <v>65</v>
      </c>
      <c r="T50" s="788">
        <f t="shared" si="1"/>
        <v>18</v>
      </c>
      <c r="U50" s="788">
        <f>S50-0.72*K50</f>
        <v>47</v>
      </c>
      <c r="V50" s="789">
        <f>J50*11</f>
        <v>275</v>
      </c>
      <c r="W50" s="790">
        <f>K50*560*720*16/1000000000</f>
        <v>0.16128</v>
      </c>
      <c r="X50" s="677">
        <v>0</v>
      </c>
      <c r="Y50" s="672"/>
      <c r="Z50" s="672"/>
    </row>
    <row r="51" customHeight="1" spans="1:26">
      <c r="A51" s="739"/>
      <c r="B51" s="740"/>
      <c r="C51" s="698"/>
      <c r="D51" s="698"/>
      <c r="E51" s="698"/>
      <c r="F51" s="698"/>
      <c r="G51" s="695" t="s">
        <v>546</v>
      </c>
      <c r="H51" s="703" t="s">
        <v>659</v>
      </c>
      <c r="I51" s="762">
        <f>F50</f>
        <v>1</v>
      </c>
      <c r="J51" s="763"/>
      <c r="K51" s="759">
        <f>I51*J50</f>
        <v>25</v>
      </c>
      <c r="L51" s="760" t="s">
        <v>660</v>
      </c>
      <c r="M51" s="703" t="s">
        <v>661</v>
      </c>
      <c r="N51" s="703">
        <v>1</v>
      </c>
      <c r="R51" s="787">
        <f>K51*560*720/1000000/0.9</f>
        <v>11.2</v>
      </c>
      <c r="S51" s="788">
        <f>K51*((560+720)*2+40)/1000</f>
        <v>65</v>
      </c>
      <c r="T51" s="788">
        <f t="shared" si="1"/>
        <v>18</v>
      </c>
      <c r="U51" s="788">
        <f>S51-0.72*K51</f>
        <v>47</v>
      </c>
      <c r="V51" s="791"/>
      <c r="W51" s="790">
        <f>K51*560*720*16/1000000000</f>
        <v>0.16128</v>
      </c>
      <c r="X51" s="677">
        <v>0</v>
      </c>
      <c r="Y51" s="672"/>
      <c r="Z51" s="672"/>
    </row>
    <row r="52" customHeight="1" spans="1:26">
      <c r="A52" s="739"/>
      <c r="B52" s="740"/>
      <c r="C52" s="698"/>
      <c r="D52" s="698"/>
      <c r="E52" s="698"/>
      <c r="F52" s="698"/>
      <c r="G52" s="703" t="s">
        <v>662</v>
      </c>
      <c r="H52" s="703" t="s">
        <v>663</v>
      </c>
      <c r="I52" s="762">
        <f>F50</f>
        <v>1</v>
      </c>
      <c r="J52" s="763"/>
      <c r="K52" s="759">
        <f>I52*J50</f>
        <v>25</v>
      </c>
      <c r="L52" s="760" t="s">
        <v>664</v>
      </c>
      <c r="M52" s="703" t="s">
        <v>665</v>
      </c>
      <c r="N52" s="703">
        <v>1</v>
      </c>
      <c r="R52" s="787">
        <f>K52*560*117/1000000/0.9</f>
        <v>1.82</v>
      </c>
      <c r="S52" s="788">
        <f>K52*((560+117)*2+40)/1000</f>
        <v>34.85</v>
      </c>
      <c r="T52" s="788">
        <f t="shared" si="1"/>
        <v>2.925</v>
      </c>
      <c r="U52" s="788">
        <f>S52-0.117*K52</f>
        <v>31.925</v>
      </c>
      <c r="V52" s="791"/>
      <c r="W52" s="790">
        <f>K52*708*117*16/1000000000</f>
        <v>0.0331344</v>
      </c>
      <c r="X52" s="677">
        <v>0</v>
      </c>
      <c r="Y52" s="672"/>
      <c r="Z52" s="672"/>
    </row>
    <row r="53" customHeight="1" spans="1:26">
      <c r="A53" s="739"/>
      <c r="B53" s="740"/>
      <c r="C53" s="698"/>
      <c r="D53" s="698"/>
      <c r="E53" s="698"/>
      <c r="F53" s="698"/>
      <c r="G53" s="703" t="s">
        <v>666</v>
      </c>
      <c r="H53" s="703" t="s">
        <v>667</v>
      </c>
      <c r="I53" s="762">
        <f>F50</f>
        <v>1</v>
      </c>
      <c r="J53" s="763"/>
      <c r="K53" s="759">
        <f>I53*J50</f>
        <v>25</v>
      </c>
      <c r="L53" s="760" t="s">
        <v>668</v>
      </c>
      <c r="M53" s="703" t="s">
        <v>669</v>
      </c>
      <c r="N53" s="703">
        <v>1</v>
      </c>
      <c r="R53" s="787">
        <f>K53*708*128/1000000/0.9</f>
        <v>2.51733333333333</v>
      </c>
      <c r="S53" s="788"/>
      <c r="T53" s="788"/>
      <c r="U53" s="788"/>
      <c r="V53" s="791"/>
      <c r="W53" s="790">
        <f>K53*708*128*3/1000000000</f>
        <v>0.0067968</v>
      </c>
      <c r="X53" s="677">
        <v>0</v>
      </c>
      <c r="Y53" s="672"/>
      <c r="Z53" s="672"/>
    </row>
    <row r="54" customHeight="1" spans="1:26">
      <c r="A54" s="739"/>
      <c r="B54" s="740"/>
      <c r="C54" s="701"/>
      <c r="D54" s="701"/>
      <c r="E54" s="701"/>
      <c r="F54" s="701"/>
      <c r="G54" s="704" t="s">
        <v>670</v>
      </c>
      <c r="H54" s="704" t="s">
        <v>671</v>
      </c>
      <c r="I54" s="764">
        <f>F50*2</f>
        <v>2</v>
      </c>
      <c r="J54" s="765"/>
      <c r="K54" s="766">
        <f>I54*J50</f>
        <v>50</v>
      </c>
      <c r="L54" s="760" t="s">
        <v>672</v>
      </c>
      <c r="M54" s="703" t="s">
        <v>673</v>
      </c>
      <c r="N54" s="703">
        <v>2</v>
      </c>
      <c r="R54" s="787">
        <f>K54*88*117/1000000/0.9</f>
        <v>0.572</v>
      </c>
      <c r="S54" s="788">
        <f>K54*((88+117)+10)/1000</f>
        <v>10.75</v>
      </c>
      <c r="T54" s="788">
        <f t="shared" si="1"/>
        <v>10.75</v>
      </c>
      <c r="U54" s="788"/>
      <c r="V54" s="793"/>
      <c r="W54" s="790">
        <f>K54*88*117*16/1000000000</f>
        <v>0.0082368</v>
      </c>
      <c r="X54" s="677">
        <v>0</v>
      </c>
      <c r="Y54" s="672"/>
      <c r="Z54" s="672"/>
    </row>
    <row r="55" customHeight="1" spans="1:26">
      <c r="A55" s="739"/>
      <c r="B55" s="740"/>
      <c r="C55" s="698">
        <v>300</v>
      </c>
      <c r="D55" s="698">
        <v>560</v>
      </c>
      <c r="E55" s="698">
        <v>720</v>
      </c>
      <c r="F55" s="698">
        <v>1</v>
      </c>
      <c r="G55" s="695" t="s">
        <v>546</v>
      </c>
      <c r="H55" s="715" t="s">
        <v>656</v>
      </c>
      <c r="I55" s="770">
        <f>F55</f>
        <v>1</v>
      </c>
      <c r="J55" s="769">
        <v>20</v>
      </c>
      <c r="K55" s="759">
        <f>I55*J55</f>
        <v>20</v>
      </c>
      <c r="L55" s="760" t="s">
        <v>657</v>
      </c>
      <c r="M55" s="703" t="s">
        <v>658</v>
      </c>
      <c r="N55" s="703">
        <v>1</v>
      </c>
      <c r="R55" s="787">
        <f>K55*560*720/1000000/0.9</f>
        <v>8.96</v>
      </c>
      <c r="S55" s="788">
        <f>K55*((560+720)*2+40)/1000</f>
        <v>52</v>
      </c>
      <c r="T55" s="788">
        <f t="shared" si="1"/>
        <v>14.4</v>
      </c>
      <c r="U55" s="788">
        <f>S55-0.72*K55</f>
        <v>37.6</v>
      </c>
      <c r="V55" s="789">
        <f>J55*11</f>
        <v>220</v>
      </c>
      <c r="W55" s="790">
        <f>K55*560*720*16/1000000000</f>
        <v>0.129024</v>
      </c>
      <c r="X55" s="677">
        <v>1</v>
      </c>
      <c r="Y55" s="672"/>
      <c r="Z55" s="672"/>
    </row>
    <row r="56" customHeight="1" spans="1:26">
      <c r="A56" s="739"/>
      <c r="B56" s="740"/>
      <c r="C56" s="698"/>
      <c r="D56" s="698"/>
      <c r="E56" s="698"/>
      <c r="F56" s="698"/>
      <c r="G56" s="695" t="s">
        <v>546</v>
      </c>
      <c r="H56" s="703" t="s">
        <v>659</v>
      </c>
      <c r="I56" s="762">
        <f>F55</f>
        <v>1</v>
      </c>
      <c r="J56" s="763"/>
      <c r="K56" s="759">
        <f>I56*J55</f>
        <v>20</v>
      </c>
      <c r="L56" s="760" t="s">
        <v>660</v>
      </c>
      <c r="M56" s="703" t="s">
        <v>661</v>
      </c>
      <c r="N56" s="703">
        <v>1</v>
      </c>
      <c r="R56" s="787">
        <f>K56*560*720/1000000/0.9</f>
        <v>8.96</v>
      </c>
      <c r="S56" s="788">
        <f>K56*((560+720)*2+40)/1000</f>
        <v>52</v>
      </c>
      <c r="T56" s="788">
        <f t="shared" si="1"/>
        <v>14.4</v>
      </c>
      <c r="U56" s="788">
        <f>S56-0.72*K56</f>
        <v>37.6</v>
      </c>
      <c r="V56" s="791"/>
      <c r="W56" s="790">
        <f>K56*560*720*16/1000000000</f>
        <v>0.129024</v>
      </c>
      <c r="X56" s="677">
        <v>1</v>
      </c>
      <c r="Y56" s="672"/>
      <c r="Z56" s="672"/>
    </row>
    <row r="57" customHeight="1" spans="1:26">
      <c r="A57" s="739"/>
      <c r="B57" s="740"/>
      <c r="C57" s="698"/>
      <c r="D57" s="698"/>
      <c r="E57" s="698"/>
      <c r="F57" s="698"/>
      <c r="G57" s="703" t="s">
        <v>550</v>
      </c>
      <c r="H57" s="703" t="s">
        <v>551</v>
      </c>
      <c r="I57" s="762">
        <f>F55</f>
        <v>1</v>
      </c>
      <c r="J57" s="763"/>
      <c r="K57" s="759">
        <f>I57*J55</f>
        <v>20</v>
      </c>
      <c r="L57" s="760" t="s">
        <v>674</v>
      </c>
      <c r="M57" s="703" t="s">
        <v>675</v>
      </c>
      <c r="N57" s="703">
        <v>1</v>
      </c>
      <c r="R57" s="787">
        <f>K57*560*267/1000000/0.9</f>
        <v>3.32266666666667</v>
      </c>
      <c r="S57" s="788">
        <f>K57*((560+267)*2+40)/1000</f>
        <v>33.88</v>
      </c>
      <c r="T57" s="788">
        <f t="shared" si="1"/>
        <v>5.34</v>
      </c>
      <c r="U57" s="788">
        <f>S57-0.267*K57</f>
        <v>28.54</v>
      </c>
      <c r="V57" s="791"/>
      <c r="W57" s="790">
        <f>K57*560*267*16/1000000000</f>
        <v>0.0478464</v>
      </c>
      <c r="X57" s="677">
        <v>0</v>
      </c>
      <c r="Y57" s="672"/>
      <c r="Z57" s="672"/>
    </row>
    <row r="58" customHeight="1" spans="1:26">
      <c r="A58" s="739"/>
      <c r="B58" s="740"/>
      <c r="C58" s="698"/>
      <c r="D58" s="698"/>
      <c r="E58" s="698"/>
      <c r="F58" s="698"/>
      <c r="G58" s="703" t="s">
        <v>554</v>
      </c>
      <c r="H58" s="703" t="s">
        <v>555</v>
      </c>
      <c r="I58" s="762">
        <f>F55</f>
        <v>1</v>
      </c>
      <c r="J58" s="763"/>
      <c r="K58" s="759">
        <f>I58*J55</f>
        <v>20</v>
      </c>
      <c r="L58" s="760" t="s">
        <v>676</v>
      </c>
      <c r="M58" s="703" t="s">
        <v>677</v>
      </c>
      <c r="N58" s="703">
        <v>1</v>
      </c>
      <c r="R58" s="787">
        <f>K58*708*278/1000000/0.9</f>
        <v>4.37386666666667</v>
      </c>
      <c r="S58" s="788"/>
      <c r="T58" s="788"/>
      <c r="U58" s="788"/>
      <c r="V58" s="791"/>
      <c r="W58" s="790">
        <f>K58*708*278*3/1000000000</f>
        <v>0.01180944</v>
      </c>
      <c r="X58" s="677">
        <v>0</v>
      </c>
      <c r="Y58" s="672"/>
      <c r="Z58" s="672"/>
    </row>
    <row r="59" customHeight="1" spans="1:26">
      <c r="A59" s="739"/>
      <c r="B59" s="740"/>
      <c r="C59" s="701"/>
      <c r="D59" s="701"/>
      <c r="E59" s="701"/>
      <c r="F59" s="701"/>
      <c r="G59" s="704" t="s">
        <v>556</v>
      </c>
      <c r="H59" s="704" t="s">
        <v>557</v>
      </c>
      <c r="I59" s="764">
        <f>F55*2</f>
        <v>2</v>
      </c>
      <c r="J59" s="765"/>
      <c r="K59" s="766">
        <f>I59*J55</f>
        <v>40</v>
      </c>
      <c r="L59" s="760" t="s">
        <v>678</v>
      </c>
      <c r="M59" s="703" t="s">
        <v>679</v>
      </c>
      <c r="N59" s="703">
        <v>2</v>
      </c>
      <c r="R59" s="787">
        <f>K59*88*267/1000000/0.9</f>
        <v>1.04426666666667</v>
      </c>
      <c r="S59" s="788">
        <f>K59*((560+720)+10)/1000</f>
        <v>51.6</v>
      </c>
      <c r="T59" s="788">
        <f t="shared" si="1"/>
        <v>10.68</v>
      </c>
      <c r="U59" s="788">
        <f>S59-0.267*K59</f>
        <v>40.92</v>
      </c>
      <c r="V59" s="793"/>
      <c r="W59" s="790">
        <f>K59*88*267*16/1000000000</f>
        <v>0.01503744</v>
      </c>
      <c r="X59" s="677">
        <v>0</v>
      </c>
      <c r="Y59" s="672"/>
      <c r="Z59" s="672"/>
    </row>
    <row r="60" customFormat="1" customHeight="1" spans="1:19">
      <c r="A60" s="739"/>
      <c r="B60" s="740"/>
      <c r="C60" s="693">
        <v>450</v>
      </c>
      <c r="D60" s="693">
        <v>560</v>
      </c>
      <c r="E60" s="693">
        <v>720</v>
      </c>
      <c r="F60" s="706">
        <v>1</v>
      </c>
      <c r="G60" s="695" t="s">
        <v>546</v>
      </c>
      <c r="H60" s="700" t="s">
        <v>656</v>
      </c>
      <c r="I60" s="756">
        <f>F60</f>
        <v>1</v>
      </c>
      <c r="J60" s="775" t="e">
        <f>I60*#REF!</f>
        <v>#REF!</v>
      </c>
      <c r="K60" s="776">
        <v>1</v>
      </c>
      <c r="Q60" s="785" t="e">
        <f>J60*300*720/1000000/0.9</f>
        <v>#REF!</v>
      </c>
      <c r="R60" s="785"/>
      <c r="S60" s="785"/>
    </row>
    <row r="61" customFormat="1" customHeight="1" spans="1:19">
      <c r="A61" s="739"/>
      <c r="B61" s="740"/>
      <c r="C61" s="698"/>
      <c r="D61" s="698"/>
      <c r="E61" s="698"/>
      <c r="F61" s="706"/>
      <c r="G61" s="695" t="s">
        <v>546</v>
      </c>
      <c r="H61" s="700" t="s">
        <v>659</v>
      </c>
      <c r="I61" s="756">
        <f>F60</f>
        <v>1</v>
      </c>
      <c r="J61" s="775" t="e">
        <f>I61*#REF!</f>
        <v>#REF!</v>
      </c>
      <c r="K61" s="776">
        <v>1</v>
      </c>
      <c r="Q61" s="785" t="e">
        <f>J61*300*720/1000000/0.9</f>
        <v>#REF!</v>
      </c>
      <c r="R61" s="785"/>
      <c r="S61" s="785"/>
    </row>
    <row r="62" customFormat="1" customHeight="1" spans="1:19">
      <c r="A62" s="739"/>
      <c r="B62" s="740"/>
      <c r="C62" s="698"/>
      <c r="D62" s="698"/>
      <c r="E62" s="698"/>
      <c r="F62" s="706"/>
      <c r="G62" s="700" t="s">
        <v>566</v>
      </c>
      <c r="H62" s="700" t="s">
        <v>567</v>
      </c>
      <c r="I62" s="756">
        <f>F60</f>
        <v>1</v>
      </c>
      <c r="J62" s="775" t="e">
        <f>I62*#REF!</f>
        <v>#REF!</v>
      </c>
      <c r="K62" s="776">
        <v>1</v>
      </c>
      <c r="Q62" s="785" t="e">
        <f>J62*300*720/1000000/0.9</f>
        <v>#REF!</v>
      </c>
      <c r="R62" s="785"/>
      <c r="S62" s="785"/>
    </row>
    <row r="63" customFormat="1" customHeight="1" spans="1:19">
      <c r="A63" s="739"/>
      <c r="B63" s="740"/>
      <c r="C63" s="698"/>
      <c r="D63" s="698"/>
      <c r="E63" s="698"/>
      <c r="F63" s="706"/>
      <c r="G63" s="700" t="s">
        <v>577</v>
      </c>
      <c r="H63" s="700" t="s">
        <v>578</v>
      </c>
      <c r="I63" s="756">
        <f>F60</f>
        <v>1</v>
      </c>
      <c r="J63" s="775" t="e">
        <f>I63*#REF!</f>
        <v>#REF!</v>
      </c>
      <c r="K63" s="776">
        <v>1</v>
      </c>
      <c r="Q63" s="785" t="e">
        <f>J63*300*720/1000000/0.9</f>
        <v>#REF!</v>
      </c>
      <c r="R63" s="785"/>
      <c r="S63" s="785"/>
    </row>
    <row r="64" customFormat="1" customHeight="1" spans="1:19">
      <c r="A64" s="741"/>
      <c r="B64" s="742"/>
      <c r="C64" s="701"/>
      <c r="D64" s="701"/>
      <c r="E64" s="701"/>
      <c r="F64" s="719"/>
      <c r="G64" s="720" t="s">
        <v>582</v>
      </c>
      <c r="H64" s="720" t="s">
        <v>583</v>
      </c>
      <c r="I64" s="771">
        <f>F60*2</f>
        <v>2</v>
      </c>
      <c r="J64" s="775" t="e">
        <f>I64*#REF!</f>
        <v>#REF!</v>
      </c>
      <c r="K64" s="776">
        <v>2</v>
      </c>
      <c r="Q64" s="785" t="e">
        <f>J64*300*720/1000000/0.9</f>
        <v>#REF!</v>
      </c>
      <c r="R64" s="785"/>
      <c r="S64" s="785"/>
    </row>
    <row r="65" customHeight="1" spans="1:26">
      <c r="A65" s="711"/>
      <c r="B65" s="712" t="s">
        <v>680</v>
      </c>
      <c r="C65" s="693">
        <v>450</v>
      </c>
      <c r="D65" s="693">
        <v>300</v>
      </c>
      <c r="E65" s="693">
        <v>720</v>
      </c>
      <c r="F65" s="693">
        <v>1</v>
      </c>
      <c r="G65" s="702" t="s">
        <v>681</v>
      </c>
      <c r="H65" s="702" t="s">
        <v>682</v>
      </c>
      <c r="I65" s="757">
        <f>F65</f>
        <v>1</v>
      </c>
      <c r="J65" s="769">
        <v>35</v>
      </c>
      <c r="K65" s="759">
        <f>I65*J65</f>
        <v>35</v>
      </c>
      <c r="L65" s="760" t="s">
        <v>683</v>
      </c>
      <c r="M65" s="703" t="s">
        <v>684</v>
      </c>
      <c r="N65" s="703">
        <v>1</v>
      </c>
      <c r="R65" s="787">
        <f>K65*300*720/1000000/0.9</f>
        <v>8.4</v>
      </c>
      <c r="S65" s="788">
        <f>K65*((300+720)*2+40)/1000</f>
        <v>72.8</v>
      </c>
      <c r="T65" s="788">
        <f t="shared" si="1"/>
        <v>25.2</v>
      </c>
      <c r="U65" s="788">
        <f>S65-0.72*K65</f>
        <v>47.6</v>
      </c>
      <c r="V65" s="789">
        <f>J65*11</f>
        <v>385</v>
      </c>
      <c r="W65" s="790">
        <f>K65*300*720*16/1000000000</f>
        <v>0.12096</v>
      </c>
      <c r="X65" s="677">
        <v>1</v>
      </c>
      <c r="Y65" s="672"/>
      <c r="Z65" s="672"/>
    </row>
    <row r="66" customHeight="1" spans="1:26">
      <c r="A66" s="713"/>
      <c r="B66" s="714"/>
      <c r="C66" s="799"/>
      <c r="D66" s="799"/>
      <c r="E66" s="799"/>
      <c r="F66" s="799"/>
      <c r="G66" s="703" t="s">
        <v>685</v>
      </c>
      <c r="H66" s="703" t="s">
        <v>686</v>
      </c>
      <c r="I66" s="762">
        <f>F65</f>
        <v>1</v>
      </c>
      <c r="J66" s="763"/>
      <c r="K66" s="759">
        <f>I66*J65</f>
        <v>35</v>
      </c>
      <c r="L66" s="760" t="s">
        <v>687</v>
      </c>
      <c r="M66" s="703" t="s">
        <v>688</v>
      </c>
      <c r="N66" s="703">
        <v>1</v>
      </c>
      <c r="R66" s="787">
        <f>K66*300*720/1000000/0.9</f>
        <v>8.4</v>
      </c>
      <c r="S66" s="788">
        <f>K66*((300+720)*2+40)/1000</f>
        <v>72.8</v>
      </c>
      <c r="T66" s="788">
        <f t="shared" si="1"/>
        <v>25.2</v>
      </c>
      <c r="U66" s="788">
        <f>S66-0.72*K66</f>
        <v>47.6</v>
      </c>
      <c r="V66" s="791"/>
      <c r="W66" s="790">
        <f>K66*300*720*16/1000000000</f>
        <v>0.12096</v>
      </c>
      <c r="X66" s="677">
        <v>1</v>
      </c>
      <c r="Y66" s="672"/>
      <c r="Z66" s="672"/>
    </row>
    <row r="67" customHeight="1" spans="1:26">
      <c r="A67" s="713"/>
      <c r="B67" s="714"/>
      <c r="C67" s="799"/>
      <c r="D67" s="799"/>
      <c r="E67" s="799"/>
      <c r="F67" s="799"/>
      <c r="G67" s="703" t="s">
        <v>689</v>
      </c>
      <c r="H67" s="703" t="s">
        <v>690</v>
      </c>
      <c r="I67" s="762">
        <f>F65</f>
        <v>1</v>
      </c>
      <c r="J67" s="763"/>
      <c r="K67" s="759">
        <f>I67*J65</f>
        <v>35</v>
      </c>
      <c r="L67" s="760" t="s">
        <v>691</v>
      </c>
      <c r="M67" s="703" t="s">
        <v>692</v>
      </c>
      <c r="N67" s="703">
        <v>1</v>
      </c>
      <c r="R67" s="787">
        <f>K67*300*417/1000000/0.9</f>
        <v>4.865</v>
      </c>
      <c r="S67" s="788">
        <f>K67*((300+417)*2+40)/1000</f>
        <v>51.59</v>
      </c>
      <c r="T67" s="788">
        <f t="shared" si="1"/>
        <v>14.595</v>
      </c>
      <c r="U67" s="788">
        <f>S67-0.417*K67</f>
        <v>36.995</v>
      </c>
      <c r="V67" s="791"/>
      <c r="W67" s="790">
        <f>K67*300*417*16/1000000000</f>
        <v>0.070056</v>
      </c>
      <c r="X67" s="677">
        <v>0</v>
      </c>
      <c r="Y67" s="672"/>
      <c r="Z67" s="672"/>
    </row>
    <row r="68" customHeight="1" spans="1:26">
      <c r="A68" s="713"/>
      <c r="B68" s="714"/>
      <c r="C68" s="799"/>
      <c r="D68" s="799"/>
      <c r="E68" s="799"/>
      <c r="F68" s="799"/>
      <c r="G68" s="703" t="s">
        <v>693</v>
      </c>
      <c r="H68" s="703" t="s">
        <v>694</v>
      </c>
      <c r="I68" s="762">
        <f>F65</f>
        <v>1</v>
      </c>
      <c r="J68" s="763"/>
      <c r="K68" s="759">
        <f>I68*J65</f>
        <v>35</v>
      </c>
      <c r="L68" s="760" t="s">
        <v>695</v>
      </c>
      <c r="M68" s="703" t="s">
        <v>696</v>
      </c>
      <c r="N68" s="703">
        <v>1</v>
      </c>
      <c r="R68" s="787">
        <f>K68*277*417/1000000/0.9</f>
        <v>4.49201666666667</v>
      </c>
      <c r="S68" s="788">
        <f>K68*((277+417)*2+40)/1000</f>
        <v>49.98</v>
      </c>
      <c r="T68" s="788">
        <f t="shared" si="1"/>
        <v>14.595</v>
      </c>
      <c r="U68" s="788">
        <f>S68-0.417*K68</f>
        <v>35.385</v>
      </c>
      <c r="V68" s="791"/>
      <c r="W68" s="790">
        <f>K68*277*417*16/1000000000</f>
        <v>0.06468504</v>
      </c>
      <c r="X68" s="677">
        <v>0</v>
      </c>
      <c r="Y68" s="672"/>
      <c r="Z68" s="672"/>
    </row>
    <row r="69" customHeight="1" spans="1:26">
      <c r="A69" s="713"/>
      <c r="B69" s="714"/>
      <c r="C69" s="799"/>
      <c r="D69" s="799"/>
      <c r="E69" s="799"/>
      <c r="F69" s="799"/>
      <c r="G69" s="703" t="s">
        <v>697</v>
      </c>
      <c r="H69" s="703" t="s">
        <v>698</v>
      </c>
      <c r="I69" s="762">
        <f>F65</f>
        <v>1</v>
      </c>
      <c r="J69" s="763"/>
      <c r="K69" s="759">
        <f>I69*J65</f>
        <v>35</v>
      </c>
      <c r="L69" s="760" t="s">
        <v>699</v>
      </c>
      <c r="M69" s="703" t="s">
        <v>700</v>
      </c>
      <c r="N69" s="703">
        <v>1</v>
      </c>
      <c r="R69" s="787">
        <f>K69*254*416/1000000/0.9</f>
        <v>4.10915555555556</v>
      </c>
      <c r="S69" s="788">
        <f>K69*((254+416)*2+40)/1000</f>
        <v>48.3</v>
      </c>
      <c r="T69" s="788">
        <f t="shared" si="1"/>
        <v>14.56</v>
      </c>
      <c r="U69" s="788">
        <f>S69-0.416*K69</f>
        <v>33.74</v>
      </c>
      <c r="V69" s="791"/>
      <c r="W69" s="790">
        <f>K69*254*416*16/1000000000</f>
        <v>0.05917184</v>
      </c>
      <c r="X69" s="677">
        <v>0</v>
      </c>
      <c r="Y69" s="672"/>
      <c r="Z69" s="672"/>
    </row>
    <row r="70" customHeight="1" spans="1:26">
      <c r="A70" s="713"/>
      <c r="B70" s="714"/>
      <c r="C70" s="799"/>
      <c r="D70" s="799"/>
      <c r="E70" s="799"/>
      <c r="F70" s="799"/>
      <c r="G70" s="703" t="s">
        <v>701</v>
      </c>
      <c r="H70" s="703" t="s">
        <v>702</v>
      </c>
      <c r="I70" s="762">
        <f>F65</f>
        <v>1</v>
      </c>
      <c r="J70" s="763"/>
      <c r="K70" s="759">
        <f>I70*J65</f>
        <v>35</v>
      </c>
      <c r="L70" s="760" t="s">
        <v>703</v>
      </c>
      <c r="M70" s="703" t="s">
        <v>704</v>
      </c>
      <c r="N70" s="703">
        <v>1</v>
      </c>
      <c r="R70" s="787">
        <f>K70*708*428/1000000/0.9</f>
        <v>11.7842666666667</v>
      </c>
      <c r="S70" s="788"/>
      <c r="T70" s="788"/>
      <c r="U70" s="788"/>
      <c r="V70" s="791"/>
      <c r="W70" s="790">
        <f>K70*708*428*3/1000000000</f>
        <v>0.03181752</v>
      </c>
      <c r="X70" s="677">
        <v>0</v>
      </c>
      <c r="Y70" s="672"/>
      <c r="Z70" s="672"/>
    </row>
    <row r="71" customHeight="1" spans="1:26">
      <c r="A71" s="713"/>
      <c r="B71" s="714"/>
      <c r="C71" s="800"/>
      <c r="D71" s="800"/>
      <c r="E71" s="800"/>
      <c r="F71" s="800"/>
      <c r="G71" s="704" t="s">
        <v>582</v>
      </c>
      <c r="H71" s="704" t="s">
        <v>583</v>
      </c>
      <c r="I71" s="764">
        <f>F65</f>
        <v>1</v>
      </c>
      <c r="J71" s="765"/>
      <c r="K71" s="766">
        <f>I71*J65</f>
        <v>35</v>
      </c>
      <c r="L71" s="760" t="s">
        <v>584</v>
      </c>
      <c r="M71" s="703" t="s">
        <v>585</v>
      </c>
      <c r="N71" s="703">
        <v>1</v>
      </c>
      <c r="R71" s="787">
        <f>K71*88*417/1000000/0.9</f>
        <v>1.42706666666667</v>
      </c>
      <c r="S71" s="788">
        <f>K71*((88+417)+10)/1000</f>
        <v>18.025</v>
      </c>
      <c r="T71" s="788">
        <f t="shared" si="1"/>
        <v>18.025</v>
      </c>
      <c r="U71" s="788"/>
      <c r="V71" s="793"/>
      <c r="W71" s="790">
        <f>K71*88*417*16/1000000000</f>
        <v>0.02054976</v>
      </c>
      <c r="X71" s="677">
        <v>1</v>
      </c>
      <c r="Y71" s="672"/>
      <c r="Z71" s="672"/>
    </row>
    <row r="72" customHeight="1" spans="1:26">
      <c r="A72" s="713"/>
      <c r="B72" s="714"/>
      <c r="C72" s="698">
        <v>600</v>
      </c>
      <c r="D72" s="698">
        <v>300</v>
      </c>
      <c r="E72" s="698">
        <v>720</v>
      </c>
      <c r="F72" s="698">
        <v>1</v>
      </c>
      <c r="G72" s="715" t="s">
        <v>681</v>
      </c>
      <c r="H72" s="715" t="s">
        <v>682</v>
      </c>
      <c r="I72" s="770">
        <f>F72</f>
        <v>1</v>
      </c>
      <c r="J72" s="769">
        <v>30</v>
      </c>
      <c r="K72" s="759">
        <f>I72*J72</f>
        <v>30</v>
      </c>
      <c r="L72" s="760" t="s">
        <v>683</v>
      </c>
      <c r="M72" s="703" t="s">
        <v>684</v>
      </c>
      <c r="N72" s="703">
        <v>1</v>
      </c>
      <c r="R72" s="787">
        <f>K72*300*720/1000000/0.9</f>
        <v>7.2</v>
      </c>
      <c r="S72" s="788">
        <f>K72*((300+720)*2+40)/1000</f>
        <v>62.4</v>
      </c>
      <c r="T72" s="788">
        <f t="shared" si="1"/>
        <v>21.6</v>
      </c>
      <c r="U72" s="788">
        <f>S72-0.72*K72</f>
        <v>40.8</v>
      </c>
      <c r="V72" s="789">
        <f>J72*11</f>
        <v>330</v>
      </c>
      <c r="W72" s="790">
        <f>K72*300*720*16/1000000000</f>
        <v>0.10368</v>
      </c>
      <c r="X72" s="677">
        <v>1</v>
      </c>
      <c r="Y72" s="672"/>
      <c r="Z72" s="672"/>
    </row>
    <row r="73" customHeight="1" spans="1:26">
      <c r="A73" s="713"/>
      <c r="B73" s="714"/>
      <c r="C73" s="698"/>
      <c r="D73" s="698"/>
      <c r="E73" s="698"/>
      <c r="F73" s="698"/>
      <c r="G73" s="703" t="s">
        <v>685</v>
      </c>
      <c r="H73" s="703" t="s">
        <v>686</v>
      </c>
      <c r="I73" s="762">
        <f>F72</f>
        <v>1</v>
      </c>
      <c r="J73" s="763"/>
      <c r="K73" s="759">
        <f>I73*J72</f>
        <v>30</v>
      </c>
      <c r="L73" s="760" t="s">
        <v>687</v>
      </c>
      <c r="M73" s="703" t="s">
        <v>688</v>
      </c>
      <c r="N73" s="703">
        <v>1</v>
      </c>
      <c r="R73" s="787">
        <f>K73*300*720/1000000/0.9</f>
        <v>7.2</v>
      </c>
      <c r="S73" s="788">
        <f>K73*((300+720)*2+40)/1000</f>
        <v>62.4</v>
      </c>
      <c r="T73" s="788">
        <f t="shared" si="1"/>
        <v>21.6</v>
      </c>
      <c r="U73" s="788">
        <f>S73-0.72*K73</f>
        <v>40.8</v>
      </c>
      <c r="V73" s="791"/>
      <c r="W73" s="790">
        <f>K73*300*720*16/1000000000</f>
        <v>0.10368</v>
      </c>
      <c r="X73" s="677">
        <v>1</v>
      </c>
      <c r="Y73" s="672"/>
      <c r="Z73" s="672"/>
    </row>
    <row r="74" customHeight="1" spans="1:26">
      <c r="A74" s="713"/>
      <c r="B74" s="714"/>
      <c r="C74" s="698"/>
      <c r="D74" s="698"/>
      <c r="E74" s="698"/>
      <c r="F74" s="698"/>
      <c r="G74" s="703" t="s">
        <v>705</v>
      </c>
      <c r="H74" s="703" t="s">
        <v>706</v>
      </c>
      <c r="I74" s="762">
        <f>F72</f>
        <v>1</v>
      </c>
      <c r="J74" s="763"/>
      <c r="K74" s="759">
        <f>I74*J72</f>
        <v>30</v>
      </c>
      <c r="L74" s="760" t="s">
        <v>707</v>
      </c>
      <c r="M74" s="703" t="s">
        <v>708</v>
      </c>
      <c r="N74" s="703">
        <v>1</v>
      </c>
      <c r="R74" s="787">
        <f>K74*300*720/1000000/0.9</f>
        <v>7.2</v>
      </c>
      <c r="S74" s="788">
        <f>K74*((300+720)*2+40)/1000</f>
        <v>62.4</v>
      </c>
      <c r="T74" s="788">
        <f t="shared" si="1"/>
        <v>17.01</v>
      </c>
      <c r="U74" s="788">
        <f>S74-0.567*K74</f>
        <v>45.39</v>
      </c>
      <c r="V74" s="791"/>
      <c r="W74" s="790">
        <f>K74*300*720*16/1000000000</f>
        <v>0.10368</v>
      </c>
      <c r="X74" s="677">
        <v>0</v>
      </c>
      <c r="Y74" s="672"/>
      <c r="Z74" s="672"/>
    </row>
    <row r="75" customHeight="1" spans="1:26">
      <c r="A75" s="713"/>
      <c r="B75" s="714"/>
      <c r="C75" s="698"/>
      <c r="D75" s="698"/>
      <c r="E75" s="698"/>
      <c r="F75" s="698"/>
      <c r="G75" s="703" t="s">
        <v>709</v>
      </c>
      <c r="H75" s="703" t="s">
        <v>710</v>
      </c>
      <c r="I75" s="762">
        <f>F72</f>
        <v>1</v>
      </c>
      <c r="J75" s="763"/>
      <c r="K75" s="759">
        <f>I75*J72</f>
        <v>30</v>
      </c>
      <c r="L75" s="760" t="s">
        <v>711</v>
      </c>
      <c r="M75" s="703" t="s">
        <v>712</v>
      </c>
      <c r="N75" s="703">
        <v>1</v>
      </c>
      <c r="R75" s="787">
        <f>K75*277*567/1000000/0.9</f>
        <v>5.2353</v>
      </c>
      <c r="S75" s="788">
        <f>K75*((277+567)*2+40)/1000</f>
        <v>51.84</v>
      </c>
      <c r="T75" s="788">
        <f t="shared" si="1"/>
        <v>17.01</v>
      </c>
      <c r="U75" s="788">
        <f>S75-0.567*K75</f>
        <v>34.83</v>
      </c>
      <c r="V75" s="791"/>
      <c r="W75" s="790">
        <f>K75*277*567*16/1000000000</f>
        <v>0.07538832</v>
      </c>
      <c r="X75" s="677">
        <v>0</v>
      </c>
      <c r="Y75" s="672"/>
      <c r="Z75" s="672"/>
    </row>
    <row r="76" customHeight="1" spans="1:26">
      <c r="A76" s="713"/>
      <c r="B76" s="714"/>
      <c r="C76" s="698"/>
      <c r="D76" s="698"/>
      <c r="E76" s="698"/>
      <c r="F76" s="698"/>
      <c r="G76" s="703" t="s">
        <v>713</v>
      </c>
      <c r="H76" s="703" t="s">
        <v>714</v>
      </c>
      <c r="I76" s="762">
        <f>F72</f>
        <v>1</v>
      </c>
      <c r="J76" s="763"/>
      <c r="K76" s="759">
        <f>I76*J72</f>
        <v>30</v>
      </c>
      <c r="L76" s="760" t="s">
        <v>715</v>
      </c>
      <c r="M76" s="703" t="s">
        <v>716</v>
      </c>
      <c r="N76" s="703">
        <v>1</v>
      </c>
      <c r="R76" s="787">
        <f>K76*254*566/1000000/0.9</f>
        <v>4.79213333333333</v>
      </c>
      <c r="S76" s="788">
        <f>K76*((254+566)*2+40)/1000</f>
        <v>50.4</v>
      </c>
      <c r="T76" s="788">
        <f t="shared" si="1"/>
        <v>16.98</v>
      </c>
      <c r="U76" s="788">
        <f>S76-0.566*K76</f>
        <v>33.42</v>
      </c>
      <c r="V76" s="791"/>
      <c r="W76" s="790">
        <f>K76*254*566*16/1000000000</f>
        <v>0.06900672</v>
      </c>
      <c r="X76" s="677">
        <v>0</v>
      </c>
      <c r="Y76" s="672"/>
      <c r="Z76" s="672"/>
    </row>
    <row r="77" customHeight="1" spans="1:26">
      <c r="A77" s="713"/>
      <c r="B77" s="714"/>
      <c r="C77" s="698"/>
      <c r="D77" s="698"/>
      <c r="E77" s="698"/>
      <c r="F77" s="698"/>
      <c r="G77" s="703" t="s">
        <v>717</v>
      </c>
      <c r="H77" s="703" t="s">
        <v>718</v>
      </c>
      <c r="I77" s="762">
        <f>F72</f>
        <v>1</v>
      </c>
      <c r="J77" s="763"/>
      <c r="K77" s="759">
        <f>I77*J72</f>
        <v>30</v>
      </c>
      <c r="L77" s="760" t="s">
        <v>719</v>
      </c>
      <c r="M77" s="703" t="s">
        <v>720</v>
      </c>
      <c r="N77" s="703">
        <v>1</v>
      </c>
      <c r="R77" s="787">
        <f>K77*708*566/1000000/0.9</f>
        <v>13.3576</v>
      </c>
      <c r="S77" s="788"/>
      <c r="T77" s="788"/>
      <c r="U77" s="788"/>
      <c r="V77" s="791"/>
      <c r="W77" s="790">
        <f>K77*708*578*3/1000000000</f>
        <v>0.03683016</v>
      </c>
      <c r="X77" s="677">
        <v>0</v>
      </c>
      <c r="Y77" s="672"/>
      <c r="Z77" s="672"/>
    </row>
    <row r="78" customHeight="1" spans="1:26">
      <c r="A78" s="716"/>
      <c r="B78" s="717"/>
      <c r="C78" s="701"/>
      <c r="D78" s="701"/>
      <c r="E78" s="701"/>
      <c r="F78" s="701"/>
      <c r="G78" s="704" t="s">
        <v>593</v>
      </c>
      <c r="H78" s="704" t="s">
        <v>594</v>
      </c>
      <c r="I78" s="764">
        <f>F72</f>
        <v>1</v>
      </c>
      <c r="J78" s="765"/>
      <c r="K78" s="766">
        <f>I78*J72</f>
        <v>30</v>
      </c>
      <c r="L78" s="760" t="s">
        <v>610</v>
      </c>
      <c r="M78" s="703" t="s">
        <v>611</v>
      </c>
      <c r="N78" s="703">
        <v>1</v>
      </c>
      <c r="R78" s="787">
        <f>K78*88*567/1000000/0.9</f>
        <v>1.6632</v>
      </c>
      <c r="S78" s="788">
        <f>K78*((560+720)+10)/1000</f>
        <v>38.7</v>
      </c>
      <c r="T78" s="788">
        <f t="shared" si="1"/>
        <v>17.01</v>
      </c>
      <c r="U78" s="788">
        <f>S78-0.567*K78</f>
        <v>21.69</v>
      </c>
      <c r="V78" s="793"/>
      <c r="W78" s="790">
        <f>K78*88*567*16/1000000000</f>
        <v>0.02395008</v>
      </c>
      <c r="X78" s="677">
        <v>1</v>
      </c>
      <c r="Y78" s="672"/>
      <c r="Z78" s="672"/>
    </row>
    <row r="79" customHeight="1" spans="1:26">
      <c r="A79" s="711"/>
      <c r="B79" s="712" t="s">
        <v>721</v>
      </c>
      <c r="C79" s="693">
        <v>450</v>
      </c>
      <c r="D79" s="693">
        <v>300</v>
      </c>
      <c r="E79" s="693">
        <v>720</v>
      </c>
      <c r="F79" s="693">
        <v>1</v>
      </c>
      <c r="G79" s="702" t="s">
        <v>681</v>
      </c>
      <c r="H79" s="702" t="s">
        <v>682</v>
      </c>
      <c r="I79" s="757">
        <f>F79</f>
        <v>1</v>
      </c>
      <c r="J79" s="769">
        <v>35</v>
      </c>
      <c r="K79" s="759">
        <f>I79*J79</f>
        <v>35</v>
      </c>
      <c r="L79" s="760" t="s">
        <v>683</v>
      </c>
      <c r="M79" s="703" t="s">
        <v>684</v>
      </c>
      <c r="N79" s="703">
        <v>1</v>
      </c>
      <c r="R79" s="787">
        <f>K79*300*720/1000000/0.9</f>
        <v>8.4</v>
      </c>
      <c r="S79" s="788">
        <f>K79*((300+720)*2+40)/1000</f>
        <v>72.8</v>
      </c>
      <c r="T79" s="788">
        <f t="shared" si="1"/>
        <v>25.2</v>
      </c>
      <c r="U79" s="788">
        <f>S79-0.72*K79</f>
        <v>47.6</v>
      </c>
      <c r="V79" s="789">
        <f>J79*11</f>
        <v>385</v>
      </c>
      <c r="W79" s="790">
        <f>K79*300*720*16/1000000000</f>
        <v>0.12096</v>
      </c>
      <c r="X79" s="677">
        <v>1</v>
      </c>
      <c r="Y79" s="672"/>
      <c r="Z79" s="672"/>
    </row>
    <row r="80" customHeight="1" spans="1:26">
      <c r="A80" s="713"/>
      <c r="B80" s="714"/>
      <c r="C80" s="799"/>
      <c r="D80" s="799"/>
      <c r="E80" s="799"/>
      <c r="F80" s="799"/>
      <c r="G80" s="703" t="s">
        <v>685</v>
      </c>
      <c r="H80" s="703" t="s">
        <v>686</v>
      </c>
      <c r="I80" s="762">
        <f>F79</f>
        <v>1</v>
      </c>
      <c r="J80" s="763"/>
      <c r="K80" s="759">
        <f>I80*J79</f>
        <v>35</v>
      </c>
      <c r="L80" s="760" t="s">
        <v>687</v>
      </c>
      <c r="M80" s="703" t="s">
        <v>688</v>
      </c>
      <c r="N80" s="703">
        <v>1</v>
      </c>
      <c r="R80" s="787">
        <f>K80*300*720/1000000/0.9</f>
        <v>8.4</v>
      </c>
      <c r="S80" s="788">
        <f>K80*((300+720)*2+40)/1000</f>
        <v>72.8</v>
      </c>
      <c r="T80" s="788">
        <f t="shared" si="1"/>
        <v>25.2</v>
      </c>
      <c r="U80" s="788">
        <f>S80-0.72*K80</f>
        <v>47.6</v>
      </c>
      <c r="V80" s="791"/>
      <c r="W80" s="790">
        <f>K80*300*720*16/1000000000</f>
        <v>0.12096</v>
      </c>
      <c r="X80" s="677">
        <v>1</v>
      </c>
      <c r="Y80" s="672"/>
      <c r="Z80" s="672"/>
    </row>
    <row r="81" customHeight="1" spans="1:26">
      <c r="A81" s="713"/>
      <c r="B81" s="714"/>
      <c r="C81" s="799"/>
      <c r="D81" s="799"/>
      <c r="E81" s="799"/>
      <c r="F81" s="799"/>
      <c r="G81" s="703" t="s">
        <v>689</v>
      </c>
      <c r="H81" s="703" t="s">
        <v>690</v>
      </c>
      <c r="I81" s="762">
        <f>F79</f>
        <v>1</v>
      </c>
      <c r="J81" s="763"/>
      <c r="K81" s="759">
        <f>I81*J79</f>
        <v>35</v>
      </c>
      <c r="L81" s="760" t="s">
        <v>691</v>
      </c>
      <c r="M81" s="703" t="s">
        <v>692</v>
      </c>
      <c r="N81" s="703">
        <v>1</v>
      </c>
      <c r="R81" s="787">
        <f>K81*300*417/1000000/0.9</f>
        <v>4.865</v>
      </c>
      <c r="S81" s="788">
        <f>K81*((300+417)*2+40)/1000</f>
        <v>51.59</v>
      </c>
      <c r="T81" s="788">
        <f t="shared" si="1"/>
        <v>14.595</v>
      </c>
      <c r="U81" s="788">
        <f>S81-0.417*K81</f>
        <v>36.995</v>
      </c>
      <c r="V81" s="791"/>
      <c r="W81" s="790">
        <f>K81*300*417*16/1000000000</f>
        <v>0.070056</v>
      </c>
      <c r="X81" s="677">
        <v>0</v>
      </c>
      <c r="Y81" s="672"/>
      <c r="Z81" s="672"/>
    </row>
    <row r="82" customHeight="1" spans="1:26">
      <c r="A82" s="713"/>
      <c r="B82" s="714"/>
      <c r="C82" s="799"/>
      <c r="D82" s="799"/>
      <c r="E82" s="799"/>
      <c r="F82" s="799"/>
      <c r="G82" s="703" t="s">
        <v>693</v>
      </c>
      <c r="H82" s="703" t="s">
        <v>694</v>
      </c>
      <c r="I82" s="762">
        <f>F79</f>
        <v>1</v>
      </c>
      <c r="J82" s="763"/>
      <c r="K82" s="759">
        <f>I82*J79</f>
        <v>35</v>
      </c>
      <c r="L82" s="760" t="s">
        <v>695</v>
      </c>
      <c r="M82" s="703" t="s">
        <v>696</v>
      </c>
      <c r="N82" s="703">
        <v>1</v>
      </c>
      <c r="R82" s="787">
        <f>K82*277*417/1000000/0.9</f>
        <v>4.49201666666667</v>
      </c>
      <c r="S82" s="788">
        <f>K82*((277+417)*2+40)/1000</f>
        <v>49.98</v>
      </c>
      <c r="T82" s="788">
        <f t="shared" si="1"/>
        <v>14.595</v>
      </c>
      <c r="U82" s="788">
        <f>S82-0.417*K82</f>
        <v>35.385</v>
      </c>
      <c r="V82" s="791"/>
      <c r="W82" s="790">
        <f>K82*277*417*16/1000000000</f>
        <v>0.06468504</v>
      </c>
      <c r="X82" s="677">
        <v>0</v>
      </c>
      <c r="Y82" s="672"/>
      <c r="Z82" s="672"/>
    </row>
    <row r="83" customHeight="1" spans="1:26">
      <c r="A83" s="713"/>
      <c r="B83" s="714"/>
      <c r="C83" s="799"/>
      <c r="D83" s="799"/>
      <c r="E83" s="799"/>
      <c r="F83" s="799"/>
      <c r="G83" s="730" t="s">
        <v>722</v>
      </c>
      <c r="H83" s="730" t="s">
        <v>723</v>
      </c>
      <c r="I83" s="762">
        <f>F79</f>
        <v>1</v>
      </c>
      <c r="J83" s="763"/>
      <c r="K83" s="759">
        <f>I83*J79</f>
        <v>35</v>
      </c>
      <c r="L83" s="760" t="s">
        <v>699</v>
      </c>
      <c r="M83" s="703" t="s">
        <v>700</v>
      </c>
      <c r="N83" s="703">
        <v>1</v>
      </c>
      <c r="R83" s="787">
        <f>K83*254*416/1000000/0.9</f>
        <v>4.10915555555556</v>
      </c>
      <c r="S83" s="788">
        <f>K83*((254+416)*2+40)/1000</f>
        <v>48.3</v>
      </c>
      <c r="T83" s="788">
        <f t="shared" si="1"/>
        <v>14.56</v>
      </c>
      <c r="U83" s="788">
        <f>S83-0.416*K83</f>
        <v>33.74</v>
      </c>
      <c r="V83" s="791"/>
      <c r="W83" s="790">
        <f>K83*254*416*16/1000000000</f>
        <v>0.05917184</v>
      </c>
      <c r="X83" s="677">
        <v>0</v>
      </c>
      <c r="Y83" s="672"/>
      <c r="Z83" s="672"/>
    </row>
    <row r="84" customHeight="1" spans="1:26">
      <c r="A84" s="713"/>
      <c r="B84" s="714"/>
      <c r="C84" s="799"/>
      <c r="D84" s="799"/>
      <c r="E84" s="799"/>
      <c r="F84" s="799"/>
      <c r="G84" s="703" t="s">
        <v>701</v>
      </c>
      <c r="H84" s="703" t="s">
        <v>702</v>
      </c>
      <c r="I84" s="762">
        <f>F79</f>
        <v>1</v>
      </c>
      <c r="J84" s="763"/>
      <c r="K84" s="759">
        <f>I84*J79</f>
        <v>35</v>
      </c>
      <c r="L84" s="760" t="s">
        <v>703</v>
      </c>
      <c r="M84" s="703" t="s">
        <v>704</v>
      </c>
      <c r="N84" s="703">
        <v>1</v>
      </c>
      <c r="R84" s="787">
        <f>K84*708*428/1000000/0.9</f>
        <v>11.7842666666667</v>
      </c>
      <c r="S84" s="788"/>
      <c r="T84" s="788"/>
      <c r="U84" s="788"/>
      <c r="V84" s="791"/>
      <c r="W84" s="790">
        <f>K84*708*428*3/1000000000</f>
        <v>0.03181752</v>
      </c>
      <c r="X84" s="677">
        <v>0</v>
      </c>
      <c r="Y84" s="672"/>
      <c r="Z84" s="672"/>
    </row>
    <row r="85" customHeight="1" spans="1:26">
      <c r="A85" s="713"/>
      <c r="B85" s="714"/>
      <c r="C85" s="800"/>
      <c r="D85" s="800"/>
      <c r="E85" s="800"/>
      <c r="F85" s="800"/>
      <c r="G85" s="704" t="s">
        <v>582</v>
      </c>
      <c r="H85" s="704" t="s">
        <v>583</v>
      </c>
      <c r="I85" s="764">
        <f>F79</f>
        <v>1</v>
      </c>
      <c r="J85" s="765"/>
      <c r="K85" s="766">
        <f>I85*J79</f>
        <v>35</v>
      </c>
      <c r="L85" s="760" t="s">
        <v>584</v>
      </c>
      <c r="M85" s="703" t="s">
        <v>585</v>
      </c>
      <c r="N85" s="703">
        <v>1</v>
      </c>
      <c r="R85" s="787">
        <f>K85*88*417/1000000/0.9</f>
        <v>1.42706666666667</v>
      </c>
      <c r="S85" s="788">
        <f>K85*((88+417)+10)/1000</f>
        <v>18.025</v>
      </c>
      <c r="T85" s="788">
        <f t="shared" ref="T85:T90" si="3">S85-U85</f>
        <v>18.025</v>
      </c>
      <c r="U85" s="788"/>
      <c r="V85" s="793"/>
      <c r="W85" s="790">
        <f>K85*88*417*16/1000000000</f>
        <v>0.02054976</v>
      </c>
      <c r="X85" s="677">
        <v>1</v>
      </c>
      <c r="Y85" s="672"/>
      <c r="Z85" s="672"/>
    </row>
    <row r="86" customHeight="1" spans="1:26">
      <c r="A86" s="713"/>
      <c r="B86" s="714"/>
      <c r="C86" s="698">
        <v>600</v>
      </c>
      <c r="D86" s="698">
        <v>300</v>
      </c>
      <c r="E86" s="698">
        <v>720</v>
      </c>
      <c r="F86" s="698">
        <v>1</v>
      </c>
      <c r="G86" s="715" t="s">
        <v>681</v>
      </c>
      <c r="H86" s="715" t="s">
        <v>682</v>
      </c>
      <c r="I86" s="770">
        <f>F86</f>
        <v>1</v>
      </c>
      <c r="J86" s="769">
        <v>30</v>
      </c>
      <c r="K86" s="759">
        <f>I86*J86</f>
        <v>30</v>
      </c>
      <c r="L86" s="760" t="s">
        <v>683</v>
      </c>
      <c r="M86" s="703" t="s">
        <v>684</v>
      </c>
      <c r="N86" s="703">
        <v>1</v>
      </c>
      <c r="R86" s="787">
        <f>K86*300*720/1000000/0.9</f>
        <v>7.2</v>
      </c>
      <c r="S86" s="788">
        <f>K86*((300+720)*2+40)/1000</f>
        <v>62.4</v>
      </c>
      <c r="T86" s="788">
        <f t="shared" si="3"/>
        <v>21.6</v>
      </c>
      <c r="U86" s="788">
        <f>S86-0.72*K86</f>
        <v>40.8</v>
      </c>
      <c r="V86" s="789">
        <f>J86*11</f>
        <v>330</v>
      </c>
      <c r="W86" s="790">
        <f>K86*300*720*16/1000000000</f>
        <v>0.10368</v>
      </c>
      <c r="X86" s="677">
        <v>1</v>
      </c>
      <c r="Y86" s="672"/>
      <c r="Z86" s="672"/>
    </row>
    <row r="87" customHeight="1" spans="1:26">
      <c r="A87" s="713"/>
      <c r="B87" s="714"/>
      <c r="C87" s="698"/>
      <c r="D87" s="698"/>
      <c r="E87" s="698"/>
      <c r="F87" s="698"/>
      <c r="G87" s="703" t="s">
        <v>685</v>
      </c>
      <c r="H87" s="703" t="s">
        <v>686</v>
      </c>
      <c r="I87" s="762">
        <f>F86</f>
        <v>1</v>
      </c>
      <c r="J87" s="763"/>
      <c r="K87" s="759">
        <f>I87*J86</f>
        <v>30</v>
      </c>
      <c r="L87" s="760" t="s">
        <v>687</v>
      </c>
      <c r="M87" s="703" t="s">
        <v>688</v>
      </c>
      <c r="N87" s="703">
        <v>1</v>
      </c>
      <c r="R87" s="787">
        <f>K87*300*720/1000000/0.9</f>
        <v>7.2</v>
      </c>
      <c r="S87" s="788">
        <f>K87*((300+720)*2+40)/1000</f>
        <v>62.4</v>
      </c>
      <c r="T87" s="788">
        <f t="shared" si="3"/>
        <v>21.6</v>
      </c>
      <c r="U87" s="788">
        <f>S87-0.72*K87</f>
        <v>40.8</v>
      </c>
      <c r="V87" s="791"/>
      <c r="W87" s="790">
        <f>K87*300*720*16/1000000000</f>
        <v>0.10368</v>
      </c>
      <c r="X87" s="677">
        <v>1</v>
      </c>
      <c r="Y87" s="672"/>
      <c r="Z87" s="672"/>
    </row>
    <row r="88" customHeight="1" spans="1:26">
      <c r="A88" s="713"/>
      <c r="B88" s="714"/>
      <c r="C88" s="698"/>
      <c r="D88" s="698"/>
      <c r="E88" s="698"/>
      <c r="F88" s="698"/>
      <c r="G88" s="703" t="s">
        <v>705</v>
      </c>
      <c r="H88" s="703" t="s">
        <v>706</v>
      </c>
      <c r="I88" s="762">
        <f>F86</f>
        <v>1</v>
      </c>
      <c r="J88" s="763"/>
      <c r="K88" s="759">
        <f>I88*J86</f>
        <v>30</v>
      </c>
      <c r="L88" s="760" t="s">
        <v>707</v>
      </c>
      <c r="M88" s="703" t="s">
        <v>708</v>
      </c>
      <c r="N88" s="703">
        <v>1</v>
      </c>
      <c r="R88" s="787">
        <f>K88*300*720/1000000/0.9</f>
        <v>7.2</v>
      </c>
      <c r="S88" s="788">
        <f>K88*((300+720)*2+40)/1000</f>
        <v>62.4</v>
      </c>
      <c r="T88" s="788">
        <f t="shared" si="3"/>
        <v>17.01</v>
      </c>
      <c r="U88" s="788">
        <f>S88-0.567*K88</f>
        <v>45.39</v>
      </c>
      <c r="V88" s="791"/>
      <c r="W88" s="790">
        <f>K88*300*720*16/1000000000</f>
        <v>0.10368</v>
      </c>
      <c r="X88" s="677">
        <v>0</v>
      </c>
      <c r="Y88" s="672"/>
      <c r="Z88" s="672"/>
    </row>
    <row r="89" customHeight="1" spans="1:26">
      <c r="A89" s="713"/>
      <c r="B89" s="714"/>
      <c r="C89" s="698"/>
      <c r="D89" s="698"/>
      <c r="E89" s="698"/>
      <c r="F89" s="698"/>
      <c r="G89" s="703" t="s">
        <v>709</v>
      </c>
      <c r="H89" s="703" t="s">
        <v>710</v>
      </c>
      <c r="I89" s="762">
        <f>F86</f>
        <v>1</v>
      </c>
      <c r="J89" s="763"/>
      <c r="K89" s="759">
        <f>I89*J86</f>
        <v>30</v>
      </c>
      <c r="L89" s="760" t="s">
        <v>711</v>
      </c>
      <c r="M89" s="703" t="s">
        <v>712</v>
      </c>
      <c r="N89" s="703">
        <v>1</v>
      </c>
      <c r="R89" s="787">
        <f>K89*277*567/1000000/0.9</f>
        <v>5.2353</v>
      </c>
      <c r="S89" s="788">
        <f>K89*((277+567)*2+40)/1000</f>
        <v>51.84</v>
      </c>
      <c r="T89" s="788">
        <f t="shared" si="3"/>
        <v>17.01</v>
      </c>
      <c r="U89" s="788">
        <f>S89-0.567*K89</f>
        <v>34.83</v>
      </c>
      <c r="V89" s="791"/>
      <c r="W89" s="790">
        <f>K89*277*567*16/1000000000</f>
        <v>0.07538832</v>
      </c>
      <c r="X89" s="677">
        <v>0</v>
      </c>
      <c r="Y89" s="672"/>
      <c r="Z89" s="672"/>
    </row>
    <row r="90" customHeight="1" spans="1:26">
      <c r="A90" s="713"/>
      <c r="B90" s="714"/>
      <c r="C90" s="698"/>
      <c r="D90" s="698"/>
      <c r="E90" s="698"/>
      <c r="F90" s="698"/>
      <c r="G90" s="730" t="s">
        <v>724</v>
      </c>
      <c r="H90" s="730" t="s">
        <v>725</v>
      </c>
      <c r="I90" s="762">
        <f>F86</f>
        <v>1</v>
      </c>
      <c r="J90" s="763"/>
      <c r="K90" s="759">
        <f>I90*J86</f>
        <v>30</v>
      </c>
      <c r="L90" s="760" t="s">
        <v>715</v>
      </c>
      <c r="M90" s="703" t="s">
        <v>716</v>
      </c>
      <c r="N90" s="703">
        <v>1</v>
      </c>
      <c r="R90" s="787">
        <f>K90*254*566/1000000/0.9</f>
        <v>4.79213333333333</v>
      </c>
      <c r="S90" s="788">
        <f>K90*((254+566)*2+40)/1000</f>
        <v>50.4</v>
      </c>
      <c r="T90" s="788">
        <f t="shared" si="3"/>
        <v>16.98</v>
      </c>
      <c r="U90" s="788">
        <f>S90-0.566*K90</f>
        <v>33.42</v>
      </c>
      <c r="V90" s="791"/>
      <c r="W90" s="790">
        <f>K90*254*566*16/1000000000</f>
        <v>0.06900672</v>
      </c>
      <c r="X90" s="677">
        <v>0</v>
      </c>
      <c r="Y90" s="672"/>
      <c r="Z90" s="672"/>
    </row>
    <row r="91" customHeight="1" spans="1:26">
      <c r="A91" s="713"/>
      <c r="B91" s="714"/>
      <c r="C91" s="698"/>
      <c r="D91" s="698"/>
      <c r="E91" s="698"/>
      <c r="F91" s="698"/>
      <c r="G91" s="703" t="s">
        <v>717</v>
      </c>
      <c r="H91" s="703" t="s">
        <v>718</v>
      </c>
      <c r="I91" s="762">
        <f>F86</f>
        <v>1</v>
      </c>
      <c r="J91" s="763"/>
      <c r="K91" s="759">
        <f>I91*J86</f>
        <v>30</v>
      </c>
      <c r="L91" s="760" t="s">
        <v>719</v>
      </c>
      <c r="M91" s="703" t="s">
        <v>720</v>
      </c>
      <c r="N91" s="703">
        <v>1</v>
      </c>
      <c r="R91" s="787">
        <f>K91*708*566/1000000/0.9</f>
        <v>13.3576</v>
      </c>
      <c r="S91" s="788"/>
      <c r="T91" s="788"/>
      <c r="U91" s="788"/>
      <c r="V91" s="791"/>
      <c r="W91" s="790">
        <f>K91*708*578*3/1000000000</f>
        <v>0.03683016</v>
      </c>
      <c r="X91" s="677">
        <v>0</v>
      </c>
      <c r="Y91" s="672"/>
      <c r="Z91" s="672"/>
    </row>
    <row r="92" customHeight="1" spans="1:26">
      <c r="A92" s="716"/>
      <c r="B92" s="717"/>
      <c r="C92" s="701"/>
      <c r="D92" s="701"/>
      <c r="E92" s="701"/>
      <c r="F92" s="701"/>
      <c r="G92" s="704" t="s">
        <v>593</v>
      </c>
      <c r="H92" s="704" t="s">
        <v>594</v>
      </c>
      <c r="I92" s="764">
        <f>F86</f>
        <v>1</v>
      </c>
      <c r="J92" s="765"/>
      <c r="K92" s="766">
        <f>I92*J86</f>
        <v>30</v>
      </c>
      <c r="L92" s="760" t="s">
        <v>610</v>
      </c>
      <c r="M92" s="703" t="s">
        <v>611</v>
      </c>
      <c r="N92" s="703">
        <v>1</v>
      </c>
      <c r="R92" s="787">
        <f>K92*88*567/1000000/0.9</f>
        <v>1.6632</v>
      </c>
      <c r="S92" s="788">
        <f>K92*((560+720)+10)/1000</f>
        <v>38.7</v>
      </c>
      <c r="T92" s="788">
        <f>S92-U92</f>
        <v>17.01</v>
      </c>
      <c r="U92" s="788">
        <f>S92-0.567*K92</f>
        <v>21.69</v>
      </c>
      <c r="V92" s="793"/>
      <c r="W92" s="790">
        <f>K92*88*567*16/1000000000</f>
        <v>0.02395008</v>
      </c>
      <c r="X92" s="677">
        <v>1</v>
      </c>
      <c r="Y92" s="672"/>
      <c r="Z92" s="672"/>
    </row>
    <row r="93" customHeight="1" spans="1:26">
      <c r="A93" s="711"/>
      <c r="B93" s="712" t="s">
        <v>726</v>
      </c>
      <c r="C93" s="693">
        <v>900</v>
      </c>
      <c r="D93" s="693">
        <v>300</v>
      </c>
      <c r="E93" s="693">
        <v>720</v>
      </c>
      <c r="F93" s="693">
        <v>1</v>
      </c>
      <c r="G93" s="702" t="s">
        <v>681</v>
      </c>
      <c r="H93" s="702" t="s">
        <v>682</v>
      </c>
      <c r="I93" s="757">
        <f>F93</f>
        <v>1</v>
      </c>
      <c r="J93" s="769">
        <v>40</v>
      </c>
      <c r="K93" s="759">
        <f>I93*J93</f>
        <v>40</v>
      </c>
      <c r="L93" s="760" t="s">
        <v>683</v>
      </c>
      <c r="M93" s="703" t="s">
        <v>684</v>
      </c>
      <c r="N93" s="703">
        <v>1</v>
      </c>
      <c r="R93" s="787">
        <f>K93*300*720/1000000/0.9</f>
        <v>9.6</v>
      </c>
      <c r="S93" s="788">
        <f>K93*((300+720)*2+40)/1000</f>
        <v>83.2</v>
      </c>
      <c r="T93" s="788">
        <f t="shared" si="1"/>
        <v>28.8</v>
      </c>
      <c r="U93" s="788">
        <f>S93-0.72*K93</f>
        <v>54.4</v>
      </c>
      <c r="V93" s="789">
        <f>J93*11</f>
        <v>440</v>
      </c>
      <c r="W93" s="790">
        <f>K93*300*720*16/1000000000</f>
        <v>0.13824</v>
      </c>
      <c r="X93" s="677">
        <v>1</v>
      </c>
      <c r="Y93" s="672"/>
      <c r="Z93" s="672"/>
    </row>
    <row r="94" customHeight="1" spans="1:26">
      <c r="A94" s="713"/>
      <c r="B94" s="714"/>
      <c r="C94" s="698"/>
      <c r="D94" s="698"/>
      <c r="E94" s="698"/>
      <c r="F94" s="698"/>
      <c r="G94" s="703" t="s">
        <v>685</v>
      </c>
      <c r="H94" s="703" t="s">
        <v>686</v>
      </c>
      <c r="I94" s="762">
        <f>F93</f>
        <v>1</v>
      </c>
      <c r="J94" s="763"/>
      <c r="K94" s="759">
        <f>I94*J93</f>
        <v>40</v>
      </c>
      <c r="L94" s="760" t="s">
        <v>687</v>
      </c>
      <c r="M94" s="703" t="s">
        <v>688</v>
      </c>
      <c r="N94" s="703">
        <v>1</v>
      </c>
      <c r="R94" s="787">
        <f>K94*300*720/1000000/0.9</f>
        <v>9.6</v>
      </c>
      <c r="S94" s="788">
        <f>K94*((300+720)*2+40)/1000</f>
        <v>83.2</v>
      </c>
      <c r="T94" s="788">
        <f t="shared" si="1"/>
        <v>28.8</v>
      </c>
      <c r="U94" s="788">
        <f>S94-0.72*K94</f>
        <v>54.4</v>
      </c>
      <c r="V94" s="791"/>
      <c r="W94" s="790">
        <f>K94*300*720*16/1000000000</f>
        <v>0.13824</v>
      </c>
      <c r="X94" s="677">
        <v>1</v>
      </c>
      <c r="Y94" s="672"/>
      <c r="Z94" s="672"/>
    </row>
    <row r="95" customHeight="1" spans="1:26">
      <c r="A95" s="713"/>
      <c r="B95" s="714"/>
      <c r="C95" s="698"/>
      <c r="D95" s="698"/>
      <c r="E95" s="698"/>
      <c r="F95" s="698"/>
      <c r="G95" s="703" t="s">
        <v>727</v>
      </c>
      <c r="H95" s="703" t="s">
        <v>728</v>
      </c>
      <c r="I95" s="762">
        <f>F93</f>
        <v>1</v>
      </c>
      <c r="J95" s="763"/>
      <c r="K95" s="759">
        <f>I95*J93</f>
        <v>40</v>
      </c>
      <c r="L95" s="760" t="s">
        <v>729</v>
      </c>
      <c r="M95" s="703" t="s">
        <v>730</v>
      </c>
      <c r="N95" s="703">
        <v>1</v>
      </c>
      <c r="R95" s="787">
        <f>K95*300*867/1000000/0.9</f>
        <v>11.56</v>
      </c>
      <c r="S95" s="788">
        <f>K95*((300+867)*2+40)/1000</f>
        <v>94.96</v>
      </c>
      <c r="T95" s="788">
        <f t="shared" si="1"/>
        <v>34.68</v>
      </c>
      <c r="U95" s="788">
        <f>S95-0.867*K95</f>
        <v>60.28</v>
      </c>
      <c r="V95" s="791"/>
      <c r="W95" s="790">
        <f>K95*300*867*16/1000000000</f>
        <v>0.166464</v>
      </c>
      <c r="X95" s="677">
        <v>1</v>
      </c>
      <c r="Y95" s="672"/>
      <c r="Z95" s="672"/>
    </row>
    <row r="96" customHeight="1" spans="1:26">
      <c r="A96" s="713"/>
      <c r="B96" s="714"/>
      <c r="C96" s="698"/>
      <c r="D96" s="698"/>
      <c r="E96" s="698"/>
      <c r="F96" s="698"/>
      <c r="G96" s="703" t="s">
        <v>731</v>
      </c>
      <c r="H96" s="703" t="s">
        <v>732</v>
      </c>
      <c r="I96" s="762">
        <f>F93</f>
        <v>1</v>
      </c>
      <c r="J96" s="763"/>
      <c r="K96" s="759">
        <f>I96*J93</f>
        <v>40</v>
      </c>
      <c r="L96" s="760" t="s">
        <v>733</v>
      </c>
      <c r="M96" s="703" t="s">
        <v>734</v>
      </c>
      <c r="N96" s="703">
        <v>1</v>
      </c>
      <c r="R96" s="787">
        <f>K96*277*867/1000000/0.9</f>
        <v>10.6737333333333</v>
      </c>
      <c r="S96" s="788">
        <f>K96*((277+867)*2+40)/1000</f>
        <v>93.12</v>
      </c>
      <c r="T96" s="788">
        <f t="shared" si="1"/>
        <v>34.68</v>
      </c>
      <c r="U96" s="788">
        <f>S96-0.867*K96</f>
        <v>58.44</v>
      </c>
      <c r="V96" s="791"/>
      <c r="W96" s="790">
        <f>K96*277*867*16/1000000000</f>
        <v>0.15370176</v>
      </c>
      <c r="X96" s="677">
        <v>0</v>
      </c>
      <c r="Y96" s="672"/>
      <c r="Z96" s="672"/>
    </row>
    <row r="97" customHeight="1" spans="1:26">
      <c r="A97" s="713"/>
      <c r="B97" s="714"/>
      <c r="C97" s="698"/>
      <c r="D97" s="698"/>
      <c r="E97" s="698"/>
      <c r="F97" s="698"/>
      <c r="G97" s="703" t="s">
        <v>735</v>
      </c>
      <c r="H97" s="703" t="s">
        <v>736</v>
      </c>
      <c r="I97" s="762">
        <f>F93</f>
        <v>1</v>
      </c>
      <c r="J97" s="763"/>
      <c r="K97" s="759">
        <f>I97*J93</f>
        <v>40</v>
      </c>
      <c r="L97" s="760" t="s">
        <v>737</v>
      </c>
      <c r="M97" s="703" t="s">
        <v>738</v>
      </c>
      <c r="N97" s="703">
        <v>1</v>
      </c>
      <c r="R97" s="787">
        <f>K97*254*866/1000000/0.9</f>
        <v>9.77617777777778</v>
      </c>
      <c r="S97" s="788">
        <f>K97*((254+866)*2+40)/1000</f>
        <v>91.2</v>
      </c>
      <c r="T97" s="788">
        <f t="shared" si="1"/>
        <v>34.64</v>
      </c>
      <c r="U97" s="788">
        <f>S97-0.866*K97</f>
        <v>56.56</v>
      </c>
      <c r="V97" s="791"/>
      <c r="W97" s="790">
        <f>K97*254*866*16/1000000000</f>
        <v>0.14077696</v>
      </c>
      <c r="X97" s="677">
        <v>0</v>
      </c>
      <c r="Y97" s="672"/>
      <c r="Z97" s="672"/>
    </row>
    <row r="98" customHeight="1" spans="1:26">
      <c r="A98" s="713"/>
      <c r="B98" s="714"/>
      <c r="C98" s="698"/>
      <c r="D98" s="698"/>
      <c r="E98" s="698"/>
      <c r="F98" s="698"/>
      <c r="G98" s="703" t="s">
        <v>739</v>
      </c>
      <c r="H98" s="703" t="s">
        <v>740</v>
      </c>
      <c r="I98" s="762">
        <f>F93</f>
        <v>1</v>
      </c>
      <c r="J98" s="763"/>
      <c r="K98" s="759">
        <f>I98*J93</f>
        <v>40</v>
      </c>
      <c r="L98" s="760" t="s">
        <v>741</v>
      </c>
      <c r="M98" s="703" t="s">
        <v>742</v>
      </c>
      <c r="N98" s="703">
        <v>1</v>
      </c>
      <c r="R98" s="787">
        <f>K98*708*878/1000000/0.9</f>
        <v>27.6277333333333</v>
      </c>
      <c r="S98" s="788"/>
      <c r="T98" s="788"/>
      <c r="U98" s="788"/>
      <c r="V98" s="791"/>
      <c r="W98" s="790">
        <f>K98*708*878*3/1000000000</f>
        <v>0.07459488</v>
      </c>
      <c r="X98" s="677">
        <v>0</v>
      </c>
      <c r="Y98" s="672"/>
      <c r="Z98" s="672"/>
    </row>
    <row r="99" customHeight="1" spans="1:26">
      <c r="A99" s="716"/>
      <c r="B99" s="717"/>
      <c r="C99" s="701"/>
      <c r="D99" s="701"/>
      <c r="E99" s="701"/>
      <c r="F99" s="701"/>
      <c r="G99" s="704" t="s">
        <v>743</v>
      </c>
      <c r="H99" s="704" t="s">
        <v>744</v>
      </c>
      <c r="I99" s="764">
        <f>F93</f>
        <v>1</v>
      </c>
      <c r="J99" s="763"/>
      <c r="K99" s="801">
        <f>I99*J93</f>
        <v>40</v>
      </c>
      <c r="L99" s="802" t="s">
        <v>745</v>
      </c>
      <c r="M99" s="803" t="s">
        <v>746</v>
      </c>
      <c r="N99" s="803">
        <v>1</v>
      </c>
      <c r="R99" s="787">
        <f>K99*88*867/1000000/0.9</f>
        <v>3.39093333333333</v>
      </c>
      <c r="S99" s="788">
        <f>K99*((88+867)+10)/1000</f>
        <v>38.6</v>
      </c>
      <c r="T99" s="788">
        <f t="shared" si="1"/>
        <v>34.64</v>
      </c>
      <c r="U99" s="788">
        <f>S99-0.866*K99</f>
        <v>3.96</v>
      </c>
      <c r="V99" s="793"/>
      <c r="W99" s="790">
        <f>K99*88*867*16/1000000000</f>
        <v>0.04882944</v>
      </c>
      <c r="X99" s="677">
        <v>1</v>
      </c>
      <c r="Y99" s="672"/>
      <c r="Z99" s="672"/>
    </row>
    <row r="100" customHeight="1" spans="1:26">
      <c r="A100" s="711"/>
      <c r="B100" s="712" t="s">
        <v>747</v>
      </c>
      <c r="C100" s="693">
        <v>900</v>
      </c>
      <c r="D100" s="693">
        <v>300</v>
      </c>
      <c r="E100" s="693">
        <v>720</v>
      </c>
      <c r="F100" s="693">
        <v>1</v>
      </c>
      <c r="G100" s="702" t="s">
        <v>681</v>
      </c>
      <c r="H100" s="702" t="s">
        <v>682</v>
      </c>
      <c r="I100" s="757">
        <f>F100</f>
        <v>1</v>
      </c>
      <c r="J100" s="769">
        <v>40</v>
      </c>
      <c r="K100" s="759">
        <f>I100*J100</f>
        <v>40</v>
      </c>
      <c r="L100" s="760" t="s">
        <v>683</v>
      </c>
      <c r="M100" s="703" t="s">
        <v>684</v>
      </c>
      <c r="N100" s="703">
        <v>1</v>
      </c>
      <c r="R100" s="787">
        <f>K100*300*720/1000000/0.9</f>
        <v>9.6</v>
      </c>
      <c r="S100" s="788">
        <f>K100*((300+720)*2+40)/1000</f>
        <v>83.2</v>
      </c>
      <c r="T100" s="788">
        <f t="shared" si="1"/>
        <v>28.8</v>
      </c>
      <c r="U100" s="788">
        <f>S100-0.72*K100</f>
        <v>54.4</v>
      </c>
      <c r="V100" s="789">
        <f>J100*11</f>
        <v>440</v>
      </c>
      <c r="W100" s="790">
        <f>K100*300*720*16/1000000000</f>
        <v>0.13824</v>
      </c>
      <c r="X100" s="677">
        <v>1</v>
      </c>
      <c r="Y100" s="672"/>
      <c r="Z100" s="672"/>
    </row>
    <row r="101" customHeight="1" spans="1:26">
      <c r="A101" s="713"/>
      <c r="B101" s="714"/>
      <c r="C101" s="698"/>
      <c r="D101" s="698"/>
      <c r="E101" s="698"/>
      <c r="F101" s="698"/>
      <c r="G101" s="703" t="s">
        <v>685</v>
      </c>
      <c r="H101" s="703" t="s">
        <v>686</v>
      </c>
      <c r="I101" s="762">
        <f>F100</f>
        <v>1</v>
      </c>
      <c r="J101" s="763"/>
      <c r="K101" s="759">
        <f>I101*J100</f>
        <v>40</v>
      </c>
      <c r="L101" s="760" t="s">
        <v>687</v>
      </c>
      <c r="M101" s="703" t="s">
        <v>688</v>
      </c>
      <c r="N101" s="703">
        <v>1</v>
      </c>
      <c r="R101" s="787">
        <f>K101*300*720/1000000/0.9</f>
        <v>9.6</v>
      </c>
      <c r="S101" s="788">
        <f>K101*((300+720)*2+40)/1000</f>
        <v>83.2</v>
      </c>
      <c r="T101" s="788">
        <f t="shared" si="1"/>
        <v>28.8</v>
      </c>
      <c r="U101" s="788">
        <f>S101-0.72*K101</f>
        <v>54.4</v>
      </c>
      <c r="V101" s="791"/>
      <c r="W101" s="790">
        <f>K101*300*720*16/1000000000</f>
        <v>0.13824</v>
      </c>
      <c r="X101" s="677">
        <v>1</v>
      </c>
      <c r="Y101" s="672"/>
      <c r="Z101" s="672"/>
    </row>
    <row r="102" customHeight="1" spans="1:26">
      <c r="A102" s="713"/>
      <c r="B102" s="714"/>
      <c r="C102" s="698"/>
      <c r="D102" s="698"/>
      <c r="E102" s="698"/>
      <c r="F102" s="698"/>
      <c r="G102" s="703" t="s">
        <v>727</v>
      </c>
      <c r="H102" s="703" t="s">
        <v>728</v>
      </c>
      <c r="I102" s="762">
        <f>F100</f>
        <v>1</v>
      </c>
      <c r="J102" s="763"/>
      <c r="K102" s="759">
        <f>I102*J100</f>
        <v>40</v>
      </c>
      <c r="L102" s="760" t="s">
        <v>729</v>
      </c>
      <c r="M102" s="703" t="s">
        <v>730</v>
      </c>
      <c r="N102" s="703">
        <v>1</v>
      </c>
      <c r="R102" s="787">
        <f>K102*300*867/1000000/0.9</f>
        <v>11.56</v>
      </c>
      <c r="S102" s="788">
        <f>K102*((300+867)*2+40)/1000</f>
        <v>94.96</v>
      </c>
      <c r="T102" s="788">
        <f t="shared" si="1"/>
        <v>34.68</v>
      </c>
      <c r="U102" s="788">
        <f>S102-0.867*K102</f>
        <v>60.28</v>
      </c>
      <c r="V102" s="791"/>
      <c r="W102" s="790">
        <f>K102*300*867*16/1000000000</f>
        <v>0.166464</v>
      </c>
      <c r="X102" s="677">
        <v>1</v>
      </c>
      <c r="Y102" s="672"/>
      <c r="Z102" s="672"/>
    </row>
    <row r="103" customHeight="1" spans="1:26">
      <c r="A103" s="713"/>
      <c r="B103" s="714"/>
      <c r="C103" s="698"/>
      <c r="D103" s="698"/>
      <c r="E103" s="698"/>
      <c r="F103" s="698"/>
      <c r="G103" s="703" t="s">
        <v>731</v>
      </c>
      <c r="H103" s="703" t="s">
        <v>732</v>
      </c>
      <c r="I103" s="762">
        <f>F100</f>
        <v>1</v>
      </c>
      <c r="J103" s="763"/>
      <c r="K103" s="759">
        <f>I103*J100</f>
        <v>40</v>
      </c>
      <c r="L103" s="760" t="s">
        <v>733</v>
      </c>
      <c r="M103" s="703" t="s">
        <v>734</v>
      </c>
      <c r="N103" s="703">
        <v>1</v>
      </c>
      <c r="R103" s="787">
        <f>K103*277*867/1000000/0.9</f>
        <v>10.6737333333333</v>
      </c>
      <c r="S103" s="788">
        <f>K103*((277+867)*2+40)/1000</f>
        <v>93.12</v>
      </c>
      <c r="T103" s="788">
        <f t="shared" si="1"/>
        <v>34.68</v>
      </c>
      <c r="U103" s="788">
        <f>S103-0.867*K103</f>
        <v>58.44</v>
      </c>
      <c r="V103" s="791"/>
      <c r="W103" s="790">
        <f>K103*277*867*16/1000000000</f>
        <v>0.15370176</v>
      </c>
      <c r="X103" s="677">
        <v>0</v>
      </c>
      <c r="Y103" s="672"/>
      <c r="Z103" s="672"/>
    </row>
    <row r="104" customHeight="1" spans="1:26">
      <c r="A104" s="713"/>
      <c r="B104" s="714"/>
      <c r="C104" s="698"/>
      <c r="D104" s="698"/>
      <c r="E104" s="698"/>
      <c r="F104" s="698"/>
      <c r="G104" s="730" t="s">
        <v>748</v>
      </c>
      <c r="H104" s="730" t="s">
        <v>749</v>
      </c>
      <c r="I104" s="762">
        <f>F100</f>
        <v>1</v>
      </c>
      <c r="J104" s="763"/>
      <c r="K104" s="759">
        <f>I104*J100</f>
        <v>40</v>
      </c>
      <c r="L104" s="760" t="s">
        <v>737</v>
      </c>
      <c r="M104" s="703" t="s">
        <v>738</v>
      </c>
      <c r="N104" s="703">
        <v>1</v>
      </c>
      <c r="R104" s="787">
        <f>K104*254*866/1000000/0.9</f>
        <v>9.77617777777778</v>
      </c>
      <c r="S104" s="788">
        <f>K104*((254+866)*2+40)/1000</f>
        <v>91.2</v>
      </c>
      <c r="T104" s="788">
        <f t="shared" si="1"/>
        <v>34.64</v>
      </c>
      <c r="U104" s="788">
        <f>S104-0.866*K104</f>
        <v>56.56</v>
      </c>
      <c r="V104" s="791"/>
      <c r="W104" s="790">
        <f>K104*254*866*16/1000000000</f>
        <v>0.14077696</v>
      </c>
      <c r="X104" s="677">
        <v>0</v>
      </c>
      <c r="Y104" s="672"/>
      <c r="Z104" s="672"/>
    </row>
    <row r="105" customHeight="1" spans="1:26">
      <c r="A105" s="713"/>
      <c r="B105" s="714"/>
      <c r="C105" s="698"/>
      <c r="D105" s="698"/>
      <c r="E105" s="698"/>
      <c r="F105" s="698"/>
      <c r="G105" s="703" t="s">
        <v>739</v>
      </c>
      <c r="H105" s="703" t="s">
        <v>740</v>
      </c>
      <c r="I105" s="762">
        <f>F100</f>
        <v>1</v>
      </c>
      <c r="J105" s="763"/>
      <c r="K105" s="759">
        <f>I105*J100</f>
        <v>40</v>
      </c>
      <c r="L105" s="760" t="s">
        <v>741</v>
      </c>
      <c r="M105" s="703" t="s">
        <v>742</v>
      </c>
      <c r="N105" s="703">
        <v>1</v>
      </c>
      <c r="R105" s="787">
        <f>K105*708*878/1000000/0.9</f>
        <v>27.6277333333333</v>
      </c>
      <c r="S105" s="788"/>
      <c r="T105" s="788"/>
      <c r="U105" s="788"/>
      <c r="V105" s="791"/>
      <c r="W105" s="790">
        <f>K105*708*878*3/1000000000</f>
        <v>0.07459488</v>
      </c>
      <c r="X105" s="677">
        <v>0</v>
      </c>
      <c r="Y105" s="672"/>
      <c r="Z105" s="672"/>
    </row>
    <row r="106" customHeight="1" spans="1:26">
      <c r="A106" s="716"/>
      <c r="B106" s="717"/>
      <c r="C106" s="701"/>
      <c r="D106" s="701"/>
      <c r="E106" s="701"/>
      <c r="F106" s="701"/>
      <c r="G106" s="704" t="s">
        <v>743</v>
      </c>
      <c r="H106" s="704" t="s">
        <v>744</v>
      </c>
      <c r="I106" s="764">
        <f>F100</f>
        <v>1</v>
      </c>
      <c r="J106" s="763"/>
      <c r="K106" s="801">
        <f>I106*J100</f>
        <v>40</v>
      </c>
      <c r="L106" s="802" t="s">
        <v>745</v>
      </c>
      <c r="M106" s="803" t="s">
        <v>746</v>
      </c>
      <c r="N106" s="803">
        <v>1</v>
      </c>
      <c r="R106" s="787">
        <f>K106*88*867/1000000/0.9</f>
        <v>3.39093333333333</v>
      </c>
      <c r="S106" s="788">
        <f>K106*((88+867)+10)/1000</f>
        <v>38.6</v>
      </c>
      <c r="T106" s="788">
        <f>S106-U106</f>
        <v>34.64</v>
      </c>
      <c r="U106" s="788">
        <f>S106-0.866*K106</f>
        <v>3.96</v>
      </c>
      <c r="V106" s="793"/>
      <c r="W106" s="790">
        <f>K106*88*867*16/1000000000</f>
        <v>0.04882944</v>
      </c>
      <c r="X106" s="677">
        <v>1</v>
      </c>
      <c r="Y106" s="672"/>
      <c r="Z106" s="672"/>
    </row>
    <row r="107" customFormat="1" customHeight="1" spans="1:19">
      <c r="A107" s="711"/>
      <c r="B107" s="712" t="s">
        <v>750</v>
      </c>
      <c r="C107" s="693">
        <v>900</v>
      </c>
      <c r="D107" s="693">
        <v>300</v>
      </c>
      <c r="E107" s="693">
        <v>720</v>
      </c>
      <c r="F107" s="718">
        <v>1</v>
      </c>
      <c r="G107" s="695" t="s">
        <v>751</v>
      </c>
      <c r="H107" s="695" t="s">
        <v>752</v>
      </c>
      <c r="I107" s="752">
        <f>F107</f>
        <v>1</v>
      </c>
      <c r="J107" s="804" t="e">
        <f>I107*#REF!</f>
        <v>#REF!</v>
      </c>
      <c r="K107" s="754"/>
      <c r="L107" s="768"/>
      <c r="M107" s="768"/>
      <c r="N107" s="768"/>
      <c r="O107" s="768"/>
      <c r="P107" s="768"/>
      <c r="Q107" s="785" t="e">
        <f>J107*300*720/1000000/0.9</f>
        <v>#REF!</v>
      </c>
      <c r="R107" s="768"/>
      <c r="S107" s="768"/>
    </row>
    <row r="108" customFormat="1" customHeight="1" spans="1:19">
      <c r="A108" s="713"/>
      <c r="B108" s="714"/>
      <c r="C108" s="698"/>
      <c r="D108" s="698"/>
      <c r="E108" s="698"/>
      <c r="F108" s="706"/>
      <c r="G108" s="700" t="s">
        <v>753</v>
      </c>
      <c r="H108" s="700" t="s">
        <v>754</v>
      </c>
      <c r="I108" s="756">
        <f>F107</f>
        <v>1</v>
      </c>
      <c r="J108" s="804" t="e">
        <f>I108*#REF!</f>
        <v>#REF!</v>
      </c>
      <c r="K108" s="754"/>
      <c r="L108" s="768"/>
      <c r="M108" s="768"/>
      <c r="N108" s="768"/>
      <c r="O108" s="768"/>
      <c r="P108" s="768"/>
      <c r="Q108" s="785" t="e">
        <f>J108*300*720/1000000/0.9</f>
        <v>#REF!</v>
      </c>
      <c r="R108" s="768"/>
      <c r="S108" s="768"/>
    </row>
    <row r="109" customFormat="1" customHeight="1" spans="1:19">
      <c r="A109" s="713"/>
      <c r="B109" s="714"/>
      <c r="C109" s="698"/>
      <c r="D109" s="698"/>
      <c r="E109" s="698"/>
      <c r="F109" s="706"/>
      <c r="G109" s="700" t="s">
        <v>727</v>
      </c>
      <c r="H109" s="700" t="s">
        <v>728</v>
      </c>
      <c r="I109" s="756">
        <f>F107</f>
        <v>1</v>
      </c>
      <c r="J109" s="804" t="e">
        <f>I107*#REF!</f>
        <v>#REF!</v>
      </c>
      <c r="K109" s="754"/>
      <c r="L109" s="768"/>
      <c r="M109" s="768"/>
      <c r="N109" s="768"/>
      <c r="O109" s="768"/>
      <c r="P109" s="768"/>
      <c r="Q109" s="785" t="e">
        <f>J109*300*867/1000000/0.9</f>
        <v>#REF!</v>
      </c>
      <c r="R109" s="768"/>
      <c r="S109" s="768"/>
    </row>
    <row r="110" customFormat="1" customHeight="1" spans="1:19">
      <c r="A110" s="713"/>
      <c r="B110" s="714"/>
      <c r="C110" s="698"/>
      <c r="D110" s="698"/>
      <c r="E110" s="698"/>
      <c r="F110" s="706"/>
      <c r="G110" s="700" t="s">
        <v>755</v>
      </c>
      <c r="H110" s="700" t="s">
        <v>756</v>
      </c>
      <c r="I110" s="756">
        <f>F107*2</f>
        <v>2</v>
      </c>
      <c r="J110" s="804" t="e">
        <f>I110*#REF!</f>
        <v>#REF!</v>
      </c>
      <c r="K110" s="754"/>
      <c r="L110" s="768"/>
      <c r="M110" s="768"/>
      <c r="N110" s="768"/>
      <c r="O110" s="768"/>
      <c r="P110" s="768"/>
      <c r="Q110" s="785" t="e">
        <f>J110*277*867/1000000/0.9</f>
        <v>#REF!</v>
      </c>
      <c r="R110" s="768"/>
      <c r="S110" s="768"/>
    </row>
    <row r="111" customFormat="1" customHeight="1" spans="1:19">
      <c r="A111" s="713"/>
      <c r="B111" s="714"/>
      <c r="C111" s="698"/>
      <c r="D111" s="698"/>
      <c r="E111" s="698"/>
      <c r="F111" s="706"/>
      <c r="G111" s="700" t="s">
        <v>739</v>
      </c>
      <c r="H111" s="700" t="s">
        <v>740</v>
      </c>
      <c r="I111" s="756">
        <f>F107</f>
        <v>1</v>
      </c>
      <c r="J111" s="804" t="e">
        <f>I111*#REF!</f>
        <v>#REF!</v>
      </c>
      <c r="K111" s="754"/>
      <c r="L111" s="768"/>
      <c r="M111" s="768"/>
      <c r="N111" s="768"/>
      <c r="O111" s="768"/>
      <c r="P111" s="768"/>
      <c r="Q111" s="785" t="e">
        <f>J111*708*878/1000000/0.9</f>
        <v>#REF!</v>
      </c>
      <c r="R111" s="768"/>
      <c r="S111" s="768"/>
    </row>
    <row r="112" customFormat="1" customHeight="1" spans="1:19">
      <c r="A112" s="716"/>
      <c r="B112" s="717"/>
      <c r="C112" s="701"/>
      <c r="D112" s="701"/>
      <c r="E112" s="701"/>
      <c r="F112" s="719"/>
      <c r="G112" s="720" t="s">
        <v>743</v>
      </c>
      <c r="H112" s="720" t="s">
        <v>744</v>
      </c>
      <c r="I112" s="771">
        <f>F107</f>
        <v>1</v>
      </c>
      <c r="J112" s="804" t="e">
        <f>I112*#REF!</f>
        <v>#REF!</v>
      </c>
      <c r="K112" s="754"/>
      <c r="L112" s="768"/>
      <c r="M112" s="768"/>
      <c r="N112" s="768"/>
      <c r="O112" s="768"/>
      <c r="P112" s="768"/>
      <c r="Q112" s="785" t="e">
        <f>J112*88*867/1000000/0.9</f>
        <v>#REF!</v>
      </c>
      <c r="R112" s="768"/>
      <c r="S112" s="768"/>
    </row>
    <row r="115" customHeight="1" spans="2:7">
      <c r="B115" s="676" t="s">
        <v>757</v>
      </c>
      <c r="G115" s="676" t="s">
        <v>758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view="pageBreakPreview" zoomScaleNormal="100" zoomScaleSheetLayoutView="100" topLeftCell="A92" workbookViewId="0">
      <selection activeCell="E128" sqref="E128:E130"/>
    </sheetView>
  </sheetViews>
  <sheetFormatPr defaultColWidth="8.875" defaultRowHeight="13.5" customHeight="1"/>
  <cols>
    <col min="1" max="4" width="6" style="658" customWidth="1"/>
    <col min="5" max="5" width="6" style="659" customWidth="1"/>
    <col min="6" max="6" width="6.875" style="658" customWidth="1"/>
    <col min="7" max="7" width="38.625" style="658" customWidth="1"/>
    <col min="8" max="8" width="1.125" style="658" hidden="1" customWidth="1"/>
    <col min="9" max="9" width="5.5" style="658" customWidth="1"/>
    <col min="10" max="10" width="4.875" style="658" customWidth="1"/>
    <col min="11" max="11" width="13.75" style="660" customWidth="1"/>
    <col min="12" max="12" width="8.875" style="658"/>
    <col min="13" max="13" width="26.5" style="658" customWidth="1"/>
    <col min="14" max="16384" width="8.875" style="658"/>
  </cols>
  <sheetData>
    <row r="1" ht="21" customHeight="1" spans="1:11">
      <c r="A1" s="4" t="s">
        <v>759</v>
      </c>
      <c r="B1" s="4"/>
      <c r="C1" s="4"/>
      <c r="D1" s="4"/>
      <c r="E1" s="4"/>
      <c r="F1" s="4"/>
      <c r="G1" s="4"/>
      <c r="H1" s="4"/>
      <c r="I1" s="4"/>
      <c r="J1" s="4"/>
      <c r="K1" s="4"/>
    </row>
    <row r="2" customHeight="1" spans="1:11">
      <c r="A2" s="5" t="s">
        <v>411</v>
      </c>
      <c r="B2" s="5"/>
      <c r="C2" s="5">
        <f>下料单!J2</f>
        <v>0</v>
      </c>
      <c r="D2" s="5"/>
      <c r="E2" s="5"/>
      <c r="F2" s="5"/>
      <c r="G2" s="5"/>
      <c r="H2" s="5"/>
      <c r="I2" s="5" t="s">
        <v>760</v>
      </c>
      <c r="J2" s="5"/>
      <c r="K2" s="662">
        <f>下料单!W2</f>
        <v>0</v>
      </c>
    </row>
    <row r="3" customHeight="1" spans="1:11">
      <c r="A3" s="7" t="s">
        <v>1</v>
      </c>
      <c r="B3" s="7"/>
      <c r="C3" s="7">
        <f>下料单!C2</f>
        <v>0</v>
      </c>
      <c r="D3" s="7"/>
      <c r="E3" s="7" t="s">
        <v>6</v>
      </c>
      <c r="F3" s="7"/>
      <c r="G3" s="8">
        <f>下料单!AB2</f>
        <v>0</v>
      </c>
      <c r="H3" s="8"/>
      <c r="I3" s="7" t="s">
        <v>761</v>
      </c>
      <c r="J3" s="7"/>
      <c r="K3" s="663" t="str">
        <f>柜体!B3</f>
        <v>简爱</v>
      </c>
    </row>
    <row r="4" customHeight="1" spans="1:11">
      <c r="A4" s="7">
        <f>下料单!W2</f>
        <v>0</v>
      </c>
      <c r="B4" s="7"/>
      <c r="C4" s="7">
        <f>下料单!Y2</f>
        <v>0</v>
      </c>
      <c r="D4" s="7"/>
      <c r="E4" s="7" t="s">
        <v>9</v>
      </c>
      <c r="F4" s="7"/>
      <c r="G4" s="9">
        <f>下料单!AG2</f>
        <v>0</v>
      </c>
      <c r="H4" s="9"/>
      <c r="I4" s="7"/>
      <c r="J4" s="7"/>
      <c r="K4" s="29"/>
    </row>
    <row r="5" customHeight="1" spans="1:11">
      <c r="A5" s="10" t="s">
        <v>762</v>
      </c>
      <c r="B5" s="10"/>
      <c r="C5" s="10"/>
      <c r="D5" s="10"/>
      <c r="E5" s="10"/>
      <c r="F5" s="10"/>
      <c r="G5" s="10"/>
      <c r="H5" s="10"/>
      <c r="I5" s="10"/>
      <c r="J5" s="10"/>
      <c r="K5" s="10"/>
    </row>
    <row r="6" customHeight="1" spans="1:11">
      <c r="A6" s="11" t="s">
        <v>763</v>
      </c>
      <c r="B6" s="12"/>
      <c r="C6" s="12"/>
      <c r="D6" s="12"/>
      <c r="E6" s="12"/>
      <c r="F6" s="12"/>
      <c r="G6" s="12"/>
      <c r="H6" s="12"/>
      <c r="I6" s="12"/>
      <c r="J6" s="12"/>
      <c r="K6" s="30"/>
    </row>
    <row r="7" customHeight="1" spans="1:13">
      <c r="A7" s="13" t="s">
        <v>22</v>
      </c>
      <c r="B7" s="13" t="s">
        <v>764</v>
      </c>
      <c r="C7" s="13" t="s">
        <v>765</v>
      </c>
      <c r="D7" s="13" t="s">
        <v>766</v>
      </c>
      <c r="E7" s="14"/>
      <c r="F7" s="13" t="s">
        <v>767</v>
      </c>
      <c r="G7" s="13" t="s">
        <v>768</v>
      </c>
      <c r="H7" s="13" t="s">
        <v>543</v>
      </c>
      <c r="I7" s="13" t="s">
        <v>90</v>
      </c>
      <c r="J7" s="13" t="s">
        <v>26</v>
      </c>
      <c r="K7" s="13" t="s">
        <v>30</v>
      </c>
      <c r="M7" s="664"/>
    </row>
    <row r="8" customHeight="1" spans="1:11">
      <c r="A8" s="13">
        <v>1</v>
      </c>
      <c r="B8" s="13">
        <v>150</v>
      </c>
      <c r="C8" s="13">
        <v>720</v>
      </c>
      <c r="D8" s="13">
        <v>560</v>
      </c>
      <c r="E8" s="15">
        <v>1</v>
      </c>
      <c r="F8" s="13" t="s">
        <v>769</v>
      </c>
      <c r="G8" s="16" t="s">
        <v>770</v>
      </c>
      <c r="H8" s="18" t="s">
        <v>771</v>
      </c>
      <c r="I8" s="13">
        <f>+E8*1</f>
        <v>1</v>
      </c>
      <c r="J8" s="13" t="s">
        <v>315</v>
      </c>
      <c r="K8" s="18" t="s">
        <v>772</v>
      </c>
    </row>
    <row r="9" customHeight="1" spans="1:11">
      <c r="A9" s="13"/>
      <c r="B9" s="13"/>
      <c r="C9" s="13"/>
      <c r="D9" s="13"/>
      <c r="E9" s="17"/>
      <c r="F9" s="13"/>
      <c r="G9" s="18" t="s">
        <v>773</v>
      </c>
      <c r="H9" s="18" t="s">
        <v>774</v>
      </c>
      <c r="I9" s="13">
        <f>+E8*8</f>
        <v>8</v>
      </c>
      <c r="J9" s="13" t="s">
        <v>315</v>
      </c>
      <c r="K9" s="18"/>
    </row>
    <row r="10" customHeight="1" spans="1:11">
      <c r="A10" s="13"/>
      <c r="B10" s="13"/>
      <c r="C10" s="13"/>
      <c r="D10" s="13"/>
      <c r="E10" s="19"/>
      <c r="F10" s="13"/>
      <c r="G10" s="18" t="s">
        <v>775</v>
      </c>
      <c r="H10" s="18" t="s">
        <v>776</v>
      </c>
      <c r="I10" s="13">
        <f>+E8*1.6</f>
        <v>1.6</v>
      </c>
      <c r="J10" s="13" t="s">
        <v>261</v>
      </c>
      <c r="K10" s="18"/>
    </row>
    <row r="11" customHeight="1" spans="1:11">
      <c r="A11" s="13">
        <v>2</v>
      </c>
      <c r="B11" s="13">
        <v>150</v>
      </c>
      <c r="C11" s="13">
        <v>720</v>
      </c>
      <c r="D11" s="13">
        <v>560</v>
      </c>
      <c r="E11" s="15">
        <v>1</v>
      </c>
      <c r="F11" s="13" t="s">
        <v>769</v>
      </c>
      <c r="G11" s="18" t="s">
        <v>777</v>
      </c>
      <c r="H11" s="18" t="s">
        <v>771</v>
      </c>
      <c r="I11" s="13">
        <f>+E11*0.7</f>
        <v>0.7</v>
      </c>
      <c r="J11" s="13" t="s">
        <v>231</v>
      </c>
      <c r="K11" s="18" t="s">
        <v>778</v>
      </c>
    </row>
    <row r="12" customHeight="1" spans="1:11">
      <c r="A12" s="13"/>
      <c r="B12" s="13"/>
      <c r="C12" s="13"/>
      <c r="D12" s="13"/>
      <c r="E12" s="17"/>
      <c r="F12" s="13"/>
      <c r="G12" s="18" t="s">
        <v>773</v>
      </c>
      <c r="H12" s="18" t="s">
        <v>774</v>
      </c>
      <c r="I12" s="13">
        <f>+E11*8</f>
        <v>8</v>
      </c>
      <c r="J12" s="13" t="s">
        <v>315</v>
      </c>
      <c r="K12" s="18"/>
    </row>
    <row r="13" customHeight="1" spans="1:11">
      <c r="A13" s="13"/>
      <c r="B13" s="13"/>
      <c r="C13" s="13"/>
      <c r="D13" s="13"/>
      <c r="E13" s="19"/>
      <c r="F13" s="13"/>
      <c r="G13" s="18" t="s">
        <v>775</v>
      </c>
      <c r="H13" s="18" t="s">
        <v>776</v>
      </c>
      <c r="I13" s="13">
        <f>+E11*1.6</f>
        <v>1.6</v>
      </c>
      <c r="J13" s="13" t="s">
        <v>261</v>
      </c>
      <c r="K13" s="18"/>
    </row>
    <row r="14" customHeight="1" spans="1:11">
      <c r="A14" s="13">
        <v>3</v>
      </c>
      <c r="B14" s="13">
        <v>300</v>
      </c>
      <c r="C14" s="13">
        <v>720</v>
      </c>
      <c r="D14" s="13">
        <v>560</v>
      </c>
      <c r="E14" s="15">
        <v>1</v>
      </c>
      <c r="F14" s="13" t="s">
        <v>769</v>
      </c>
      <c r="G14" s="18" t="s">
        <v>779</v>
      </c>
      <c r="H14" s="18" t="s">
        <v>771</v>
      </c>
      <c r="I14" s="13">
        <f>+E14*1</f>
        <v>1</v>
      </c>
      <c r="J14" s="13" t="s">
        <v>315</v>
      </c>
      <c r="K14" s="13"/>
    </row>
    <row r="15" customHeight="1" spans="1:11">
      <c r="A15" s="13"/>
      <c r="B15" s="13"/>
      <c r="C15" s="13"/>
      <c r="D15" s="13"/>
      <c r="E15" s="17"/>
      <c r="F15" s="13"/>
      <c r="G15" s="18" t="s">
        <v>773</v>
      </c>
      <c r="H15" s="18" t="s">
        <v>774</v>
      </c>
      <c r="I15" s="13">
        <f>+E14*8</f>
        <v>8</v>
      </c>
      <c r="J15" s="13" t="s">
        <v>315</v>
      </c>
      <c r="K15" s="13"/>
    </row>
    <row r="16" customHeight="1" spans="1:11">
      <c r="A16" s="13"/>
      <c r="B16" s="13"/>
      <c r="C16" s="13"/>
      <c r="D16" s="13"/>
      <c r="E16" s="19"/>
      <c r="F16" s="13"/>
      <c r="G16" s="18" t="s">
        <v>775</v>
      </c>
      <c r="H16" s="18" t="s">
        <v>776</v>
      </c>
      <c r="I16" s="13">
        <f>+E14*1.9</f>
        <v>1.9</v>
      </c>
      <c r="J16" s="13" t="s">
        <v>261</v>
      </c>
      <c r="K16" s="13"/>
    </row>
    <row r="17" customHeight="1" spans="1:11">
      <c r="A17" s="13">
        <v>4</v>
      </c>
      <c r="B17" s="13">
        <v>450</v>
      </c>
      <c r="C17" s="13">
        <v>720</v>
      </c>
      <c r="D17" s="13">
        <v>560</v>
      </c>
      <c r="E17" s="15">
        <v>1</v>
      </c>
      <c r="F17" s="13" t="s">
        <v>780</v>
      </c>
      <c r="G17" s="16" t="s">
        <v>781</v>
      </c>
      <c r="H17" s="18" t="s">
        <v>771</v>
      </c>
      <c r="I17" s="13">
        <f>+E17*1</f>
        <v>1</v>
      </c>
      <c r="J17" s="13" t="s">
        <v>315</v>
      </c>
      <c r="K17" s="13"/>
    </row>
    <row r="18" customHeight="1" spans="1:11">
      <c r="A18" s="13"/>
      <c r="B18" s="13"/>
      <c r="C18" s="13"/>
      <c r="D18" s="13"/>
      <c r="E18" s="17"/>
      <c r="F18" s="13"/>
      <c r="G18" s="18" t="s">
        <v>773</v>
      </c>
      <c r="H18" s="18" t="s">
        <v>774</v>
      </c>
      <c r="I18" s="13">
        <f>+E17*8</f>
        <v>8</v>
      </c>
      <c r="J18" s="13" t="s">
        <v>315</v>
      </c>
      <c r="K18" s="13"/>
    </row>
    <row r="19" customHeight="1" spans="1:11">
      <c r="A19" s="13"/>
      <c r="B19" s="13"/>
      <c r="C19" s="13"/>
      <c r="D19" s="13"/>
      <c r="E19" s="19"/>
      <c r="F19" s="13"/>
      <c r="G19" s="18" t="s">
        <v>775</v>
      </c>
      <c r="H19" s="18" t="s">
        <v>776</v>
      </c>
      <c r="I19" s="13">
        <f>+E17*2.2</f>
        <v>2.2</v>
      </c>
      <c r="J19" s="13" t="s">
        <v>261</v>
      </c>
      <c r="K19" s="13"/>
    </row>
    <row r="20" customHeight="1" spans="1:11">
      <c r="A20" s="13">
        <v>5</v>
      </c>
      <c r="B20" s="13">
        <v>600</v>
      </c>
      <c r="C20" s="13">
        <v>720</v>
      </c>
      <c r="D20" s="13">
        <v>560</v>
      </c>
      <c r="E20" s="15">
        <v>1</v>
      </c>
      <c r="F20" s="13" t="s">
        <v>780</v>
      </c>
      <c r="G20" s="661" t="s">
        <v>782</v>
      </c>
      <c r="H20" s="18" t="s">
        <v>783</v>
      </c>
      <c r="I20" s="13">
        <f>+E20*1</f>
        <v>1</v>
      </c>
      <c r="J20" s="13" t="s">
        <v>315</v>
      </c>
      <c r="K20" s="13"/>
    </row>
    <row r="21" customHeight="1" spans="1:11">
      <c r="A21" s="13"/>
      <c r="B21" s="13"/>
      <c r="C21" s="13"/>
      <c r="D21" s="13"/>
      <c r="E21" s="17"/>
      <c r="F21" s="13"/>
      <c r="G21" s="18" t="s">
        <v>773</v>
      </c>
      <c r="H21" s="18" t="s">
        <v>774</v>
      </c>
      <c r="I21" s="13">
        <f>+E20*8</f>
        <v>8</v>
      </c>
      <c r="J21" s="13" t="s">
        <v>315</v>
      </c>
      <c r="K21" s="13"/>
    </row>
    <row r="22" customHeight="1" spans="1:11">
      <c r="A22" s="13"/>
      <c r="B22" s="13"/>
      <c r="C22" s="13"/>
      <c r="D22" s="13"/>
      <c r="E22" s="17"/>
      <c r="F22" s="13"/>
      <c r="G22" s="18" t="s">
        <v>775</v>
      </c>
      <c r="H22" s="18" t="s">
        <v>776</v>
      </c>
      <c r="I22" s="13">
        <f>+E20*2.5</f>
        <v>2.5</v>
      </c>
      <c r="J22" s="13" t="s">
        <v>261</v>
      </c>
      <c r="K22" s="13"/>
    </row>
    <row r="23" customHeight="1" spans="1:11">
      <c r="A23" s="13"/>
      <c r="B23" s="13"/>
      <c r="C23" s="13"/>
      <c r="D23" s="13"/>
      <c r="E23" s="19"/>
      <c r="F23" s="13"/>
      <c r="G23" s="18" t="s">
        <v>784</v>
      </c>
      <c r="H23" s="20" t="s">
        <v>785</v>
      </c>
      <c r="I23" s="13" t="s">
        <v>786</v>
      </c>
      <c r="J23" s="13"/>
      <c r="K23" s="31" t="s">
        <v>787</v>
      </c>
    </row>
    <row r="24" customHeight="1" spans="1:11">
      <c r="A24" s="13">
        <v>6</v>
      </c>
      <c r="B24" s="13">
        <v>900</v>
      </c>
      <c r="C24" s="13">
        <v>720</v>
      </c>
      <c r="D24" s="13">
        <v>560</v>
      </c>
      <c r="E24" s="15">
        <v>1</v>
      </c>
      <c r="F24" s="13" t="s">
        <v>780</v>
      </c>
      <c r="G24" s="16" t="s">
        <v>788</v>
      </c>
      <c r="H24" s="18" t="s">
        <v>789</v>
      </c>
      <c r="I24" s="13">
        <f>+E24*1</f>
        <v>1</v>
      </c>
      <c r="J24" s="13" t="s">
        <v>315</v>
      </c>
      <c r="K24" s="13"/>
    </row>
    <row r="25" customHeight="1" spans="1:11">
      <c r="A25" s="13"/>
      <c r="B25" s="13"/>
      <c r="C25" s="13"/>
      <c r="D25" s="13"/>
      <c r="E25" s="17"/>
      <c r="F25" s="13"/>
      <c r="G25" s="18" t="s">
        <v>773</v>
      </c>
      <c r="H25" s="18" t="s">
        <v>774</v>
      </c>
      <c r="I25" s="13">
        <f>+E24*8</f>
        <v>8</v>
      </c>
      <c r="J25" s="13" t="s">
        <v>315</v>
      </c>
      <c r="K25" s="13"/>
    </row>
    <row r="26" customHeight="1" spans="1:11">
      <c r="A26" s="13"/>
      <c r="B26" s="13"/>
      <c r="C26" s="13"/>
      <c r="D26" s="13"/>
      <c r="E26" s="17"/>
      <c r="F26" s="13"/>
      <c r="G26" s="18" t="s">
        <v>775</v>
      </c>
      <c r="H26" s="18" t="s">
        <v>776</v>
      </c>
      <c r="I26" s="13">
        <f>+E24*3.1</f>
        <v>3.1</v>
      </c>
      <c r="J26" s="13" t="s">
        <v>261</v>
      </c>
      <c r="K26" s="13"/>
    </row>
    <row r="27" customHeight="1" spans="1:11">
      <c r="A27" s="13"/>
      <c r="B27" s="13"/>
      <c r="C27" s="13"/>
      <c r="D27" s="13"/>
      <c r="E27" s="19"/>
      <c r="F27" s="13"/>
      <c r="G27" s="18" t="s">
        <v>784</v>
      </c>
      <c r="H27" s="20" t="s">
        <v>785</v>
      </c>
      <c r="I27" s="13" t="s">
        <v>786</v>
      </c>
      <c r="J27" s="13"/>
      <c r="K27" s="31" t="s">
        <v>787</v>
      </c>
    </row>
    <row r="28" customHeight="1" spans="1:11">
      <c r="A28" s="24" t="s">
        <v>790</v>
      </c>
      <c r="B28" s="24"/>
      <c r="C28" s="24"/>
      <c r="D28" s="24"/>
      <c r="E28" s="24"/>
      <c r="F28" s="24"/>
      <c r="G28" s="24"/>
      <c r="H28" s="24"/>
      <c r="I28" s="24"/>
      <c r="J28" s="24"/>
      <c r="K28" s="24"/>
    </row>
    <row r="29" customHeight="1" spans="1:11">
      <c r="A29" s="13" t="s">
        <v>22</v>
      </c>
      <c r="B29" s="13" t="s">
        <v>764</v>
      </c>
      <c r="C29" s="13" t="s">
        <v>765</v>
      </c>
      <c r="D29" s="13" t="s">
        <v>766</v>
      </c>
      <c r="E29" s="14"/>
      <c r="F29" s="13" t="s">
        <v>767</v>
      </c>
      <c r="G29" s="13" t="s">
        <v>768</v>
      </c>
      <c r="H29" s="13" t="s">
        <v>543</v>
      </c>
      <c r="I29" s="13" t="s">
        <v>90</v>
      </c>
      <c r="J29" s="13" t="s">
        <v>26</v>
      </c>
      <c r="K29" s="13" t="s">
        <v>30</v>
      </c>
    </row>
    <row r="30" customHeight="1" spans="1:11">
      <c r="A30" s="13">
        <v>1</v>
      </c>
      <c r="B30" s="13" t="s">
        <v>791</v>
      </c>
      <c r="C30" s="13" t="s">
        <v>792</v>
      </c>
      <c r="D30" s="13" t="s">
        <v>792</v>
      </c>
      <c r="E30" s="15">
        <v>1</v>
      </c>
      <c r="F30" s="18" t="s">
        <v>793</v>
      </c>
      <c r="G30" s="18" t="s">
        <v>777</v>
      </c>
      <c r="H30" s="20" t="s">
        <v>794</v>
      </c>
      <c r="I30" s="13">
        <f>+E30*1</f>
        <v>1</v>
      </c>
      <c r="J30" s="13" t="s">
        <v>231</v>
      </c>
      <c r="K30" s="13"/>
    </row>
    <row r="31" customHeight="1" spans="1:11">
      <c r="A31" s="13"/>
      <c r="B31" s="13"/>
      <c r="C31" s="13"/>
      <c r="D31" s="13"/>
      <c r="E31" s="17"/>
      <c r="F31" s="18"/>
      <c r="G31" s="18" t="s">
        <v>773</v>
      </c>
      <c r="H31" s="18" t="s">
        <v>774</v>
      </c>
      <c r="I31" s="13">
        <f>+E30*8</f>
        <v>8</v>
      </c>
      <c r="J31" s="13" t="s">
        <v>315</v>
      </c>
      <c r="K31" s="13"/>
    </row>
    <row r="32" customHeight="1" spans="1:11">
      <c r="A32" s="13"/>
      <c r="B32" s="13"/>
      <c r="C32" s="13"/>
      <c r="D32" s="13"/>
      <c r="E32" s="19"/>
      <c r="F32" s="18"/>
      <c r="G32" s="18" t="s">
        <v>775</v>
      </c>
      <c r="H32" s="18" t="s">
        <v>776</v>
      </c>
      <c r="I32" s="13">
        <f>+E30*2.5</f>
        <v>2.5</v>
      </c>
      <c r="J32" s="13" t="s">
        <v>261</v>
      </c>
      <c r="K32" s="13"/>
    </row>
    <row r="33" customHeight="1" spans="1:11">
      <c r="A33" s="13">
        <v>2</v>
      </c>
      <c r="B33" s="13" t="s">
        <v>795</v>
      </c>
      <c r="C33" s="13" t="s">
        <v>792</v>
      </c>
      <c r="D33" s="13" t="s">
        <v>792</v>
      </c>
      <c r="E33" s="15"/>
      <c r="F33" s="18" t="s">
        <v>793</v>
      </c>
      <c r="G33" s="18" t="s">
        <v>777</v>
      </c>
      <c r="H33" s="20" t="s">
        <v>794</v>
      </c>
      <c r="I33" s="13">
        <f>+E33*1.3</f>
        <v>0</v>
      </c>
      <c r="J33" s="13" t="s">
        <v>231</v>
      </c>
      <c r="K33" s="13"/>
    </row>
    <row r="34" customHeight="1" spans="1:11">
      <c r="A34" s="13"/>
      <c r="B34" s="13"/>
      <c r="C34" s="13"/>
      <c r="D34" s="13"/>
      <c r="E34" s="17"/>
      <c r="F34" s="18"/>
      <c r="G34" s="18" t="s">
        <v>773</v>
      </c>
      <c r="H34" s="18" t="s">
        <v>774</v>
      </c>
      <c r="I34" s="13">
        <f>+E33*8</f>
        <v>0</v>
      </c>
      <c r="J34" s="13" t="s">
        <v>315</v>
      </c>
      <c r="K34" s="13"/>
    </row>
    <row r="35" customHeight="1" spans="1:11">
      <c r="A35" s="13"/>
      <c r="B35" s="13"/>
      <c r="C35" s="13"/>
      <c r="D35" s="13"/>
      <c r="E35" s="19"/>
      <c r="F35" s="18"/>
      <c r="G35" s="18" t="s">
        <v>775</v>
      </c>
      <c r="H35" s="18" t="s">
        <v>776</v>
      </c>
      <c r="I35" s="13">
        <f>+E33*3.2</f>
        <v>0</v>
      </c>
      <c r="J35" s="13" t="s">
        <v>261</v>
      </c>
      <c r="K35" s="13"/>
    </row>
    <row r="36" customHeight="1" spans="1:11">
      <c r="A36" s="25" t="s">
        <v>796</v>
      </c>
      <c r="B36" s="25"/>
      <c r="C36" s="25"/>
      <c r="D36" s="25"/>
      <c r="E36" s="25"/>
      <c r="F36" s="25"/>
      <c r="G36" s="25"/>
      <c r="H36" s="25"/>
      <c r="I36" s="25"/>
      <c r="J36" s="25"/>
      <c r="K36" s="25"/>
    </row>
    <row r="37" customHeight="1" spans="1:11">
      <c r="A37" s="13" t="s">
        <v>797</v>
      </c>
      <c r="B37" s="13" t="s">
        <v>764</v>
      </c>
      <c r="C37" s="13" t="s">
        <v>765</v>
      </c>
      <c r="D37" s="13" t="s">
        <v>766</v>
      </c>
      <c r="E37" s="14"/>
      <c r="F37" s="13" t="s">
        <v>798</v>
      </c>
      <c r="G37" s="13" t="s">
        <v>768</v>
      </c>
      <c r="H37" s="13" t="s">
        <v>543</v>
      </c>
      <c r="I37" s="13" t="s">
        <v>90</v>
      </c>
      <c r="J37" s="13" t="s">
        <v>26</v>
      </c>
      <c r="K37" s="13" t="s">
        <v>30</v>
      </c>
    </row>
    <row r="38" customHeight="1" spans="1:11">
      <c r="A38" s="13" t="s">
        <v>799</v>
      </c>
      <c r="B38" s="13" t="s">
        <v>800</v>
      </c>
      <c r="C38" s="13">
        <v>720</v>
      </c>
      <c r="D38" s="13">
        <v>560</v>
      </c>
      <c r="E38" s="15">
        <v>1</v>
      </c>
      <c r="F38" s="18" t="s">
        <v>801</v>
      </c>
      <c r="G38" s="18" t="s">
        <v>802</v>
      </c>
      <c r="H38" s="18" t="s">
        <v>803</v>
      </c>
      <c r="I38" s="13">
        <f>+E38*1</f>
        <v>1</v>
      </c>
      <c r="J38" s="13" t="s">
        <v>315</v>
      </c>
      <c r="K38" s="21"/>
    </row>
    <row r="39" customHeight="1" spans="1:11">
      <c r="A39" s="13"/>
      <c r="B39" s="13"/>
      <c r="C39" s="13"/>
      <c r="D39" s="13"/>
      <c r="E39" s="17"/>
      <c r="F39" s="18"/>
      <c r="G39" s="18" t="s">
        <v>775</v>
      </c>
      <c r="H39" s="18" t="s">
        <v>776</v>
      </c>
      <c r="I39" s="13">
        <f>+E38*1.3</f>
        <v>1.3</v>
      </c>
      <c r="J39" s="13" t="s">
        <v>261</v>
      </c>
      <c r="K39" s="22"/>
    </row>
    <row r="40" customHeight="1" spans="1:11">
      <c r="A40" s="13"/>
      <c r="B40" s="13"/>
      <c r="C40" s="13"/>
      <c r="D40" s="13"/>
      <c r="E40" s="17"/>
      <c r="F40" s="18"/>
      <c r="G40" s="18" t="s">
        <v>784</v>
      </c>
      <c r="H40" s="18"/>
      <c r="I40" s="13" t="s">
        <v>786</v>
      </c>
      <c r="J40" s="13"/>
      <c r="K40" s="22"/>
    </row>
    <row r="41" customHeight="1" spans="1:11">
      <c r="A41" s="13"/>
      <c r="B41" s="13"/>
      <c r="C41" s="13"/>
      <c r="D41" s="13"/>
      <c r="E41" s="19"/>
      <c r="F41" s="18"/>
      <c r="G41" s="18" t="s">
        <v>773</v>
      </c>
      <c r="H41" s="18" t="s">
        <v>774</v>
      </c>
      <c r="I41" s="13">
        <f>+E38*8</f>
        <v>8</v>
      </c>
      <c r="J41" s="13" t="s">
        <v>315</v>
      </c>
      <c r="K41" s="22"/>
    </row>
    <row r="42" customHeight="1" spans="1:11">
      <c r="A42" s="13" t="s">
        <v>804</v>
      </c>
      <c r="B42" s="13" t="s">
        <v>805</v>
      </c>
      <c r="C42" s="13">
        <v>720</v>
      </c>
      <c r="D42" s="13">
        <v>560</v>
      </c>
      <c r="E42" s="15"/>
      <c r="F42" s="18" t="s">
        <v>801</v>
      </c>
      <c r="G42" s="18" t="s">
        <v>806</v>
      </c>
      <c r="H42" s="18" t="s">
        <v>807</v>
      </c>
      <c r="I42" s="13">
        <f>+E42*1</f>
        <v>0</v>
      </c>
      <c r="J42" s="13" t="s">
        <v>315</v>
      </c>
      <c r="K42" s="22"/>
    </row>
    <row r="43" customHeight="1" spans="1:11">
      <c r="A43" s="13"/>
      <c r="B43" s="13"/>
      <c r="C43" s="13"/>
      <c r="D43" s="13"/>
      <c r="E43" s="17"/>
      <c r="F43" s="18"/>
      <c r="G43" s="18" t="s">
        <v>775</v>
      </c>
      <c r="H43" s="18" t="s">
        <v>776</v>
      </c>
      <c r="I43" s="13">
        <f>+E42*1.3</f>
        <v>0</v>
      </c>
      <c r="J43" s="13" t="s">
        <v>261</v>
      </c>
      <c r="K43" s="22"/>
    </row>
    <row r="44" customHeight="1" spans="1:11">
      <c r="A44" s="13"/>
      <c r="B44" s="13"/>
      <c r="C44" s="13"/>
      <c r="D44" s="13"/>
      <c r="E44" s="17"/>
      <c r="F44" s="18"/>
      <c r="G44" s="18" t="s">
        <v>784</v>
      </c>
      <c r="H44" s="18"/>
      <c r="I44" s="13" t="s">
        <v>786</v>
      </c>
      <c r="J44" s="13"/>
      <c r="K44" s="22"/>
    </row>
    <row r="45" customHeight="1" spans="1:11">
      <c r="A45" s="13"/>
      <c r="B45" s="13"/>
      <c r="C45" s="13"/>
      <c r="D45" s="13"/>
      <c r="E45" s="19"/>
      <c r="F45" s="18"/>
      <c r="G45" s="18" t="s">
        <v>773</v>
      </c>
      <c r="H45" s="18" t="s">
        <v>774</v>
      </c>
      <c r="I45" s="13">
        <f>+E42*8</f>
        <v>0</v>
      </c>
      <c r="J45" s="13" t="s">
        <v>315</v>
      </c>
      <c r="K45" s="22"/>
    </row>
    <row r="46" customHeight="1" spans="1:11">
      <c r="A46" s="13" t="s">
        <v>808</v>
      </c>
      <c r="B46" s="13" t="s">
        <v>809</v>
      </c>
      <c r="C46" s="13">
        <v>720</v>
      </c>
      <c r="D46" s="13">
        <v>560</v>
      </c>
      <c r="E46" s="15"/>
      <c r="F46" s="18" t="s">
        <v>801</v>
      </c>
      <c r="G46" s="18" t="s">
        <v>810</v>
      </c>
      <c r="H46" s="18" t="s">
        <v>811</v>
      </c>
      <c r="I46" s="13">
        <f>+E46*1</f>
        <v>0</v>
      </c>
      <c r="J46" s="13" t="s">
        <v>315</v>
      </c>
      <c r="K46" s="22"/>
    </row>
    <row r="47" customHeight="1" spans="1:11">
      <c r="A47" s="13"/>
      <c r="B47" s="13"/>
      <c r="C47" s="13"/>
      <c r="D47" s="13"/>
      <c r="E47" s="17"/>
      <c r="F47" s="18"/>
      <c r="G47" s="18" t="s">
        <v>775</v>
      </c>
      <c r="H47" s="18" t="s">
        <v>776</v>
      </c>
      <c r="I47" s="13">
        <f>+E46*1.5</f>
        <v>0</v>
      </c>
      <c r="J47" s="13" t="s">
        <v>261</v>
      </c>
      <c r="K47" s="22"/>
    </row>
    <row r="48" customHeight="1" spans="1:11">
      <c r="A48" s="13"/>
      <c r="B48" s="13"/>
      <c r="C48" s="13"/>
      <c r="D48" s="13"/>
      <c r="E48" s="17"/>
      <c r="F48" s="18"/>
      <c r="G48" s="18" t="s">
        <v>784</v>
      </c>
      <c r="H48" s="18"/>
      <c r="I48" s="13" t="s">
        <v>786</v>
      </c>
      <c r="J48" s="13"/>
      <c r="K48" s="22"/>
    </row>
    <row r="49" customHeight="1" spans="1:11">
      <c r="A49" s="13"/>
      <c r="B49" s="13"/>
      <c r="C49" s="13"/>
      <c r="D49" s="13"/>
      <c r="E49" s="19"/>
      <c r="F49" s="18"/>
      <c r="G49" s="18" t="s">
        <v>773</v>
      </c>
      <c r="H49" s="18" t="s">
        <v>774</v>
      </c>
      <c r="I49" s="13">
        <f>+E46*8</f>
        <v>0</v>
      </c>
      <c r="J49" s="13" t="s">
        <v>315</v>
      </c>
      <c r="K49" s="22"/>
    </row>
    <row r="50" customHeight="1" spans="1:11">
      <c r="A50" s="13" t="s">
        <v>812</v>
      </c>
      <c r="B50" s="13" t="s">
        <v>813</v>
      </c>
      <c r="C50" s="13">
        <v>720</v>
      </c>
      <c r="D50" s="13">
        <v>300</v>
      </c>
      <c r="E50" s="15"/>
      <c r="F50" s="18" t="s">
        <v>814</v>
      </c>
      <c r="G50" s="18" t="s">
        <v>815</v>
      </c>
      <c r="H50" s="26" t="s">
        <v>816</v>
      </c>
      <c r="I50" s="13">
        <f>+E50*1</f>
        <v>0</v>
      </c>
      <c r="J50" s="13" t="s">
        <v>315</v>
      </c>
      <c r="K50" s="22"/>
    </row>
    <row r="51" customHeight="1" spans="1:11">
      <c r="A51" s="13"/>
      <c r="B51" s="13"/>
      <c r="C51" s="13"/>
      <c r="D51" s="13"/>
      <c r="E51" s="17"/>
      <c r="F51" s="18"/>
      <c r="G51" s="18" t="s">
        <v>775</v>
      </c>
      <c r="H51" s="18" t="s">
        <v>776</v>
      </c>
      <c r="I51" s="13">
        <f>+E50*0.8</f>
        <v>0</v>
      </c>
      <c r="J51" s="13" t="s">
        <v>261</v>
      </c>
      <c r="K51" s="22"/>
    </row>
    <row r="52" customHeight="1" spans="1:11">
      <c r="A52" s="13"/>
      <c r="B52" s="13"/>
      <c r="C52" s="13"/>
      <c r="D52" s="13"/>
      <c r="E52" s="17"/>
      <c r="F52" s="18"/>
      <c r="G52" s="18" t="s">
        <v>784</v>
      </c>
      <c r="H52" s="18"/>
      <c r="I52" s="13" t="s">
        <v>786</v>
      </c>
      <c r="J52" s="13"/>
      <c r="K52" s="22"/>
    </row>
    <row r="53" customHeight="1" spans="1:11">
      <c r="A53" s="13"/>
      <c r="B53" s="13"/>
      <c r="C53" s="13"/>
      <c r="D53" s="13"/>
      <c r="E53" s="19"/>
      <c r="F53" s="18"/>
      <c r="G53" s="18" t="s">
        <v>773</v>
      </c>
      <c r="H53" s="18" t="s">
        <v>774</v>
      </c>
      <c r="I53" s="13">
        <f>+E50*8</f>
        <v>0</v>
      </c>
      <c r="J53" s="13" t="s">
        <v>315</v>
      </c>
      <c r="K53" s="22"/>
    </row>
    <row r="54" customHeight="1" spans="1:11">
      <c r="A54" s="13" t="s">
        <v>817</v>
      </c>
      <c r="B54" s="13" t="s">
        <v>818</v>
      </c>
      <c r="C54" s="13">
        <v>720</v>
      </c>
      <c r="D54" s="13">
        <v>300</v>
      </c>
      <c r="E54" s="15"/>
      <c r="F54" s="18" t="s">
        <v>814</v>
      </c>
      <c r="G54" s="18" t="s">
        <v>819</v>
      </c>
      <c r="H54" s="26" t="s">
        <v>816</v>
      </c>
      <c r="I54" s="13">
        <f>+E54*1</f>
        <v>0</v>
      </c>
      <c r="J54" s="13" t="s">
        <v>315</v>
      </c>
      <c r="K54" s="22"/>
    </row>
    <row r="55" customHeight="1" spans="1:11">
      <c r="A55" s="13"/>
      <c r="B55" s="13"/>
      <c r="C55" s="13"/>
      <c r="D55" s="13"/>
      <c r="E55" s="17"/>
      <c r="F55" s="18"/>
      <c r="G55" s="18" t="s">
        <v>775</v>
      </c>
      <c r="H55" s="18" t="s">
        <v>776</v>
      </c>
      <c r="I55" s="13">
        <f>+E54*0.8</f>
        <v>0</v>
      </c>
      <c r="J55" s="13" t="s">
        <v>261</v>
      </c>
      <c r="K55" s="22"/>
    </row>
    <row r="56" customHeight="1" spans="1:11">
      <c r="A56" s="13"/>
      <c r="B56" s="13"/>
      <c r="C56" s="13"/>
      <c r="D56" s="13"/>
      <c r="E56" s="17"/>
      <c r="F56" s="18"/>
      <c r="G56" s="18" t="s">
        <v>784</v>
      </c>
      <c r="H56" s="18"/>
      <c r="I56" s="13" t="s">
        <v>786</v>
      </c>
      <c r="J56" s="13"/>
      <c r="K56" s="22"/>
    </row>
    <row r="57" customHeight="1" spans="1:11">
      <c r="A57" s="13"/>
      <c r="B57" s="13"/>
      <c r="C57" s="13"/>
      <c r="D57" s="13"/>
      <c r="E57" s="19"/>
      <c r="F57" s="18"/>
      <c r="G57" s="18" t="s">
        <v>773</v>
      </c>
      <c r="H57" s="18" t="s">
        <v>774</v>
      </c>
      <c r="I57" s="13">
        <f>+E54*8</f>
        <v>0</v>
      </c>
      <c r="J57" s="13" t="s">
        <v>315</v>
      </c>
      <c r="K57" s="22"/>
    </row>
    <row r="58" customHeight="1" spans="1:11">
      <c r="A58" s="13" t="s">
        <v>820</v>
      </c>
      <c r="B58" s="13" t="s">
        <v>805</v>
      </c>
      <c r="C58" s="13">
        <v>720</v>
      </c>
      <c r="D58" s="13">
        <v>300</v>
      </c>
      <c r="E58" s="15"/>
      <c r="F58" s="18" t="s">
        <v>821</v>
      </c>
      <c r="G58" s="18" t="s">
        <v>822</v>
      </c>
      <c r="H58" s="26" t="s">
        <v>823</v>
      </c>
      <c r="I58" s="13">
        <f>+E58*1</f>
        <v>0</v>
      </c>
      <c r="J58" s="13" t="s">
        <v>315</v>
      </c>
      <c r="K58" s="22"/>
    </row>
    <row r="59" customHeight="1" spans="1:11">
      <c r="A59" s="13"/>
      <c r="B59" s="13"/>
      <c r="C59" s="13"/>
      <c r="D59" s="13"/>
      <c r="E59" s="17"/>
      <c r="F59" s="18"/>
      <c r="G59" s="18" t="s">
        <v>775</v>
      </c>
      <c r="H59" s="18" t="s">
        <v>776</v>
      </c>
      <c r="I59" s="13">
        <f>+E58*1</f>
        <v>0</v>
      </c>
      <c r="J59" s="13" t="s">
        <v>261</v>
      </c>
      <c r="K59" s="22"/>
    </row>
    <row r="60" customHeight="1" spans="1:11">
      <c r="A60" s="13"/>
      <c r="B60" s="13"/>
      <c r="C60" s="13"/>
      <c r="D60" s="13"/>
      <c r="E60" s="17"/>
      <c r="F60" s="18"/>
      <c r="G60" s="18" t="s">
        <v>784</v>
      </c>
      <c r="H60" s="18"/>
      <c r="I60" s="13" t="s">
        <v>786</v>
      </c>
      <c r="J60" s="13"/>
      <c r="K60" s="22"/>
    </row>
    <row r="61" customHeight="1" spans="1:11">
      <c r="A61" s="13"/>
      <c r="B61" s="13"/>
      <c r="C61" s="13"/>
      <c r="D61" s="13"/>
      <c r="E61" s="19"/>
      <c r="F61" s="18"/>
      <c r="G61" s="18" t="s">
        <v>773</v>
      </c>
      <c r="H61" s="18" t="s">
        <v>774</v>
      </c>
      <c r="I61" s="13">
        <f>+E58*8</f>
        <v>0</v>
      </c>
      <c r="J61" s="13" t="s">
        <v>315</v>
      </c>
      <c r="K61" s="22"/>
    </row>
    <row r="62" customHeight="1" spans="1:11">
      <c r="A62" s="13" t="s">
        <v>824</v>
      </c>
      <c r="B62" s="13" t="s">
        <v>809</v>
      </c>
      <c r="C62" s="13">
        <v>720</v>
      </c>
      <c r="D62" s="13">
        <v>300</v>
      </c>
      <c r="E62" s="15"/>
      <c r="F62" s="18" t="s">
        <v>821</v>
      </c>
      <c r="G62" s="18" t="s">
        <v>825</v>
      </c>
      <c r="H62" s="26" t="s">
        <v>826</v>
      </c>
      <c r="I62" s="13">
        <f>+E62*1</f>
        <v>0</v>
      </c>
      <c r="J62" s="13" t="s">
        <v>315</v>
      </c>
      <c r="K62" s="22"/>
    </row>
    <row r="63" customHeight="1" spans="1:11">
      <c r="A63" s="13"/>
      <c r="B63" s="13"/>
      <c r="C63" s="13"/>
      <c r="D63" s="13"/>
      <c r="E63" s="17"/>
      <c r="F63" s="18"/>
      <c r="G63" s="18" t="s">
        <v>775</v>
      </c>
      <c r="H63" s="18" t="s">
        <v>776</v>
      </c>
      <c r="I63" s="13">
        <f>+E62*1.4</f>
        <v>0</v>
      </c>
      <c r="J63" s="13" t="s">
        <v>261</v>
      </c>
      <c r="K63" s="22"/>
    </row>
    <row r="64" customHeight="1" spans="1:11">
      <c r="A64" s="13"/>
      <c r="B64" s="13"/>
      <c r="C64" s="13"/>
      <c r="D64" s="13"/>
      <c r="E64" s="17"/>
      <c r="F64" s="18"/>
      <c r="G64" s="18" t="s">
        <v>784</v>
      </c>
      <c r="H64" s="18"/>
      <c r="I64" s="13" t="s">
        <v>786</v>
      </c>
      <c r="J64" s="13"/>
      <c r="K64" s="22"/>
    </row>
    <row r="65" customHeight="1" spans="1:11">
      <c r="A65" s="13"/>
      <c r="B65" s="13"/>
      <c r="C65" s="13"/>
      <c r="D65" s="13"/>
      <c r="E65" s="19"/>
      <c r="F65" s="18"/>
      <c r="G65" s="18" t="s">
        <v>773</v>
      </c>
      <c r="H65" s="18" t="s">
        <v>774</v>
      </c>
      <c r="I65" s="13">
        <f>+E62*8</f>
        <v>0</v>
      </c>
      <c r="J65" s="13" t="s">
        <v>315</v>
      </c>
      <c r="K65" s="22"/>
    </row>
    <row r="66" customHeight="1" spans="1:11">
      <c r="A66" s="13" t="s">
        <v>827</v>
      </c>
      <c r="B66" s="13" t="s">
        <v>828</v>
      </c>
      <c r="C66" s="13">
        <v>2160</v>
      </c>
      <c r="D66" s="13">
        <v>560</v>
      </c>
      <c r="E66" s="15"/>
      <c r="F66" s="18" t="s">
        <v>829</v>
      </c>
      <c r="G66" s="18" t="s">
        <v>830</v>
      </c>
      <c r="H66" s="20" t="s">
        <v>794</v>
      </c>
      <c r="I66" s="13">
        <f>+E66*1</f>
        <v>0</v>
      </c>
      <c r="J66" s="13" t="s">
        <v>231</v>
      </c>
      <c r="K66" s="22"/>
    </row>
    <row r="67" customHeight="1" spans="1:11">
      <c r="A67" s="13"/>
      <c r="B67" s="13"/>
      <c r="C67" s="13"/>
      <c r="D67" s="13"/>
      <c r="E67" s="17"/>
      <c r="F67" s="18"/>
      <c r="G67" s="18" t="s">
        <v>775</v>
      </c>
      <c r="H67" s="18" t="s">
        <v>776</v>
      </c>
      <c r="I67" s="13">
        <f>+E66*2.5</f>
        <v>0</v>
      </c>
      <c r="J67" s="13" t="s">
        <v>261</v>
      </c>
      <c r="K67" s="22"/>
    </row>
    <row r="68" customHeight="1" spans="1:11">
      <c r="A68" s="13"/>
      <c r="B68" s="13"/>
      <c r="C68" s="13"/>
      <c r="D68" s="13"/>
      <c r="E68" s="17"/>
      <c r="F68" s="18"/>
      <c r="G68" s="18" t="s">
        <v>784</v>
      </c>
      <c r="H68" s="18"/>
      <c r="I68" s="13" t="s">
        <v>786</v>
      </c>
      <c r="J68" s="13"/>
      <c r="K68" s="22"/>
    </row>
    <row r="69" customHeight="1" spans="1:11">
      <c r="A69" s="13"/>
      <c r="B69" s="13"/>
      <c r="C69" s="13"/>
      <c r="D69" s="13"/>
      <c r="E69" s="19"/>
      <c r="F69" s="18"/>
      <c r="G69" s="18" t="s">
        <v>773</v>
      </c>
      <c r="H69" s="18" t="s">
        <v>774</v>
      </c>
      <c r="I69" s="13">
        <f>+E66*8</f>
        <v>0</v>
      </c>
      <c r="J69" s="13" t="s">
        <v>315</v>
      </c>
      <c r="K69" s="23"/>
    </row>
    <row r="70" customHeight="1" spans="1:11">
      <c r="A70" s="18" t="s">
        <v>831</v>
      </c>
      <c r="B70" s="18"/>
      <c r="C70" s="18"/>
      <c r="D70" s="18"/>
      <c r="E70" s="18"/>
      <c r="F70" s="18"/>
      <c r="G70" s="18"/>
      <c r="H70" s="18"/>
      <c r="I70" s="18"/>
      <c r="J70" s="18"/>
      <c r="K70" s="18"/>
    </row>
    <row r="71" customHeight="1" spans="1:11">
      <c r="A71" s="24" t="s">
        <v>832</v>
      </c>
      <c r="B71" s="24"/>
      <c r="C71" s="24"/>
      <c r="D71" s="24"/>
      <c r="E71" s="24"/>
      <c r="F71" s="24"/>
      <c r="G71" s="24"/>
      <c r="H71" s="24"/>
      <c r="I71" s="24"/>
      <c r="J71" s="24"/>
      <c r="K71" s="24"/>
    </row>
    <row r="72" customHeight="1" spans="1:11">
      <c r="A72" s="13" t="s">
        <v>22</v>
      </c>
      <c r="B72" s="13" t="s">
        <v>764</v>
      </c>
      <c r="C72" s="13" t="s">
        <v>765</v>
      </c>
      <c r="D72" s="13" t="s">
        <v>766</v>
      </c>
      <c r="E72" s="14"/>
      <c r="F72" s="13" t="s">
        <v>798</v>
      </c>
      <c r="G72" s="13" t="s">
        <v>768</v>
      </c>
      <c r="H72" s="13" t="s">
        <v>543</v>
      </c>
      <c r="I72" s="13" t="s">
        <v>90</v>
      </c>
      <c r="J72" s="13" t="s">
        <v>26</v>
      </c>
      <c r="K72" s="13" t="s">
        <v>30</v>
      </c>
    </row>
    <row r="73" customHeight="1" spans="1:11">
      <c r="A73" s="13">
        <v>1</v>
      </c>
      <c r="B73" s="13" t="s">
        <v>791</v>
      </c>
      <c r="C73" s="13" t="s">
        <v>792</v>
      </c>
      <c r="D73" s="13" t="s">
        <v>792</v>
      </c>
      <c r="E73" s="15">
        <v>1</v>
      </c>
      <c r="F73" s="13" t="s">
        <v>145</v>
      </c>
      <c r="G73" s="18" t="s">
        <v>777</v>
      </c>
      <c r="H73" s="20" t="s">
        <v>794</v>
      </c>
      <c r="I73" s="13">
        <f>+E73*0.3</f>
        <v>0.3</v>
      </c>
      <c r="J73" s="13" t="s">
        <v>231</v>
      </c>
      <c r="K73" s="13"/>
    </row>
    <row r="74" customHeight="1" spans="1:11">
      <c r="A74" s="13"/>
      <c r="B74" s="13"/>
      <c r="C74" s="13"/>
      <c r="D74" s="13"/>
      <c r="E74" s="17"/>
      <c r="F74" s="13"/>
      <c r="G74" s="18" t="s">
        <v>775</v>
      </c>
      <c r="H74" s="18" t="s">
        <v>776</v>
      </c>
      <c r="I74" s="13">
        <f>+E73*1</f>
        <v>1</v>
      </c>
      <c r="J74" s="13" t="s">
        <v>261</v>
      </c>
      <c r="K74" s="13"/>
    </row>
    <row r="75" customHeight="1" spans="1:11">
      <c r="A75" s="13"/>
      <c r="B75" s="13"/>
      <c r="C75" s="13"/>
      <c r="D75" s="13"/>
      <c r="E75" s="19"/>
      <c r="F75" s="13"/>
      <c r="G75" s="18" t="s">
        <v>773</v>
      </c>
      <c r="H75" s="18" t="s">
        <v>774</v>
      </c>
      <c r="I75" s="13">
        <f>+E73*8</f>
        <v>8</v>
      </c>
      <c r="J75" s="13" t="s">
        <v>315</v>
      </c>
      <c r="K75" s="13"/>
    </row>
    <row r="76" customHeight="1" spans="1:11">
      <c r="A76" s="13">
        <v>2</v>
      </c>
      <c r="B76" s="13" t="s">
        <v>795</v>
      </c>
      <c r="C76" s="13" t="s">
        <v>792</v>
      </c>
      <c r="D76" s="13" t="s">
        <v>792</v>
      </c>
      <c r="E76" s="15"/>
      <c r="F76" s="13" t="s">
        <v>145</v>
      </c>
      <c r="G76" s="18" t="s">
        <v>777</v>
      </c>
      <c r="H76" s="20" t="s">
        <v>794</v>
      </c>
      <c r="I76" s="13">
        <f>+E76*0.4</f>
        <v>0</v>
      </c>
      <c r="J76" s="13" t="s">
        <v>231</v>
      </c>
      <c r="K76" s="13"/>
    </row>
    <row r="77" customHeight="1" spans="1:11">
      <c r="A77" s="13"/>
      <c r="B77" s="13"/>
      <c r="C77" s="13"/>
      <c r="D77" s="13"/>
      <c r="E77" s="17"/>
      <c r="F77" s="13"/>
      <c r="G77" s="18" t="s">
        <v>775</v>
      </c>
      <c r="H77" s="18" t="s">
        <v>776</v>
      </c>
      <c r="I77" s="13">
        <f>+E76*1.5</f>
        <v>0</v>
      </c>
      <c r="J77" s="13" t="s">
        <v>261</v>
      </c>
      <c r="K77" s="13"/>
    </row>
    <row r="78" customHeight="1" spans="1:11">
      <c r="A78" s="13"/>
      <c r="B78" s="13"/>
      <c r="C78" s="13"/>
      <c r="D78" s="13"/>
      <c r="E78" s="19"/>
      <c r="F78" s="13"/>
      <c r="G78" s="18" t="s">
        <v>773</v>
      </c>
      <c r="H78" s="18" t="s">
        <v>774</v>
      </c>
      <c r="I78" s="13">
        <f>+E76*8</f>
        <v>0</v>
      </c>
      <c r="J78" s="13" t="s">
        <v>315</v>
      </c>
      <c r="K78" s="13"/>
    </row>
    <row r="79" customHeight="1" spans="1:11">
      <c r="A79" s="13">
        <v>3</v>
      </c>
      <c r="B79" s="13" t="s">
        <v>791</v>
      </c>
      <c r="C79" s="13" t="s">
        <v>792</v>
      </c>
      <c r="D79" s="13" t="s">
        <v>792</v>
      </c>
      <c r="E79" s="15"/>
      <c r="F79" s="13" t="s">
        <v>83</v>
      </c>
      <c r="G79" s="18" t="s">
        <v>777</v>
      </c>
      <c r="H79" s="20" t="s">
        <v>794</v>
      </c>
      <c r="I79" s="13">
        <f>+E79*0.4</f>
        <v>0</v>
      </c>
      <c r="J79" s="13" t="s">
        <v>231</v>
      </c>
      <c r="K79" s="13"/>
    </row>
    <row r="80" customHeight="1" spans="1:11">
      <c r="A80" s="13"/>
      <c r="B80" s="13"/>
      <c r="C80" s="13"/>
      <c r="D80" s="13"/>
      <c r="E80" s="17"/>
      <c r="F80" s="13"/>
      <c r="G80" s="18" t="s">
        <v>775</v>
      </c>
      <c r="H80" s="18" t="s">
        <v>776</v>
      </c>
      <c r="I80" s="13">
        <f>+E79*1.5</f>
        <v>0</v>
      </c>
      <c r="J80" s="13" t="s">
        <v>261</v>
      </c>
      <c r="K80" s="13"/>
    </row>
    <row r="81" customHeight="1" spans="1:11">
      <c r="A81" s="13"/>
      <c r="B81" s="13"/>
      <c r="C81" s="13"/>
      <c r="D81" s="13"/>
      <c r="E81" s="19"/>
      <c r="F81" s="13"/>
      <c r="G81" s="18" t="s">
        <v>773</v>
      </c>
      <c r="H81" s="18" t="s">
        <v>774</v>
      </c>
      <c r="I81" s="13">
        <f>+E79*8</f>
        <v>0</v>
      </c>
      <c r="J81" s="13" t="s">
        <v>315</v>
      </c>
      <c r="K81" s="13"/>
    </row>
    <row r="82" customHeight="1" spans="1:11">
      <c r="A82" s="13">
        <v>4</v>
      </c>
      <c r="B82" s="13" t="s">
        <v>795</v>
      </c>
      <c r="C82" s="13" t="s">
        <v>792</v>
      </c>
      <c r="D82" s="13" t="s">
        <v>792</v>
      </c>
      <c r="E82" s="15"/>
      <c r="F82" s="13" t="s">
        <v>83</v>
      </c>
      <c r="G82" s="18" t="s">
        <v>777</v>
      </c>
      <c r="H82" s="20" t="s">
        <v>794</v>
      </c>
      <c r="I82" s="13">
        <f>+E82*0.6</f>
        <v>0</v>
      </c>
      <c r="J82" s="13" t="s">
        <v>231</v>
      </c>
      <c r="K82" s="13"/>
    </row>
    <row r="83" customHeight="1" spans="1:11">
      <c r="A83" s="13"/>
      <c r="B83" s="13"/>
      <c r="C83" s="13"/>
      <c r="D83" s="13"/>
      <c r="E83" s="17"/>
      <c r="F83" s="13"/>
      <c r="G83" s="18" t="s">
        <v>775</v>
      </c>
      <c r="H83" s="18" t="s">
        <v>776</v>
      </c>
      <c r="I83" s="13">
        <f>+E82*1.5</f>
        <v>0</v>
      </c>
      <c r="J83" s="13" t="s">
        <v>261</v>
      </c>
      <c r="K83" s="13"/>
    </row>
    <row r="84" customHeight="1" spans="1:11">
      <c r="A84" s="13"/>
      <c r="B84" s="13"/>
      <c r="C84" s="13"/>
      <c r="D84" s="13"/>
      <c r="E84" s="19"/>
      <c r="F84" s="13"/>
      <c r="G84" s="18" t="s">
        <v>773</v>
      </c>
      <c r="H84" s="18" t="s">
        <v>774</v>
      </c>
      <c r="I84" s="13">
        <f>+E82*8</f>
        <v>0</v>
      </c>
      <c r="J84" s="13" t="s">
        <v>315</v>
      </c>
      <c r="K84" s="13"/>
    </row>
    <row r="85" customHeight="1" spans="1:11">
      <c r="A85" s="13">
        <v>5</v>
      </c>
      <c r="B85" s="13" t="s">
        <v>792</v>
      </c>
      <c r="C85" s="13" t="s">
        <v>792</v>
      </c>
      <c r="D85" s="13" t="s">
        <v>833</v>
      </c>
      <c r="E85" s="15"/>
      <c r="F85" s="18" t="s">
        <v>834</v>
      </c>
      <c r="G85" s="18" t="s">
        <v>777</v>
      </c>
      <c r="H85" s="20" t="s">
        <v>794</v>
      </c>
      <c r="I85" s="13">
        <f>+E85*0.5</f>
        <v>0</v>
      </c>
      <c r="J85" s="13" t="s">
        <v>231</v>
      </c>
      <c r="K85" s="13"/>
    </row>
    <row r="86" customHeight="1" spans="1:11">
      <c r="A86" s="13"/>
      <c r="B86" s="13"/>
      <c r="C86" s="13"/>
      <c r="D86" s="13"/>
      <c r="E86" s="17"/>
      <c r="F86" s="18"/>
      <c r="G86" s="18" t="s">
        <v>775</v>
      </c>
      <c r="H86" s="18" t="s">
        <v>776</v>
      </c>
      <c r="I86" s="13">
        <f>+E85*2</f>
        <v>0</v>
      </c>
      <c r="J86" s="13" t="s">
        <v>261</v>
      </c>
      <c r="K86" s="13"/>
    </row>
    <row r="87" customHeight="1" spans="1:11">
      <c r="A87" s="13"/>
      <c r="B87" s="13"/>
      <c r="C87" s="13"/>
      <c r="D87" s="13"/>
      <c r="E87" s="19"/>
      <c r="F87" s="18"/>
      <c r="G87" s="18" t="s">
        <v>773</v>
      </c>
      <c r="H87" s="18" t="s">
        <v>774</v>
      </c>
      <c r="I87" s="13">
        <f>+E85*8</f>
        <v>0</v>
      </c>
      <c r="J87" s="13" t="s">
        <v>315</v>
      </c>
      <c r="K87" s="13"/>
    </row>
    <row r="88" customHeight="1" spans="1:11">
      <c r="A88" s="13">
        <v>6</v>
      </c>
      <c r="B88" s="13" t="s">
        <v>792</v>
      </c>
      <c r="C88" s="13" t="s">
        <v>792</v>
      </c>
      <c r="D88" s="13" t="s">
        <v>835</v>
      </c>
      <c r="E88" s="15"/>
      <c r="F88" s="18" t="s">
        <v>834</v>
      </c>
      <c r="G88" s="18" t="s">
        <v>777</v>
      </c>
      <c r="H88" s="20" t="s">
        <v>794</v>
      </c>
      <c r="I88" s="13">
        <f>+E88*0.8</f>
        <v>0</v>
      </c>
      <c r="J88" s="13" t="s">
        <v>231</v>
      </c>
      <c r="K88" s="13"/>
    </row>
    <row r="89" customHeight="1" spans="1:11">
      <c r="A89" s="13"/>
      <c r="B89" s="13"/>
      <c r="C89" s="13"/>
      <c r="D89" s="13"/>
      <c r="E89" s="17"/>
      <c r="F89" s="18"/>
      <c r="G89" s="18" t="s">
        <v>775</v>
      </c>
      <c r="H89" s="18" t="s">
        <v>776</v>
      </c>
      <c r="I89" s="13">
        <f>+E88*2</f>
        <v>0</v>
      </c>
      <c r="J89" s="13" t="s">
        <v>261</v>
      </c>
      <c r="K89" s="13"/>
    </row>
    <row r="90" customHeight="1" spans="1:11">
      <c r="A90" s="13"/>
      <c r="B90" s="13"/>
      <c r="C90" s="13"/>
      <c r="D90" s="13"/>
      <c r="E90" s="19"/>
      <c r="F90" s="18"/>
      <c r="G90" s="18" t="s">
        <v>773</v>
      </c>
      <c r="H90" s="18" t="s">
        <v>774</v>
      </c>
      <c r="I90" s="13">
        <f>+E88*8</f>
        <v>0</v>
      </c>
      <c r="J90" s="13" t="s">
        <v>315</v>
      </c>
      <c r="K90" s="13"/>
    </row>
    <row r="91" customHeight="1" spans="1:11">
      <c r="A91" s="13">
        <v>7</v>
      </c>
      <c r="B91" s="13" t="s">
        <v>792</v>
      </c>
      <c r="C91" s="13" t="s">
        <v>792</v>
      </c>
      <c r="D91" s="13" t="s">
        <v>833</v>
      </c>
      <c r="E91" s="15"/>
      <c r="F91" s="13" t="s">
        <v>836</v>
      </c>
      <c r="G91" s="18" t="s">
        <v>777</v>
      </c>
      <c r="H91" s="20" t="s">
        <v>794</v>
      </c>
      <c r="I91" s="13">
        <f>+E91*0.5</f>
        <v>0</v>
      </c>
      <c r="J91" s="13" t="s">
        <v>231</v>
      </c>
      <c r="K91" s="13"/>
    </row>
    <row r="92" customHeight="1" spans="1:11">
      <c r="A92" s="13"/>
      <c r="B92" s="13"/>
      <c r="C92" s="13"/>
      <c r="D92" s="13"/>
      <c r="E92" s="17"/>
      <c r="F92" s="13"/>
      <c r="G92" s="18" t="s">
        <v>775</v>
      </c>
      <c r="H92" s="18" t="s">
        <v>776</v>
      </c>
      <c r="I92" s="13">
        <f>+E91*2.5</f>
        <v>0</v>
      </c>
      <c r="J92" s="13" t="s">
        <v>261</v>
      </c>
      <c r="K92" s="13"/>
    </row>
    <row r="93" customHeight="1" spans="1:11">
      <c r="A93" s="13"/>
      <c r="B93" s="13"/>
      <c r="C93" s="13"/>
      <c r="D93" s="13"/>
      <c r="E93" s="19"/>
      <c r="F93" s="13"/>
      <c r="G93" s="18" t="s">
        <v>773</v>
      </c>
      <c r="H93" s="18" t="s">
        <v>774</v>
      </c>
      <c r="I93" s="13">
        <f>+E91*8</f>
        <v>0</v>
      </c>
      <c r="J93" s="13" t="s">
        <v>315</v>
      </c>
      <c r="K93" s="13"/>
    </row>
    <row r="94" customHeight="1" spans="1:11">
      <c r="A94" s="13">
        <v>8</v>
      </c>
      <c r="B94" s="13" t="s">
        <v>792</v>
      </c>
      <c r="C94" s="13" t="s">
        <v>792</v>
      </c>
      <c r="D94" s="13" t="s">
        <v>835</v>
      </c>
      <c r="E94" s="15"/>
      <c r="F94" s="13" t="s">
        <v>836</v>
      </c>
      <c r="G94" s="18" t="s">
        <v>777</v>
      </c>
      <c r="H94" s="20" t="s">
        <v>794</v>
      </c>
      <c r="I94" s="13">
        <f>+E94*1</f>
        <v>0</v>
      </c>
      <c r="J94" s="13" t="s">
        <v>231</v>
      </c>
      <c r="K94" s="13"/>
    </row>
    <row r="95" customHeight="1" spans="1:11">
      <c r="A95" s="13"/>
      <c r="B95" s="13"/>
      <c r="C95" s="13"/>
      <c r="D95" s="13"/>
      <c r="E95" s="17"/>
      <c r="F95" s="13"/>
      <c r="G95" s="18" t="s">
        <v>775</v>
      </c>
      <c r="H95" s="18" t="s">
        <v>776</v>
      </c>
      <c r="I95" s="13">
        <f>+E94*2.5</f>
        <v>0</v>
      </c>
      <c r="J95" s="13" t="s">
        <v>261</v>
      </c>
      <c r="K95" s="13"/>
    </row>
    <row r="96" customHeight="1" spans="1:11">
      <c r="A96" s="13"/>
      <c r="B96" s="13"/>
      <c r="C96" s="13"/>
      <c r="D96" s="13"/>
      <c r="E96" s="19"/>
      <c r="F96" s="13"/>
      <c r="G96" s="18" t="s">
        <v>773</v>
      </c>
      <c r="H96" s="18" t="s">
        <v>774</v>
      </c>
      <c r="I96" s="13">
        <f>+E94*8</f>
        <v>0</v>
      </c>
      <c r="J96" s="13" t="s">
        <v>315</v>
      </c>
      <c r="K96" s="13"/>
    </row>
    <row r="97" customHeight="1" spans="1:11">
      <c r="A97" s="24" t="s">
        <v>837</v>
      </c>
      <c r="B97" s="24"/>
      <c r="C97" s="24"/>
      <c r="D97" s="24"/>
      <c r="E97" s="24"/>
      <c r="F97" s="24"/>
      <c r="G97" s="24"/>
      <c r="H97" s="24"/>
      <c r="I97" s="24"/>
      <c r="J97" s="24"/>
      <c r="K97" s="24"/>
    </row>
    <row r="98" customHeight="1" spans="1:11">
      <c r="A98" s="13" t="s">
        <v>22</v>
      </c>
      <c r="B98" s="13" t="s">
        <v>764</v>
      </c>
      <c r="C98" s="13" t="s">
        <v>765</v>
      </c>
      <c r="D98" s="13" t="s">
        <v>90</v>
      </c>
      <c r="E98" s="14"/>
      <c r="F98" s="13" t="s">
        <v>798</v>
      </c>
      <c r="G98" s="13" t="s">
        <v>768</v>
      </c>
      <c r="H98" s="13" t="s">
        <v>543</v>
      </c>
      <c r="I98" s="13" t="s">
        <v>90</v>
      </c>
      <c r="J98" s="13" t="s">
        <v>26</v>
      </c>
      <c r="K98" s="13" t="s">
        <v>30</v>
      </c>
    </row>
    <row r="99" customHeight="1" spans="1:11">
      <c r="A99" s="13">
        <v>1</v>
      </c>
      <c r="B99" s="13" t="s">
        <v>838</v>
      </c>
      <c r="C99" s="13" t="s">
        <v>839</v>
      </c>
      <c r="D99" s="13" t="s">
        <v>840</v>
      </c>
      <c r="E99" s="15">
        <v>1</v>
      </c>
      <c r="F99" s="13" t="s">
        <v>841</v>
      </c>
      <c r="G99" s="18" t="s">
        <v>777</v>
      </c>
      <c r="H99" s="20" t="s">
        <v>794</v>
      </c>
      <c r="I99" s="13">
        <f>+E99*0.7</f>
        <v>0.7</v>
      </c>
      <c r="J99" s="13" t="s">
        <v>231</v>
      </c>
      <c r="K99" s="13" t="s">
        <v>842</v>
      </c>
    </row>
    <row r="100" customHeight="1" spans="1:11">
      <c r="A100" s="13"/>
      <c r="B100" s="13"/>
      <c r="C100" s="13"/>
      <c r="D100" s="13"/>
      <c r="E100" s="17"/>
      <c r="F100" s="13"/>
      <c r="G100" s="16" t="s">
        <v>843</v>
      </c>
      <c r="H100" s="20"/>
      <c r="I100" s="13">
        <f>E99*1</f>
        <v>1</v>
      </c>
      <c r="J100" s="13" t="s">
        <v>231</v>
      </c>
      <c r="K100" s="13"/>
    </row>
    <row r="101" customHeight="1" spans="1:11">
      <c r="A101" s="13"/>
      <c r="B101" s="13"/>
      <c r="C101" s="13"/>
      <c r="D101" s="13"/>
      <c r="E101" s="19"/>
      <c r="F101" s="13"/>
      <c r="G101" s="18" t="s">
        <v>775</v>
      </c>
      <c r="H101" s="18" t="s">
        <v>776</v>
      </c>
      <c r="I101" s="13">
        <f>+E99*2</f>
        <v>2</v>
      </c>
      <c r="J101" s="13" t="s">
        <v>261</v>
      </c>
      <c r="K101" s="13"/>
    </row>
    <row r="102" customHeight="1" spans="1:11">
      <c r="A102" s="13">
        <v>2</v>
      </c>
      <c r="B102" s="13" t="s">
        <v>838</v>
      </c>
      <c r="C102" s="13" t="s">
        <v>844</v>
      </c>
      <c r="D102" s="13" t="s">
        <v>840</v>
      </c>
      <c r="E102" s="15"/>
      <c r="F102" s="13" t="s">
        <v>845</v>
      </c>
      <c r="G102" s="18" t="s">
        <v>777</v>
      </c>
      <c r="H102" s="20" t="s">
        <v>794</v>
      </c>
      <c r="I102" s="13">
        <f>+E102*1</f>
        <v>0</v>
      </c>
      <c r="J102" s="13" t="s">
        <v>231</v>
      </c>
      <c r="K102" s="13"/>
    </row>
    <row r="103" customHeight="1" spans="1:11">
      <c r="A103" s="13"/>
      <c r="B103" s="13"/>
      <c r="C103" s="13"/>
      <c r="D103" s="13"/>
      <c r="E103" s="17"/>
      <c r="F103" s="13"/>
      <c r="G103" s="16" t="s">
        <v>846</v>
      </c>
      <c r="H103" s="20"/>
      <c r="I103" s="13">
        <f>E102*1</f>
        <v>0</v>
      </c>
      <c r="J103" s="13" t="s">
        <v>231</v>
      </c>
      <c r="K103" s="13"/>
    </row>
    <row r="104" customHeight="1" spans="1:11">
      <c r="A104" s="13"/>
      <c r="B104" s="13"/>
      <c r="C104" s="13"/>
      <c r="D104" s="13"/>
      <c r="E104" s="19"/>
      <c r="F104" s="13"/>
      <c r="G104" s="18" t="s">
        <v>775</v>
      </c>
      <c r="H104" s="18" t="s">
        <v>776</v>
      </c>
      <c r="I104" s="13">
        <f>+E102*2.5</f>
        <v>0</v>
      </c>
      <c r="J104" s="13" t="s">
        <v>261</v>
      </c>
      <c r="K104" s="13"/>
    </row>
    <row r="105" customHeight="1" spans="1:11">
      <c r="A105" s="10" t="s">
        <v>847</v>
      </c>
      <c r="B105" s="10"/>
      <c r="C105" s="10"/>
      <c r="D105" s="10"/>
      <c r="E105" s="10"/>
      <c r="F105" s="10"/>
      <c r="G105" s="10"/>
      <c r="H105" s="10"/>
      <c r="I105" s="10"/>
      <c r="J105" s="10"/>
      <c r="K105" s="10"/>
    </row>
    <row r="106" customHeight="1" spans="1:11">
      <c r="A106" s="24" t="s">
        <v>848</v>
      </c>
      <c r="B106" s="24"/>
      <c r="C106" s="24"/>
      <c r="D106" s="24"/>
      <c r="E106" s="24"/>
      <c r="F106" s="24"/>
      <c r="G106" s="24"/>
      <c r="H106" s="24"/>
      <c r="I106" s="24"/>
      <c r="J106" s="24"/>
      <c r="K106" s="24"/>
    </row>
    <row r="107" customHeight="1" spans="1:11">
      <c r="A107" s="13" t="s">
        <v>797</v>
      </c>
      <c r="B107" s="13" t="s">
        <v>764</v>
      </c>
      <c r="C107" s="13" t="s">
        <v>765</v>
      </c>
      <c r="D107" s="13" t="s">
        <v>89</v>
      </c>
      <c r="E107" s="14"/>
      <c r="F107" s="13" t="s">
        <v>849</v>
      </c>
      <c r="G107" s="13" t="s">
        <v>768</v>
      </c>
      <c r="H107" s="13" t="s">
        <v>543</v>
      </c>
      <c r="I107" s="13" t="s">
        <v>90</v>
      </c>
      <c r="J107" s="13" t="s">
        <v>26</v>
      </c>
      <c r="K107" s="13" t="s">
        <v>30</v>
      </c>
    </row>
    <row r="108" customHeight="1" spans="1:11">
      <c r="A108" s="13" t="s">
        <v>850</v>
      </c>
      <c r="B108" s="13" t="s">
        <v>851</v>
      </c>
      <c r="C108" s="13" t="s">
        <v>852</v>
      </c>
      <c r="D108" s="13" t="s">
        <v>853</v>
      </c>
      <c r="E108" s="15">
        <v>1</v>
      </c>
      <c r="F108" s="18" t="s">
        <v>854</v>
      </c>
      <c r="G108" s="18" t="s">
        <v>855</v>
      </c>
      <c r="H108" s="18" t="s">
        <v>856</v>
      </c>
      <c r="I108" s="13">
        <f>+E108*1</f>
        <v>1</v>
      </c>
      <c r="J108" s="13" t="s">
        <v>315</v>
      </c>
      <c r="K108" s="18" t="s">
        <v>857</v>
      </c>
    </row>
    <row r="109" customHeight="1" spans="1:11">
      <c r="A109" s="13"/>
      <c r="B109" s="13"/>
      <c r="C109" s="13"/>
      <c r="D109" s="13"/>
      <c r="E109" s="17"/>
      <c r="F109" s="18"/>
      <c r="G109" s="18" t="s">
        <v>775</v>
      </c>
      <c r="H109" s="18" t="s">
        <v>776</v>
      </c>
      <c r="I109" s="13">
        <f>+E108*2.6</f>
        <v>2.6</v>
      </c>
      <c r="J109" s="13" t="s">
        <v>261</v>
      </c>
      <c r="K109" s="18"/>
    </row>
    <row r="110" customHeight="1" spans="1:11">
      <c r="A110" s="13"/>
      <c r="B110" s="13"/>
      <c r="C110" s="13"/>
      <c r="D110" s="13"/>
      <c r="E110" s="17"/>
      <c r="F110" s="18"/>
      <c r="G110" s="18" t="s">
        <v>858</v>
      </c>
      <c r="H110" s="18"/>
      <c r="I110" s="13" t="s">
        <v>786</v>
      </c>
      <c r="J110" s="13"/>
      <c r="K110" s="18"/>
    </row>
    <row r="111" customHeight="1" spans="1:11">
      <c r="A111" s="13"/>
      <c r="B111" s="13"/>
      <c r="C111" s="13"/>
      <c r="D111" s="13"/>
      <c r="E111" s="19"/>
      <c r="F111" s="18"/>
      <c r="G111" s="18" t="s">
        <v>773</v>
      </c>
      <c r="H111" s="18" t="s">
        <v>774</v>
      </c>
      <c r="I111" s="13">
        <f>+E108*8</f>
        <v>8</v>
      </c>
      <c r="J111" s="13" t="s">
        <v>315</v>
      </c>
      <c r="K111" s="18"/>
    </row>
    <row r="112" customHeight="1" spans="1:11">
      <c r="A112" s="13" t="s">
        <v>859</v>
      </c>
      <c r="B112" s="13" t="s">
        <v>860</v>
      </c>
      <c r="C112" s="13" t="s">
        <v>852</v>
      </c>
      <c r="D112" s="13" t="s">
        <v>853</v>
      </c>
      <c r="E112" s="15"/>
      <c r="F112" s="18"/>
      <c r="G112" s="18" t="s">
        <v>861</v>
      </c>
      <c r="H112" s="18" t="s">
        <v>862</v>
      </c>
      <c r="I112" s="13">
        <f>+E112*1</f>
        <v>0</v>
      </c>
      <c r="J112" s="13" t="s">
        <v>315</v>
      </c>
      <c r="K112" s="18"/>
    </row>
    <row r="113" customHeight="1" spans="1:11">
      <c r="A113" s="13"/>
      <c r="B113" s="13"/>
      <c r="C113" s="13"/>
      <c r="D113" s="13"/>
      <c r="E113" s="17"/>
      <c r="F113" s="18"/>
      <c r="G113" s="18" t="s">
        <v>775</v>
      </c>
      <c r="H113" s="18" t="s">
        <v>776</v>
      </c>
      <c r="I113" s="13">
        <f>+E112*3.4</f>
        <v>0</v>
      </c>
      <c r="J113" s="13" t="s">
        <v>261</v>
      </c>
      <c r="K113" s="18"/>
    </row>
    <row r="114" customHeight="1" spans="1:11">
      <c r="A114" s="13"/>
      <c r="B114" s="13"/>
      <c r="C114" s="13"/>
      <c r="D114" s="13"/>
      <c r="E114" s="17"/>
      <c r="F114" s="18"/>
      <c r="G114" s="18" t="s">
        <v>858</v>
      </c>
      <c r="H114" s="18"/>
      <c r="I114" s="13" t="s">
        <v>786</v>
      </c>
      <c r="J114" s="13"/>
      <c r="K114" s="18"/>
    </row>
    <row r="115" customHeight="1" spans="1:11">
      <c r="A115" s="13"/>
      <c r="B115" s="13"/>
      <c r="C115" s="13"/>
      <c r="D115" s="13"/>
      <c r="E115" s="19"/>
      <c r="F115" s="18"/>
      <c r="G115" s="18" t="s">
        <v>773</v>
      </c>
      <c r="H115" s="18" t="s">
        <v>774</v>
      </c>
      <c r="I115" s="13">
        <f>+E112*8</f>
        <v>0</v>
      </c>
      <c r="J115" s="13" t="s">
        <v>315</v>
      </c>
      <c r="K115" s="18"/>
    </row>
    <row r="116" customHeight="1" spans="1:11">
      <c r="A116" s="24" t="s">
        <v>863</v>
      </c>
      <c r="B116" s="24"/>
      <c r="C116" s="24"/>
      <c r="D116" s="24"/>
      <c r="E116" s="24"/>
      <c r="F116" s="24"/>
      <c r="G116" s="24"/>
      <c r="H116" s="24"/>
      <c r="I116" s="24"/>
      <c r="J116" s="24"/>
      <c r="K116" s="24"/>
    </row>
    <row r="117" customHeight="1" spans="1:11">
      <c r="A117" s="13" t="s">
        <v>22</v>
      </c>
      <c r="B117" s="13" t="s">
        <v>764</v>
      </c>
      <c r="C117" s="13" t="s">
        <v>765</v>
      </c>
      <c r="D117" s="13" t="s">
        <v>89</v>
      </c>
      <c r="E117" s="14"/>
      <c r="F117" s="13" t="s">
        <v>798</v>
      </c>
      <c r="G117" s="13" t="s">
        <v>768</v>
      </c>
      <c r="H117" s="13" t="s">
        <v>543</v>
      </c>
      <c r="I117" s="13" t="s">
        <v>90</v>
      </c>
      <c r="J117" s="13" t="s">
        <v>26</v>
      </c>
      <c r="K117" s="13" t="s">
        <v>30</v>
      </c>
    </row>
    <row r="118" customHeight="1" spans="1:11">
      <c r="A118" s="13">
        <v>1</v>
      </c>
      <c r="B118" s="13" t="s">
        <v>864</v>
      </c>
      <c r="C118" s="13" t="s">
        <v>839</v>
      </c>
      <c r="D118" s="13" t="s">
        <v>853</v>
      </c>
      <c r="E118" s="15">
        <v>1</v>
      </c>
      <c r="F118" s="18" t="s">
        <v>865</v>
      </c>
      <c r="G118" s="18" t="s">
        <v>777</v>
      </c>
      <c r="H118" s="18" t="s">
        <v>856</v>
      </c>
      <c r="I118" s="13">
        <f>+E118*0.4</f>
        <v>0.4</v>
      </c>
      <c r="J118" s="13" t="s">
        <v>231</v>
      </c>
      <c r="K118" s="18"/>
    </row>
    <row r="119" customHeight="1" spans="1:11">
      <c r="A119" s="13"/>
      <c r="B119" s="13"/>
      <c r="C119" s="13"/>
      <c r="D119" s="13"/>
      <c r="E119" s="17"/>
      <c r="F119" s="18"/>
      <c r="G119" s="18" t="s">
        <v>775</v>
      </c>
      <c r="H119" s="18" t="s">
        <v>776</v>
      </c>
      <c r="I119" s="13">
        <f>+E118*3.5</f>
        <v>3.5</v>
      </c>
      <c r="J119" s="13" t="s">
        <v>261</v>
      </c>
      <c r="K119" s="18"/>
    </row>
    <row r="120" customHeight="1" spans="1:11">
      <c r="A120" s="13"/>
      <c r="B120" s="13"/>
      <c r="C120" s="13"/>
      <c r="D120" s="13"/>
      <c r="E120" s="17"/>
      <c r="F120" s="18"/>
      <c r="G120" s="18" t="s">
        <v>858</v>
      </c>
      <c r="H120" s="18"/>
      <c r="I120" s="13" t="s">
        <v>786</v>
      </c>
      <c r="J120" s="13"/>
      <c r="K120" s="18"/>
    </row>
    <row r="121" customHeight="1" spans="1:11">
      <c r="A121" s="13"/>
      <c r="B121" s="13"/>
      <c r="C121" s="13"/>
      <c r="D121" s="13"/>
      <c r="E121" s="19"/>
      <c r="F121" s="18"/>
      <c r="G121" s="18" t="s">
        <v>773</v>
      </c>
      <c r="H121" s="18" t="s">
        <v>774</v>
      </c>
      <c r="I121" s="13">
        <f>+E118*8</f>
        <v>8</v>
      </c>
      <c r="J121" s="13" t="s">
        <v>315</v>
      </c>
      <c r="K121" s="18"/>
    </row>
    <row r="122" customHeight="1" spans="1:11">
      <c r="A122" s="13">
        <v>2</v>
      </c>
      <c r="B122" s="13" t="s">
        <v>864</v>
      </c>
      <c r="C122" s="13" t="s">
        <v>844</v>
      </c>
      <c r="D122" s="13" t="s">
        <v>853</v>
      </c>
      <c r="E122" s="15"/>
      <c r="F122" s="18"/>
      <c r="G122" s="18" t="s">
        <v>777</v>
      </c>
      <c r="H122" s="18" t="s">
        <v>856</v>
      </c>
      <c r="I122" s="13">
        <f>+E122*0.7</f>
        <v>0</v>
      </c>
      <c r="J122" s="13" t="s">
        <v>231</v>
      </c>
      <c r="K122" s="18"/>
    </row>
    <row r="123" customHeight="1" spans="1:11">
      <c r="A123" s="13"/>
      <c r="B123" s="13"/>
      <c r="C123" s="13"/>
      <c r="D123" s="13"/>
      <c r="E123" s="17"/>
      <c r="F123" s="18"/>
      <c r="G123" s="18" t="s">
        <v>858</v>
      </c>
      <c r="H123" s="18"/>
      <c r="I123" s="13" t="s">
        <v>786</v>
      </c>
      <c r="J123" s="13"/>
      <c r="K123" s="18"/>
    </row>
    <row r="124" customHeight="1" spans="1:11">
      <c r="A124" s="13"/>
      <c r="B124" s="13"/>
      <c r="C124" s="13"/>
      <c r="D124" s="13"/>
      <c r="E124" s="17"/>
      <c r="F124" s="18"/>
      <c r="G124" s="18" t="s">
        <v>775</v>
      </c>
      <c r="H124" s="18" t="s">
        <v>776</v>
      </c>
      <c r="I124" s="13">
        <f>+E122*5</f>
        <v>0</v>
      </c>
      <c r="J124" s="13" t="s">
        <v>261</v>
      </c>
      <c r="K124" s="18"/>
    </row>
    <row r="125" customHeight="1" spans="1:11">
      <c r="A125" s="13"/>
      <c r="B125" s="13"/>
      <c r="C125" s="13"/>
      <c r="D125" s="13"/>
      <c r="E125" s="19"/>
      <c r="F125" s="18"/>
      <c r="G125" s="18" t="s">
        <v>773</v>
      </c>
      <c r="H125" s="18" t="s">
        <v>774</v>
      </c>
      <c r="I125" s="13">
        <f>+E122*8</f>
        <v>0</v>
      </c>
      <c r="J125" s="13" t="s">
        <v>315</v>
      </c>
      <c r="K125" s="18"/>
    </row>
    <row r="126" customHeight="1" spans="1:11">
      <c r="A126" s="10" t="s">
        <v>866</v>
      </c>
      <c r="B126" s="10"/>
      <c r="C126" s="10"/>
      <c r="D126" s="10"/>
      <c r="E126" s="10"/>
      <c r="F126" s="10"/>
      <c r="G126" s="10"/>
      <c r="H126" s="10"/>
      <c r="I126" s="10"/>
      <c r="J126" s="10"/>
      <c r="K126" s="10"/>
    </row>
    <row r="127" customHeight="1" spans="1:11">
      <c r="A127" s="13" t="s">
        <v>88</v>
      </c>
      <c r="B127" s="13" t="s">
        <v>764</v>
      </c>
      <c r="C127" s="13" t="s">
        <v>765</v>
      </c>
      <c r="D127" s="13" t="s">
        <v>766</v>
      </c>
      <c r="E127" s="14"/>
      <c r="F127" s="13" t="s">
        <v>90</v>
      </c>
      <c r="G127" s="13" t="s">
        <v>768</v>
      </c>
      <c r="H127" s="13" t="s">
        <v>543</v>
      </c>
      <c r="I127" s="13" t="s">
        <v>90</v>
      </c>
      <c r="J127" s="13" t="s">
        <v>26</v>
      </c>
      <c r="K127" s="13" t="s">
        <v>30</v>
      </c>
    </row>
    <row r="128" s="657" customFormat="1" customHeight="1" spans="1:11">
      <c r="A128" s="33" t="s">
        <v>867</v>
      </c>
      <c r="B128" s="33">
        <v>50</v>
      </c>
      <c r="C128" s="33" t="s">
        <v>868</v>
      </c>
      <c r="D128" s="33" t="s">
        <v>869</v>
      </c>
      <c r="E128" s="34">
        <v>1</v>
      </c>
      <c r="F128" s="33" t="s">
        <v>870</v>
      </c>
      <c r="G128" s="35" t="s">
        <v>871</v>
      </c>
      <c r="H128" s="36" t="s">
        <v>872</v>
      </c>
      <c r="I128" s="33">
        <f>+E128*0.7</f>
        <v>0.7</v>
      </c>
      <c r="J128" s="33" t="s">
        <v>231</v>
      </c>
      <c r="K128" s="33"/>
    </row>
    <row r="129" s="657" customFormat="1" customHeight="1" spans="1:11">
      <c r="A129" s="33"/>
      <c r="B129" s="33"/>
      <c r="C129" s="33"/>
      <c r="D129" s="33"/>
      <c r="E129" s="37"/>
      <c r="F129" s="33"/>
      <c r="G129" s="18" t="s">
        <v>873</v>
      </c>
      <c r="H129" s="18" t="s">
        <v>774</v>
      </c>
      <c r="I129" s="13">
        <f>+E128*4</f>
        <v>4</v>
      </c>
      <c r="J129" s="13" t="s">
        <v>315</v>
      </c>
      <c r="K129" s="33"/>
    </row>
    <row r="130" s="657" customFormat="1" customHeight="1" spans="1:11">
      <c r="A130" s="33"/>
      <c r="B130" s="33"/>
      <c r="C130" s="33"/>
      <c r="D130" s="33"/>
      <c r="E130" s="38"/>
      <c r="F130" s="33"/>
      <c r="G130" s="35" t="s">
        <v>775</v>
      </c>
      <c r="H130" s="35" t="s">
        <v>776</v>
      </c>
      <c r="I130" s="33">
        <f>+E128*1</f>
        <v>1</v>
      </c>
      <c r="J130" s="33" t="s">
        <v>261</v>
      </c>
      <c r="K130" s="33"/>
    </row>
    <row r="131" s="657" customFormat="1" customHeight="1" spans="1:11">
      <c r="A131" s="33" t="s">
        <v>867</v>
      </c>
      <c r="B131" s="33">
        <v>50</v>
      </c>
      <c r="C131" s="33" t="s">
        <v>868</v>
      </c>
      <c r="D131" s="33" t="s">
        <v>874</v>
      </c>
      <c r="E131" s="34"/>
      <c r="F131" s="33" t="s">
        <v>870</v>
      </c>
      <c r="G131" s="35" t="s">
        <v>875</v>
      </c>
      <c r="H131" s="36" t="s">
        <v>872</v>
      </c>
      <c r="I131" s="33">
        <f>+E131*0.7</f>
        <v>0</v>
      </c>
      <c r="J131" s="33" t="s">
        <v>231</v>
      </c>
      <c r="K131" s="33"/>
    </row>
    <row r="132" s="657" customFormat="1" customHeight="1" spans="1:11">
      <c r="A132" s="33"/>
      <c r="B132" s="33"/>
      <c r="C132" s="33"/>
      <c r="D132" s="33"/>
      <c r="E132" s="37"/>
      <c r="F132" s="33"/>
      <c r="G132" s="18" t="s">
        <v>873</v>
      </c>
      <c r="H132" s="18" t="s">
        <v>774</v>
      </c>
      <c r="I132" s="13">
        <f>+E131*4</f>
        <v>0</v>
      </c>
      <c r="J132" s="13" t="s">
        <v>315</v>
      </c>
      <c r="K132" s="33"/>
    </row>
    <row r="133" s="657" customFormat="1" customHeight="1" spans="1:11">
      <c r="A133" s="33"/>
      <c r="B133" s="33"/>
      <c r="C133" s="33"/>
      <c r="D133" s="33"/>
      <c r="E133" s="38"/>
      <c r="F133" s="33"/>
      <c r="G133" s="35" t="s">
        <v>775</v>
      </c>
      <c r="H133" s="35" t="s">
        <v>776</v>
      </c>
      <c r="I133" s="33">
        <f>+E131*2</f>
        <v>0</v>
      </c>
      <c r="J133" s="33" t="s">
        <v>261</v>
      </c>
      <c r="K133" s="33"/>
    </row>
    <row r="134" s="657" customFormat="1" customHeight="1" spans="1:11">
      <c r="A134" s="33" t="s">
        <v>867</v>
      </c>
      <c r="B134" s="33">
        <v>50</v>
      </c>
      <c r="C134" s="33" t="s">
        <v>876</v>
      </c>
      <c r="D134" s="33" t="s">
        <v>791</v>
      </c>
      <c r="E134" s="34"/>
      <c r="F134" s="33" t="s">
        <v>870</v>
      </c>
      <c r="G134" s="35" t="s">
        <v>875</v>
      </c>
      <c r="H134" s="36" t="s">
        <v>872</v>
      </c>
      <c r="I134" s="33">
        <f>+E134*2</f>
        <v>0</v>
      </c>
      <c r="J134" s="33" t="s">
        <v>231</v>
      </c>
      <c r="K134" s="33"/>
    </row>
    <row r="135" s="657" customFormat="1" customHeight="1" spans="1:11">
      <c r="A135" s="33"/>
      <c r="B135" s="33"/>
      <c r="C135" s="33"/>
      <c r="D135" s="33"/>
      <c r="E135" s="37"/>
      <c r="F135" s="33"/>
      <c r="G135" s="18" t="s">
        <v>873</v>
      </c>
      <c r="H135" s="18" t="s">
        <v>774</v>
      </c>
      <c r="I135" s="13">
        <f>+E134*4</f>
        <v>0</v>
      </c>
      <c r="J135" s="13" t="s">
        <v>315</v>
      </c>
      <c r="K135" s="33"/>
    </row>
    <row r="136" s="657" customFormat="1" customHeight="1" spans="1:11">
      <c r="A136" s="33"/>
      <c r="B136" s="33"/>
      <c r="C136" s="33"/>
      <c r="D136" s="33"/>
      <c r="E136" s="38"/>
      <c r="F136" s="33"/>
      <c r="G136" s="35" t="s">
        <v>775</v>
      </c>
      <c r="H136" s="35" t="s">
        <v>776</v>
      </c>
      <c r="I136" s="33">
        <f>+E134*2.5</f>
        <v>0</v>
      </c>
      <c r="J136" s="33" t="s">
        <v>261</v>
      </c>
      <c r="K136" s="33"/>
    </row>
    <row r="137" s="657" customFormat="1" customHeight="1" spans="1:11">
      <c r="A137" s="33" t="s">
        <v>867</v>
      </c>
      <c r="B137" s="33">
        <v>75</v>
      </c>
      <c r="C137" s="33" t="s">
        <v>868</v>
      </c>
      <c r="D137" s="33" t="s">
        <v>877</v>
      </c>
      <c r="E137" s="34"/>
      <c r="F137" s="33" t="s">
        <v>878</v>
      </c>
      <c r="G137" s="35" t="s">
        <v>777</v>
      </c>
      <c r="H137" s="36" t="s">
        <v>872</v>
      </c>
      <c r="I137" s="33">
        <f>+E137*0.5</f>
        <v>0</v>
      </c>
      <c r="J137" s="33" t="s">
        <v>231</v>
      </c>
      <c r="K137" s="33"/>
    </row>
    <row r="138" s="657" customFormat="1" customHeight="1" spans="1:11">
      <c r="A138" s="33"/>
      <c r="B138" s="33"/>
      <c r="C138" s="33"/>
      <c r="D138" s="33"/>
      <c r="E138" s="37"/>
      <c r="F138" s="33"/>
      <c r="G138" s="18" t="s">
        <v>773</v>
      </c>
      <c r="H138" s="18" t="s">
        <v>774</v>
      </c>
      <c r="I138" s="13">
        <f>+E137*8</f>
        <v>0</v>
      </c>
      <c r="J138" s="13" t="s">
        <v>315</v>
      </c>
      <c r="K138" s="33"/>
    </row>
    <row r="139" s="657" customFormat="1" customHeight="1" spans="1:11">
      <c r="A139" s="33"/>
      <c r="B139" s="33"/>
      <c r="C139" s="33"/>
      <c r="D139" s="33"/>
      <c r="E139" s="38"/>
      <c r="F139" s="33"/>
      <c r="G139" s="35" t="s">
        <v>775</v>
      </c>
      <c r="H139" s="35" t="s">
        <v>776</v>
      </c>
      <c r="I139" s="33">
        <f>+E137*1.5</f>
        <v>0</v>
      </c>
      <c r="J139" s="33" t="s">
        <v>261</v>
      </c>
      <c r="K139" s="33"/>
    </row>
    <row r="140" s="657" customFormat="1" customHeight="1" spans="1:11">
      <c r="A140" s="33" t="s">
        <v>867</v>
      </c>
      <c r="B140" s="33">
        <v>75</v>
      </c>
      <c r="C140" s="33" t="s">
        <v>868</v>
      </c>
      <c r="D140" s="33" t="s">
        <v>874</v>
      </c>
      <c r="E140" s="34"/>
      <c r="F140" s="33" t="s">
        <v>878</v>
      </c>
      <c r="G140" s="35" t="s">
        <v>777</v>
      </c>
      <c r="H140" s="36" t="s">
        <v>872</v>
      </c>
      <c r="I140" s="33">
        <f>+E140*0.5</f>
        <v>0</v>
      </c>
      <c r="J140" s="33" t="s">
        <v>231</v>
      </c>
      <c r="K140" s="33"/>
    </row>
    <row r="141" s="657" customFormat="1" customHeight="1" spans="1:11">
      <c r="A141" s="33"/>
      <c r="B141" s="33"/>
      <c r="C141" s="33"/>
      <c r="D141" s="33"/>
      <c r="E141" s="37"/>
      <c r="F141" s="33"/>
      <c r="G141" s="18" t="s">
        <v>773</v>
      </c>
      <c r="H141" s="18" t="s">
        <v>774</v>
      </c>
      <c r="I141" s="13">
        <f>+E140*8</f>
        <v>0</v>
      </c>
      <c r="J141" s="13" t="s">
        <v>315</v>
      </c>
      <c r="K141" s="33"/>
    </row>
    <row r="142" s="657" customFormat="1" customHeight="1" spans="1:11">
      <c r="A142" s="33"/>
      <c r="B142" s="33"/>
      <c r="C142" s="33"/>
      <c r="D142" s="33"/>
      <c r="E142" s="38"/>
      <c r="F142" s="33"/>
      <c r="G142" s="35" t="s">
        <v>775</v>
      </c>
      <c r="H142" s="35" t="s">
        <v>776</v>
      </c>
      <c r="I142" s="33">
        <f>+E140*2</f>
        <v>0</v>
      </c>
      <c r="J142" s="33" t="s">
        <v>261</v>
      </c>
      <c r="K142" s="33"/>
    </row>
    <row r="143" s="657" customFormat="1" customHeight="1" spans="1:11">
      <c r="A143" s="33" t="s">
        <v>867</v>
      </c>
      <c r="B143" s="33">
        <v>75</v>
      </c>
      <c r="C143" s="33" t="s">
        <v>876</v>
      </c>
      <c r="D143" s="33" t="s">
        <v>791</v>
      </c>
      <c r="E143" s="34"/>
      <c r="F143" s="33" t="s">
        <v>870</v>
      </c>
      <c r="G143" s="35" t="s">
        <v>777</v>
      </c>
      <c r="H143" s="36" t="s">
        <v>872</v>
      </c>
      <c r="I143" s="33">
        <f>+E143*2</f>
        <v>0</v>
      </c>
      <c r="J143" s="33" t="s">
        <v>231</v>
      </c>
      <c r="K143" s="33"/>
    </row>
    <row r="144" s="657" customFormat="1" customHeight="1" spans="1:11">
      <c r="A144" s="33"/>
      <c r="B144" s="33"/>
      <c r="C144" s="33"/>
      <c r="D144" s="33"/>
      <c r="E144" s="37"/>
      <c r="F144" s="33"/>
      <c r="G144" s="18" t="s">
        <v>773</v>
      </c>
      <c r="H144" s="18" t="s">
        <v>774</v>
      </c>
      <c r="I144" s="13">
        <f>+E143*8</f>
        <v>0</v>
      </c>
      <c r="J144" s="13" t="s">
        <v>315</v>
      </c>
      <c r="K144" s="33"/>
    </row>
    <row r="145" s="657" customFormat="1" customHeight="1" spans="1:11">
      <c r="A145" s="33"/>
      <c r="B145" s="33"/>
      <c r="C145" s="33"/>
      <c r="D145" s="33"/>
      <c r="E145" s="38"/>
      <c r="F145" s="33"/>
      <c r="G145" s="35" t="s">
        <v>775</v>
      </c>
      <c r="H145" s="35" t="s">
        <v>776</v>
      </c>
      <c r="I145" s="33">
        <f>+E143*2.5</f>
        <v>0</v>
      </c>
      <c r="J145" s="33" t="s">
        <v>261</v>
      </c>
      <c r="K145" s="33"/>
    </row>
    <row r="146" s="657" customFormat="1" customHeight="1" spans="1:11">
      <c r="A146" s="33" t="s">
        <v>867</v>
      </c>
      <c r="B146" s="33">
        <v>150</v>
      </c>
      <c r="C146" s="33" t="s">
        <v>868</v>
      </c>
      <c r="D146" s="33" t="s">
        <v>877</v>
      </c>
      <c r="E146" s="34"/>
      <c r="F146" s="33" t="s">
        <v>870</v>
      </c>
      <c r="G146" s="35" t="s">
        <v>777</v>
      </c>
      <c r="H146" s="36" t="s">
        <v>872</v>
      </c>
      <c r="I146" s="33">
        <f>+E146*0.5</f>
        <v>0</v>
      </c>
      <c r="J146" s="33" t="s">
        <v>231</v>
      </c>
      <c r="K146" s="33"/>
    </row>
    <row r="147" s="657" customFormat="1" customHeight="1" spans="1:11">
      <c r="A147" s="33"/>
      <c r="B147" s="33"/>
      <c r="C147" s="33"/>
      <c r="D147" s="33"/>
      <c r="E147" s="37"/>
      <c r="F147" s="33"/>
      <c r="G147" s="18" t="s">
        <v>773</v>
      </c>
      <c r="H147" s="18" t="s">
        <v>774</v>
      </c>
      <c r="I147" s="13">
        <f>+E146*8</f>
        <v>0</v>
      </c>
      <c r="J147" s="13" t="s">
        <v>315</v>
      </c>
      <c r="K147" s="33"/>
    </row>
    <row r="148" s="657" customFormat="1" customHeight="1" spans="1:11">
      <c r="A148" s="33"/>
      <c r="B148" s="33"/>
      <c r="C148" s="33"/>
      <c r="D148" s="33"/>
      <c r="E148" s="38"/>
      <c r="F148" s="33"/>
      <c r="G148" s="35" t="s">
        <v>775</v>
      </c>
      <c r="H148" s="35" t="s">
        <v>776</v>
      </c>
      <c r="I148" s="33">
        <f>+E146*1</f>
        <v>0</v>
      </c>
      <c r="J148" s="33" t="s">
        <v>261</v>
      </c>
      <c r="K148" s="33"/>
    </row>
    <row r="149" s="657" customFormat="1" customHeight="1" spans="1:11">
      <c r="A149" s="33" t="s">
        <v>867</v>
      </c>
      <c r="B149" s="33">
        <v>150</v>
      </c>
      <c r="C149" s="33" t="s">
        <v>868</v>
      </c>
      <c r="D149" s="33" t="s">
        <v>874</v>
      </c>
      <c r="E149" s="34"/>
      <c r="F149" s="33" t="s">
        <v>870</v>
      </c>
      <c r="G149" s="35" t="s">
        <v>777</v>
      </c>
      <c r="H149" s="36" t="s">
        <v>872</v>
      </c>
      <c r="I149" s="33">
        <f>+E149*0.5</f>
        <v>0</v>
      </c>
      <c r="J149" s="33" t="s">
        <v>231</v>
      </c>
      <c r="K149" s="33"/>
    </row>
    <row r="150" s="657" customFormat="1" customHeight="1" spans="1:11">
      <c r="A150" s="33"/>
      <c r="B150" s="33"/>
      <c r="C150" s="33"/>
      <c r="D150" s="33"/>
      <c r="E150" s="37"/>
      <c r="F150" s="33"/>
      <c r="G150" s="18" t="s">
        <v>773</v>
      </c>
      <c r="H150" s="18" t="s">
        <v>774</v>
      </c>
      <c r="I150" s="13">
        <f>+E149*8</f>
        <v>0</v>
      </c>
      <c r="J150" s="13" t="s">
        <v>315</v>
      </c>
      <c r="K150" s="33"/>
    </row>
    <row r="151" s="657" customFormat="1" customHeight="1" spans="1:11">
      <c r="A151" s="33"/>
      <c r="B151" s="33"/>
      <c r="C151" s="33"/>
      <c r="D151" s="33"/>
      <c r="E151" s="38"/>
      <c r="F151" s="33"/>
      <c r="G151" s="35" t="s">
        <v>775</v>
      </c>
      <c r="H151" s="35" t="s">
        <v>776</v>
      </c>
      <c r="I151" s="33">
        <f>+E149*1.5</f>
        <v>0</v>
      </c>
      <c r="J151" s="33" t="s">
        <v>261</v>
      </c>
      <c r="K151" s="33"/>
    </row>
    <row r="152" s="657" customFormat="1" customHeight="1" spans="1:11">
      <c r="A152" s="33" t="s">
        <v>867</v>
      </c>
      <c r="B152" s="33">
        <v>150</v>
      </c>
      <c r="C152" s="33" t="s">
        <v>876</v>
      </c>
      <c r="D152" s="33" t="s">
        <v>791</v>
      </c>
      <c r="E152" s="34"/>
      <c r="F152" s="33" t="s">
        <v>870</v>
      </c>
      <c r="G152" s="35" t="s">
        <v>777</v>
      </c>
      <c r="H152" s="36" t="s">
        <v>872</v>
      </c>
      <c r="I152" s="33">
        <f>+E152*2</f>
        <v>0</v>
      </c>
      <c r="J152" s="33" t="s">
        <v>231</v>
      </c>
      <c r="K152" s="33"/>
    </row>
    <row r="153" s="657" customFormat="1" customHeight="1" spans="1:11">
      <c r="A153" s="33"/>
      <c r="B153" s="33"/>
      <c r="C153" s="33"/>
      <c r="D153" s="33"/>
      <c r="E153" s="37"/>
      <c r="F153" s="33"/>
      <c r="G153" s="18" t="s">
        <v>773</v>
      </c>
      <c r="H153" s="18" t="s">
        <v>774</v>
      </c>
      <c r="I153" s="13">
        <f>+E152*8</f>
        <v>0</v>
      </c>
      <c r="J153" s="13" t="s">
        <v>315</v>
      </c>
      <c r="K153" s="33"/>
    </row>
    <row r="154" s="657" customFormat="1" customHeight="1" spans="1:11">
      <c r="A154" s="33"/>
      <c r="B154" s="33"/>
      <c r="C154" s="33"/>
      <c r="D154" s="33"/>
      <c r="E154" s="38"/>
      <c r="F154" s="33"/>
      <c r="G154" s="35" t="s">
        <v>775</v>
      </c>
      <c r="H154" s="35" t="s">
        <v>776</v>
      </c>
      <c r="I154" s="33">
        <f>+E152*2.5</f>
        <v>0</v>
      </c>
      <c r="J154" s="33" t="s">
        <v>261</v>
      </c>
      <c r="K154" s="33"/>
    </row>
    <row r="155" customHeight="1" spans="1:11">
      <c r="A155" s="13" t="s">
        <v>867</v>
      </c>
      <c r="B155" s="13" t="s">
        <v>879</v>
      </c>
      <c r="C155" s="13" t="s">
        <v>868</v>
      </c>
      <c r="D155" s="13" t="s">
        <v>795</v>
      </c>
      <c r="E155" s="15"/>
      <c r="F155" s="13" t="s">
        <v>870</v>
      </c>
      <c r="G155" s="35" t="s">
        <v>777</v>
      </c>
      <c r="H155" s="36" t="s">
        <v>872</v>
      </c>
      <c r="I155" s="33">
        <f>+E155*1</f>
        <v>0</v>
      </c>
      <c r="J155" s="33" t="s">
        <v>231</v>
      </c>
      <c r="K155" s="44"/>
    </row>
    <row r="156" customHeight="1" spans="1:11">
      <c r="A156" s="13"/>
      <c r="B156" s="13"/>
      <c r="C156" s="13"/>
      <c r="D156" s="13"/>
      <c r="E156" s="17"/>
      <c r="F156" s="13"/>
      <c r="G156" s="18" t="s">
        <v>773</v>
      </c>
      <c r="H156" s="18" t="s">
        <v>774</v>
      </c>
      <c r="I156" s="13">
        <f>+E155*8</f>
        <v>0</v>
      </c>
      <c r="J156" s="13" t="s">
        <v>315</v>
      </c>
      <c r="K156" s="44"/>
    </row>
    <row r="157" customHeight="1" spans="1:11">
      <c r="A157" s="13"/>
      <c r="B157" s="13"/>
      <c r="C157" s="13"/>
      <c r="D157" s="13"/>
      <c r="E157" s="19"/>
      <c r="F157" s="13"/>
      <c r="G157" s="35" t="s">
        <v>775</v>
      </c>
      <c r="H157" s="35" t="s">
        <v>776</v>
      </c>
      <c r="I157" s="33">
        <f>+E155*2.5</f>
        <v>0</v>
      </c>
      <c r="J157" s="33" t="s">
        <v>261</v>
      </c>
      <c r="K157" s="44"/>
    </row>
    <row r="158" customHeight="1" spans="1:11">
      <c r="A158" s="13" t="s">
        <v>880</v>
      </c>
      <c r="B158" s="13" t="s">
        <v>881</v>
      </c>
      <c r="C158" s="13" t="s">
        <v>792</v>
      </c>
      <c r="D158" s="13" t="s">
        <v>792</v>
      </c>
      <c r="E158" s="15"/>
      <c r="F158" s="13" t="s">
        <v>882</v>
      </c>
      <c r="G158" s="18" t="s">
        <v>777</v>
      </c>
      <c r="H158" s="20" t="s">
        <v>872</v>
      </c>
      <c r="I158" s="13">
        <f>+E158*0.5</f>
        <v>0</v>
      </c>
      <c r="J158" s="13" t="s">
        <v>231</v>
      </c>
      <c r="K158" s="13"/>
    </row>
    <row r="159" customHeight="1" spans="1:11">
      <c r="A159" s="13"/>
      <c r="B159" s="13"/>
      <c r="C159" s="13"/>
      <c r="D159" s="13"/>
      <c r="E159" s="17"/>
      <c r="F159" s="13"/>
      <c r="G159" s="18" t="s">
        <v>883</v>
      </c>
      <c r="H159" s="20"/>
      <c r="I159" s="13">
        <f>+E158*5</f>
        <v>0</v>
      </c>
      <c r="J159" s="13" t="s">
        <v>181</v>
      </c>
      <c r="K159" s="13"/>
    </row>
    <row r="160" customHeight="1" spans="1:11">
      <c r="A160" s="13"/>
      <c r="B160" s="13"/>
      <c r="C160" s="13"/>
      <c r="D160" s="13"/>
      <c r="E160" s="19"/>
      <c r="F160" s="13"/>
      <c r="G160" s="18" t="s">
        <v>775</v>
      </c>
      <c r="H160" s="18" t="s">
        <v>776</v>
      </c>
      <c r="I160" s="13">
        <f>+E158*2.5</f>
        <v>0</v>
      </c>
      <c r="J160" s="13" t="s">
        <v>261</v>
      </c>
      <c r="K160" s="13"/>
    </row>
    <row r="161" customHeight="1" spans="1:11">
      <c r="A161" s="13" t="s">
        <v>884</v>
      </c>
      <c r="B161" s="13" t="s">
        <v>885</v>
      </c>
      <c r="C161" s="13" t="s">
        <v>886</v>
      </c>
      <c r="D161" s="13" t="s">
        <v>792</v>
      </c>
      <c r="E161" s="15"/>
      <c r="F161" s="13" t="s">
        <v>887</v>
      </c>
      <c r="G161" s="18" t="s">
        <v>777</v>
      </c>
      <c r="H161" s="36" t="s">
        <v>872</v>
      </c>
      <c r="I161" s="13">
        <f>+E161*1</f>
        <v>0</v>
      </c>
      <c r="J161" s="13" t="s">
        <v>231</v>
      </c>
      <c r="K161" s="13" t="s">
        <v>888</v>
      </c>
    </row>
    <row r="162" customHeight="1" spans="1:11">
      <c r="A162" s="13"/>
      <c r="B162" s="13"/>
      <c r="C162" s="13"/>
      <c r="D162" s="13"/>
      <c r="E162" s="17"/>
      <c r="F162" s="13"/>
      <c r="G162" s="18" t="s">
        <v>773</v>
      </c>
      <c r="H162" s="18" t="s">
        <v>774</v>
      </c>
      <c r="I162" s="13">
        <f>+E161*4</f>
        <v>0</v>
      </c>
      <c r="J162" s="13" t="s">
        <v>315</v>
      </c>
      <c r="K162" s="13"/>
    </row>
    <row r="163" customHeight="1" spans="1:11">
      <c r="A163" s="13"/>
      <c r="B163" s="13"/>
      <c r="C163" s="13"/>
      <c r="D163" s="13"/>
      <c r="E163" s="19"/>
      <c r="F163" s="13"/>
      <c r="G163" s="18" t="s">
        <v>775</v>
      </c>
      <c r="H163" s="18" t="s">
        <v>776</v>
      </c>
      <c r="I163" s="13">
        <f>+E161*3</f>
        <v>0</v>
      </c>
      <c r="J163" s="13" t="s">
        <v>261</v>
      </c>
      <c r="K163" s="13"/>
    </row>
    <row r="164" customHeight="1" spans="1:11">
      <c r="A164" s="13" t="s">
        <v>884</v>
      </c>
      <c r="B164" s="13" t="s">
        <v>889</v>
      </c>
      <c r="C164" s="13" t="s">
        <v>886</v>
      </c>
      <c r="D164" s="13" t="s">
        <v>792</v>
      </c>
      <c r="E164" s="15"/>
      <c r="F164" s="13" t="s">
        <v>887</v>
      </c>
      <c r="G164" s="18" t="s">
        <v>777</v>
      </c>
      <c r="H164" s="36" t="s">
        <v>872</v>
      </c>
      <c r="I164" s="13">
        <f>+E164*1.5</f>
        <v>0</v>
      </c>
      <c r="J164" s="13" t="s">
        <v>231</v>
      </c>
      <c r="K164" s="13" t="s">
        <v>888</v>
      </c>
    </row>
    <row r="165" customHeight="1" spans="1:11">
      <c r="A165" s="13"/>
      <c r="B165" s="13"/>
      <c r="C165" s="13"/>
      <c r="D165" s="13"/>
      <c r="E165" s="17"/>
      <c r="F165" s="13"/>
      <c r="G165" s="18" t="s">
        <v>773</v>
      </c>
      <c r="H165" s="18" t="s">
        <v>774</v>
      </c>
      <c r="I165" s="13">
        <f>+E164*4</f>
        <v>0</v>
      </c>
      <c r="J165" s="13" t="s">
        <v>315</v>
      </c>
      <c r="K165" s="13"/>
    </row>
    <row r="166" customHeight="1" spans="1:11">
      <c r="A166" s="13"/>
      <c r="B166" s="13"/>
      <c r="C166" s="13"/>
      <c r="D166" s="13"/>
      <c r="E166" s="19"/>
      <c r="F166" s="13"/>
      <c r="G166" s="18" t="s">
        <v>775</v>
      </c>
      <c r="H166" s="18" t="s">
        <v>776</v>
      </c>
      <c r="I166" s="13">
        <f>+E164*4</f>
        <v>0</v>
      </c>
      <c r="J166" s="13" t="s">
        <v>261</v>
      </c>
      <c r="K166" s="13"/>
    </row>
    <row r="167" customHeight="1" spans="1:15">
      <c r="A167" s="13" t="s">
        <v>890</v>
      </c>
      <c r="B167" s="13" t="s">
        <v>891</v>
      </c>
      <c r="C167" s="13"/>
      <c r="D167" s="13"/>
      <c r="E167" s="15"/>
      <c r="F167" s="13" t="s">
        <v>870</v>
      </c>
      <c r="G167" s="18" t="s">
        <v>777</v>
      </c>
      <c r="H167" s="36" t="s">
        <v>872</v>
      </c>
      <c r="I167" s="13">
        <f>+E167*1.5</f>
        <v>0</v>
      </c>
      <c r="J167" s="13" t="s">
        <v>231</v>
      </c>
      <c r="K167" s="13" t="s">
        <v>888</v>
      </c>
      <c r="L167" s="667"/>
      <c r="M167" s="667"/>
      <c r="N167" s="667"/>
      <c r="O167" s="667"/>
    </row>
    <row r="168" customHeight="1" spans="1:15">
      <c r="A168" s="13"/>
      <c r="B168" s="13"/>
      <c r="C168" s="13"/>
      <c r="D168" s="13"/>
      <c r="E168" s="19"/>
      <c r="F168" s="13"/>
      <c r="G168" s="18" t="s">
        <v>775</v>
      </c>
      <c r="H168" s="18" t="s">
        <v>776</v>
      </c>
      <c r="I168" s="13">
        <f>+E167*4</f>
        <v>0</v>
      </c>
      <c r="J168" s="13" t="s">
        <v>261</v>
      </c>
      <c r="K168" s="13"/>
      <c r="L168" s="667"/>
      <c r="M168" s="667"/>
      <c r="N168" s="667"/>
      <c r="O168" s="667"/>
    </row>
    <row r="169" customHeight="1" spans="1:15">
      <c r="A169" s="13" t="s">
        <v>892</v>
      </c>
      <c r="B169" s="13" t="s">
        <v>893</v>
      </c>
      <c r="C169" s="13">
        <v>50</v>
      </c>
      <c r="D169" s="13" t="s">
        <v>894</v>
      </c>
      <c r="E169" s="15"/>
      <c r="F169" s="13" t="s">
        <v>895</v>
      </c>
      <c r="G169" s="18" t="s">
        <v>871</v>
      </c>
      <c r="H169" s="20"/>
      <c r="I169" s="13">
        <f>+E169*1</f>
        <v>0</v>
      </c>
      <c r="J169" s="13" t="s">
        <v>315</v>
      </c>
      <c r="K169" s="13"/>
      <c r="L169" s="667"/>
      <c r="M169" s="667"/>
      <c r="N169" s="667"/>
      <c r="O169" s="667"/>
    </row>
    <row r="170" customHeight="1" spans="1:15">
      <c r="A170" s="13"/>
      <c r="B170" s="13"/>
      <c r="C170" s="13"/>
      <c r="D170" s="13"/>
      <c r="E170" s="17"/>
      <c r="F170" s="13"/>
      <c r="G170" s="18" t="s">
        <v>873</v>
      </c>
      <c r="H170" s="18" t="s">
        <v>774</v>
      </c>
      <c r="I170" s="13">
        <f>+E169*4</f>
        <v>0</v>
      </c>
      <c r="J170" s="13" t="s">
        <v>315</v>
      </c>
      <c r="K170" s="13"/>
      <c r="L170" s="667"/>
      <c r="M170" s="667"/>
      <c r="N170" s="667"/>
      <c r="O170" s="667"/>
    </row>
    <row r="171" customHeight="1" spans="1:15">
      <c r="A171" s="13"/>
      <c r="B171" s="13"/>
      <c r="C171" s="13"/>
      <c r="D171" s="13"/>
      <c r="E171" s="19"/>
      <c r="F171" s="13"/>
      <c r="G171" s="18" t="s">
        <v>775</v>
      </c>
      <c r="H171" s="18" t="s">
        <v>776</v>
      </c>
      <c r="I171" s="13">
        <f>+E169*1.5</f>
        <v>0</v>
      </c>
      <c r="J171" s="13" t="s">
        <v>261</v>
      </c>
      <c r="K171" s="13"/>
      <c r="L171" s="667"/>
      <c r="M171" s="667"/>
      <c r="N171" s="667"/>
      <c r="O171" s="667"/>
    </row>
    <row r="172" customHeight="1" spans="1:15">
      <c r="A172" s="13" t="s">
        <v>892</v>
      </c>
      <c r="B172" s="13" t="s">
        <v>896</v>
      </c>
      <c r="C172" s="13">
        <v>50</v>
      </c>
      <c r="D172" s="13" t="s">
        <v>894</v>
      </c>
      <c r="E172" s="15"/>
      <c r="F172" s="13" t="s">
        <v>895</v>
      </c>
      <c r="G172" s="18" t="s">
        <v>871</v>
      </c>
      <c r="H172" s="20"/>
      <c r="I172" s="13">
        <f>+E172*2</f>
        <v>0</v>
      </c>
      <c r="J172" s="13" t="s">
        <v>315</v>
      </c>
      <c r="K172" s="13"/>
      <c r="L172" s="667"/>
      <c r="M172" s="667"/>
      <c r="N172" s="667"/>
      <c r="O172" s="667"/>
    </row>
    <row r="173" customHeight="1" spans="1:15">
      <c r="A173" s="13"/>
      <c r="B173" s="13"/>
      <c r="C173" s="13"/>
      <c r="D173" s="13"/>
      <c r="E173" s="17"/>
      <c r="F173" s="13"/>
      <c r="G173" s="18" t="s">
        <v>873</v>
      </c>
      <c r="H173" s="18" t="s">
        <v>774</v>
      </c>
      <c r="I173" s="13">
        <f>+E172*4</f>
        <v>0</v>
      </c>
      <c r="J173" s="13" t="s">
        <v>315</v>
      </c>
      <c r="K173" s="13"/>
      <c r="L173" s="667"/>
      <c r="M173" s="667"/>
      <c r="N173" s="667"/>
      <c r="O173" s="667"/>
    </row>
    <row r="174" customHeight="1" spans="1:15">
      <c r="A174" s="13"/>
      <c r="B174" s="13"/>
      <c r="C174" s="13"/>
      <c r="D174" s="13"/>
      <c r="E174" s="19"/>
      <c r="F174" s="13"/>
      <c r="G174" s="18" t="s">
        <v>775</v>
      </c>
      <c r="H174" s="18" t="s">
        <v>776</v>
      </c>
      <c r="I174" s="13">
        <f>+E172*2.5</f>
        <v>0</v>
      </c>
      <c r="J174" s="13" t="s">
        <v>261</v>
      </c>
      <c r="K174" s="13"/>
      <c r="L174" s="667"/>
      <c r="M174" s="667"/>
      <c r="N174" s="667"/>
      <c r="O174" s="667"/>
    </row>
    <row r="175" customHeight="1" spans="1:15">
      <c r="A175" s="13" t="s">
        <v>892</v>
      </c>
      <c r="B175" s="13" t="s">
        <v>893</v>
      </c>
      <c r="C175" s="13">
        <v>50</v>
      </c>
      <c r="D175" s="13" t="s">
        <v>897</v>
      </c>
      <c r="E175" s="15"/>
      <c r="F175" s="13" t="s">
        <v>895</v>
      </c>
      <c r="G175" s="18" t="s">
        <v>875</v>
      </c>
      <c r="H175" s="20"/>
      <c r="I175" s="13">
        <f>+E175*1</f>
        <v>0</v>
      </c>
      <c r="J175" s="13" t="s">
        <v>315</v>
      </c>
      <c r="K175" s="13"/>
      <c r="L175" s="667"/>
      <c r="M175" s="667"/>
      <c r="N175" s="667"/>
      <c r="O175" s="667"/>
    </row>
    <row r="176" customHeight="1" spans="1:15">
      <c r="A176" s="13"/>
      <c r="B176" s="13"/>
      <c r="C176" s="13"/>
      <c r="D176" s="13"/>
      <c r="E176" s="17"/>
      <c r="F176" s="13"/>
      <c r="G176" s="18" t="s">
        <v>873</v>
      </c>
      <c r="H176" s="18" t="s">
        <v>774</v>
      </c>
      <c r="I176" s="13">
        <f>+E175*4</f>
        <v>0</v>
      </c>
      <c r="J176" s="13" t="s">
        <v>315</v>
      </c>
      <c r="K176" s="13"/>
      <c r="L176" s="667"/>
      <c r="M176" s="667"/>
      <c r="N176" s="667"/>
      <c r="O176" s="667"/>
    </row>
    <row r="177" customHeight="1" spans="1:15">
      <c r="A177" s="13"/>
      <c r="B177" s="13"/>
      <c r="C177" s="13"/>
      <c r="D177" s="13"/>
      <c r="E177" s="19"/>
      <c r="F177" s="13"/>
      <c r="G177" s="18" t="s">
        <v>775</v>
      </c>
      <c r="H177" s="18" t="s">
        <v>776</v>
      </c>
      <c r="I177" s="13">
        <f>+E175*1.5</f>
        <v>0</v>
      </c>
      <c r="J177" s="13" t="s">
        <v>261</v>
      </c>
      <c r="K177" s="13"/>
      <c r="L177" s="667"/>
      <c r="M177" s="667"/>
      <c r="N177" s="667"/>
      <c r="O177" s="667"/>
    </row>
    <row r="178" customHeight="1" spans="1:15">
      <c r="A178" s="13" t="s">
        <v>892</v>
      </c>
      <c r="B178" s="13" t="s">
        <v>896</v>
      </c>
      <c r="C178" s="13">
        <v>50</v>
      </c>
      <c r="D178" s="13" t="s">
        <v>897</v>
      </c>
      <c r="E178" s="15"/>
      <c r="F178" s="13" t="s">
        <v>895</v>
      </c>
      <c r="G178" s="18" t="s">
        <v>875</v>
      </c>
      <c r="H178" s="20"/>
      <c r="I178" s="13">
        <f>+E178*2</f>
        <v>0</v>
      </c>
      <c r="J178" s="13" t="s">
        <v>315</v>
      </c>
      <c r="K178" s="13"/>
      <c r="L178" s="667"/>
      <c r="M178" s="667"/>
      <c r="N178" s="667"/>
      <c r="O178" s="667"/>
    </row>
    <row r="179" customHeight="1" spans="1:15">
      <c r="A179" s="13"/>
      <c r="B179" s="13"/>
      <c r="C179" s="13"/>
      <c r="D179" s="13"/>
      <c r="E179" s="17"/>
      <c r="F179" s="13"/>
      <c r="G179" s="18" t="s">
        <v>873</v>
      </c>
      <c r="H179" s="18" t="s">
        <v>774</v>
      </c>
      <c r="I179" s="13">
        <f>+E178*4</f>
        <v>0</v>
      </c>
      <c r="J179" s="13" t="s">
        <v>315</v>
      </c>
      <c r="K179" s="13"/>
      <c r="L179" s="667"/>
      <c r="M179" s="667"/>
      <c r="N179" s="667"/>
      <c r="O179" s="667"/>
    </row>
    <row r="180" customHeight="1" spans="1:15">
      <c r="A180" s="13"/>
      <c r="B180" s="13"/>
      <c r="C180" s="13"/>
      <c r="D180" s="13"/>
      <c r="E180" s="19"/>
      <c r="F180" s="13"/>
      <c r="G180" s="18" t="s">
        <v>775</v>
      </c>
      <c r="H180" s="18" t="s">
        <v>776</v>
      </c>
      <c r="I180" s="13">
        <f>+E178*2.5</f>
        <v>0</v>
      </c>
      <c r="J180" s="13" t="s">
        <v>261</v>
      </c>
      <c r="K180" s="13"/>
      <c r="L180" s="667"/>
      <c r="M180" s="667"/>
      <c r="N180" s="667"/>
      <c r="O180" s="667"/>
    </row>
    <row r="181" customHeight="1" spans="1:15">
      <c r="A181" s="13" t="s">
        <v>898</v>
      </c>
      <c r="B181" s="13" t="s">
        <v>891</v>
      </c>
      <c r="C181" s="13" t="s">
        <v>891</v>
      </c>
      <c r="D181" s="13" t="s">
        <v>891</v>
      </c>
      <c r="E181" s="15"/>
      <c r="F181" s="13" t="s">
        <v>870</v>
      </c>
      <c r="G181" s="18" t="s">
        <v>777</v>
      </c>
      <c r="H181" s="36" t="s">
        <v>872</v>
      </c>
      <c r="I181" s="13">
        <f>+E181*1</f>
        <v>0</v>
      </c>
      <c r="J181" s="13" t="s">
        <v>231</v>
      </c>
      <c r="K181" s="13" t="s">
        <v>888</v>
      </c>
      <c r="L181" s="667"/>
      <c r="M181" s="667"/>
      <c r="N181" s="667"/>
      <c r="O181" s="667"/>
    </row>
    <row r="182" customHeight="1" spans="1:15">
      <c r="A182" s="13"/>
      <c r="B182" s="13"/>
      <c r="C182" s="13"/>
      <c r="D182" s="13"/>
      <c r="E182" s="19"/>
      <c r="F182" s="13"/>
      <c r="G182" s="18" t="s">
        <v>775</v>
      </c>
      <c r="H182" s="18" t="s">
        <v>776</v>
      </c>
      <c r="I182" s="13">
        <f>+E181*3</f>
        <v>0</v>
      </c>
      <c r="J182" s="13" t="s">
        <v>261</v>
      </c>
      <c r="K182" s="13"/>
      <c r="L182" s="667"/>
      <c r="M182" s="667"/>
      <c r="N182" s="667"/>
      <c r="O182" s="667"/>
    </row>
    <row r="183" customHeight="1" spans="1:15">
      <c r="A183" s="13" t="s">
        <v>899</v>
      </c>
      <c r="B183" s="13" t="s">
        <v>893</v>
      </c>
      <c r="C183" s="13" t="s">
        <v>891</v>
      </c>
      <c r="D183" s="13" t="s">
        <v>833</v>
      </c>
      <c r="E183" s="15"/>
      <c r="F183" s="39" t="s">
        <v>900</v>
      </c>
      <c r="G183" s="18" t="s">
        <v>777</v>
      </c>
      <c r="H183" s="36" t="s">
        <v>872</v>
      </c>
      <c r="I183" s="13">
        <f>+E183*0.3</f>
        <v>0</v>
      </c>
      <c r="J183" s="13" t="s">
        <v>231</v>
      </c>
      <c r="K183" s="13"/>
      <c r="L183" s="667"/>
      <c r="M183" s="667"/>
      <c r="N183" s="667"/>
      <c r="O183" s="667"/>
    </row>
    <row r="184" customHeight="1" spans="1:15">
      <c r="A184" s="13"/>
      <c r="B184" s="13"/>
      <c r="C184" s="13"/>
      <c r="D184" s="13"/>
      <c r="E184" s="17"/>
      <c r="F184" s="39"/>
      <c r="G184" s="18" t="s">
        <v>773</v>
      </c>
      <c r="H184" s="18" t="s">
        <v>774</v>
      </c>
      <c r="I184" s="13">
        <f>+E183*8</f>
        <v>0</v>
      </c>
      <c r="J184" s="13" t="s">
        <v>315</v>
      </c>
      <c r="K184" s="13"/>
      <c r="L184" s="667"/>
      <c r="M184" s="667"/>
      <c r="N184" s="667"/>
      <c r="O184" s="667"/>
    </row>
    <row r="185" customHeight="1" spans="1:15">
      <c r="A185" s="13"/>
      <c r="B185" s="13"/>
      <c r="C185" s="13"/>
      <c r="D185" s="13"/>
      <c r="E185" s="19"/>
      <c r="F185" s="39"/>
      <c r="G185" s="18" t="s">
        <v>775</v>
      </c>
      <c r="H185" s="18" t="s">
        <v>776</v>
      </c>
      <c r="I185" s="13">
        <f>+E183*1.5</f>
        <v>0</v>
      </c>
      <c r="J185" s="13" t="s">
        <v>261</v>
      </c>
      <c r="K185" s="13"/>
      <c r="L185" s="667"/>
      <c r="M185" s="667"/>
      <c r="N185" s="667"/>
      <c r="O185" s="667"/>
    </row>
    <row r="186" customHeight="1" spans="1:15">
      <c r="A186" s="13" t="s">
        <v>901</v>
      </c>
      <c r="B186" s="13" t="s">
        <v>791</v>
      </c>
      <c r="C186" s="13" t="s">
        <v>902</v>
      </c>
      <c r="D186" s="13" t="s">
        <v>891</v>
      </c>
      <c r="E186" s="15"/>
      <c r="F186" s="39" t="s">
        <v>903</v>
      </c>
      <c r="G186" s="18" t="s">
        <v>777</v>
      </c>
      <c r="H186" s="36" t="s">
        <v>872</v>
      </c>
      <c r="I186" s="13">
        <f>+E186*1</f>
        <v>0</v>
      </c>
      <c r="J186" s="13" t="s">
        <v>231</v>
      </c>
      <c r="K186" s="13" t="s">
        <v>904</v>
      </c>
      <c r="L186" s="667"/>
      <c r="M186" s="667"/>
      <c r="N186" s="667"/>
      <c r="O186" s="667"/>
    </row>
    <row r="187" customHeight="1" spans="1:15">
      <c r="A187" s="13"/>
      <c r="B187" s="13"/>
      <c r="C187" s="13"/>
      <c r="D187" s="13"/>
      <c r="E187" s="17"/>
      <c r="F187" s="39"/>
      <c r="G187" s="18" t="s">
        <v>905</v>
      </c>
      <c r="H187" s="18" t="s">
        <v>774</v>
      </c>
      <c r="I187" s="13">
        <f>+E186*4</f>
        <v>0</v>
      </c>
      <c r="J187" s="13" t="s">
        <v>315</v>
      </c>
      <c r="K187" s="13"/>
      <c r="L187" s="667"/>
      <c r="M187" s="667"/>
      <c r="N187" s="667"/>
      <c r="O187" s="667"/>
    </row>
    <row r="188" customHeight="1" spans="1:15">
      <c r="A188" s="13"/>
      <c r="B188" s="13"/>
      <c r="C188" s="13"/>
      <c r="D188" s="13"/>
      <c r="E188" s="19"/>
      <c r="F188" s="39"/>
      <c r="G188" s="18" t="s">
        <v>775</v>
      </c>
      <c r="H188" s="18" t="s">
        <v>776</v>
      </c>
      <c r="I188" s="13">
        <f>+E186*5</f>
        <v>0</v>
      </c>
      <c r="J188" s="13" t="s">
        <v>261</v>
      </c>
      <c r="K188" s="13"/>
      <c r="L188" s="667"/>
      <c r="M188" s="667"/>
      <c r="N188" s="667"/>
      <c r="O188" s="667"/>
    </row>
    <row r="189" customHeight="1" spans="1:15">
      <c r="A189" s="13" t="s">
        <v>901</v>
      </c>
      <c r="B189" s="13" t="s">
        <v>906</v>
      </c>
      <c r="C189" s="13" t="s">
        <v>902</v>
      </c>
      <c r="D189" s="13" t="s">
        <v>891</v>
      </c>
      <c r="E189" s="15"/>
      <c r="F189" s="39" t="s">
        <v>895</v>
      </c>
      <c r="G189" s="18" t="s">
        <v>777</v>
      </c>
      <c r="H189" s="36" t="s">
        <v>872</v>
      </c>
      <c r="I189" s="13">
        <f>+E189*1.5</f>
        <v>0</v>
      </c>
      <c r="J189" s="13" t="s">
        <v>231</v>
      </c>
      <c r="K189" s="13" t="s">
        <v>904</v>
      </c>
      <c r="L189" s="668"/>
      <c r="M189" s="668"/>
      <c r="N189" s="668"/>
      <c r="O189" s="668"/>
    </row>
    <row r="190" customHeight="1" spans="1:15">
      <c r="A190" s="13"/>
      <c r="B190" s="13"/>
      <c r="C190" s="13"/>
      <c r="D190" s="13"/>
      <c r="E190" s="17"/>
      <c r="F190" s="39"/>
      <c r="G190" s="18" t="s">
        <v>905</v>
      </c>
      <c r="H190" s="18" t="s">
        <v>774</v>
      </c>
      <c r="I190" s="13">
        <f>+E189*4</f>
        <v>0</v>
      </c>
      <c r="J190" s="13" t="s">
        <v>315</v>
      </c>
      <c r="K190" s="13"/>
      <c r="L190" s="668"/>
      <c r="M190" s="668"/>
      <c r="N190" s="668"/>
      <c r="O190" s="668"/>
    </row>
    <row r="191" customHeight="1" spans="1:15">
      <c r="A191" s="21"/>
      <c r="B191" s="21"/>
      <c r="C191" s="21"/>
      <c r="D191" s="21"/>
      <c r="E191" s="17"/>
      <c r="F191" s="40"/>
      <c r="G191" s="41" t="s">
        <v>775</v>
      </c>
      <c r="H191" s="41" t="s">
        <v>776</v>
      </c>
      <c r="I191" s="21">
        <f>+E189*5</f>
        <v>0</v>
      </c>
      <c r="J191" s="21" t="s">
        <v>261</v>
      </c>
      <c r="K191" s="21"/>
      <c r="L191" s="668"/>
      <c r="M191" s="668"/>
      <c r="N191" s="668"/>
      <c r="O191" s="668"/>
    </row>
    <row r="192" ht="18" customHeight="1" spans="1:11">
      <c r="A192" s="665"/>
      <c r="B192" s="665"/>
      <c r="C192" s="665"/>
      <c r="D192" s="665"/>
      <c r="E192" s="666"/>
      <c r="F192" s="21" t="s">
        <v>907</v>
      </c>
      <c r="G192" s="41" t="s">
        <v>908</v>
      </c>
      <c r="H192" s="665"/>
      <c r="I192" s="665"/>
      <c r="J192" s="42" t="s">
        <v>181</v>
      </c>
      <c r="K192" s="669"/>
    </row>
    <row r="193" customHeight="1" spans="1:7">
      <c r="A193" s="670" t="s">
        <v>909</v>
      </c>
      <c r="B193" s="670"/>
      <c r="C193" s="670"/>
      <c r="D193" s="670"/>
      <c r="E193" s="671"/>
      <c r="F193" s="670"/>
      <c r="G193" s="670"/>
    </row>
  </sheetData>
  <mergeCells count="383">
    <mergeCell ref="A1:K1"/>
    <mergeCell ref="A2:B2"/>
    <mergeCell ref="C2:H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648" t="s">
        <v>910</v>
      </c>
      <c r="B1" s="648"/>
      <c r="C1" s="648"/>
      <c r="D1" s="648"/>
      <c r="E1" s="648"/>
      <c r="F1" s="648"/>
      <c r="G1" s="648"/>
      <c r="H1" s="648"/>
      <c r="I1" s="655" t="e">
        <f>+柜体!#REF!</f>
        <v>#REF!</v>
      </c>
    </row>
    <row r="2" customHeight="1" spans="1:9">
      <c r="A2" s="649" t="s">
        <v>911</v>
      </c>
      <c r="B2" s="650" t="e">
        <f>+柜体!#REF!</f>
        <v>#REF!</v>
      </c>
      <c r="C2" s="650"/>
      <c r="D2" s="649" t="s">
        <v>912</v>
      </c>
      <c r="E2" s="650" t="e">
        <f>+柜体!#REF!</f>
        <v>#REF!</v>
      </c>
      <c r="F2" s="650"/>
      <c r="G2" s="649"/>
      <c r="H2" s="651" t="s">
        <v>913</v>
      </c>
      <c r="I2" s="653" t="e">
        <f>+柜体!#REF!</f>
        <v>#REF!</v>
      </c>
    </row>
    <row r="3" customHeight="1" spans="1:9">
      <c r="A3" s="649" t="s">
        <v>1</v>
      </c>
      <c r="B3" s="649">
        <f>下料单!C2</f>
        <v>0</v>
      </c>
      <c r="C3" s="649"/>
      <c r="D3" s="649" t="s">
        <v>2</v>
      </c>
      <c r="E3" s="649">
        <f>下料单!J2</f>
        <v>0</v>
      </c>
      <c r="F3" s="649"/>
      <c r="G3" s="649" t="s">
        <v>3</v>
      </c>
      <c r="H3" s="652"/>
      <c r="I3" s="649"/>
    </row>
    <row r="4" customHeight="1" spans="1:9">
      <c r="A4" s="649" t="s">
        <v>4</v>
      </c>
      <c r="B4" s="653" t="e">
        <f>+柜体!#REF!</f>
        <v>#REF!</v>
      </c>
      <c r="C4" s="653"/>
      <c r="D4" s="649" t="s">
        <v>5</v>
      </c>
      <c r="E4" s="651">
        <f>'免漆门板单 (2)'!C6:I6</f>
        <v>0</v>
      </c>
      <c r="F4" s="651"/>
      <c r="G4" s="649" t="s">
        <v>6</v>
      </c>
      <c r="H4" s="649"/>
      <c r="I4" s="649"/>
    </row>
    <row r="5" customHeight="1" spans="1:9">
      <c r="A5" s="649" t="s">
        <v>7</v>
      </c>
      <c r="B5" s="649">
        <f>下料单!AC2</f>
        <v>0</v>
      </c>
      <c r="C5" s="649"/>
      <c r="D5" s="649" t="str">
        <f>[4]下料单!M2</f>
        <v>版本型录号</v>
      </c>
      <c r="E5" s="649">
        <f>下料单!Y2</f>
        <v>0</v>
      </c>
      <c r="F5" s="649"/>
      <c r="G5" s="649" t="s">
        <v>9</v>
      </c>
      <c r="H5" s="652">
        <f>下料单!AL2</f>
        <v>0</v>
      </c>
      <c r="I5" s="652"/>
    </row>
    <row r="6" customHeight="1" spans="1:9">
      <c r="A6" s="649" t="s">
        <v>10</v>
      </c>
      <c r="B6" s="649" t="s">
        <v>11</v>
      </c>
      <c r="C6" s="649" t="s">
        <v>12</v>
      </c>
      <c r="D6" s="649" t="s">
        <v>13</v>
      </c>
      <c r="E6" s="649" t="s">
        <v>14</v>
      </c>
      <c r="F6" s="649" t="s">
        <v>15</v>
      </c>
      <c r="G6" s="649" t="s">
        <v>16</v>
      </c>
      <c r="H6" s="654"/>
      <c r="I6" s="656"/>
    </row>
    <row r="7" customHeight="1" spans="1:9">
      <c r="A7" s="386" t="s">
        <v>22</v>
      </c>
      <c r="B7" s="386" t="s">
        <v>24</v>
      </c>
      <c r="C7" s="386" t="s">
        <v>25</v>
      </c>
      <c r="D7" s="384" t="s">
        <v>3</v>
      </c>
      <c r="E7" s="384" t="s">
        <v>27</v>
      </c>
      <c r="F7" s="386" t="s">
        <v>28</v>
      </c>
      <c r="G7" s="386" t="s">
        <v>29</v>
      </c>
      <c r="H7" s="386" t="s">
        <v>30</v>
      </c>
      <c r="I7" s="386"/>
    </row>
    <row r="8" customHeight="1" spans="1:9">
      <c r="A8" s="386">
        <v>1</v>
      </c>
      <c r="B8" s="386" t="s">
        <v>169</v>
      </c>
      <c r="C8" s="387" t="str">
        <f>'免漆门板单 (2)'!K4</f>
        <v>0块</v>
      </c>
      <c r="D8" s="386"/>
      <c r="E8" s="386"/>
      <c r="F8" s="386"/>
      <c r="G8" s="386"/>
      <c r="H8" s="384"/>
      <c r="I8" s="384"/>
    </row>
    <row r="9" customHeight="1" spans="1:9">
      <c r="A9" s="386">
        <v>2</v>
      </c>
      <c r="B9" s="386" t="s">
        <v>914</v>
      </c>
      <c r="C9" s="387"/>
      <c r="D9" s="386"/>
      <c r="E9" s="386"/>
      <c r="F9" s="386"/>
      <c r="G9" s="386"/>
      <c r="H9" s="384"/>
      <c r="I9" s="384"/>
    </row>
    <row r="10" customHeight="1" spans="1:9">
      <c r="A10" s="386">
        <v>3</v>
      </c>
      <c r="B10" s="386" t="s">
        <v>915</v>
      </c>
      <c r="C10" s="387"/>
      <c r="D10" s="386"/>
      <c r="E10" s="386"/>
      <c r="F10" s="386"/>
      <c r="G10" s="386"/>
      <c r="H10" s="384"/>
      <c r="I10" s="384"/>
    </row>
    <row r="11" customHeight="1" spans="1:9">
      <c r="A11" s="386">
        <v>4</v>
      </c>
      <c r="B11" s="386" t="s">
        <v>916</v>
      </c>
      <c r="C11" s="387"/>
      <c r="D11" s="386"/>
      <c r="E11" s="386"/>
      <c r="F11" s="386"/>
      <c r="G11" s="386"/>
      <c r="H11" s="384"/>
      <c r="I11" s="384"/>
    </row>
    <row r="12" customHeight="1" spans="1:9">
      <c r="A12" s="386">
        <v>5</v>
      </c>
      <c r="B12" s="386" t="s">
        <v>917</v>
      </c>
      <c r="C12" s="387"/>
      <c r="D12" s="386"/>
      <c r="E12" s="386"/>
      <c r="F12" s="386"/>
      <c r="G12" s="386"/>
      <c r="H12" s="384"/>
      <c r="I12" s="384"/>
    </row>
    <row r="13" customHeight="1" spans="1:9">
      <c r="A13" s="386">
        <v>6</v>
      </c>
      <c r="B13" s="386" t="s">
        <v>918</v>
      </c>
      <c r="C13" s="387"/>
      <c r="D13" s="386"/>
      <c r="E13" s="386"/>
      <c r="F13" s="386"/>
      <c r="G13" s="386"/>
      <c r="H13" s="384"/>
      <c r="I13" s="384"/>
    </row>
    <row r="14" customHeight="1" spans="1:9">
      <c r="A14" s="386">
        <v>7</v>
      </c>
      <c r="B14" s="386" t="s">
        <v>919</v>
      </c>
      <c r="C14" s="387"/>
      <c r="D14" s="386"/>
      <c r="E14" s="386"/>
      <c r="F14" s="386"/>
      <c r="G14" s="386"/>
      <c r="H14" s="384"/>
      <c r="I14" s="384"/>
    </row>
    <row r="15" customHeight="1" spans="1:9">
      <c r="A15" s="386">
        <v>8</v>
      </c>
      <c r="B15" s="386" t="s">
        <v>920</v>
      </c>
      <c r="C15" s="387"/>
      <c r="D15" s="386"/>
      <c r="E15" s="386"/>
      <c r="F15" s="386"/>
      <c r="G15" s="386"/>
      <c r="H15" s="384"/>
      <c r="I15" s="384"/>
    </row>
    <row r="16" customHeight="1" spans="1:9">
      <c r="A16" s="386">
        <v>9</v>
      </c>
      <c r="B16" s="386" t="s">
        <v>921</v>
      </c>
      <c r="C16" s="387"/>
      <c r="D16" s="386"/>
      <c r="E16" s="387"/>
      <c r="F16" s="386"/>
      <c r="G16" s="386"/>
      <c r="H16" s="384"/>
      <c r="I16" s="384"/>
    </row>
    <row r="17" customHeight="1" spans="1:9">
      <c r="A17" s="386">
        <v>10</v>
      </c>
      <c r="B17" s="386" t="s">
        <v>922</v>
      </c>
      <c r="C17" s="387"/>
      <c r="D17" s="386"/>
      <c r="E17" s="386"/>
      <c r="F17" s="386"/>
      <c r="G17" s="386"/>
      <c r="H17" s="384"/>
      <c r="I17" s="384"/>
    </row>
    <row r="18" customHeight="1" spans="1:9">
      <c r="A18" s="386">
        <v>11</v>
      </c>
      <c r="B18" s="386" t="s">
        <v>498</v>
      </c>
      <c r="C18" s="387"/>
      <c r="D18" s="386"/>
      <c r="E18" s="386"/>
      <c r="F18" s="386"/>
      <c r="G18" s="386"/>
      <c r="H18" s="384"/>
      <c r="I18" s="384"/>
    </row>
    <row r="19" customHeight="1" spans="1:9">
      <c r="A19" s="386">
        <v>12</v>
      </c>
      <c r="B19" s="386" t="s">
        <v>180</v>
      </c>
      <c r="C19" s="387"/>
      <c r="D19" s="386"/>
      <c r="E19" s="386"/>
      <c r="F19" s="386"/>
      <c r="G19" s="386"/>
      <c r="H19" s="384"/>
      <c r="I19" s="384"/>
    </row>
    <row r="20" customHeight="1" spans="1:9">
      <c r="A20" s="386">
        <v>13</v>
      </c>
      <c r="B20" s="386" t="s">
        <v>170</v>
      </c>
      <c r="C20" s="387" t="str">
        <f>C8</f>
        <v>0块</v>
      </c>
      <c r="D20" s="386"/>
      <c r="E20" s="386"/>
      <c r="F20" s="386"/>
      <c r="G20" s="386"/>
      <c r="H20" s="384"/>
      <c r="I20" s="384"/>
    </row>
    <row r="21" customHeight="1" spans="1:9">
      <c r="A21" s="386">
        <v>14</v>
      </c>
      <c r="B21" s="386" t="s">
        <v>497</v>
      </c>
      <c r="C21" s="387"/>
      <c r="D21" s="386"/>
      <c r="E21" s="386"/>
      <c r="F21" s="386"/>
      <c r="G21" s="386"/>
      <c r="H21" s="384"/>
      <c r="I21" s="384"/>
    </row>
    <row r="22" customHeight="1" spans="1:9">
      <c r="A22" s="386">
        <v>15</v>
      </c>
      <c r="B22" s="386" t="s">
        <v>923</v>
      </c>
      <c r="C22" s="387"/>
      <c r="D22" s="386"/>
      <c r="E22" s="386"/>
      <c r="F22" s="386"/>
      <c r="G22" s="386"/>
      <c r="H22" s="384"/>
      <c r="I22" s="384"/>
    </row>
    <row r="23" customHeight="1" spans="1:9">
      <c r="A23" s="386">
        <v>16</v>
      </c>
      <c r="B23" s="386" t="s">
        <v>924</v>
      </c>
      <c r="C23" s="387"/>
      <c r="D23" s="386"/>
      <c r="E23" s="386"/>
      <c r="F23" s="386"/>
      <c r="G23" s="386"/>
      <c r="H23" s="384"/>
      <c r="I23" s="384"/>
    </row>
    <row r="24" customHeight="1" spans="1:9">
      <c r="A24" s="386">
        <v>17</v>
      </c>
      <c r="B24" s="386" t="s">
        <v>925</v>
      </c>
      <c r="C24" s="387"/>
      <c r="D24" s="386"/>
      <c r="E24" s="386"/>
      <c r="F24" s="386"/>
      <c r="G24" s="386"/>
      <c r="H24" s="384"/>
      <c r="I24" s="384"/>
    </row>
    <row r="25" customHeight="1" spans="1:9">
      <c r="A25" s="386">
        <v>18</v>
      </c>
      <c r="B25" s="386" t="s">
        <v>926</v>
      </c>
      <c r="C25" s="387"/>
      <c r="D25" s="386"/>
      <c r="E25" s="386"/>
      <c r="F25" s="386"/>
      <c r="G25" s="386"/>
      <c r="H25" s="384"/>
      <c r="I25" s="384"/>
    </row>
    <row r="26" customHeight="1" spans="1:9">
      <c r="A26" s="386">
        <v>19</v>
      </c>
      <c r="B26" s="386" t="s">
        <v>927</v>
      </c>
      <c r="C26" s="387"/>
      <c r="D26" s="386"/>
      <c r="E26" s="386"/>
      <c r="F26" s="386"/>
      <c r="G26" s="386"/>
      <c r="H26" s="384"/>
      <c r="I26" s="384"/>
    </row>
    <row r="27" customHeight="1" spans="1:9">
      <c r="A27" s="386">
        <v>20</v>
      </c>
      <c r="B27" s="386" t="s">
        <v>928</v>
      </c>
      <c r="C27" s="387"/>
      <c r="D27" s="386"/>
      <c r="E27" s="386"/>
      <c r="F27" s="386"/>
      <c r="G27" s="386"/>
      <c r="H27" s="384"/>
      <c r="I27" s="384"/>
    </row>
    <row r="28" customHeight="1" spans="1:9">
      <c r="A28" s="386">
        <v>21</v>
      </c>
      <c r="B28" s="386" t="s">
        <v>929</v>
      </c>
      <c r="C28" s="387"/>
      <c r="D28" s="386"/>
      <c r="E28" s="386"/>
      <c r="F28" s="386"/>
      <c r="G28" s="386"/>
      <c r="H28" s="384"/>
      <c r="I28" s="384"/>
    </row>
    <row r="29" customHeight="1" spans="1:9">
      <c r="A29" s="386">
        <v>22</v>
      </c>
      <c r="B29" s="386" t="s">
        <v>930</v>
      </c>
      <c r="C29" s="387"/>
      <c r="D29" s="386"/>
      <c r="E29" s="386"/>
      <c r="F29" s="386"/>
      <c r="G29" s="386"/>
      <c r="H29" s="384"/>
      <c r="I29" s="384"/>
    </row>
    <row r="30" customHeight="1" spans="1:9">
      <c r="A30" s="386">
        <v>23</v>
      </c>
      <c r="B30" s="386" t="s">
        <v>931</v>
      </c>
      <c r="C30" s="387"/>
      <c r="D30" s="386"/>
      <c r="E30" s="386"/>
      <c r="F30" s="386"/>
      <c r="G30" s="386"/>
      <c r="H30" s="384"/>
      <c r="I30" s="384"/>
    </row>
    <row r="31" customHeight="1" spans="1:9">
      <c r="A31" s="386">
        <v>24</v>
      </c>
      <c r="B31" s="386" t="s">
        <v>932</v>
      </c>
      <c r="C31" s="387"/>
      <c r="D31" s="386"/>
      <c r="E31" s="386"/>
      <c r="F31" s="386"/>
      <c r="G31" s="386"/>
      <c r="H31" s="384"/>
      <c r="I31" s="384"/>
    </row>
    <row r="32" customHeight="1" spans="1:9">
      <c r="A32" s="386">
        <v>25</v>
      </c>
      <c r="B32" s="386" t="s">
        <v>933</v>
      </c>
      <c r="C32" s="387"/>
      <c r="D32" s="386"/>
      <c r="E32" s="386"/>
      <c r="F32" s="386"/>
      <c r="G32" s="386"/>
      <c r="H32" s="384"/>
      <c r="I32" s="384"/>
    </row>
    <row r="33" customHeight="1" spans="1:9">
      <c r="A33" s="386">
        <v>26</v>
      </c>
      <c r="B33" s="386" t="s">
        <v>934</v>
      </c>
      <c r="C33" s="386"/>
      <c r="D33" s="386"/>
      <c r="E33" s="386"/>
      <c r="F33" s="386"/>
      <c r="G33" s="386"/>
      <c r="H33" s="384"/>
      <c r="I33" s="384"/>
    </row>
    <row r="34" customHeight="1" spans="1:9">
      <c r="A34" s="386">
        <v>27</v>
      </c>
      <c r="B34" s="386" t="s">
        <v>935</v>
      </c>
      <c r="C34" s="386"/>
      <c r="D34" s="386"/>
      <c r="E34" s="386"/>
      <c r="F34" s="386"/>
      <c r="G34" s="386"/>
      <c r="H34" s="384"/>
      <c r="I34" s="384"/>
    </row>
    <row r="35" customHeight="1" spans="1:9">
      <c r="A35" s="386">
        <v>28</v>
      </c>
      <c r="B35" s="386" t="s">
        <v>936</v>
      </c>
      <c r="C35" s="386"/>
      <c r="D35" s="386"/>
      <c r="E35" s="386"/>
      <c r="F35" s="386"/>
      <c r="G35" s="386"/>
      <c r="H35" s="384"/>
      <c r="I35" s="384"/>
    </row>
    <row r="36" customHeight="1" spans="1:9">
      <c r="A36" s="386">
        <v>29</v>
      </c>
      <c r="B36" s="386" t="s">
        <v>937</v>
      </c>
      <c r="C36" s="386"/>
      <c r="D36" s="386"/>
      <c r="E36" s="386"/>
      <c r="F36" s="386"/>
      <c r="G36" s="386"/>
      <c r="H36" s="384"/>
      <c r="I36" s="384"/>
    </row>
    <row r="37" customHeight="1" spans="1:9">
      <c r="A37" s="386">
        <v>30</v>
      </c>
      <c r="B37" s="386" t="s">
        <v>504</v>
      </c>
      <c r="C37" s="386"/>
      <c r="D37" s="386"/>
      <c r="E37" s="386"/>
      <c r="F37" s="386"/>
      <c r="G37" s="386"/>
      <c r="H37" s="384"/>
      <c r="I37" s="384"/>
    </row>
    <row r="38" customHeight="1" spans="1:9">
      <c r="A38" s="386">
        <v>31</v>
      </c>
      <c r="B38" s="386" t="s">
        <v>210</v>
      </c>
      <c r="C38" s="386"/>
      <c r="D38" s="386"/>
      <c r="E38" s="386"/>
      <c r="F38" s="386"/>
      <c r="G38" s="386"/>
      <c r="H38" s="384"/>
      <c r="I38" s="384"/>
    </row>
    <row r="39" customHeight="1" spans="1:9">
      <c r="A39" s="386">
        <v>32</v>
      </c>
      <c r="B39" s="386" t="s">
        <v>506</v>
      </c>
      <c r="C39" s="386"/>
      <c r="D39" s="386"/>
      <c r="E39" s="386"/>
      <c r="F39" s="386"/>
      <c r="G39" s="386"/>
      <c r="H39" s="384"/>
      <c r="I39" s="384"/>
    </row>
    <row r="40" customHeight="1" spans="1:9">
      <c r="A40" s="386">
        <v>33</v>
      </c>
      <c r="B40" s="386" t="s">
        <v>507</v>
      </c>
      <c r="C40" s="386"/>
      <c r="D40" s="386"/>
      <c r="E40" s="386"/>
      <c r="F40" s="386"/>
      <c r="G40" s="386"/>
      <c r="H40" s="384"/>
      <c r="I40" s="384"/>
    </row>
    <row r="41" customHeight="1" spans="1:9">
      <c r="A41" s="386">
        <v>34</v>
      </c>
      <c r="B41" s="386" t="s">
        <v>509</v>
      </c>
      <c r="C41" s="386"/>
      <c r="D41" s="386"/>
      <c r="E41" s="386"/>
      <c r="F41" s="386"/>
      <c r="G41" s="386"/>
      <c r="H41" s="384"/>
      <c r="I41" s="384"/>
    </row>
    <row r="42" customHeight="1" spans="1:9">
      <c r="A42" s="386">
        <v>35</v>
      </c>
      <c r="B42" s="386" t="s">
        <v>511</v>
      </c>
      <c r="C42" s="386"/>
      <c r="D42" s="386"/>
      <c r="E42" s="386"/>
      <c r="F42" s="386"/>
      <c r="G42" s="386"/>
      <c r="H42" s="384"/>
      <c r="I42" s="384"/>
    </row>
    <row r="43" customHeight="1" spans="1:9">
      <c r="A43" s="386">
        <v>36</v>
      </c>
      <c r="B43" s="386" t="s">
        <v>938</v>
      </c>
      <c r="C43" s="386"/>
      <c r="D43" s="386"/>
      <c r="E43" s="386"/>
      <c r="F43" s="386"/>
      <c r="G43" s="386"/>
      <c r="H43" s="384"/>
      <c r="I43" s="384"/>
    </row>
    <row r="44" customHeight="1" spans="1:9">
      <c r="A44" s="386">
        <v>37</v>
      </c>
      <c r="B44" s="386" t="s">
        <v>515</v>
      </c>
      <c r="C44" s="386"/>
      <c r="D44" s="386"/>
      <c r="E44" s="386"/>
      <c r="F44" s="386"/>
      <c r="G44" s="386"/>
      <c r="H44" s="384"/>
      <c r="I44" s="384"/>
    </row>
    <row r="45" customHeight="1" spans="1:9">
      <c r="A45" s="386">
        <v>38</v>
      </c>
      <c r="B45" s="386" t="s">
        <v>939</v>
      </c>
      <c r="C45" s="386"/>
      <c r="D45" s="386"/>
      <c r="E45" s="386"/>
      <c r="F45" s="386"/>
      <c r="G45" s="386"/>
      <c r="H45" s="384"/>
      <c r="I45" s="384"/>
    </row>
    <row r="46" customHeight="1" spans="1:9">
      <c r="A46" s="386">
        <v>39</v>
      </c>
      <c r="B46" s="386" t="s">
        <v>516</v>
      </c>
      <c r="C46" s="386"/>
      <c r="D46" s="386"/>
      <c r="E46" s="386"/>
      <c r="F46" s="386"/>
      <c r="G46" s="386"/>
      <c r="H46" s="384"/>
      <c r="I46" s="384"/>
    </row>
    <row r="47" customHeight="1" spans="1:8">
      <c r="A47" s="388"/>
      <c r="B47" s="382" t="s">
        <v>518</v>
      </c>
      <c r="C47" s="391"/>
      <c r="D47" s="390"/>
      <c r="E47" s="391" t="s">
        <v>940</v>
      </c>
      <c r="F47" s="388"/>
      <c r="G47" s="388"/>
      <c r="H47" s="388"/>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2017-10-19T03:12:06Z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