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6.xml" ContentType="application/vnd.openxmlformats-officedocument.spreadsheetml.externalLink+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5" windowWidth="15060" windowHeight="9030" tabRatio="944" firstSheet="1" activeTab="2"/>
  </bookViews>
  <sheets>
    <sheet name="@kbtasto@she3#" sheetId="3" state="hidden" r:id="rId1"/>
    <sheet name="柜体" sheetId="12" r:id="rId2"/>
    <sheet name="下料单" sheetId="2" r:id="rId3"/>
    <sheet name="领料单" sheetId="4" r:id="rId4"/>
    <sheet name="交接表" sheetId="8" state="hidden" r:id="rId5"/>
    <sheet name="Sheet1" sheetId="10" state="hidden" r:id="rId6"/>
    <sheet name="外地" sheetId="15" state="hidden" r:id="rId7"/>
    <sheet name="A6包装" sheetId="34" r:id="rId8"/>
    <sheet name="油漆包装" sheetId="35" state="hidden" r:id="rId9"/>
    <sheet name="免漆 (2)" sheetId="31" state="hidden" r:id="rId10"/>
    <sheet name="免漆门板单 (2)" sheetId="32" state="hidden" r:id="rId11"/>
    <sheet name="免漆料单 (2)" sheetId="33" state="hidden" r:id="rId12"/>
    <sheet name="色诱" sheetId="25" state="hidden" r:id="rId13"/>
    <sheet name="作(4)" sheetId="23" state="hidden" r:id="rId14"/>
    <sheet name="料单 (4)" sheetId="24" state="hidden" r:id="rId15"/>
    <sheet name="实木" sheetId="28" state="hidden" r:id="rId16"/>
    <sheet name="作(5)" sheetId="26" state="hidden" r:id="rId17"/>
    <sheet name="料单 (5)" sheetId="27" state="hidden" r:id="rId18"/>
    <sheet name="香颂" sheetId="29" state="hidden" r:id="rId19"/>
    <sheet name="罗丹" sheetId="30" state="hidden" r:id="rId20"/>
    <sheet name="本地包装" sheetId="13" state="hidden" r:id="rId21"/>
    <sheet name="外阜包装" sheetId="14" state="hidden" r:id="rId22"/>
  </sheets>
  <externalReferences>
    <externalReference r:id="rId23"/>
    <externalReference r:id="rId24"/>
    <externalReference r:id="rId25"/>
    <externalReference r:id="rId26"/>
    <externalReference r:id="rId27"/>
    <externalReference r:id="rId28"/>
  </externalReferences>
  <definedNames>
    <definedName name="_xlnm._FilterDatabase" localSheetId="3" hidden="1">领料单!$A$1:$R$58</definedName>
    <definedName name="buxudong" localSheetId="9">[1]下料单2!#REF!</definedName>
    <definedName name="buxudong" localSheetId="12">[2]下料单2!#REF!</definedName>
    <definedName name="buxudong" localSheetId="15">[3]下料单2!#REF!</definedName>
    <definedName name="EV浅橡_直_N23_H" localSheetId="7">#REF!</definedName>
    <definedName name="EV浅橡_直_N23_H" localSheetId="8">#REF!</definedName>
    <definedName name="EV浅橡_直_N23_H">#REF!</definedName>
    <definedName name="HY" localSheetId="9">#REF!</definedName>
    <definedName name="HY" localSheetId="12">#REF!</definedName>
    <definedName name="HY" localSheetId="15">#REF!</definedName>
    <definedName name="MQ" localSheetId="9">#REF!</definedName>
    <definedName name="MQ" localSheetId="12">#REF!</definedName>
    <definedName name="MQ" localSheetId="15">#REF!</definedName>
    <definedName name="MS" localSheetId="9">#REF!</definedName>
    <definedName name="MS" localSheetId="12">#REF!</definedName>
    <definedName name="MS" localSheetId="15">#REF!</definedName>
    <definedName name="MT" localSheetId="9">#REF!</definedName>
    <definedName name="MT" localSheetId="12">#REF!</definedName>
    <definedName name="MT" localSheetId="15">#REF!</definedName>
    <definedName name="_xlnm.Print_Area" localSheetId="7">A6包装!$A$1:$K$201</definedName>
    <definedName name="_xlnm.Print_Area" localSheetId="5">Sheet1!$A$1:$I$117</definedName>
    <definedName name="_xlnm.Print_Area" localSheetId="20">本地包装!$A$1:$L$61</definedName>
    <definedName name="_xlnm.Print_Area" localSheetId="1">柜体!#REF!</definedName>
    <definedName name="_xlnm.Print_Area" localSheetId="14">'料单 (4)'!$A$1:$J$26</definedName>
    <definedName name="_xlnm.Print_Area" localSheetId="17">'料单 (5)'!$A$1:$Q$35</definedName>
    <definedName name="_xlnm.Print_Area" localSheetId="3">领料单!$A$1:$S$63</definedName>
    <definedName name="_xlnm.Print_Area" localSheetId="19">罗丹!$A$1:$I$40</definedName>
    <definedName name="_xlnm.Print_Area" localSheetId="9">'免漆 (2)'!$A$1:$I$47</definedName>
    <definedName name="_xlnm.Print_Area" localSheetId="11">'免漆料单 (2)'!$A$1:$R$22</definedName>
    <definedName name="_xlnm.Print_Area" localSheetId="10">'免漆门板单 (2)'!$A$1:$K$43</definedName>
    <definedName name="_xlnm.Print_Area" localSheetId="15">实木!$A$1:$I$47</definedName>
    <definedName name="_xlnm.Print_Area" localSheetId="6">外地!$A$1:$K$192</definedName>
    <definedName name="_xlnm.Print_Area" localSheetId="21">外阜包装!$A$1:$L$93</definedName>
    <definedName name="_xlnm.Print_Area" localSheetId="2">下料单!$A$1:$Z$76</definedName>
    <definedName name="_xlnm.Print_Area" localSheetId="18">香颂!$A$1:$I$39</definedName>
    <definedName name="_xlnm.Print_Area" localSheetId="13">'作(4)'!$A$1:$K$42</definedName>
    <definedName name="_xlnm.Print_Area" localSheetId="16">'作(5)'!$A$1:$K$42</definedName>
    <definedName name="_xlnm.Print_Titles" localSheetId="7">A6包装!$1:$4</definedName>
    <definedName name="_xlnm.Print_Titles" localSheetId="5">Sheet1!$1:$5</definedName>
    <definedName name="_xlnm.Print_Titles" localSheetId="6">外地!$1:$4</definedName>
  </definedNames>
  <calcPr calcId="124519"/>
</workbook>
</file>

<file path=xl/calcChain.xml><?xml version="1.0" encoding="utf-8"?>
<calcChain xmlns="http://schemas.openxmlformats.org/spreadsheetml/2006/main">
  <c r="K3" i="35"/>
  <c r="K2"/>
  <c r="C4"/>
  <c r="C3"/>
  <c r="C2"/>
  <c r="I199"/>
  <c r="I198"/>
  <c r="I197"/>
  <c r="I196"/>
  <c r="I195"/>
  <c r="I194"/>
  <c r="I193"/>
  <c r="I192"/>
  <c r="I191"/>
  <c r="I190"/>
  <c r="I189"/>
  <c r="I188"/>
  <c r="I187"/>
  <c r="I186"/>
  <c r="I185"/>
  <c r="I184"/>
  <c r="I183"/>
  <c r="I182"/>
  <c r="I181"/>
  <c r="I180"/>
  <c r="I179"/>
  <c r="I178"/>
  <c r="I177"/>
  <c r="I176"/>
  <c r="I175"/>
  <c r="I174"/>
  <c r="I173"/>
  <c r="I172"/>
  <c r="I171"/>
  <c r="I170"/>
  <c r="I169"/>
  <c r="I168"/>
  <c r="I167"/>
  <c r="I166"/>
  <c r="I165"/>
  <c r="I164"/>
  <c r="I163"/>
  <c r="I162"/>
  <c r="I161"/>
  <c r="I160"/>
  <c r="I159"/>
  <c r="I158"/>
  <c r="I157"/>
  <c r="I156"/>
  <c r="I155"/>
  <c r="I154"/>
  <c r="I153"/>
  <c r="I152"/>
  <c r="I151"/>
  <c r="I150"/>
  <c r="I149"/>
  <c r="I148"/>
  <c r="I147"/>
  <c r="I146"/>
  <c r="I145"/>
  <c r="I144"/>
  <c r="I143"/>
  <c r="I142"/>
  <c r="I141"/>
  <c r="I140"/>
  <c r="I139"/>
  <c r="I138"/>
  <c r="I137"/>
  <c r="I136"/>
  <c r="I133"/>
  <c r="I132"/>
  <c r="I130"/>
  <c r="I129"/>
  <c r="I127"/>
  <c r="I126"/>
  <c r="I123"/>
  <c r="I121"/>
  <c r="I120"/>
  <c r="I119"/>
  <c r="I117"/>
  <c r="I116"/>
  <c r="I112"/>
  <c r="I111"/>
  <c r="I110"/>
  <c r="I109"/>
  <c r="I108"/>
  <c r="I107"/>
  <c r="I104"/>
  <c r="I103"/>
  <c r="I102"/>
  <c r="I101"/>
  <c r="I100"/>
  <c r="I99"/>
  <c r="I98"/>
  <c r="I97"/>
  <c r="I96"/>
  <c r="I95"/>
  <c r="I94"/>
  <c r="I93"/>
  <c r="I92"/>
  <c r="I91"/>
  <c r="I90"/>
  <c r="I89"/>
  <c r="I88"/>
  <c r="I87"/>
  <c r="I86"/>
  <c r="I85"/>
  <c r="I84"/>
  <c r="I83"/>
  <c r="I82"/>
  <c r="I81"/>
  <c r="I77"/>
  <c r="I75"/>
  <c r="I74"/>
  <c r="I73"/>
  <c r="I71"/>
  <c r="I70"/>
  <c r="I69"/>
  <c r="I67"/>
  <c r="I66"/>
  <c r="I65"/>
  <c r="I63"/>
  <c r="I62"/>
  <c r="I61"/>
  <c r="I59"/>
  <c r="I58"/>
  <c r="I57"/>
  <c r="I55"/>
  <c r="I54"/>
  <c r="I53"/>
  <c r="I51"/>
  <c r="I50"/>
  <c r="I49"/>
  <c r="I47"/>
  <c r="I46"/>
  <c r="I43"/>
  <c r="I42"/>
  <c r="I41"/>
  <c r="I40"/>
  <c r="I39"/>
  <c r="I38"/>
  <c r="I37"/>
  <c r="I36"/>
  <c r="I33"/>
  <c r="I31"/>
  <c r="I30"/>
  <c r="I29"/>
  <c r="I28"/>
  <c r="I26"/>
  <c r="I25"/>
  <c r="I24"/>
  <c r="I23"/>
  <c r="I22"/>
  <c r="I21"/>
  <c r="I20"/>
  <c r="I19"/>
  <c r="I18"/>
  <c r="I17"/>
  <c r="I16"/>
  <c r="I15"/>
  <c r="I14"/>
  <c r="I13"/>
  <c r="I12"/>
  <c r="I11"/>
  <c r="I10"/>
  <c r="I9"/>
  <c r="I8"/>
  <c r="A4"/>
  <c r="K3" i="34" l="1"/>
  <c r="K2"/>
  <c r="C4"/>
  <c r="C3"/>
  <c r="C2"/>
  <c r="I199"/>
  <c r="I198"/>
  <c r="I197"/>
  <c r="I196"/>
  <c r="I195"/>
  <c r="I194"/>
  <c r="I193"/>
  <c r="I192"/>
  <c r="I191"/>
  <c r="I190"/>
  <c r="I189"/>
  <c r="I188"/>
  <c r="I187"/>
  <c r="I186"/>
  <c r="I185"/>
  <c r="I184"/>
  <c r="I183"/>
  <c r="I182"/>
  <c r="I181"/>
  <c r="I180"/>
  <c r="I179"/>
  <c r="I178"/>
  <c r="I177"/>
  <c r="I176"/>
  <c r="I175"/>
  <c r="I174"/>
  <c r="I173"/>
  <c r="I172"/>
  <c r="I171"/>
  <c r="I170"/>
  <c r="I169"/>
  <c r="I168"/>
  <c r="I167"/>
  <c r="I166"/>
  <c r="I165"/>
  <c r="I164"/>
  <c r="I163"/>
  <c r="I162"/>
  <c r="I161"/>
  <c r="I160"/>
  <c r="I159"/>
  <c r="I158"/>
  <c r="I157"/>
  <c r="I156"/>
  <c r="I155"/>
  <c r="I154"/>
  <c r="I153"/>
  <c r="I152"/>
  <c r="I151"/>
  <c r="I150"/>
  <c r="I149"/>
  <c r="I148"/>
  <c r="I147"/>
  <c r="I146"/>
  <c r="I145"/>
  <c r="I144"/>
  <c r="I143"/>
  <c r="I142"/>
  <c r="I141"/>
  <c r="I140"/>
  <c r="I139"/>
  <c r="I138"/>
  <c r="I137"/>
  <c r="I136"/>
  <c r="I133"/>
  <c r="I132"/>
  <c r="I130"/>
  <c r="I129"/>
  <c r="I127"/>
  <c r="I126"/>
  <c r="I123"/>
  <c r="I121"/>
  <c r="I120"/>
  <c r="I119"/>
  <c r="I117"/>
  <c r="I116"/>
  <c r="I112"/>
  <c r="I111"/>
  <c r="I110"/>
  <c r="I109"/>
  <c r="I108"/>
  <c r="I107"/>
  <c r="I104"/>
  <c r="I103"/>
  <c r="I102"/>
  <c r="I101"/>
  <c r="I100"/>
  <c r="I99"/>
  <c r="I98"/>
  <c r="I97"/>
  <c r="I96"/>
  <c r="I95"/>
  <c r="I94"/>
  <c r="I93"/>
  <c r="I92"/>
  <c r="I91"/>
  <c r="I90"/>
  <c r="I89"/>
  <c r="I88"/>
  <c r="I87"/>
  <c r="I86"/>
  <c r="I85"/>
  <c r="I84"/>
  <c r="I83"/>
  <c r="I82"/>
  <c r="I81"/>
  <c r="I77"/>
  <c r="I75"/>
  <c r="I74"/>
  <c r="I73"/>
  <c r="I71"/>
  <c r="I70"/>
  <c r="I69"/>
  <c r="I67"/>
  <c r="I66"/>
  <c r="I65"/>
  <c r="I63"/>
  <c r="I62"/>
  <c r="I61"/>
  <c r="I59"/>
  <c r="I58"/>
  <c r="I57"/>
  <c r="I55"/>
  <c r="I54"/>
  <c r="I53"/>
  <c r="I51"/>
  <c r="I50"/>
  <c r="I49"/>
  <c r="I47"/>
  <c r="I46"/>
  <c r="I43"/>
  <c r="I42"/>
  <c r="I41"/>
  <c r="I40"/>
  <c r="I39"/>
  <c r="I38"/>
  <c r="I37"/>
  <c r="I36"/>
  <c r="I33"/>
  <c r="I31"/>
  <c r="I30"/>
  <c r="I29"/>
  <c r="I28"/>
  <c r="I26"/>
  <c r="I25"/>
  <c r="I24"/>
  <c r="I23"/>
  <c r="I22"/>
  <c r="I21"/>
  <c r="I20"/>
  <c r="I19"/>
  <c r="I18"/>
  <c r="I17"/>
  <c r="I16"/>
  <c r="I15"/>
  <c r="I14"/>
  <c r="I13"/>
  <c r="I12"/>
  <c r="I11"/>
  <c r="I10"/>
  <c r="I9"/>
  <c r="I8"/>
  <c r="A4"/>
  <c r="G3" i="4"/>
  <c r="I26" i="15"/>
  <c r="I25"/>
  <c r="I24"/>
  <c r="I22"/>
  <c r="I21"/>
  <c r="I20"/>
  <c r="I19"/>
  <c r="I18"/>
  <c r="I17"/>
  <c r="I16"/>
  <c r="I15"/>
  <c r="I14"/>
  <c r="I13"/>
  <c r="I12"/>
  <c r="I11"/>
  <c r="I10"/>
  <c r="I9"/>
  <c r="I8"/>
  <c r="J53" i="2"/>
  <c r="J54" s="1"/>
  <c r="J55" s="1"/>
  <c r="J56" s="1"/>
  <c r="J57" s="1"/>
  <c r="J58" s="1"/>
  <c r="J52"/>
  <c r="AC39"/>
  <c r="I103" i="15"/>
  <c r="I100"/>
  <c r="AC36" i="2" l="1"/>
  <c r="AC46"/>
  <c r="AC44"/>
  <c r="AC38"/>
  <c r="AC37"/>
  <c r="Q3" i="4"/>
  <c r="H2" l="1"/>
  <c r="D3"/>
  <c r="N3" s="1"/>
  <c r="P82" i="2"/>
  <c r="AA48"/>
  <c r="R2" i="4" l="1"/>
  <c r="K2" i="15"/>
  <c r="I4" i="12"/>
  <c r="AD36" i="2"/>
  <c r="Q28" i="4"/>
  <c r="W5" l="1"/>
  <c r="W4"/>
  <c r="W35" i="2" l="1"/>
  <c r="R35"/>
  <c r="L35" l="1"/>
  <c r="F35"/>
  <c r="AD83"/>
  <c r="AD82"/>
  <c r="AD81"/>
  <c r="AD80"/>
  <c r="AD52"/>
  <c r="AD53"/>
  <c r="AD54"/>
  <c r="AD55"/>
  <c r="AD56"/>
  <c r="AD57"/>
  <c r="AB52"/>
  <c r="AB53"/>
  <c r="AB54"/>
  <c r="AB55"/>
  <c r="AB56"/>
  <c r="AB57"/>
  <c r="AB58"/>
  <c r="AB59"/>
  <c r="AB51"/>
  <c r="B2" i="12"/>
  <c r="V28" i="4" l="1"/>
  <c r="E4" i="12" l="1"/>
  <c r="E3"/>
  <c r="E2"/>
  <c r="B4"/>
  <c r="B3"/>
  <c r="AC2" i="2"/>
  <c r="AD46"/>
  <c r="G17" i="4" s="1"/>
  <c r="G11"/>
  <c r="G9"/>
  <c r="AD44" i="2"/>
  <c r="G16" i="4" s="1"/>
  <c r="AD37" i="2"/>
  <c r="AD38"/>
  <c r="G36" i="4"/>
  <c r="A82" i="2"/>
  <c r="C15" i="4" s="1"/>
  <c r="K3" i="15" l="1"/>
  <c r="K1" i="4"/>
  <c r="A1"/>
  <c r="V20" i="2"/>
  <c r="V32" l="1"/>
  <c r="J24"/>
  <c r="J25"/>
  <c r="J26"/>
  <c r="J27"/>
  <c r="J28"/>
  <c r="J29"/>
  <c r="J30"/>
  <c r="J31"/>
  <c r="J32"/>
  <c r="J23"/>
  <c r="Z32"/>
  <c r="Y32"/>
  <c r="X32"/>
  <c r="T32"/>
  <c r="S32"/>
  <c r="R32"/>
  <c r="Q32"/>
  <c r="O32"/>
  <c r="N32"/>
  <c r="M32"/>
  <c r="L32"/>
  <c r="U32" s="1"/>
  <c r="K32"/>
  <c r="I32"/>
  <c r="H32"/>
  <c r="G32"/>
  <c r="F32"/>
  <c r="Z31"/>
  <c r="Y31"/>
  <c r="X31"/>
  <c r="T31"/>
  <c r="S31"/>
  <c r="R31"/>
  <c r="Q31"/>
  <c r="O31"/>
  <c r="N31"/>
  <c r="M31"/>
  <c r="L31"/>
  <c r="K31"/>
  <c r="I31"/>
  <c r="H31"/>
  <c r="G31"/>
  <c r="F31"/>
  <c r="Z30"/>
  <c r="Y30"/>
  <c r="X30"/>
  <c r="T30"/>
  <c r="S30"/>
  <c r="R30"/>
  <c r="Q30"/>
  <c r="O30"/>
  <c r="N30"/>
  <c r="M30"/>
  <c r="L30"/>
  <c r="K30"/>
  <c r="I30"/>
  <c r="H30"/>
  <c r="G30"/>
  <c r="F30"/>
  <c r="Z29"/>
  <c r="Y29"/>
  <c r="X29"/>
  <c r="T29"/>
  <c r="S29"/>
  <c r="R29"/>
  <c r="Q29"/>
  <c r="O29"/>
  <c r="N29"/>
  <c r="M29"/>
  <c r="L29"/>
  <c r="K29"/>
  <c r="I29"/>
  <c r="H29"/>
  <c r="G29"/>
  <c r="F29"/>
  <c r="Z28"/>
  <c r="Y28"/>
  <c r="X28"/>
  <c r="T28"/>
  <c r="S28"/>
  <c r="R28"/>
  <c r="Q28"/>
  <c r="O28"/>
  <c r="N28"/>
  <c r="M28"/>
  <c r="L28"/>
  <c r="K28"/>
  <c r="I28"/>
  <c r="H28"/>
  <c r="G28"/>
  <c r="F28"/>
  <c r="Z27"/>
  <c r="Y27"/>
  <c r="X27"/>
  <c r="T27"/>
  <c r="S27"/>
  <c r="R27"/>
  <c r="Q27"/>
  <c r="O27"/>
  <c r="N27"/>
  <c r="M27"/>
  <c r="L27"/>
  <c r="K27"/>
  <c r="I27"/>
  <c r="H27"/>
  <c r="G27"/>
  <c r="F27"/>
  <c r="Z26"/>
  <c r="Y26"/>
  <c r="X26"/>
  <c r="T26"/>
  <c r="S26"/>
  <c r="R26"/>
  <c r="Q26"/>
  <c r="O26"/>
  <c r="N26"/>
  <c r="M26"/>
  <c r="L26"/>
  <c r="K26"/>
  <c r="I26"/>
  <c r="H26"/>
  <c r="G26"/>
  <c r="F26"/>
  <c r="Z25"/>
  <c r="Y25"/>
  <c r="X25"/>
  <c r="T25"/>
  <c r="S25"/>
  <c r="R25"/>
  <c r="Q25"/>
  <c r="O25"/>
  <c r="N25"/>
  <c r="M25"/>
  <c r="L25"/>
  <c r="K25"/>
  <c r="I25"/>
  <c r="H25"/>
  <c r="G25"/>
  <c r="F25"/>
  <c r="Z24"/>
  <c r="Y24"/>
  <c r="X24"/>
  <c r="T24"/>
  <c r="S24"/>
  <c r="R24"/>
  <c r="Q24"/>
  <c r="O24"/>
  <c r="N24"/>
  <c r="M24"/>
  <c r="L24"/>
  <c r="K24"/>
  <c r="I24"/>
  <c r="H24"/>
  <c r="G24"/>
  <c r="F24"/>
  <c r="Z23"/>
  <c r="Y23"/>
  <c r="X23"/>
  <c r="T23"/>
  <c r="S23"/>
  <c r="R23"/>
  <c r="Q23"/>
  <c r="O23"/>
  <c r="N23"/>
  <c r="M23"/>
  <c r="L23"/>
  <c r="K23"/>
  <c r="I23"/>
  <c r="H23"/>
  <c r="G23"/>
  <c r="F23"/>
  <c r="Z20"/>
  <c r="Y20"/>
  <c r="X20"/>
  <c r="T20"/>
  <c r="S20"/>
  <c r="R20"/>
  <c r="Q20"/>
  <c r="O20"/>
  <c r="N20"/>
  <c r="M20"/>
  <c r="L20"/>
  <c r="U20" s="1"/>
  <c r="H20"/>
  <c r="G20"/>
  <c r="F20"/>
  <c r="Z19"/>
  <c r="Y19"/>
  <c r="X19"/>
  <c r="T19"/>
  <c r="S19"/>
  <c r="R19"/>
  <c r="Q19"/>
  <c r="O19"/>
  <c r="N19"/>
  <c r="M19"/>
  <c r="L19"/>
  <c r="H19"/>
  <c r="G19"/>
  <c r="F19"/>
  <c r="Z18"/>
  <c r="Y18"/>
  <c r="X18"/>
  <c r="T18"/>
  <c r="S18"/>
  <c r="R18"/>
  <c r="Q18"/>
  <c r="O18"/>
  <c r="N18"/>
  <c r="M18"/>
  <c r="L18"/>
  <c r="H18"/>
  <c r="G18"/>
  <c r="F18"/>
  <c r="Z17"/>
  <c r="Y17"/>
  <c r="X17"/>
  <c r="T17"/>
  <c r="S17"/>
  <c r="R17"/>
  <c r="Q17"/>
  <c r="O17"/>
  <c r="N17"/>
  <c r="M17"/>
  <c r="L17"/>
  <c r="H17"/>
  <c r="G17"/>
  <c r="F17"/>
  <c r="Z16"/>
  <c r="Y16"/>
  <c r="X16"/>
  <c r="T16"/>
  <c r="S16"/>
  <c r="R16"/>
  <c r="Q16"/>
  <c r="O16"/>
  <c r="N16"/>
  <c r="M16"/>
  <c r="L16"/>
  <c r="H16"/>
  <c r="G16"/>
  <c r="F16"/>
  <c r="Z15"/>
  <c r="Y15"/>
  <c r="X15"/>
  <c r="T15"/>
  <c r="S15"/>
  <c r="R15"/>
  <c r="Q15"/>
  <c r="O15"/>
  <c r="N15"/>
  <c r="M15"/>
  <c r="L15"/>
  <c r="H15"/>
  <c r="G15"/>
  <c r="F15"/>
  <c r="Z14"/>
  <c r="Y14"/>
  <c r="X14"/>
  <c r="T14"/>
  <c r="S14"/>
  <c r="R14"/>
  <c r="Q14"/>
  <c r="O14"/>
  <c r="N14"/>
  <c r="M14"/>
  <c r="L14"/>
  <c r="H14"/>
  <c r="G14"/>
  <c r="F14"/>
  <c r="Z13"/>
  <c r="Y13"/>
  <c r="X13"/>
  <c r="T13"/>
  <c r="S13"/>
  <c r="R13"/>
  <c r="Q13"/>
  <c r="O13"/>
  <c r="N13"/>
  <c r="M13"/>
  <c r="L13"/>
  <c r="H13"/>
  <c r="G13"/>
  <c r="F13"/>
  <c r="Z12"/>
  <c r="Y12"/>
  <c r="X12"/>
  <c r="T12"/>
  <c r="S12"/>
  <c r="R12"/>
  <c r="Q12"/>
  <c r="O12"/>
  <c r="N12"/>
  <c r="M12"/>
  <c r="L12"/>
  <c r="H12"/>
  <c r="G12"/>
  <c r="F12"/>
  <c r="Z11"/>
  <c r="Y11"/>
  <c r="X11"/>
  <c r="T11"/>
  <c r="S11"/>
  <c r="R11"/>
  <c r="Q11"/>
  <c r="O11"/>
  <c r="N11"/>
  <c r="M11"/>
  <c r="L11"/>
  <c r="H11"/>
  <c r="G11"/>
  <c r="F11"/>
  <c r="Z10"/>
  <c r="Y10"/>
  <c r="X10"/>
  <c r="T10"/>
  <c r="S10"/>
  <c r="R10"/>
  <c r="Q10"/>
  <c r="O10"/>
  <c r="N10"/>
  <c r="M10"/>
  <c r="L10"/>
  <c r="H10"/>
  <c r="G10"/>
  <c r="F10"/>
  <c r="Z9"/>
  <c r="Y9"/>
  <c r="X9"/>
  <c r="T9"/>
  <c r="S9"/>
  <c r="R9"/>
  <c r="Q9"/>
  <c r="O9"/>
  <c r="N9"/>
  <c r="M9"/>
  <c r="L9"/>
  <c r="H9"/>
  <c r="G9"/>
  <c r="F9"/>
  <c r="Z8"/>
  <c r="Y8"/>
  <c r="X8"/>
  <c r="T8"/>
  <c r="S8"/>
  <c r="R8"/>
  <c r="Q8"/>
  <c r="O8"/>
  <c r="N8"/>
  <c r="M8"/>
  <c r="L8"/>
  <c r="H8"/>
  <c r="G8"/>
  <c r="F8"/>
  <c r="Z7"/>
  <c r="Y7"/>
  <c r="X7"/>
  <c r="T7"/>
  <c r="S7"/>
  <c r="R7"/>
  <c r="Q7"/>
  <c r="O7"/>
  <c r="N7"/>
  <c r="M7"/>
  <c r="L7"/>
  <c r="H7"/>
  <c r="G7"/>
  <c r="F7"/>
  <c r="Z6"/>
  <c r="Y6"/>
  <c r="X6"/>
  <c r="T6"/>
  <c r="S6"/>
  <c r="R6"/>
  <c r="Q6"/>
  <c r="O6"/>
  <c r="N6"/>
  <c r="M6"/>
  <c r="L6"/>
  <c r="H6"/>
  <c r="G6"/>
  <c r="F6"/>
  <c r="O5"/>
  <c r="N5"/>
  <c r="L5"/>
  <c r="H5"/>
  <c r="G5"/>
  <c r="F5"/>
  <c r="AD23" l="1"/>
  <c r="AC23"/>
  <c r="AD24"/>
  <c r="AC24"/>
  <c r="AD25"/>
  <c r="AC25"/>
  <c r="AD26"/>
  <c r="AC26"/>
  <c r="AD27"/>
  <c r="AC27"/>
  <c r="AD28"/>
  <c r="AC28"/>
  <c r="AD29"/>
  <c r="AC29"/>
  <c r="AD30"/>
  <c r="AC30"/>
  <c r="AD31"/>
  <c r="AC31"/>
  <c r="AD32"/>
  <c r="AC32"/>
  <c r="AD11"/>
  <c r="AC11"/>
  <c r="AD13"/>
  <c r="AC13"/>
  <c r="AD6"/>
  <c r="AC6"/>
  <c r="AD8"/>
  <c r="AC8"/>
  <c r="AD10"/>
  <c r="AC10"/>
  <c r="AD12"/>
  <c r="AC12"/>
  <c r="AD14"/>
  <c r="AC14"/>
  <c r="AD18"/>
  <c r="AC18"/>
  <c r="AD20"/>
  <c r="AC20"/>
  <c r="AC16"/>
  <c r="AD7"/>
  <c r="AC7"/>
  <c r="AD9"/>
  <c r="AC9"/>
  <c r="AD15"/>
  <c r="AC15"/>
  <c r="AD17"/>
  <c r="AC17"/>
  <c r="AD19"/>
  <c r="AC19"/>
  <c r="AC5"/>
  <c r="AD16"/>
  <c r="AD5"/>
  <c r="E4" i="31"/>
  <c r="F67" i="2"/>
  <c r="E67"/>
  <c r="D67"/>
  <c r="F66"/>
  <c r="E66"/>
  <c r="D66"/>
  <c r="F65"/>
  <c r="E65"/>
  <c r="D65"/>
  <c r="F64"/>
  <c r="E64"/>
  <c r="D64"/>
  <c r="I3" i="33" l="1"/>
  <c r="I2"/>
  <c r="G2"/>
  <c r="V38" i="32"/>
  <c r="V37"/>
  <c r="O37"/>
  <c r="N37"/>
  <c r="M37"/>
  <c r="L37"/>
  <c r="V36"/>
  <c r="Q36"/>
  <c r="O36"/>
  <c r="N36"/>
  <c r="M36"/>
  <c r="L36"/>
  <c r="G36"/>
  <c r="F36"/>
  <c r="E36"/>
  <c r="V35"/>
  <c r="Q35"/>
  <c r="O35"/>
  <c r="N35"/>
  <c r="M35"/>
  <c r="G35"/>
  <c r="L35" s="1"/>
  <c r="F35"/>
  <c r="E35"/>
  <c r="Q34"/>
  <c r="O34"/>
  <c r="N34"/>
  <c r="M34"/>
  <c r="G34"/>
  <c r="L34" s="1"/>
  <c r="F34"/>
  <c r="E34"/>
  <c r="W33"/>
  <c r="V33" s="1"/>
  <c r="Q33"/>
  <c r="O33"/>
  <c r="N33"/>
  <c r="M33"/>
  <c r="L33"/>
  <c r="G33"/>
  <c r="F33"/>
  <c r="E33"/>
  <c r="W32"/>
  <c r="V32" s="1"/>
  <c r="Q32"/>
  <c r="O32"/>
  <c r="N32"/>
  <c r="M32"/>
  <c r="L32"/>
  <c r="G32"/>
  <c r="F32"/>
  <c r="E32"/>
  <c r="W31"/>
  <c r="V31" s="1"/>
  <c r="Q31"/>
  <c r="O31"/>
  <c r="N31"/>
  <c r="M31"/>
  <c r="L31"/>
  <c r="G31"/>
  <c r="F31"/>
  <c r="E31"/>
  <c r="W30"/>
  <c r="V30" s="1"/>
  <c r="Q30"/>
  <c r="O30"/>
  <c r="N30"/>
  <c r="M30"/>
  <c r="L30"/>
  <c r="G30"/>
  <c r="F30"/>
  <c r="E30"/>
  <c r="W29"/>
  <c r="V29" s="1"/>
  <c r="Q29"/>
  <c r="O29"/>
  <c r="N29"/>
  <c r="M29"/>
  <c r="L29"/>
  <c r="G29"/>
  <c r="F29"/>
  <c r="E29"/>
  <c r="W28"/>
  <c r="V28" s="1"/>
  <c r="Q28"/>
  <c r="O28"/>
  <c r="N28"/>
  <c r="M28"/>
  <c r="L28"/>
  <c r="G28"/>
  <c r="F28"/>
  <c r="E28"/>
  <c r="Q27"/>
  <c r="O27"/>
  <c r="N27"/>
  <c r="M27"/>
  <c r="L27"/>
  <c r="G27"/>
  <c r="F27"/>
  <c r="E27"/>
  <c r="Q26"/>
  <c r="O26"/>
  <c r="N26"/>
  <c r="M26"/>
  <c r="L26"/>
  <c r="G26"/>
  <c r="F26"/>
  <c r="E26"/>
  <c r="Q25"/>
  <c r="O25"/>
  <c r="N25"/>
  <c r="M25"/>
  <c r="L25"/>
  <c r="G25"/>
  <c r="F25"/>
  <c r="E25"/>
  <c r="Q24"/>
  <c r="O24"/>
  <c r="N24"/>
  <c r="M24"/>
  <c r="L24"/>
  <c r="G24"/>
  <c r="F24"/>
  <c r="E24"/>
  <c r="Q23"/>
  <c r="O23"/>
  <c r="N23"/>
  <c r="M23"/>
  <c r="L23"/>
  <c r="G23"/>
  <c r="F23"/>
  <c r="E23"/>
  <c r="V22"/>
  <c r="Q22"/>
  <c r="O22"/>
  <c r="N22"/>
  <c r="M22"/>
  <c r="G22"/>
  <c r="L22" s="1"/>
  <c r="F22"/>
  <c r="E22"/>
  <c r="V21"/>
  <c r="Q21"/>
  <c r="O21"/>
  <c r="N21"/>
  <c r="M21"/>
  <c r="L21"/>
  <c r="G21"/>
  <c r="F21"/>
  <c r="E21"/>
  <c r="V20"/>
  <c r="Q20"/>
  <c r="O20"/>
  <c r="N20"/>
  <c r="M20"/>
  <c r="G20"/>
  <c r="L20" s="1"/>
  <c r="F20"/>
  <c r="E20"/>
  <c r="V19"/>
  <c r="Q19"/>
  <c r="O19"/>
  <c r="N19"/>
  <c r="M19"/>
  <c r="L19"/>
  <c r="G19"/>
  <c r="F19"/>
  <c r="E19"/>
  <c r="V18"/>
  <c r="Q18"/>
  <c r="O18"/>
  <c r="N18"/>
  <c r="M18"/>
  <c r="G18"/>
  <c r="L18" s="1"/>
  <c r="F18"/>
  <c r="E18"/>
  <c r="Q17"/>
  <c r="O17"/>
  <c r="N17"/>
  <c r="M17"/>
  <c r="G17"/>
  <c r="L17" s="1"/>
  <c r="F17"/>
  <c r="E17"/>
  <c r="V16"/>
  <c r="Q16"/>
  <c r="O16"/>
  <c r="N16"/>
  <c r="M16"/>
  <c r="L16"/>
  <c r="G16"/>
  <c r="F16"/>
  <c r="E16"/>
  <c r="V15"/>
  <c r="Q15"/>
  <c r="O15"/>
  <c r="N15"/>
  <c r="M15"/>
  <c r="G15"/>
  <c r="L15" s="1"/>
  <c r="F15"/>
  <c r="E15"/>
  <c r="V14"/>
  <c r="Q14"/>
  <c r="O14"/>
  <c r="N14"/>
  <c r="M14"/>
  <c r="L14"/>
  <c r="G14"/>
  <c r="F14"/>
  <c r="E14"/>
  <c r="Q13"/>
  <c r="O13"/>
  <c r="N13"/>
  <c r="M13"/>
  <c r="L13"/>
  <c r="G13"/>
  <c r="F13"/>
  <c r="E13"/>
  <c r="Q12"/>
  <c r="O12"/>
  <c r="N12"/>
  <c r="M12"/>
  <c r="L12"/>
  <c r="G12"/>
  <c r="F12"/>
  <c r="E12"/>
  <c r="V11"/>
  <c r="Q11"/>
  <c r="O11"/>
  <c r="N11"/>
  <c r="M11"/>
  <c r="G11"/>
  <c r="L11" s="1"/>
  <c r="F11"/>
  <c r="E11"/>
  <c r="V10"/>
  <c r="Q10"/>
  <c r="Q38" s="1"/>
  <c r="O10"/>
  <c r="O38" s="1"/>
  <c r="N10"/>
  <c r="N38" s="1"/>
  <c r="M10"/>
  <c r="M38" s="1"/>
  <c r="L10"/>
  <c r="L38" s="1"/>
  <c r="G10"/>
  <c r="F10"/>
  <c r="E10"/>
  <c r="V9"/>
  <c r="N5" i="33" s="1"/>
  <c r="K6" i="32"/>
  <c r="P2" i="33" s="1"/>
  <c r="K5" i="32"/>
  <c r="P3" i="33" s="1"/>
  <c r="C5" i="32"/>
  <c r="D3" i="33" s="1"/>
  <c r="K4" i="32"/>
  <c r="C8" i="31" s="1"/>
  <c r="C20" s="1"/>
  <c r="H4" i="32"/>
  <c r="C4"/>
  <c r="D2" i="33" s="1"/>
  <c r="H5" i="31"/>
  <c r="E5"/>
  <c r="D5"/>
  <c r="B5"/>
  <c r="E3"/>
  <c r="B3"/>
  <c r="K8" i="33" l="1"/>
  <c r="R8"/>
  <c r="N8"/>
  <c r="Q5"/>
  <c r="Q8" s="1"/>
  <c r="Q42" i="32"/>
  <c r="Q43"/>
  <c r="Q44" s="1"/>
  <c r="L3"/>
  <c r="G5" i="33" s="1"/>
  <c r="E5"/>
  <c r="I1" i="31" l="1"/>
  <c r="I2"/>
  <c r="B4"/>
  <c r="B2" l="1"/>
  <c r="E2" l="1"/>
  <c r="F4" i="30"/>
  <c r="B5"/>
  <c r="F4" i="29"/>
  <c r="B5"/>
  <c r="J36" i="30"/>
  <c r="J35"/>
  <c r="J34"/>
  <c r="J33"/>
  <c r="J32"/>
  <c r="J31"/>
  <c r="J30"/>
  <c r="J29"/>
  <c r="J28"/>
  <c r="J27"/>
  <c r="J26"/>
  <c r="J25"/>
  <c r="J24"/>
  <c r="J23"/>
  <c r="J22"/>
  <c r="J21"/>
  <c r="J20"/>
  <c r="J19"/>
  <c r="J18"/>
  <c r="J17"/>
  <c r="J16"/>
  <c r="J15"/>
  <c r="J14"/>
  <c r="J13"/>
  <c r="J12"/>
  <c r="J11"/>
  <c r="I4"/>
  <c r="J33" i="29"/>
  <c r="J32"/>
  <c r="J31"/>
  <c r="J30"/>
  <c r="J29"/>
  <c r="J28"/>
  <c r="J27"/>
  <c r="J26"/>
  <c r="J25"/>
  <c r="J24"/>
  <c r="J23"/>
  <c r="J22"/>
  <c r="J21"/>
  <c r="J20"/>
  <c r="J19"/>
  <c r="J18"/>
  <c r="J17"/>
  <c r="J16"/>
  <c r="J15"/>
  <c r="J14"/>
  <c r="J13"/>
  <c r="J12"/>
  <c r="J11"/>
  <c r="J10"/>
  <c r="I4"/>
  <c r="B5" i="28"/>
  <c r="P2" i="27" s="1"/>
  <c r="K5" i="26"/>
  <c r="L4" i="27" s="1"/>
  <c r="H5" i="28" s="1"/>
  <c r="C5" i="26"/>
  <c r="E3" i="28" s="1"/>
  <c r="C4" i="26"/>
  <c r="B3" i="28" s="1"/>
  <c r="H4"/>
  <c r="E4"/>
  <c r="B4"/>
  <c r="U33" i="27"/>
  <c r="W32"/>
  <c r="U32"/>
  <c r="W31"/>
  <c r="H31"/>
  <c r="E31"/>
  <c r="X30"/>
  <c r="W30"/>
  <c r="E30" s="1"/>
  <c r="X29"/>
  <c r="W29"/>
  <c r="E29" s="1"/>
  <c r="X28"/>
  <c r="W28"/>
  <c r="E28" s="1"/>
  <c r="U28"/>
  <c r="T28"/>
  <c r="M28"/>
  <c r="Q28" s="1"/>
  <c r="K28"/>
  <c r="H27"/>
  <c r="E27"/>
  <c r="X26"/>
  <c r="W26"/>
  <c r="E26" s="1"/>
  <c r="X25"/>
  <c r="W25"/>
  <c r="E25" s="1"/>
  <c r="X24"/>
  <c r="W24"/>
  <c r="E24" s="1"/>
  <c r="X23"/>
  <c r="W23"/>
  <c r="E23" s="1"/>
  <c r="U23"/>
  <c r="T23"/>
  <c r="W22"/>
  <c r="E22" s="1"/>
  <c r="H22" s="1"/>
  <c r="X21"/>
  <c r="W21"/>
  <c r="E21" s="1"/>
  <c r="X20"/>
  <c r="W20"/>
  <c r="E20" s="1"/>
  <c r="H20" s="1"/>
  <c r="X19"/>
  <c r="W19"/>
  <c r="E19" s="1"/>
  <c r="H19" s="1"/>
  <c r="U19"/>
  <c r="T19"/>
  <c r="E16"/>
  <c r="X15"/>
  <c r="E15"/>
  <c r="BU9"/>
  <c r="BL9"/>
  <c r="BH9"/>
  <c r="AY9"/>
  <c r="AP9"/>
  <c r="BL8"/>
  <c r="BH8"/>
  <c r="AY8"/>
  <c r="AP8"/>
  <c r="E8"/>
  <c r="C8"/>
  <c r="BU7"/>
  <c r="BL7"/>
  <c r="BH7"/>
  <c r="AY7"/>
  <c r="AP7"/>
  <c r="BX6"/>
  <c r="BL6"/>
  <c r="BH6"/>
  <c r="AY6"/>
  <c r="AP6"/>
  <c r="K6"/>
  <c r="K7" s="1"/>
  <c r="E6"/>
  <c r="BU5"/>
  <c r="BL5"/>
  <c r="BH5"/>
  <c r="AY5"/>
  <c r="AP5"/>
  <c r="BX4"/>
  <c r="BL4"/>
  <c r="BH4"/>
  <c r="AY4"/>
  <c r="AP4"/>
  <c r="D4"/>
  <c r="E5" i="28" s="1"/>
  <c r="L3" i="27"/>
  <c r="D2"/>
  <c r="O38" i="26"/>
  <c r="V33" i="27" s="1"/>
  <c r="M38" i="26"/>
  <c r="P37"/>
  <c r="O37"/>
  <c r="N37"/>
  <c r="M37"/>
  <c r="L37"/>
  <c r="P36"/>
  <c r="O36"/>
  <c r="N36"/>
  <c r="M36"/>
  <c r="L36"/>
  <c r="P35"/>
  <c r="O35"/>
  <c r="N35"/>
  <c r="M35"/>
  <c r="L35"/>
  <c r="P34"/>
  <c r="O34"/>
  <c r="N34"/>
  <c r="M34"/>
  <c r="L34"/>
  <c r="P33"/>
  <c r="O33"/>
  <c r="N33"/>
  <c r="M33"/>
  <c r="L33"/>
  <c r="G33"/>
  <c r="F33"/>
  <c r="E33"/>
  <c r="P32"/>
  <c r="O32"/>
  <c r="N32"/>
  <c r="M32"/>
  <c r="L32"/>
  <c r="G32"/>
  <c r="F32"/>
  <c r="E32"/>
  <c r="P31"/>
  <c r="O31"/>
  <c r="N31"/>
  <c r="M31"/>
  <c r="L31"/>
  <c r="G31"/>
  <c r="F31"/>
  <c r="E31"/>
  <c r="P30"/>
  <c r="O30"/>
  <c r="N30"/>
  <c r="M30"/>
  <c r="L30"/>
  <c r="G30"/>
  <c r="F30"/>
  <c r="E30"/>
  <c r="P29"/>
  <c r="O29"/>
  <c r="N29"/>
  <c r="M29"/>
  <c r="L29"/>
  <c r="G29"/>
  <c r="F29"/>
  <c r="E29"/>
  <c r="P28"/>
  <c r="O28"/>
  <c r="N28"/>
  <c r="M28"/>
  <c r="L28"/>
  <c r="G28"/>
  <c r="F28"/>
  <c r="E28"/>
  <c r="P27"/>
  <c r="O27"/>
  <c r="N27"/>
  <c r="M27"/>
  <c r="L27"/>
  <c r="G27"/>
  <c r="F27"/>
  <c r="E27"/>
  <c r="P26"/>
  <c r="O26"/>
  <c r="N26"/>
  <c r="M26"/>
  <c r="L26"/>
  <c r="G26"/>
  <c r="F26"/>
  <c r="E26"/>
  <c r="P25"/>
  <c r="O25"/>
  <c r="N25"/>
  <c r="M25"/>
  <c r="L25"/>
  <c r="G25"/>
  <c r="F25"/>
  <c r="E25"/>
  <c r="P24"/>
  <c r="O24"/>
  <c r="N24"/>
  <c r="M24"/>
  <c r="L24"/>
  <c r="G24"/>
  <c r="F24"/>
  <c r="E24"/>
  <c r="P23"/>
  <c r="O23"/>
  <c r="N23"/>
  <c r="M23"/>
  <c r="L23"/>
  <c r="G23"/>
  <c r="F23"/>
  <c r="E23"/>
  <c r="P22"/>
  <c r="O22"/>
  <c r="N22"/>
  <c r="M22"/>
  <c r="L22"/>
  <c r="G22"/>
  <c r="F22"/>
  <c r="E22"/>
  <c r="P21"/>
  <c r="O21"/>
  <c r="N21"/>
  <c r="M21"/>
  <c r="L21"/>
  <c r="G21"/>
  <c r="F21"/>
  <c r="E21"/>
  <c r="P20"/>
  <c r="O20"/>
  <c r="N20"/>
  <c r="M20"/>
  <c r="L20"/>
  <c r="G20"/>
  <c r="F20"/>
  <c r="E20"/>
  <c r="P19"/>
  <c r="O19"/>
  <c r="N19"/>
  <c r="M19"/>
  <c r="L19"/>
  <c r="G19"/>
  <c r="F19"/>
  <c r="E19"/>
  <c r="P18"/>
  <c r="O18"/>
  <c r="N18"/>
  <c r="M18"/>
  <c r="L18"/>
  <c r="G18"/>
  <c r="F18"/>
  <c r="E18"/>
  <c r="P17"/>
  <c r="O17"/>
  <c r="N17"/>
  <c r="M17"/>
  <c r="L17"/>
  <c r="G17"/>
  <c r="F17"/>
  <c r="E17"/>
  <c r="P16"/>
  <c r="O16"/>
  <c r="N16"/>
  <c r="M16"/>
  <c r="L16"/>
  <c r="G16"/>
  <c r="F16"/>
  <c r="E16"/>
  <c r="P15"/>
  <c r="O15"/>
  <c r="N15"/>
  <c r="M15"/>
  <c r="L15"/>
  <c r="G15"/>
  <c r="F15"/>
  <c r="E15"/>
  <c r="P14"/>
  <c r="O14"/>
  <c r="N14"/>
  <c r="M14"/>
  <c r="L14"/>
  <c r="G14"/>
  <c r="F14"/>
  <c r="E14"/>
  <c r="P13"/>
  <c r="O13"/>
  <c r="N13"/>
  <c r="M13"/>
  <c r="L13"/>
  <c r="G13"/>
  <c r="F13"/>
  <c r="E13"/>
  <c r="P12"/>
  <c r="O12"/>
  <c r="N12"/>
  <c r="M12"/>
  <c r="L12"/>
  <c r="G12"/>
  <c r="F12"/>
  <c r="E12"/>
  <c r="P11"/>
  <c r="O11"/>
  <c r="N11"/>
  <c r="M11"/>
  <c r="L11"/>
  <c r="G11"/>
  <c r="F11"/>
  <c r="E11"/>
  <c r="P10"/>
  <c r="P38" s="1"/>
  <c r="G8" i="27" s="1"/>
  <c r="P11" s="1"/>
  <c r="O10" i="26"/>
  <c r="N10"/>
  <c r="N38" s="1"/>
  <c r="G6" i="27" s="1"/>
  <c r="M10" i="26"/>
  <c r="L10"/>
  <c r="L38" s="1"/>
  <c r="G10"/>
  <c r="F10"/>
  <c r="E10"/>
  <c r="K4"/>
  <c r="C8" i="28" s="1"/>
  <c r="C13" s="1"/>
  <c r="C14" s="1"/>
  <c r="C15" s="1"/>
  <c r="C16" s="1"/>
  <c r="C17" s="1"/>
  <c r="C25" s="1"/>
  <c r="C26" s="1"/>
  <c r="C27" s="1"/>
  <c r="C28" s="1"/>
  <c r="C29" s="1"/>
  <c r="C30" s="1"/>
  <c r="C31" s="1"/>
  <c r="C32" s="1"/>
  <c r="C33" s="1"/>
  <c r="C34" s="1"/>
  <c r="C35" s="1"/>
  <c r="Y33" i="27" l="1"/>
  <c r="D3"/>
  <c r="P28"/>
  <c r="L39" i="26"/>
  <c r="V15" i="27" s="1"/>
  <c r="P6"/>
  <c r="K39" i="26"/>
  <c r="V19" i="27"/>
  <c r="H21"/>
  <c r="V32"/>
  <c r="V28" l="1"/>
  <c r="V23"/>
  <c r="G14"/>
  <c r="G12"/>
  <c r="Y32"/>
  <c r="G13"/>
  <c r="Y21"/>
  <c r="Y19"/>
  <c r="G19" s="1"/>
  <c r="Y20"/>
  <c r="G20" s="1"/>
  <c r="Y16"/>
  <c r="G16" s="1"/>
  <c r="Y15"/>
  <c r="G15" s="1"/>
  <c r="P8"/>
  <c r="P9"/>
  <c r="Y22" l="1"/>
  <c r="G21"/>
  <c r="G22" s="1"/>
  <c r="Y28"/>
  <c r="G28" s="1"/>
  <c r="Y29"/>
  <c r="G29" s="1"/>
  <c r="Y30"/>
  <c r="Y25"/>
  <c r="G25" s="1"/>
  <c r="G27" s="1"/>
  <c r="Y26"/>
  <c r="G26" s="1"/>
  <c r="Y23"/>
  <c r="G23" s="1"/>
  <c r="Y24"/>
  <c r="G24" s="1"/>
  <c r="Y31" l="1"/>
  <c r="G30"/>
  <c r="G31" s="1"/>
  <c r="B5" i="25" l="1"/>
  <c r="E4"/>
  <c r="J2" i="24"/>
  <c r="K5" i="23"/>
  <c r="H4"/>
  <c r="C2" i="24" s="1"/>
  <c r="C5" i="23"/>
  <c r="C4" i="24" s="1"/>
  <c r="C4" i="23"/>
  <c r="C3" i="24" s="1"/>
  <c r="H5" i="25"/>
  <c r="H3"/>
  <c r="B3"/>
  <c r="L23" i="24"/>
  <c r="L22"/>
  <c r="L21"/>
  <c r="L20"/>
  <c r="L19"/>
  <c r="L18"/>
  <c r="L17"/>
  <c r="L16"/>
  <c r="L15"/>
  <c r="L14"/>
  <c r="D14"/>
  <c r="L13"/>
  <c r="D13"/>
  <c r="L12"/>
  <c r="D12"/>
  <c r="L11"/>
  <c r="A55" i="23" s="1"/>
  <c r="D11" i="24"/>
  <c r="L10"/>
  <c r="L9"/>
  <c r="L8"/>
  <c r="L7"/>
  <c r="L6"/>
  <c r="H6"/>
  <c r="C20" s="1"/>
  <c r="C6"/>
  <c r="L5"/>
  <c r="H4"/>
  <c r="G4"/>
  <c r="A4"/>
  <c r="H3"/>
  <c r="G3"/>
  <c r="A3"/>
  <c r="A2"/>
  <c r="A65" i="23"/>
  <c r="A64"/>
  <c r="A63"/>
  <c r="A62"/>
  <c r="A61"/>
  <c r="A60"/>
  <c r="A59"/>
  <c r="A58"/>
  <c r="A57"/>
  <c r="A56"/>
  <c r="A54"/>
  <c r="A53"/>
  <c r="A52"/>
  <c r="A51"/>
  <c r="A50"/>
  <c r="A49"/>
  <c r="A47"/>
  <c r="N36"/>
  <c r="P35"/>
  <c r="O35"/>
  <c r="N35"/>
  <c r="M35"/>
  <c r="L35"/>
  <c r="G35"/>
  <c r="F35"/>
  <c r="E35"/>
  <c r="P34"/>
  <c r="O34"/>
  <c r="N34"/>
  <c r="M34"/>
  <c r="L34"/>
  <c r="G34"/>
  <c r="F34"/>
  <c r="E34"/>
  <c r="P33"/>
  <c r="O33"/>
  <c r="N33"/>
  <c r="M33"/>
  <c r="L33"/>
  <c r="G33"/>
  <c r="F33"/>
  <c r="E33"/>
  <c r="P32"/>
  <c r="O32"/>
  <c r="N32"/>
  <c r="M32"/>
  <c r="L32"/>
  <c r="G32"/>
  <c r="F32"/>
  <c r="E32"/>
  <c r="P31"/>
  <c r="O31"/>
  <c r="N31"/>
  <c r="M31"/>
  <c r="L31"/>
  <c r="G31"/>
  <c r="F31"/>
  <c r="E31"/>
  <c r="Q30"/>
  <c r="P30"/>
  <c r="O30"/>
  <c r="N30"/>
  <c r="M30"/>
  <c r="L30"/>
  <c r="G30"/>
  <c r="F30"/>
  <c r="E30"/>
  <c r="Q29"/>
  <c r="P29"/>
  <c r="O29"/>
  <c r="N29"/>
  <c r="M29"/>
  <c r="L29"/>
  <c r="G29"/>
  <c r="F29"/>
  <c r="E29"/>
  <c r="Q28"/>
  <c r="P28"/>
  <c r="O28"/>
  <c r="N28"/>
  <c r="M28"/>
  <c r="L28"/>
  <c r="G28"/>
  <c r="F28"/>
  <c r="E28"/>
  <c r="Q27"/>
  <c r="P27"/>
  <c r="O27"/>
  <c r="N27"/>
  <c r="M27"/>
  <c r="L27"/>
  <c r="G27"/>
  <c r="F27"/>
  <c r="E27"/>
  <c r="Q26"/>
  <c r="P26"/>
  <c r="O26"/>
  <c r="N26"/>
  <c r="M26"/>
  <c r="L26"/>
  <c r="G26"/>
  <c r="F26"/>
  <c r="E26"/>
  <c r="Q25"/>
  <c r="P25"/>
  <c r="O25"/>
  <c r="N25"/>
  <c r="M25"/>
  <c r="L25"/>
  <c r="G25"/>
  <c r="F25"/>
  <c r="E25"/>
  <c r="Q24"/>
  <c r="P24"/>
  <c r="O24"/>
  <c r="N24"/>
  <c r="M24"/>
  <c r="L24"/>
  <c r="G24"/>
  <c r="F24"/>
  <c r="E24"/>
  <c r="Q23"/>
  <c r="P23"/>
  <c r="O23"/>
  <c r="N23"/>
  <c r="M23"/>
  <c r="L23"/>
  <c r="G23"/>
  <c r="F23"/>
  <c r="E23"/>
  <c r="Q22"/>
  <c r="P22"/>
  <c r="O22"/>
  <c r="N22"/>
  <c r="M22"/>
  <c r="L22"/>
  <c r="G22"/>
  <c r="F22"/>
  <c r="E22"/>
  <c r="Q21"/>
  <c r="P21"/>
  <c r="O21"/>
  <c r="N21"/>
  <c r="M21"/>
  <c r="L21"/>
  <c r="G21"/>
  <c r="F21"/>
  <c r="E21"/>
  <c r="Q20"/>
  <c r="P20"/>
  <c r="O20"/>
  <c r="N20"/>
  <c r="M20"/>
  <c r="L20"/>
  <c r="G20"/>
  <c r="F20"/>
  <c r="E20"/>
  <c r="Q19"/>
  <c r="P19"/>
  <c r="O19"/>
  <c r="N19"/>
  <c r="M19"/>
  <c r="L19"/>
  <c r="G19"/>
  <c r="F19"/>
  <c r="E19"/>
  <c r="Q18"/>
  <c r="P18"/>
  <c r="O18"/>
  <c r="N18"/>
  <c r="M18"/>
  <c r="L18"/>
  <c r="G18"/>
  <c r="F18"/>
  <c r="E18"/>
  <c r="Q17"/>
  <c r="P17"/>
  <c r="O17"/>
  <c r="N17"/>
  <c r="M17"/>
  <c r="L17"/>
  <c r="G17"/>
  <c r="F17"/>
  <c r="E17"/>
  <c r="Q16"/>
  <c r="P16"/>
  <c r="O16"/>
  <c r="N16"/>
  <c r="M16"/>
  <c r="L16"/>
  <c r="G16"/>
  <c r="F16"/>
  <c r="E16"/>
  <c r="Q15"/>
  <c r="P15"/>
  <c r="O15"/>
  <c r="N15"/>
  <c r="M15"/>
  <c r="L15"/>
  <c r="G15"/>
  <c r="F15"/>
  <c r="E15"/>
  <c r="Q14"/>
  <c r="P14"/>
  <c r="O14"/>
  <c r="N14"/>
  <c r="M14"/>
  <c r="L14"/>
  <c r="G14"/>
  <c r="F14"/>
  <c r="E14"/>
  <c r="Q13"/>
  <c r="P13"/>
  <c r="O13"/>
  <c r="N13"/>
  <c r="M13"/>
  <c r="L13"/>
  <c r="G13"/>
  <c r="F13"/>
  <c r="E13"/>
  <c r="Q12"/>
  <c r="P12"/>
  <c r="O12"/>
  <c r="N12"/>
  <c r="M12"/>
  <c r="L12"/>
  <c r="G12"/>
  <c r="F12"/>
  <c r="E12"/>
  <c r="Q11"/>
  <c r="P11"/>
  <c r="O11"/>
  <c r="N11"/>
  <c r="M11"/>
  <c r="L11"/>
  <c r="G11"/>
  <c r="F11"/>
  <c r="E11"/>
  <c r="Q10"/>
  <c r="Q38" s="1"/>
  <c r="P10"/>
  <c r="P38" s="1"/>
  <c r="O10"/>
  <c r="O38" s="1"/>
  <c r="N10"/>
  <c r="N38" s="1"/>
  <c r="F6" i="24" s="1"/>
  <c r="M10" i="23"/>
  <c r="M38" s="1"/>
  <c r="F7" i="24" s="1"/>
  <c r="F8" s="1"/>
  <c r="L10" i="23"/>
  <c r="L38" s="1"/>
  <c r="G10"/>
  <c r="F10"/>
  <c r="E10"/>
  <c r="K4"/>
  <c r="C8" i="25" s="1"/>
  <c r="J59" i="2"/>
  <c r="J51"/>
  <c r="E3" i="25" l="1"/>
  <c r="K36" i="23"/>
  <c r="G22" i="24"/>
  <c r="D21"/>
  <c r="F21"/>
  <c r="G21"/>
  <c r="D22"/>
  <c r="C21"/>
  <c r="C10" i="25"/>
  <c r="C25"/>
  <c r="C26" s="1"/>
  <c r="C27" s="1"/>
  <c r="C28" s="1"/>
  <c r="C29" s="1"/>
  <c r="C30" s="1"/>
  <c r="C31" s="1"/>
  <c r="C32" s="1"/>
  <c r="C33" s="1"/>
  <c r="C34" s="1"/>
  <c r="C35" s="1"/>
  <c r="F16" i="24"/>
  <c r="G19"/>
  <c r="D16"/>
  <c r="F19"/>
  <c r="G20"/>
  <c r="F15"/>
  <c r="F17"/>
  <c r="C19"/>
  <c r="F20"/>
  <c r="D15"/>
  <c r="D17"/>
  <c r="D18" s="1"/>
  <c r="G18" l="1"/>
  <c r="F18"/>
  <c r="AC33"/>
  <c r="AD30"/>
  <c r="F12" s="1"/>
  <c r="AE23"/>
  <c r="AE22"/>
  <c r="AC21"/>
  <c r="AC20"/>
  <c r="AE18"/>
  <c r="AD17"/>
  <c r="AD15"/>
  <c r="AD13"/>
  <c r="AD11"/>
  <c r="AC9"/>
  <c r="AD8"/>
  <c r="AE7"/>
  <c r="AE5"/>
  <c r="AD33"/>
  <c r="AE30"/>
  <c r="F13" s="1"/>
  <c r="F14" s="1"/>
  <c r="AC28"/>
  <c r="F9" s="1"/>
  <c r="AD21"/>
  <c r="AD20"/>
  <c r="AC19"/>
  <c r="AE17"/>
  <c r="AC16"/>
  <c r="AE15"/>
  <c r="AC14"/>
  <c r="AE13"/>
  <c r="AC12"/>
  <c r="AE11"/>
  <c r="AC10"/>
  <c r="AD9"/>
  <c r="AE8"/>
  <c r="AC6"/>
  <c r="AE33"/>
  <c r="AC31"/>
  <c r="AC29"/>
  <c r="F10" s="1"/>
  <c r="AC23"/>
  <c r="AC22"/>
  <c r="AE21"/>
  <c r="AE20"/>
  <c r="AD19"/>
  <c r="AC18"/>
  <c r="AD16"/>
  <c r="AD14"/>
  <c r="AD12"/>
  <c r="AD10"/>
  <c r="AE9"/>
  <c r="AC7"/>
  <c r="AD6"/>
  <c r="AC5"/>
  <c r="AC32"/>
  <c r="AC30"/>
  <c r="F11" s="1"/>
  <c r="AD23"/>
  <c r="AD22"/>
  <c r="AE19"/>
  <c r="AD18"/>
  <c r="AC17"/>
  <c r="AE16"/>
  <c r="AC15"/>
  <c r="AE14"/>
  <c r="AC13"/>
  <c r="AE12"/>
  <c r="AC11"/>
  <c r="AE10"/>
  <c r="AC8"/>
  <c r="AD7"/>
  <c r="AE6"/>
  <c r="AD5"/>
  <c r="Z4" i="4" l="1"/>
  <c r="Z3"/>
  <c r="Z1"/>
  <c r="P84" i="2"/>
  <c r="O84"/>
  <c r="O83"/>
  <c r="O82"/>
  <c r="O81"/>
  <c r="P83"/>
  <c r="P81"/>
  <c r="B60" l="1"/>
  <c r="AC65"/>
  <c r="AC61"/>
  <c r="AC62"/>
  <c r="AC63"/>
  <c r="AC64"/>
  <c r="U61"/>
  <c r="U62"/>
  <c r="U63"/>
  <c r="U64"/>
  <c r="R66" l="1"/>
  <c r="R67"/>
  <c r="R68"/>
  <c r="C2" i="15"/>
  <c r="C48" i="2"/>
  <c r="AB49"/>
  <c r="AD49"/>
  <c r="AC49"/>
  <c r="AG23" l="1"/>
  <c r="AG24"/>
  <c r="AG25"/>
  <c r="AG26"/>
  <c r="AG27"/>
  <c r="AG28"/>
  <c r="AG29"/>
  <c r="AG30"/>
  <c r="AG31"/>
  <c r="AG32"/>
  <c r="AG6"/>
  <c r="AG7"/>
  <c r="AG8"/>
  <c r="AG9"/>
  <c r="AG10"/>
  <c r="AG11"/>
  <c r="AG12"/>
  <c r="AG13"/>
  <c r="AG14"/>
  <c r="AG15"/>
  <c r="AG16"/>
  <c r="AG17"/>
  <c r="AG18"/>
  <c r="AG19"/>
  <c r="AG20"/>
  <c r="AA23"/>
  <c r="AA24"/>
  <c r="AA25"/>
  <c r="AA26"/>
  <c r="AG33" l="1"/>
  <c r="A87"/>
  <c r="O7" i="4" s="1"/>
  <c r="A86" i="2"/>
  <c r="A85"/>
  <c r="A84"/>
  <c r="A81"/>
  <c r="C7" i="4" s="1"/>
  <c r="A80" i="2"/>
  <c r="A79"/>
  <c r="AM23"/>
  <c r="AM24"/>
  <c r="AM25"/>
  <c r="AM26"/>
  <c r="AM27"/>
  <c r="AM28"/>
  <c r="AM29"/>
  <c r="AM30"/>
  <c r="AM31"/>
  <c r="AM32"/>
  <c r="AM6"/>
  <c r="AM7"/>
  <c r="AM8"/>
  <c r="AM9"/>
  <c r="AM10"/>
  <c r="AM11"/>
  <c r="AM12"/>
  <c r="AM13"/>
  <c r="AM14"/>
  <c r="AM15"/>
  <c r="AM16"/>
  <c r="AM17"/>
  <c r="AM18"/>
  <c r="AM19"/>
  <c r="AM20"/>
  <c r="U49"/>
  <c r="O49"/>
  <c r="M49"/>
  <c r="J49"/>
  <c r="C49"/>
  <c r="A49"/>
  <c r="J48"/>
  <c r="G37" i="4" l="1"/>
  <c r="G38" l="1"/>
  <c r="H38"/>
  <c r="C38"/>
  <c r="H37"/>
  <c r="C37"/>
  <c r="H36"/>
  <c r="C36"/>
  <c r="U67" i="2"/>
  <c r="U68"/>
  <c r="U69"/>
  <c r="U70"/>
  <c r="U71"/>
  <c r="U72"/>
  <c r="U66"/>
  <c r="AD51" s="1"/>
  <c r="R69"/>
  <c r="R70"/>
  <c r="R71"/>
  <c r="R72"/>
  <c r="O24" i="4"/>
  <c r="C5"/>
  <c r="E5" l="1"/>
  <c r="C9"/>
  <c r="C11"/>
  <c r="U34"/>
  <c r="M30" l="1"/>
  <c r="U35"/>
  <c r="G31" s="1"/>
  <c r="AA47" i="2"/>
  <c r="AA20"/>
  <c r="AA5"/>
  <c r="AA6"/>
  <c r="AA7"/>
  <c r="AA8"/>
  <c r="AA9"/>
  <c r="AA10"/>
  <c r="AC56" l="1"/>
  <c r="U56"/>
  <c r="AC55"/>
  <c r="U55"/>
  <c r="AC54"/>
  <c r="U54"/>
  <c r="AC53"/>
  <c r="U53"/>
  <c r="AF10"/>
  <c r="AF8"/>
  <c r="AF6"/>
  <c r="AF20"/>
  <c r="AF9"/>
  <c r="AF7"/>
  <c r="AF5"/>
  <c r="AF27"/>
  <c r="AF26"/>
  <c r="AF25"/>
  <c r="AF24"/>
  <c r="AF23"/>
  <c r="U52" l="1"/>
  <c r="AC52" s="1"/>
  <c r="U51"/>
  <c r="AC51" s="1"/>
  <c r="G4" i="15"/>
  <c r="C3"/>
  <c r="A4"/>
  <c r="C4"/>
  <c r="I38"/>
  <c r="I39"/>
  <c r="I41"/>
  <c r="I42"/>
  <c r="I43"/>
  <c r="I45"/>
  <c r="I46"/>
  <c r="I47"/>
  <c r="I49"/>
  <c r="I50"/>
  <c r="I51"/>
  <c r="I53"/>
  <c r="I54"/>
  <c r="I55"/>
  <c r="I57"/>
  <c r="I58"/>
  <c r="I59"/>
  <c r="I61"/>
  <c r="I62"/>
  <c r="I63"/>
  <c r="I65"/>
  <c r="I66"/>
  <c r="I67"/>
  <c r="I69"/>
  <c r="I73"/>
  <c r="I74"/>
  <c r="I75"/>
  <c r="I76"/>
  <c r="I77"/>
  <c r="I78"/>
  <c r="I79"/>
  <c r="I80"/>
  <c r="I81"/>
  <c r="I82"/>
  <c r="I83"/>
  <c r="I84"/>
  <c r="I85"/>
  <c r="I86"/>
  <c r="I87"/>
  <c r="I88"/>
  <c r="I89"/>
  <c r="I90"/>
  <c r="I91"/>
  <c r="I92"/>
  <c r="I93"/>
  <c r="I94"/>
  <c r="I95"/>
  <c r="I96"/>
  <c r="I99"/>
  <c r="I101"/>
  <c r="I102"/>
  <c r="I104"/>
  <c r="I108"/>
  <c r="I109"/>
  <c r="I111"/>
  <c r="I112"/>
  <c r="I113"/>
  <c r="I115"/>
  <c r="I118"/>
  <c r="I119"/>
  <c r="I121"/>
  <c r="I122"/>
  <c r="I124"/>
  <c r="I125"/>
  <c r="I30"/>
  <c r="I31"/>
  <c r="I32"/>
  <c r="I33"/>
  <c r="I34"/>
  <c r="I35"/>
  <c r="I128"/>
  <c r="I129"/>
  <c r="I130"/>
  <c r="I131"/>
  <c r="I132"/>
  <c r="I133"/>
  <c r="I134"/>
  <c r="I135"/>
  <c r="I136"/>
  <c r="I137"/>
  <c r="I138"/>
  <c r="I139"/>
  <c r="I140"/>
  <c r="I141"/>
  <c r="I142"/>
  <c r="I143"/>
  <c r="I144"/>
  <c r="I145"/>
  <c r="I146"/>
  <c r="I147"/>
  <c r="I148"/>
  <c r="I149"/>
  <c r="I150"/>
  <c r="I151"/>
  <c r="I152"/>
  <c r="I153"/>
  <c r="I154"/>
  <c r="I155"/>
  <c r="I156"/>
  <c r="I157"/>
  <c r="I158"/>
  <c r="I159"/>
  <c r="I160"/>
  <c r="I161"/>
  <c r="I162"/>
  <c r="I163"/>
  <c r="I164"/>
  <c r="I165"/>
  <c r="I166"/>
  <c r="I167"/>
  <c r="I168"/>
  <c r="I169"/>
  <c r="I170"/>
  <c r="I171"/>
  <c r="I172"/>
  <c r="I173"/>
  <c r="I174"/>
  <c r="I175"/>
  <c r="I176"/>
  <c r="I177"/>
  <c r="I178"/>
  <c r="I179"/>
  <c r="I180"/>
  <c r="I181"/>
  <c r="I182"/>
  <c r="I183"/>
  <c r="I184"/>
  <c r="I185"/>
  <c r="I186"/>
  <c r="I187"/>
  <c r="I188"/>
  <c r="I189"/>
  <c r="I190"/>
  <c r="I191"/>
  <c r="AA31" i="2"/>
  <c r="Y36" i="4"/>
  <c r="J61" i="13"/>
  <c r="J60"/>
  <c r="J59"/>
  <c r="J58"/>
  <c r="J57"/>
  <c r="J56"/>
  <c r="J55"/>
  <c r="J54"/>
  <c r="J53"/>
  <c r="J52"/>
  <c r="J51"/>
  <c r="J50"/>
  <c r="C5" i="14"/>
  <c r="A5"/>
  <c r="C5" i="13"/>
  <c r="A5"/>
  <c r="G49" i="2"/>
  <c r="K4" i="14"/>
  <c r="C4"/>
  <c r="C3"/>
  <c r="J93"/>
  <c r="J92"/>
  <c r="J91"/>
  <c r="J90"/>
  <c r="J89"/>
  <c r="J88"/>
  <c r="J87"/>
  <c r="J86"/>
  <c r="J85"/>
  <c r="J84"/>
  <c r="J83"/>
  <c r="J82"/>
  <c r="M80"/>
  <c r="M79"/>
  <c r="M78"/>
  <c r="M77"/>
  <c r="M76"/>
  <c r="M75"/>
  <c r="M74"/>
  <c r="M73"/>
  <c r="M72"/>
  <c r="M71"/>
  <c r="M70"/>
  <c r="M69"/>
  <c r="J67"/>
  <c r="J66"/>
  <c r="J65"/>
  <c r="J64"/>
  <c r="J63"/>
  <c r="J62"/>
  <c r="J61"/>
  <c r="J60"/>
  <c r="J59"/>
  <c r="J58"/>
  <c r="J57"/>
  <c r="J56"/>
  <c r="J55"/>
  <c r="J54"/>
  <c r="J53"/>
  <c r="J52"/>
  <c r="J50"/>
  <c r="J49"/>
  <c r="J48"/>
  <c r="J47"/>
  <c r="J46"/>
  <c r="J45"/>
  <c r="J44"/>
  <c r="J43"/>
  <c r="J42"/>
  <c r="J41"/>
  <c r="J40"/>
  <c r="J38"/>
  <c r="J37"/>
  <c r="J36"/>
  <c r="J35"/>
  <c r="J34"/>
  <c r="J33"/>
  <c r="J32"/>
  <c r="J31"/>
  <c r="J30"/>
  <c r="J29"/>
  <c r="J28"/>
  <c r="J27"/>
  <c r="J26"/>
  <c r="J25"/>
  <c r="J24"/>
  <c r="J23"/>
  <c r="J22"/>
  <c r="J21"/>
  <c r="J20"/>
  <c r="J19"/>
  <c r="J18"/>
  <c r="J17"/>
  <c r="J16"/>
  <c r="J15"/>
  <c r="J14"/>
  <c r="J13"/>
  <c r="J12"/>
  <c r="J11"/>
  <c r="J10"/>
  <c r="J9"/>
  <c r="J8"/>
  <c r="J7"/>
  <c r="G5"/>
  <c r="K3"/>
  <c r="K4" i="13"/>
  <c r="C3"/>
  <c r="C4"/>
  <c r="M48"/>
  <c r="M47"/>
  <c r="M46"/>
  <c r="M45"/>
  <c r="M44"/>
  <c r="M43"/>
  <c r="M42"/>
  <c r="M41"/>
  <c r="M40"/>
  <c r="M39"/>
  <c r="M38"/>
  <c r="M37"/>
  <c r="J35"/>
  <c r="J34"/>
  <c r="J33"/>
  <c r="J32"/>
  <c r="J31"/>
  <c r="J30"/>
  <c r="J29"/>
  <c r="J28"/>
  <c r="J27"/>
  <c r="J26"/>
  <c r="J25"/>
  <c r="J24"/>
  <c r="J23"/>
  <c r="J22"/>
  <c r="J21"/>
  <c r="J20"/>
  <c r="J19"/>
  <c r="J18"/>
  <c r="J17"/>
  <c r="J16"/>
  <c r="J15"/>
  <c r="J14"/>
  <c r="J13"/>
  <c r="J12"/>
  <c r="J11"/>
  <c r="J10"/>
  <c r="J9"/>
  <c r="J8"/>
  <c r="J7"/>
  <c r="G5"/>
  <c r="K3"/>
  <c r="I106" i="10" l="1"/>
  <c r="K106" s="1"/>
  <c r="I105"/>
  <c r="K105" s="1"/>
  <c r="I104"/>
  <c r="K104" s="1"/>
  <c r="I103"/>
  <c r="K103" s="1"/>
  <c r="S103" s="1"/>
  <c r="I102"/>
  <c r="K102" s="1"/>
  <c r="I101"/>
  <c r="K101" s="1"/>
  <c r="V100"/>
  <c r="I100"/>
  <c r="K100" s="1"/>
  <c r="I92"/>
  <c r="K92" s="1"/>
  <c r="I91"/>
  <c r="K91" s="1"/>
  <c r="I90"/>
  <c r="K90" s="1"/>
  <c r="I89"/>
  <c r="K89" s="1"/>
  <c r="I88"/>
  <c r="K88" s="1"/>
  <c r="I87"/>
  <c r="K87" s="1"/>
  <c r="V86"/>
  <c r="I86"/>
  <c r="K86" s="1"/>
  <c r="I85"/>
  <c r="K85" s="1"/>
  <c r="I84"/>
  <c r="K84" s="1"/>
  <c r="I83"/>
  <c r="K83" s="1"/>
  <c r="I82"/>
  <c r="K82" s="1"/>
  <c r="I81"/>
  <c r="K81" s="1"/>
  <c r="I80"/>
  <c r="K80" s="1"/>
  <c r="V79"/>
  <c r="I79"/>
  <c r="K79" s="1"/>
  <c r="I44"/>
  <c r="S44"/>
  <c r="I64"/>
  <c r="J64" s="1"/>
  <c r="Q64" s="1"/>
  <c r="I63"/>
  <c r="J63" s="1"/>
  <c r="Q63" s="1"/>
  <c r="I62"/>
  <c r="J62" s="1"/>
  <c r="Q62" s="1"/>
  <c r="I61"/>
  <c r="J61" s="1"/>
  <c r="Q61" s="1"/>
  <c r="I60"/>
  <c r="J60" s="1"/>
  <c r="Q60" s="1"/>
  <c r="I23"/>
  <c r="J23" s="1"/>
  <c r="I22"/>
  <c r="J22" s="1"/>
  <c r="Q22" s="1"/>
  <c r="I21"/>
  <c r="J21" s="1"/>
  <c r="Q21" s="1"/>
  <c r="I20"/>
  <c r="J20" s="1"/>
  <c r="Q20" s="1"/>
  <c r="I19"/>
  <c r="J19" s="1"/>
  <c r="Q19" s="1"/>
  <c r="I18"/>
  <c r="J18" s="1"/>
  <c r="Q18" s="1"/>
  <c r="I11"/>
  <c r="J11" s="1"/>
  <c r="Q11" s="1"/>
  <c r="I10"/>
  <c r="J10" s="1"/>
  <c r="Q10" s="1"/>
  <c r="I9"/>
  <c r="J9" s="1"/>
  <c r="Q9" s="1"/>
  <c r="I8"/>
  <c r="J8" s="1"/>
  <c r="Q8" s="1"/>
  <c r="I7"/>
  <c r="J7" s="1"/>
  <c r="Q7" s="1"/>
  <c r="I6"/>
  <c r="J6" s="1"/>
  <c r="Q6" s="1"/>
  <c r="W100" l="1"/>
  <c r="S100"/>
  <c r="R100"/>
  <c r="S101"/>
  <c r="W101"/>
  <c r="R101"/>
  <c r="W104"/>
  <c r="R104"/>
  <c r="S104"/>
  <c r="S106"/>
  <c r="W106"/>
  <c r="R106"/>
  <c r="W102"/>
  <c r="R102"/>
  <c r="S102"/>
  <c r="U103"/>
  <c r="T103"/>
  <c r="W105"/>
  <c r="R105"/>
  <c r="R103"/>
  <c r="W103"/>
  <c r="W81"/>
  <c r="R81"/>
  <c r="S81"/>
  <c r="W83"/>
  <c r="R83"/>
  <c r="S83"/>
  <c r="W85"/>
  <c r="S85"/>
  <c r="T85" s="1"/>
  <c r="R85"/>
  <c r="W88"/>
  <c r="R88"/>
  <c r="S88"/>
  <c r="W90"/>
  <c r="R90"/>
  <c r="S90"/>
  <c r="S92"/>
  <c r="W92"/>
  <c r="R92"/>
  <c r="W79"/>
  <c r="S79"/>
  <c r="R79"/>
  <c r="S80"/>
  <c r="W80"/>
  <c r="R80"/>
  <c r="S82"/>
  <c r="W82"/>
  <c r="R82"/>
  <c r="W84"/>
  <c r="R84"/>
  <c r="W86"/>
  <c r="S86"/>
  <c r="R86"/>
  <c r="S87"/>
  <c r="W87"/>
  <c r="R87"/>
  <c r="S89"/>
  <c r="W89"/>
  <c r="R89"/>
  <c r="W91"/>
  <c r="R91"/>
  <c r="R23"/>
  <c r="S23"/>
  <c r="Q23"/>
  <c r="U102" l="1"/>
  <c r="T102" s="1"/>
  <c r="U104"/>
  <c r="T104" s="1"/>
  <c r="U106"/>
  <c r="T106" s="1"/>
  <c r="U101"/>
  <c r="T101" s="1"/>
  <c r="U100"/>
  <c r="T100" s="1"/>
  <c r="U87"/>
  <c r="T87" s="1"/>
  <c r="U86"/>
  <c r="T86" s="1"/>
  <c r="U82"/>
  <c r="T82" s="1"/>
  <c r="U90"/>
  <c r="T90" s="1"/>
  <c r="U81"/>
  <c r="T81" s="1"/>
  <c r="U89"/>
  <c r="T89" s="1"/>
  <c r="U80"/>
  <c r="T80" s="1"/>
  <c r="U79"/>
  <c r="T79" s="1"/>
  <c r="U92"/>
  <c r="T92" s="1"/>
  <c r="U88"/>
  <c r="T88" s="1"/>
  <c r="U83"/>
  <c r="T83" s="1"/>
  <c r="AG5" i="2" l="1"/>
  <c r="AG21" s="1"/>
  <c r="AG34" s="1"/>
  <c r="C35" s="1"/>
  <c r="D21" i="12" s="1"/>
  <c r="I112" i="10"/>
  <c r="J112" s="1"/>
  <c r="Q112" s="1"/>
  <c r="I111"/>
  <c r="J111" s="1"/>
  <c r="Q111" s="1"/>
  <c r="I110"/>
  <c r="J110" s="1"/>
  <c r="Q110" s="1"/>
  <c r="I109"/>
  <c r="I108"/>
  <c r="J108" s="1"/>
  <c r="Q108" s="1"/>
  <c r="I107"/>
  <c r="J109" s="1"/>
  <c r="Q109" s="1"/>
  <c r="I39"/>
  <c r="I38"/>
  <c r="J38" s="1"/>
  <c r="Q38" s="1"/>
  <c r="I37"/>
  <c r="J37" s="1"/>
  <c r="Q37" s="1"/>
  <c r="I36"/>
  <c r="J36" s="1"/>
  <c r="Q36" s="1"/>
  <c r="I35"/>
  <c r="J35" s="1"/>
  <c r="Q35" s="1"/>
  <c r="I34"/>
  <c r="J34" s="1"/>
  <c r="Q34" s="1"/>
  <c r="I12"/>
  <c r="J39"/>
  <c r="Q39" s="1"/>
  <c r="AD40" i="2" l="1"/>
  <c r="AC57"/>
  <c r="U57"/>
  <c r="AC60"/>
  <c r="U60"/>
  <c r="AC58"/>
  <c r="U58"/>
  <c r="AC59"/>
  <c r="U59"/>
  <c r="J107" i="10"/>
  <c r="Q107" s="1"/>
  <c r="U33" i="4" l="1"/>
  <c r="H3" i="10"/>
  <c r="B3"/>
  <c r="E3"/>
  <c r="E2"/>
  <c r="B2"/>
  <c r="I99"/>
  <c r="K99" s="1"/>
  <c r="I98"/>
  <c r="K98" s="1"/>
  <c r="I97"/>
  <c r="K97" s="1"/>
  <c r="I96"/>
  <c r="K96" s="1"/>
  <c r="I95"/>
  <c r="K95" s="1"/>
  <c r="I94"/>
  <c r="K94" s="1"/>
  <c r="V93"/>
  <c r="I93"/>
  <c r="K93" s="1"/>
  <c r="I78"/>
  <c r="K78" s="1"/>
  <c r="I77"/>
  <c r="K77" s="1"/>
  <c r="I76"/>
  <c r="K76" s="1"/>
  <c r="I75"/>
  <c r="K75" s="1"/>
  <c r="I74"/>
  <c r="K74" s="1"/>
  <c r="I73"/>
  <c r="K73" s="1"/>
  <c r="V72"/>
  <c r="I72"/>
  <c r="K72" s="1"/>
  <c r="I71"/>
  <c r="K71" s="1"/>
  <c r="I70"/>
  <c r="K70" s="1"/>
  <c r="I69"/>
  <c r="K69" s="1"/>
  <c r="I68"/>
  <c r="K68" s="1"/>
  <c r="I67"/>
  <c r="K67" s="1"/>
  <c r="I66"/>
  <c r="K66" s="1"/>
  <c r="V65"/>
  <c r="I65"/>
  <c r="K65" s="1"/>
  <c r="I59"/>
  <c r="K59" s="1"/>
  <c r="I58"/>
  <c r="K58" s="1"/>
  <c r="I57"/>
  <c r="K57" s="1"/>
  <c r="I56"/>
  <c r="K56" s="1"/>
  <c r="V55"/>
  <c r="I55"/>
  <c r="K55" s="1"/>
  <c r="I54"/>
  <c r="K54" s="1"/>
  <c r="I53"/>
  <c r="K53" s="1"/>
  <c r="I52"/>
  <c r="K52" s="1"/>
  <c r="I51"/>
  <c r="K51" s="1"/>
  <c r="V50"/>
  <c r="I50"/>
  <c r="K50" s="1"/>
  <c r="I49"/>
  <c r="K49" s="1"/>
  <c r="I48"/>
  <c r="K48" s="1"/>
  <c r="I47"/>
  <c r="K47" s="1"/>
  <c r="I46"/>
  <c r="K46" s="1"/>
  <c r="V45"/>
  <c r="I45"/>
  <c r="K45" s="1"/>
  <c r="I43"/>
  <c r="K43" s="1"/>
  <c r="I42"/>
  <c r="K42" s="1"/>
  <c r="I41"/>
  <c r="K41" s="1"/>
  <c r="V40"/>
  <c r="I40"/>
  <c r="K40" s="1"/>
  <c r="I33"/>
  <c r="K33" s="1"/>
  <c r="I32"/>
  <c r="K32" s="1"/>
  <c r="I31"/>
  <c r="K31" s="1"/>
  <c r="I30"/>
  <c r="K30" s="1"/>
  <c r="V29"/>
  <c r="I29"/>
  <c r="K29" s="1"/>
  <c r="AE28"/>
  <c r="I28"/>
  <c r="K28" s="1"/>
  <c r="AE27"/>
  <c r="I27"/>
  <c r="K27" s="1"/>
  <c r="AE26"/>
  <c r="I26"/>
  <c r="K26" s="1"/>
  <c r="AE25"/>
  <c r="I25"/>
  <c r="K25" s="1"/>
  <c r="AE24"/>
  <c r="V24"/>
  <c r="I24"/>
  <c r="K24" s="1"/>
  <c r="AE17"/>
  <c r="I17"/>
  <c r="K17" s="1"/>
  <c r="AE16"/>
  <c r="I16"/>
  <c r="K16" s="1"/>
  <c r="AE15"/>
  <c r="I15"/>
  <c r="K15" s="1"/>
  <c r="AE14"/>
  <c r="I14"/>
  <c r="K14" s="1"/>
  <c r="AE13"/>
  <c r="I13"/>
  <c r="K13" s="1"/>
  <c r="V12"/>
  <c r="K12"/>
  <c r="K33" i="2"/>
  <c r="K34" s="1"/>
  <c r="AA27"/>
  <c r="AA28"/>
  <c r="AA29"/>
  <c r="AA30"/>
  <c r="AA32"/>
  <c r="AA11"/>
  <c r="AA12"/>
  <c r="AA13"/>
  <c r="AA14"/>
  <c r="AA15"/>
  <c r="AA16"/>
  <c r="AA17"/>
  <c r="AA18"/>
  <c r="AA19"/>
  <c r="C26" i="8"/>
  <c r="C23"/>
  <c r="C19"/>
  <c r="G2"/>
  <c r="H3"/>
  <c r="B3"/>
  <c r="E21" i="2"/>
  <c r="E33"/>
  <c r="D2" i="4"/>
  <c r="N2" s="1"/>
  <c r="G3" i="15" s="1"/>
  <c r="AK20" i="2"/>
  <c r="H21"/>
  <c r="N33"/>
  <c r="Q21"/>
  <c r="Q33"/>
  <c r="W21"/>
  <c r="W33"/>
  <c r="AK11"/>
  <c r="AK17"/>
  <c r="AJ2"/>
  <c r="AF2"/>
  <c r="Q24" i="4" l="1"/>
  <c r="U5"/>
  <c r="Q6" s="1"/>
  <c r="U4"/>
  <c r="Q5" s="1"/>
  <c r="B6" i="12"/>
  <c r="E6"/>
  <c r="T21" i="2"/>
  <c r="T33"/>
  <c r="AK29"/>
  <c r="AF19"/>
  <c r="AF17"/>
  <c r="AF15"/>
  <c r="AF13"/>
  <c r="AF11"/>
  <c r="AF31"/>
  <c r="AF28"/>
  <c r="AF18"/>
  <c r="AF16"/>
  <c r="AF14"/>
  <c r="AF12"/>
  <c r="AF32"/>
  <c r="AF30"/>
  <c r="AF29"/>
  <c r="AA34"/>
  <c r="Z33"/>
  <c r="Q34"/>
  <c r="AK10"/>
  <c r="W34"/>
  <c r="E6" i="8"/>
  <c r="R78" i="10"/>
  <c r="W78"/>
  <c r="S78"/>
  <c r="H33" i="2"/>
  <c r="H34" s="1"/>
  <c r="AK9"/>
  <c r="N21"/>
  <c r="N34" s="1"/>
  <c r="B6" i="8"/>
  <c r="E34" i="2"/>
  <c r="I34" i="4" s="1"/>
  <c r="G34" s="1"/>
  <c r="B4" i="8"/>
  <c r="G34" s="1"/>
  <c r="AK27" i="2"/>
  <c r="AK28"/>
  <c r="AK21"/>
  <c r="AK22"/>
  <c r="H2" i="10"/>
  <c r="W12"/>
  <c r="S12"/>
  <c r="R12"/>
  <c r="W13"/>
  <c r="S13"/>
  <c r="R13"/>
  <c r="W14"/>
  <c r="S14"/>
  <c r="R14"/>
  <c r="W15"/>
  <c r="S15"/>
  <c r="R15"/>
  <c r="W16"/>
  <c r="R16"/>
  <c r="W17"/>
  <c r="S17"/>
  <c r="R17"/>
  <c r="W24"/>
  <c r="S24"/>
  <c r="R24"/>
  <c r="W25"/>
  <c r="S25"/>
  <c r="R25"/>
  <c r="W26"/>
  <c r="S26"/>
  <c r="R26"/>
  <c r="W27"/>
  <c r="R27"/>
  <c r="W28"/>
  <c r="S28"/>
  <c r="R28"/>
  <c r="W29"/>
  <c r="S29"/>
  <c r="R29"/>
  <c r="W30"/>
  <c r="S30"/>
  <c r="R30"/>
  <c r="W31"/>
  <c r="S31"/>
  <c r="R31"/>
  <c r="W32"/>
  <c r="R32"/>
  <c r="W33"/>
  <c r="S33"/>
  <c r="T33" s="1"/>
  <c r="R33"/>
  <c r="W40"/>
  <c r="S40"/>
  <c r="R40"/>
  <c r="W41"/>
  <c r="S41"/>
  <c r="R41"/>
  <c r="W42"/>
  <c r="S42"/>
  <c r="R42"/>
  <c r="W43"/>
  <c r="S43"/>
  <c r="R43"/>
  <c r="W45"/>
  <c r="S45"/>
  <c r="R45"/>
  <c r="W46"/>
  <c r="S46"/>
  <c r="R46"/>
  <c r="W47"/>
  <c r="S47"/>
  <c r="R47"/>
  <c r="W48"/>
  <c r="S48"/>
  <c r="R48"/>
  <c r="W49"/>
  <c r="S49"/>
  <c r="R49"/>
  <c r="W50"/>
  <c r="S50"/>
  <c r="R50"/>
  <c r="W51"/>
  <c r="S51"/>
  <c r="R51"/>
  <c r="W52"/>
  <c r="S52"/>
  <c r="R52"/>
  <c r="W53"/>
  <c r="R53"/>
  <c r="W54"/>
  <c r="S54"/>
  <c r="T54" s="1"/>
  <c r="R54"/>
  <c r="W55"/>
  <c r="S55"/>
  <c r="R55"/>
  <c r="W56"/>
  <c r="S56"/>
  <c r="R56"/>
  <c r="W57"/>
  <c r="S57"/>
  <c r="R57"/>
  <c r="W58"/>
  <c r="R58"/>
  <c r="W59"/>
  <c r="S59"/>
  <c r="R59"/>
  <c r="W65"/>
  <c r="S65"/>
  <c r="R65"/>
  <c r="W66"/>
  <c r="S66"/>
  <c r="R66"/>
  <c r="W67"/>
  <c r="S67"/>
  <c r="R67"/>
  <c r="W68"/>
  <c r="S68"/>
  <c r="R68"/>
  <c r="W69"/>
  <c r="S69"/>
  <c r="R69"/>
  <c r="W70"/>
  <c r="R70"/>
  <c r="W71"/>
  <c r="S71"/>
  <c r="T71" s="1"/>
  <c r="R71"/>
  <c r="W72"/>
  <c r="S72"/>
  <c r="R72"/>
  <c r="W73"/>
  <c r="S73"/>
  <c r="R73"/>
  <c r="W74"/>
  <c r="S74"/>
  <c r="R74"/>
  <c r="W75"/>
  <c r="S75"/>
  <c r="R75"/>
  <c r="W76"/>
  <c r="S76"/>
  <c r="R76"/>
  <c r="W77"/>
  <c r="R77"/>
  <c r="W93"/>
  <c r="S93"/>
  <c r="R93"/>
  <c r="W94"/>
  <c r="S94"/>
  <c r="R94"/>
  <c r="W95"/>
  <c r="S95"/>
  <c r="R95"/>
  <c r="W96"/>
  <c r="S96"/>
  <c r="R96"/>
  <c r="W97"/>
  <c r="S97"/>
  <c r="R97"/>
  <c r="W98"/>
  <c r="R98"/>
  <c r="W99"/>
  <c r="S99"/>
  <c r="R99"/>
  <c r="Z21" i="2"/>
  <c r="Z34" s="1"/>
  <c r="Q26" i="4" l="1"/>
  <c r="Q30"/>
  <c r="AF33" i="2"/>
  <c r="AC21"/>
  <c r="AF21"/>
  <c r="V29" i="4"/>
  <c r="C18" i="8"/>
  <c r="AC33" i="2"/>
  <c r="T34"/>
  <c r="AD33"/>
  <c r="U78" i="10"/>
  <c r="T78" s="1"/>
  <c r="C30" i="8"/>
  <c r="AK26" i="2"/>
  <c r="AD21"/>
  <c r="U99" i="10"/>
  <c r="T99" s="1"/>
  <c r="U97"/>
  <c r="T97" s="1"/>
  <c r="U96"/>
  <c r="T96" s="1"/>
  <c r="U95"/>
  <c r="T95" s="1"/>
  <c r="U94"/>
  <c r="T94" s="1"/>
  <c r="U93"/>
  <c r="T93" s="1"/>
  <c r="U76"/>
  <c r="T76" s="1"/>
  <c r="U75"/>
  <c r="T75" s="1"/>
  <c r="U74"/>
  <c r="T74" s="1"/>
  <c r="U73"/>
  <c r="T73" s="1"/>
  <c r="U72"/>
  <c r="T72" s="1"/>
  <c r="U69"/>
  <c r="T69" s="1"/>
  <c r="U68"/>
  <c r="T68" s="1"/>
  <c r="U67"/>
  <c r="T67" s="1"/>
  <c r="U66"/>
  <c r="T66" s="1"/>
  <c r="U65"/>
  <c r="T65" s="1"/>
  <c r="U59"/>
  <c r="T59" s="1"/>
  <c r="U57"/>
  <c r="T57" s="1"/>
  <c r="U56"/>
  <c r="T56" s="1"/>
  <c r="U55"/>
  <c r="T55" s="1"/>
  <c r="U52"/>
  <c r="T52" s="1"/>
  <c r="U51"/>
  <c r="T51" s="1"/>
  <c r="U50"/>
  <c r="T50" s="1"/>
  <c r="U49"/>
  <c r="T49" s="1"/>
  <c r="U48"/>
  <c r="T48" s="1"/>
  <c r="U47"/>
  <c r="T47" s="1"/>
  <c r="U46"/>
  <c r="T46" s="1"/>
  <c r="U45"/>
  <c r="T45" s="1"/>
  <c r="U43"/>
  <c r="T43" s="1"/>
  <c r="U42"/>
  <c r="T42" s="1"/>
  <c r="U41"/>
  <c r="T41" s="1"/>
  <c r="U40"/>
  <c r="T40" s="1"/>
  <c r="U31"/>
  <c r="T31" s="1"/>
  <c r="U30"/>
  <c r="T30" s="1"/>
  <c r="U29"/>
  <c r="T29" s="1"/>
  <c r="U28"/>
  <c r="T28" s="1"/>
  <c r="U26"/>
  <c r="T26" s="1"/>
  <c r="U25"/>
  <c r="T25" s="1"/>
  <c r="U24"/>
  <c r="T24" s="1"/>
  <c r="U17"/>
  <c r="T17" s="1"/>
  <c r="U15"/>
  <c r="T15" s="1"/>
  <c r="U14"/>
  <c r="T14" s="1"/>
  <c r="U13"/>
  <c r="T13" s="1"/>
  <c r="U12"/>
  <c r="T12" s="1"/>
  <c r="AF34" i="2" l="1"/>
  <c r="G7" i="4" s="1"/>
  <c r="AC34" i="2"/>
  <c r="Z36"/>
  <c r="Z38" s="1"/>
  <c r="Q7" i="4"/>
  <c r="AD34" i="2"/>
  <c r="G15" i="4" s="1"/>
  <c r="G18" s="1"/>
  <c r="AK7" i="2"/>
  <c r="AC40" l="1"/>
  <c r="L85" s="1"/>
  <c r="AK4"/>
  <c r="D8" i="12"/>
  <c r="Z37" i="2"/>
  <c r="D28" i="12"/>
  <c r="B7" i="8"/>
  <c r="AK5" i="2"/>
  <c r="L81" l="1"/>
  <c r="A88" s="1"/>
  <c r="G5" i="4" s="1"/>
  <c r="L87" i="2"/>
  <c r="L83"/>
  <c r="L89"/>
  <c r="D10" i="12"/>
  <c r="C10" i="8"/>
  <c r="D9" i="12"/>
  <c r="C9" i="8"/>
  <c r="C11"/>
  <c r="G4" i="13" l="1"/>
  <c r="G4" i="14"/>
</calcChain>
</file>

<file path=xl/comments1.xml><?xml version="1.0" encoding="utf-8"?>
<comments xmlns="http://schemas.openxmlformats.org/spreadsheetml/2006/main">
  <authors>
    <author>李颖辉</author>
  </authors>
  <commentList>
    <comment ref="B15"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免漆、清油</t>
        </r>
      </text>
    </comment>
    <comment ref="B17"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吸塑门板、混油门板</t>
        </r>
      </text>
    </comment>
    <comment ref="D20"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无公式，需要手工输入</t>
        </r>
      </text>
    </comment>
    <comment ref="D25"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无公式，手工输入</t>
        </r>
      </text>
    </comment>
  </commentList>
</comments>
</file>

<file path=xl/comments2.xml><?xml version="1.0" encoding="utf-8"?>
<comments xmlns="http://schemas.openxmlformats.org/spreadsheetml/2006/main">
  <authors>
    <author>李颖辉</author>
    <author>微软用户</author>
    <author>xbjr</author>
  </authors>
  <commentList>
    <comment ref="U3"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此处需工艺填写所有整件发货柜体的个数</t>
        </r>
      </text>
    </comment>
    <comment ref="S16"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此处输入玻璃层板压块数量</t>
        </r>
      </text>
    </comment>
    <comment ref="M25" authorId="1">
      <text>
        <r>
          <rPr>
            <b/>
            <sz val="9"/>
            <color indexed="81"/>
            <rFont val="宋体"/>
            <family val="3"/>
            <charset val="134"/>
          </rPr>
          <t>微软用户:</t>
        </r>
        <r>
          <rPr>
            <sz val="9"/>
            <color indexed="81"/>
            <rFont val="宋体"/>
            <family val="3"/>
            <charset val="134"/>
          </rPr>
          <t xml:space="preserve">
每个水盆配1个底漏</t>
        </r>
      </text>
    </comment>
    <comment ref="M26"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其中非整件发货的拉篮五金需安装领用，整件发货的为组装领用</t>
        </r>
      </text>
    </comment>
    <comment ref="I36"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此处输入水盆柜宽度</t>
        </r>
      </text>
    </comment>
    <comment ref="E43" authorId="2">
      <text>
        <r>
          <rPr>
            <b/>
            <sz val="9"/>
            <color indexed="81"/>
            <rFont val="宋体"/>
            <family val="3"/>
            <charset val="134"/>
          </rPr>
          <t>xbjr:</t>
        </r>
        <r>
          <rPr>
            <sz val="9"/>
            <color indexed="81"/>
            <rFont val="宋体"/>
            <family val="3"/>
            <charset val="134"/>
          </rPr>
          <t xml:space="preserve">
每个罗马柱用2个，外露罗马柱用10个，大于900抽屉2个</t>
        </r>
      </text>
    </comment>
    <comment ref="G57"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请注意：所有整件发货的柜体使用的铰链填在此处，如：所有地柜拉篮、开门米箱、单抽单门地柜</t>
        </r>
      </text>
    </comment>
  </commentList>
</comments>
</file>

<file path=xl/comments3.xml><?xml version="1.0" encoding="utf-8"?>
<comments xmlns="http://schemas.openxmlformats.org/spreadsheetml/2006/main">
  <authors>
    <author>徐家宝</author>
  </authors>
  <commentList>
    <comment ref="V45" authorId="0">
      <text>
        <r>
          <rPr>
            <sz val="9"/>
            <color indexed="81"/>
            <rFont val="宋体"/>
            <family val="3"/>
            <charset val="134"/>
          </rPr>
          <t>何晓永：消毒柜用层板角码</t>
        </r>
        <r>
          <rPr>
            <sz val="9"/>
            <color indexed="81"/>
            <rFont val="Tahoma"/>
            <family val="2"/>
          </rPr>
          <t>4</t>
        </r>
        <r>
          <rPr>
            <sz val="9"/>
            <color indexed="81"/>
            <rFont val="宋体"/>
            <family val="3"/>
            <charset val="134"/>
          </rPr>
          <t>个。</t>
        </r>
        <r>
          <rPr>
            <sz val="9"/>
            <color indexed="81"/>
            <rFont val="Tahoma"/>
            <family val="2"/>
          </rPr>
          <t xml:space="preserve">
</t>
        </r>
      </text>
    </comment>
  </commentList>
</comments>
</file>

<file path=xl/sharedStrings.xml><?xml version="1.0" encoding="utf-8"?>
<sst xmlns="http://schemas.openxmlformats.org/spreadsheetml/2006/main" count="5148" uniqueCount="2158">
  <si>
    <t>生产单号：</t>
    <phoneticPr fontId="7" type="noConversion"/>
  </si>
  <si>
    <t>设计师：</t>
    <phoneticPr fontId="7" type="noConversion"/>
  </si>
  <si>
    <t>背板</t>
    <phoneticPr fontId="7" type="noConversion"/>
  </si>
  <si>
    <t>箱体材料</t>
    <phoneticPr fontId="7" type="noConversion"/>
  </si>
  <si>
    <t>0.6封边</t>
    <phoneticPr fontId="7" type="noConversion"/>
  </si>
  <si>
    <t>偏心件</t>
    <phoneticPr fontId="7" type="noConversion"/>
  </si>
  <si>
    <t>搁板销</t>
    <phoneticPr fontId="7" type="noConversion"/>
  </si>
  <si>
    <t>木棒</t>
    <phoneticPr fontId="7" type="noConversion"/>
  </si>
  <si>
    <t>可调脚</t>
    <phoneticPr fontId="7" type="noConversion"/>
  </si>
  <si>
    <t>吊码</t>
    <phoneticPr fontId="7" type="noConversion"/>
  </si>
  <si>
    <t>备注</t>
    <phoneticPr fontId="7" type="noConversion"/>
  </si>
  <si>
    <t>序号</t>
    <phoneticPr fontId="7" type="noConversion"/>
  </si>
  <si>
    <t>小计:</t>
    <phoneticPr fontId="7" type="noConversion"/>
  </si>
  <si>
    <t>总合计:</t>
    <phoneticPr fontId="7" type="noConversion"/>
  </si>
  <si>
    <t>门板封边</t>
    <phoneticPr fontId="7" type="noConversion"/>
  </si>
  <si>
    <t>Ø5胀塞</t>
    <phoneticPr fontId="7" type="noConversion"/>
  </si>
  <si>
    <t>16螺丝钉</t>
    <phoneticPr fontId="7" type="noConversion"/>
  </si>
  <si>
    <t>30螺丝钉</t>
    <phoneticPr fontId="7" type="noConversion"/>
  </si>
  <si>
    <t>25螺丝钉</t>
    <phoneticPr fontId="7" type="noConversion"/>
  </si>
  <si>
    <t>安装领用</t>
    <phoneticPr fontId="7" type="noConversion"/>
  </si>
  <si>
    <t>箱体板</t>
    <phoneticPr fontId="7" type="noConversion"/>
  </si>
  <si>
    <t>门板板材</t>
    <phoneticPr fontId="7" type="noConversion"/>
  </si>
  <si>
    <t>胶粒</t>
    <phoneticPr fontId="7" type="noConversion"/>
  </si>
  <si>
    <t>热深胶</t>
    <phoneticPr fontId="7" type="noConversion"/>
  </si>
  <si>
    <t>Ø8用塞</t>
    <phoneticPr fontId="7" type="noConversion"/>
  </si>
  <si>
    <t>铰链</t>
    <phoneticPr fontId="7" type="noConversion"/>
  </si>
  <si>
    <t>抽屉</t>
    <phoneticPr fontId="7" type="noConversion"/>
  </si>
  <si>
    <t>单位</t>
    <phoneticPr fontId="7" type="noConversion"/>
  </si>
  <si>
    <t>抽屉板</t>
    <phoneticPr fontId="7" type="noConversion"/>
  </si>
  <si>
    <t>小计:</t>
    <phoneticPr fontId="7" type="noConversion"/>
  </si>
  <si>
    <t xml:space="preserve">生产周期: </t>
    <phoneticPr fontId="7" type="noConversion"/>
  </si>
  <si>
    <t>天</t>
    <phoneticPr fontId="7" type="noConversion"/>
  </si>
  <si>
    <t>根</t>
    <phoneticPr fontId="7" type="noConversion"/>
  </si>
  <si>
    <t>名 称</t>
    <phoneticPr fontId="7" type="noConversion"/>
  </si>
  <si>
    <t>规格</t>
    <phoneticPr fontId="7" type="noConversion"/>
  </si>
  <si>
    <t>单位</t>
    <phoneticPr fontId="7" type="noConversion"/>
  </si>
  <si>
    <t>数量</t>
    <phoneticPr fontId="7" type="noConversion"/>
  </si>
  <si>
    <t>合计</t>
    <phoneticPr fontId="7" type="noConversion"/>
  </si>
  <si>
    <t>客户姓名:</t>
    <phoneticPr fontId="7" type="noConversion"/>
  </si>
  <si>
    <t>下单日期：</t>
    <phoneticPr fontId="7" type="noConversion"/>
  </si>
  <si>
    <t>安装日期：</t>
    <phoneticPr fontId="7" type="noConversion"/>
  </si>
  <si>
    <t>图纸编号：</t>
    <phoneticPr fontId="7" type="noConversion"/>
  </si>
  <si>
    <t>客户姓名</t>
    <phoneticPr fontId="7" type="noConversion"/>
  </si>
  <si>
    <t>安装日期</t>
    <phoneticPr fontId="7" type="noConversion"/>
  </si>
  <si>
    <t>橱柜款式：</t>
    <phoneticPr fontId="7" type="noConversion"/>
  </si>
  <si>
    <t>水灶柜铝
制横梁</t>
  </si>
  <si>
    <t>块</t>
    <phoneticPr fontId="7" type="noConversion"/>
  </si>
  <si>
    <t>配料：</t>
    <phoneticPr fontId="7" type="noConversion"/>
  </si>
  <si>
    <t>审核人：</t>
    <phoneticPr fontId="7" type="noConversion"/>
  </si>
  <si>
    <t>配料日期：</t>
    <phoneticPr fontId="7" type="noConversion"/>
  </si>
  <si>
    <t>审核日期：</t>
    <phoneticPr fontId="7" type="noConversion"/>
  </si>
  <si>
    <t>订单编号：</t>
    <phoneticPr fontId="7" type="noConversion"/>
  </si>
  <si>
    <t>8厘玻璃层板</t>
    <phoneticPr fontId="7" type="noConversion"/>
  </si>
  <si>
    <t>下单日期</t>
    <phoneticPr fontId="7" type="noConversion"/>
  </si>
  <si>
    <t>序号</t>
    <phoneticPr fontId="7" type="noConversion"/>
  </si>
  <si>
    <t>材料名称</t>
    <phoneticPr fontId="7" type="noConversion"/>
  </si>
  <si>
    <t>数量</t>
    <phoneticPr fontId="7" type="noConversion"/>
  </si>
  <si>
    <t>米</t>
    <phoneticPr fontId="7" type="noConversion"/>
  </si>
  <si>
    <t>合计：</t>
    <phoneticPr fontId="7" type="noConversion"/>
  </si>
  <si>
    <t>柜体</t>
    <phoneticPr fontId="7" type="noConversion"/>
  </si>
  <si>
    <t>宽</t>
    <phoneticPr fontId="7" type="noConversion"/>
  </si>
  <si>
    <t>深</t>
    <phoneticPr fontId="7" type="noConversion"/>
  </si>
  <si>
    <t>高</t>
    <phoneticPr fontId="7" type="noConversion"/>
  </si>
  <si>
    <t>件数</t>
    <phoneticPr fontId="7" type="noConversion"/>
  </si>
  <si>
    <t>数量</t>
    <phoneticPr fontId="7" type="noConversion"/>
  </si>
  <si>
    <t>活</t>
    <phoneticPr fontId="7" type="noConversion"/>
  </si>
  <si>
    <t>固</t>
    <phoneticPr fontId="7" type="noConversion"/>
  </si>
  <si>
    <t>总合计：</t>
    <phoneticPr fontId="7" type="noConversion"/>
  </si>
  <si>
    <t>件</t>
    <phoneticPr fontId="7" type="noConversion"/>
  </si>
  <si>
    <t>块</t>
    <phoneticPr fontId="7" type="noConversion"/>
  </si>
  <si>
    <t>制单人:</t>
    <phoneticPr fontId="7" type="noConversion"/>
  </si>
  <si>
    <t>审核人:</t>
    <phoneticPr fontId="7" type="noConversion"/>
  </si>
  <si>
    <t>材料:</t>
    <phoneticPr fontId="7" type="noConversion"/>
  </si>
  <si>
    <t>旁板</t>
    <phoneticPr fontId="7" type="noConversion"/>
  </si>
  <si>
    <t>连接板</t>
    <phoneticPr fontId="7" type="noConversion"/>
  </si>
  <si>
    <t>活搁板</t>
    <phoneticPr fontId="7" type="noConversion"/>
  </si>
  <si>
    <t>地柜</t>
    <phoneticPr fontId="7" type="noConversion"/>
  </si>
  <si>
    <t>宽</t>
    <phoneticPr fontId="7" type="noConversion"/>
  </si>
  <si>
    <t>深</t>
    <phoneticPr fontId="7" type="noConversion"/>
  </si>
  <si>
    <t>高</t>
    <phoneticPr fontId="7" type="noConversion"/>
  </si>
  <si>
    <t>件数</t>
    <phoneticPr fontId="7" type="noConversion"/>
  </si>
  <si>
    <t>数量</t>
    <phoneticPr fontId="7" type="noConversion"/>
  </si>
  <si>
    <t>活</t>
    <phoneticPr fontId="7" type="noConversion"/>
  </si>
  <si>
    <t>固</t>
    <phoneticPr fontId="7" type="noConversion"/>
  </si>
  <si>
    <t>项目</t>
    <phoneticPr fontId="7" type="noConversion"/>
  </si>
  <si>
    <t>型号、规格</t>
    <phoneticPr fontId="7" type="noConversion"/>
  </si>
  <si>
    <t>张</t>
    <phoneticPr fontId="7" type="noConversion"/>
  </si>
  <si>
    <t>克</t>
    <phoneticPr fontId="7" type="noConversion"/>
  </si>
  <si>
    <t>根</t>
    <phoneticPr fontId="7" type="noConversion"/>
  </si>
  <si>
    <t>铝制踢脚板</t>
    <phoneticPr fontId="7" type="noConversion"/>
  </si>
  <si>
    <t>地脚</t>
    <phoneticPr fontId="7" type="noConversion"/>
  </si>
  <si>
    <t>意德法家木业生产线工序交接单</t>
    <phoneticPr fontId="7" type="noConversion"/>
  </si>
  <si>
    <t>图纸编号:</t>
    <phoneticPr fontId="7" type="noConversion"/>
  </si>
  <si>
    <t>销售点</t>
    <phoneticPr fontId="7" type="noConversion"/>
  </si>
  <si>
    <t>设计师</t>
    <phoneticPr fontId="7" type="noConversion"/>
  </si>
  <si>
    <t>应完成日期</t>
    <phoneticPr fontId="7" type="noConversion"/>
  </si>
  <si>
    <t>实际完成日期</t>
    <phoneticPr fontId="7" type="noConversion"/>
  </si>
  <si>
    <t>产品系列</t>
    <phoneticPr fontId="7" type="noConversion"/>
  </si>
  <si>
    <t>实木</t>
    <phoneticPr fontId="7" type="noConversion"/>
  </si>
  <si>
    <t>烤漆</t>
    <phoneticPr fontId="7" type="noConversion"/>
  </si>
  <si>
    <t>吸塑</t>
    <phoneticPr fontId="7" type="noConversion"/>
  </si>
  <si>
    <t>烤漆玻璃</t>
    <phoneticPr fontId="7" type="noConversion"/>
  </si>
  <si>
    <t>三聚氢氨</t>
    <phoneticPr fontId="7" type="noConversion"/>
  </si>
  <si>
    <t>金属封边</t>
    <phoneticPr fontId="7" type="noConversion"/>
  </si>
  <si>
    <t>镶嵌拉手</t>
    <phoneticPr fontId="7" type="noConversion"/>
  </si>
  <si>
    <t>标准地柜(件)</t>
    <phoneticPr fontId="7" type="noConversion"/>
  </si>
  <si>
    <t>标准吊柜(件)</t>
    <phoneticPr fontId="7" type="noConversion"/>
  </si>
  <si>
    <t>顶线</t>
    <phoneticPr fontId="7" type="noConversion"/>
  </si>
  <si>
    <t>开槽(件)</t>
    <phoneticPr fontId="7" type="noConversion"/>
  </si>
  <si>
    <t>单管防撞条</t>
    <phoneticPr fontId="7" type="noConversion"/>
  </si>
  <si>
    <t>灯线</t>
    <phoneticPr fontId="7" type="noConversion"/>
  </si>
  <si>
    <t>工序名称</t>
    <phoneticPr fontId="7" type="noConversion"/>
  </si>
  <si>
    <t>成品数量</t>
    <phoneticPr fontId="7" type="noConversion"/>
  </si>
  <si>
    <t>完成日期</t>
    <phoneticPr fontId="7" type="noConversion"/>
  </si>
  <si>
    <t>接料日期</t>
    <phoneticPr fontId="7" type="noConversion"/>
  </si>
  <si>
    <t>主机手</t>
    <phoneticPr fontId="7" type="noConversion"/>
  </si>
  <si>
    <t>质检</t>
    <phoneticPr fontId="7" type="noConversion"/>
  </si>
  <si>
    <t>下料</t>
    <phoneticPr fontId="7" type="noConversion"/>
  </si>
  <si>
    <t>封边</t>
    <phoneticPr fontId="7" type="noConversion"/>
  </si>
  <si>
    <t>排钻</t>
    <phoneticPr fontId="7" type="noConversion"/>
  </si>
  <si>
    <t>层板铝扣条</t>
    <phoneticPr fontId="7" type="noConversion"/>
  </si>
  <si>
    <t>T型铝封边</t>
    <phoneticPr fontId="7" type="noConversion"/>
  </si>
  <si>
    <t>通常铝拉手</t>
    <phoneticPr fontId="7" type="noConversion"/>
  </si>
  <si>
    <t>铣形</t>
    <phoneticPr fontId="7" type="noConversion"/>
  </si>
  <si>
    <t>异形封边</t>
    <phoneticPr fontId="7" type="noConversion"/>
  </si>
  <si>
    <t>组装</t>
    <phoneticPr fontId="7" type="noConversion"/>
  </si>
  <si>
    <t>拉蓝</t>
    <phoneticPr fontId="7" type="noConversion"/>
  </si>
  <si>
    <t>小怪物</t>
    <phoneticPr fontId="7" type="noConversion"/>
  </si>
  <si>
    <t>铝框门</t>
    <phoneticPr fontId="7" type="noConversion"/>
  </si>
  <si>
    <t>上翻平移门</t>
    <phoneticPr fontId="7" type="noConversion"/>
  </si>
  <si>
    <t>门铰</t>
    <phoneticPr fontId="7" type="noConversion"/>
  </si>
  <si>
    <t>门板倒角</t>
    <phoneticPr fontId="7" type="noConversion"/>
  </si>
  <si>
    <t>铝百叶</t>
    <phoneticPr fontId="7" type="noConversion"/>
  </si>
  <si>
    <t>水灶柜铝梁</t>
    <phoneticPr fontId="7" type="noConversion"/>
  </si>
  <si>
    <t>按玻璃</t>
    <phoneticPr fontId="7" type="noConversion"/>
  </si>
  <si>
    <t>烤漆玻璃喷花</t>
    <phoneticPr fontId="7" type="noConversion"/>
  </si>
  <si>
    <t>扣手</t>
    <phoneticPr fontId="7" type="noConversion"/>
  </si>
  <si>
    <t>打包</t>
    <phoneticPr fontId="7" type="noConversion"/>
  </si>
  <si>
    <t>车间负责人签字:</t>
    <phoneticPr fontId="7" type="noConversion"/>
  </si>
  <si>
    <t>工艺员：</t>
    <phoneticPr fontId="7" type="noConversion"/>
  </si>
  <si>
    <t>1套</t>
    <phoneticPr fontId="7" type="noConversion"/>
  </si>
  <si>
    <t>顶板</t>
    <phoneticPr fontId="7" type="noConversion"/>
  </si>
  <si>
    <t>底板</t>
    <phoneticPr fontId="7" type="noConversion"/>
  </si>
  <si>
    <t>抽屉名称</t>
    <phoneticPr fontId="7" type="noConversion"/>
  </si>
  <si>
    <t>备用条</t>
    <phoneticPr fontId="7" type="noConversion"/>
  </si>
  <si>
    <t>备用条</t>
  </si>
  <si>
    <t>合计</t>
    <phoneticPr fontId="7" type="noConversion"/>
  </si>
  <si>
    <t>吊柜</t>
    <phoneticPr fontId="7" type="noConversion"/>
  </si>
  <si>
    <t>加工备注</t>
    <phoneticPr fontId="7" type="noConversion"/>
  </si>
  <si>
    <t>厨柜柜体半成品板件领料单</t>
    <phoneticPr fontId="7" type="noConversion"/>
  </si>
  <si>
    <t>订单编号</t>
    <phoneticPr fontId="37" type="noConversion"/>
  </si>
  <si>
    <t>客户名称</t>
    <phoneticPr fontId="37" type="noConversion"/>
  </si>
  <si>
    <t>下单时间</t>
    <phoneticPr fontId="37" type="noConversion"/>
  </si>
  <si>
    <t>产品款式</t>
    <phoneticPr fontId="37" type="noConversion"/>
  </si>
  <si>
    <t>设计名称</t>
    <phoneticPr fontId="37" type="noConversion"/>
  </si>
  <si>
    <t>安装时间</t>
    <phoneticPr fontId="37" type="noConversion"/>
  </si>
  <si>
    <t>图   例</t>
    <phoneticPr fontId="7" type="noConversion"/>
  </si>
  <si>
    <t>物料描述</t>
    <phoneticPr fontId="7" type="noConversion"/>
  </si>
  <si>
    <t>柜体规格</t>
    <phoneticPr fontId="7" type="noConversion"/>
  </si>
  <si>
    <t>柜体数量</t>
    <phoneticPr fontId="37" type="noConversion"/>
  </si>
  <si>
    <t>板件信息(16A暖白双帖三聚氰胺刨花板M11)</t>
    <phoneticPr fontId="7" type="noConversion"/>
  </si>
  <si>
    <t>计划备货数量</t>
    <phoneticPr fontId="7" type="noConversion"/>
  </si>
  <si>
    <t>板件信息(M12)</t>
    <phoneticPr fontId="7" type="noConversion"/>
  </si>
  <si>
    <r>
      <t>板材用量（m</t>
    </r>
    <r>
      <rPr>
        <b/>
        <vertAlign val="superscript"/>
        <sz val="10"/>
        <color indexed="8"/>
        <rFont val="宋体"/>
        <family val="3"/>
        <charset val="134"/>
      </rPr>
      <t>2</t>
    </r>
    <r>
      <rPr>
        <b/>
        <sz val="10"/>
        <color indexed="8"/>
        <rFont val="宋体"/>
        <family val="3"/>
        <charset val="134"/>
      </rPr>
      <t>）</t>
    </r>
    <phoneticPr fontId="7" type="noConversion"/>
  </si>
  <si>
    <t>封边条总用量（m）</t>
    <phoneticPr fontId="7" type="noConversion"/>
  </si>
  <si>
    <t>1.0封边条用量（m）</t>
    <phoneticPr fontId="7" type="noConversion"/>
  </si>
  <si>
    <t>0.4封边条用量（m）</t>
    <phoneticPr fontId="37" type="noConversion"/>
  </si>
  <si>
    <t>三合一</t>
    <phoneticPr fontId="37" type="noConversion"/>
  </si>
  <si>
    <r>
      <t>板件体积（m</t>
    </r>
    <r>
      <rPr>
        <b/>
        <vertAlign val="superscript"/>
        <sz val="10"/>
        <color indexed="8"/>
        <rFont val="宋体"/>
        <family val="3"/>
        <charset val="134"/>
      </rPr>
      <t>3</t>
    </r>
    <r>
      <rPr>
        <b/>
        <sz val="10"/>
        <color indexed="8"/>
        <rFont val="宋体"/>
        <family val="3"/>
        <charset val="134"/>
      </rPr>
      <t>）</t>
    </r>
    <r>
      <rPr>
        <b/>
        <sz val="10"/>
        <color indexed="8"/>
        <rFont val="宋体"/>
        <family val="3"/>
        <charset val="134"/>
      </rPr>
      <t/>
    </r>
    <phoneticPr fontId="7" type="noConversion"/>
  </si>
  <si>
    <r>
      <t>0</t>
    </r>
    <r>
      <rPr>
        <sz val="10"/>
        <color indexed="8"/>
        <rFont val="宋体"/>
        <family val="3"/>
        <charset val="134"/>
      </rPr>
      <t>/唯一  1/重复</t>
    </r>
    <phoneticPr fontId="7" type="noConversion"/>
  </si>
  <si>
    <t>宽(mm)</t>
    <phoneticPr fontId="7" type="noConversion"/>
  </si>
  <si>
    <t>深(mm)</t>
    <phoneticPr fontId="7" type="noConversion"/>
  </si>
  <si>
    <t>高(mm)</t>
    <phoneticPr fontId="7" type="noConversion"/>
  </si>
  <si>
    <t>物料编码</t>
    <phoneticPr fontId="7" type="noConversion"/>
  </si>
  <si>
    <t>柜体</t>
    <phoneticPr fontId="7" type="noConversion"/>
  </si>
  <si>
    <t>板件</t>
    <phoneticPr fontId="7" type="noConversion"/>
  </si>
  <si>
    <t>单门地柜</t>
    <phoneticPr fontId="37" type="noConversion"/>
  </si>
  <si>
    <t>KZL56072016_AM11</t>
    <phoneticPr fontId="7" type="noConversion"/>
  </si>
  <si>
    <t>560*720*16左侧板A_M11</t>
    <phoneticPr fontId="37" type="noConversion"/>
  </si>
  <si>
    <t>KZL56072016_AM12</t>
  </si>
  <si>
    <t>560*720*16左侧板A_M12</t>
  </si>
  <si>
    <t>450宽三抽地柜</t>
    <phoneticPr fontId="7" type="noConversion"/>
  </si>
  <si>
    <t>M11</t>
    <phoneticPr fontId="7" type="noConversion"/>
  </si>
  <si>
    <t>KZR56072016_AM11</t>
  </si>
  <si>
    <t>560*720*16右侧板A_M11</t>
  </si>
  <si>
    <t>KZR56072016_AM12</t>
  </si>
  <si>
    <t>560*720*16右侧板A_M12</t>
  </si>
  <si>
    <t>600宽内嵌烤箱/消毒柜下装饰板地柜</t>
    <phoneticPr fontId="7" type="noConversion"/>
  </si>
  <si>
    <t>900宽双门水盆地柜</t>
    <phoneticPr fontId="7" type="noConversion"/>
  </si>
  <si>
    <t>KZD56041816AM11</t>
  </si>
  <si>
    <t>560*417*16底板A_M11</t>
  </si>
  <si>
    <t>KZD56041816AM12</t>
  </si>
  <si>
    <t>560*417*16底板A_M12</t>
  </si>
  <si>
    <t>300宽单抽拉篮地柜</t>
    <phoneticPr fontId="7" type="noConversion"/>
  </si>
  <si>
    <t>900宽双门吊柜（含玻璃门）</t>
    <phoneticPr fontId="7" type="noConversion"/>
  </si>
  <si>
    <t>K_C47841716AM11</t>
  </si>
  <si>
    <t>514*416*16层板A_M11</t>
  </si>
  <si>
    <t>K_C47841716AM12</t>
  </si>
  <si>
    <t>514*416*16层板A_M12</t>
  </si>
  <si>
    <t>450宽单门吊柜（含玻璃门）</t>
    <phoneticPr fontId="7" type="noConversion"/>
  </si>
  <si>
    <t>K_B71043003AM11</t>
  </si>
  <si>
    <t>708*428*3背板A_M11</t>
  </si>
  <si>
    <t>K_B71043003AM12</t>
  </si>
  <si>
    <t>708*428*3背板A_M12</t>
  </si>
  <si>
    <t>450宽单门地柜</t>
    <phoneticPr fontId="7" type="noConversion"/>
  </si>
  <si>
    <t>KZJ08841816AM11</t>
  </si>
  <si>
    <t>88*417*16结构板A_M11</t>
  </si>
  <si>
    <t>KZJ08841816AM12</t>
  </si>
  <si>
    <t>88*417*16结构板A_M12</t>
  </si>
  <si>
    <t>600宽单门吊柜（含玻璃门）</t>
    <phoneticPr fontId="7" type="noConversion"/>
  </si>
  <si>
    <t>三抽屉地柜</t>
    <phoneticPr fontId="7" type="noConversion"/>
  </si>
  <si>
    <t>KZL56072016CAM11</t>
  </si>
  <si>
    <t>560*720*16抽屉柜左侧板A_M11</t>
  </si>
  <si>
    <t>KZL56072016CAM12</t>
  </si>
  <si>
    <t>560*720*16抽屉柜左侧板A_M12</t>
  </si>
  <si>
    <t>150宽单抽拉篮地柜</t>
    <phoneticPr fontId="7" type="noConversion"/>
  </si>
  <si>
    <t>KZR56072016CAM11</t>
  </si>
  <si>
    <t>560*720*16抽屉柜右侧板A_M11</t>
  </si>
  <si>
    <t>KZR56072016CAM12</t>
  </si>
  <si>
    <t>560*720*16抽屉柜右侧板A_M12</t>
  </si>
  <si>
    <t>600宽三抽地柜</t>
    <phoneticPr fontId="7" type="noConversion"/>
  </si>
  <si>
    <t>KZD56056816AM11</t>
  </si>
  <si>
    <t>560*567*16底板A_M11</t>
  </si>
  <si>
    <t>KZD56056816AM12</t>
  </si>
  <si>
    <t>560*567*16底板A_M12</t>
  </si>
  <si>
    <t>K_B71058003AM11</t>
  </si>
  <si>
    <t>708*578*3背板A_M11</t>
  </si>
  <si>
    <t>K_B71058003AM12</t>
  </si>
  <si>
    <t>708*578*3背板A_M12</t>
  </si>
  <si>
    <t>KZJ08856816AM11</t>
  </si>
  <si>
    <t>88*567*16结构板A_M11</t>
  </si>
  <si>
    <t>KZJ08856816AM12</t>
  </si>
  <si>
    <t>88*567*16结构板A_M12</t>
  </si>
  <si>
    <t>对开门水盆柜</t>
    <phoneticPr fontId="7" type="noConversion"/>
  </si>
  <si>
    <t>KZL56072016SAM11</t>
  </si>
  <si>
    <t>560*720*16水盆柜左侧板A_M11</t>
  </si>
  <si>
    <t>KZL56072016SAM12</t>
  </si>
  <si>
    <t>560*720*16水盆柜左侧板A_M12</t>
  </si>
  <si>
    <t>KZR56072016SAM11</t>
  </si>
  <si>
    <t>560*720*16水盆柜右侧板A_M11</t>
  </si>
  <si>
    <t>KZR56072016SAM12</t>
  </si>
  <si>
    <t>560*720*16水盆柜右侧板A_M12</t>
  </si>
  <si>
    <t>KZD56086816DM11</t>
  </si>
  <si>
    <t>558*867*16底板D_M11</t>
  </si>
  <si>
    <t>KZD56086816DM12</t>
  </si>
  <si>
    <t>558*867*16底板D_M12</t>
  </si>
  <si>
    <t>KZJ08886816AM11</t>
  </si>
  <si>
    <t>88*867*16结构板A_M11</t>
  </si>
  <si>
    <t>KZJ08886816AM12</t>
  </si>
  <si>
    <t>88*867*16结构板A_M12</t>
  </si>
  <si>
    <t>内嵌烤箱/消毒柜下装饰板地柜</t>
    <phoneticPr fontId="7" type="noConversion"/>
  </si>
  <si>
    <t>KZL56072016DBM11</t>
  </si>
  <si>
    <t>560*720*16电器柜左侧板B_M11</t>
  </si>
  <si>
    <t>KZL56072016DBM12</t>
  </si>
  <si>
    <t>560*720*16电器柜左侧板B_M12</t>
  </si>
  <si>
    <t>KZR56072016DBM11</t>
  </si>
  <si>
    <t>560*720*16电器柜右侧板B_M11</t>
  </si>
  <si>
    <t>KZR56072016DBM12</t>
  </si>
  <si>
    <t>560*720*16电器柜右侧板B_M12</t>
  </si>
  <si>
    <t>KZD52056716DM11</t>
  </si>
  <si>
    <t>520*567*16内嵌消毒柜地柜底板D_M11</t>
  </si>
  <si>
    <t>KZD52056716DM12</t>
  </si>
  <si>
    <t>520*567*16内嵌消毒柜地柜底板D_M12</t>
  </si>
  <si>
    <t>K_C56056716FM11</t>
  </si>
  <si>
    <t>520*567*16可调节板F_M11</t>
  </si>
  <si>
    <t>K_C56056716FM12</t>
  </si>
  <si>
    <t>520*567*16可调节板F_M12</t>
  </si>
  <si>
    <t>单抽拉篮地柜</t>
    <phoneticPr fontId="7" type="noConversion"/>
  </si>
  <si>
    <t>560*720*16拉篮柜左侧板A_M11</t>
  </si>
  <si>
    <t>KZL56072016LAM12</t>
  </si>
  <si>
    <t>560*720*16拉篮柜左侧板A_M12</t>
  </si>
  <si>
    <t>560*720*16拉篮柜右侧板A_M11</t>
  </si>
  <si>
    <t>KZR56072016LAM12</t>
  </si>
  <si>
    <t>560*720*16拉篮柜右侧板A_M12</t>
  </si>
  <si>
    <t>KZD56011816AM11</t>
  </si>
  <si>
    <t>560*117*16底板A_M11</t>
  </si>
  <si>
    <t>KZD56011816AM12</t>
  </si>
  <si>
    <t>560*117*16底板A_M12</t>
  </si>
  <si>
    <t>K_B71013003AM11</t>
  </si>
  <si>
    <t>708*128*3背板A_M11</t>
  </si>
  <si>
    <t>K_B71013003AM12</t>
  </si>
  <si>
    <t>708*128*3背板A_M12</t>
  </si>
  <si>
    <t>KZJ08811816AM11</t>
  </si>
  <si>
    <t>88*117*16结构板A_M11</t>
  </si>
  <si>
    <t>KZJ08811816AM12</t>
  </si>
  <si>
    <t>88*117*16结构板A_M12</t>
  </si>
  <si>
    <t>KZD56026816AM11</t>
  </si>
  <si>
    <t>560*267*16底板A_M11</t>
  </si>
  <si>
    <t>KZD56026816AM12</t>
  </si>
  <si>
    <t>560*267*16底板A_M12</t>
  </si>
  <si>
    <t>K_B71028003AM11</t>
  </si>
  <si>
    <t>708*278*3背板A_M11</t>
  </si>
  <si>
    <t>K_B71028003AM12</t>
  </si>
  <si>
    <t>708*278*3背板A_M12</t>
  </si>
  <si>
    <t>KZJ08826816AM11</t>
  </si>
  <si>
    <t>88*267*16结构板A_M11</t>
  </si>
  <si>
    <t>KZJ08826816AM12</t>
  </si>
  <si>
    <t>88*267*16结构板A_M12</t>
  </si>
  <si>
    <t>KZL30072016_AM11</t>
  </si>
  <si>
    <t>300*720*16左侧板A_M11</t>
  </si>
  <si>
    <t>KZL30072016_AM12</t>
  </si>
  <si>
    <t>300*720*16左侧板A_M12</t>
  </si>
  <si>
    <t>KZR30072016_AM11</t>
  </si>
  <si>
    <t>300*720*16右侧板A_M11</t>
  </si>
  <si>
    <t>KZR30072016_AM12</t>
  </si>
  <si>
    <t>300*720*16右侧板A_M12</t>
  </si>
  <si>
    <t>KZD30041816AM11</t>
  </si>
  <si>
    <t>300*417*16底板A_M11</t>
  </si>
  <si>
    <t>KZD30041816AM12</t>
  </si>
  <si>
    <t>300*417*16底板A_M12</t>
  </si>
  <si>
    <t>KZT27841816AM11</t>
  </si>
  <si>
    <t>277*417*16顶板A_M11</t>
  </si>
  <si>
    <t>KZT27841816AM12</t>
  </si>
  <si>
    <t>277*417*16顶板A_M12</t>
  </si>
  <si>
    <t>K_C25641716AM11</t>
  </si>
  <si>
    <t>254*416*16层板A_M11</t>
  </si>
  <si>
    <t>K_C25641716AM12</t>
  </si>
  <si>
    <t>254*416*16层板A_M12</t>
  </si>
  <si>
    <t>K_B71043003BM11</t>
  </si>
  <si>
    <t>708*428*3背板B_M11</t>
  </si>
  <si>
    <t>K_B71043003BM12</t>
  </si>
  <si>
    <t>708*428*3背板B_M12</t>
  </si>
  <si>
    <t>KZD30056816AM11</t>
  </si>
  <si>
    <t>300*567*16底板A_M11</t>
  </si>
  <si>
    <t>KZD30056816AM12</t>
  </si>
  <si>
    <t>300*567*16底板A_M12</t>
  </si>
  <si>
    <t>KZT27856816AM11</t>
  </si>
  <si>
    <t>277*567*16顶板A_M11</t>
  </si>
  <si>
    <t>KZT27856816AM12</t>
  </si>
  <si>
    <t>277*567*16顶板A_M12</t>
  </si>
  <si>
    <t>K_C25656716AM11</t>
  </si>
  <si>
    <t>254*566*16层板A_M11</t>
  </si>
  <si>
    <t>K_C25656716AM12</t>
  </si>
  <si>
    <t>254*566*16层板A_M12</t>
  </si>
  <si>
    <t>K_B71058003BM11</t>
  </si>
  <si>
    <t>708*578*3背板B_M11</t>
  </si>
  <si>
    <t>K_B71058003BM12</t>
  </si>
  <si>
    <t>708*578*3背板B_M12</t>
  </si>
  <si>
    <t>对开门吊柜（含玻璃门）</t>
    <phoneticPr fontId="7" type="noConversion"/>
  </si>
  <si>
    <t>KZD30086816BM11</t>
  </si>
  <si>
    <t>300*867*16底板B_M11</t>
  </si>
  <si>
    <t>KZD30086816BM12</t>
  </si>
  <si>
    <t>300*867*16底板B_M12</t>
  </si>
  <si>
    <t>KZT27886816AM11</t>
  </si>
  <si>
    <t>277*867*16顶板A_M11</t>
  </si>
  <si>
    <t>KZT27886816AM12</t>
  </si>
  <si>
    <t>277*867*16顶板A_M12</t>
  </si>
  <si>
    <t>K_C25686716AM11</t>
  </si>
  <si>
    <t>254*866*16层板A_M11</t>
  </si>
  <si>
    <t>K_C25686716AM12</t>
  </si>
  <si>
    <t>254*866*16层板A_M12</t>
  </si>
  <si>
    <t>K_B71088003BM11</t>
  </si>
  <si>
    <t>708*878*3背板B_M11</t>
  </si>
  <si>
    <t>K_B71088003BM12</t>
  </si>
  <si>
    <t>708*878*3背板B_M12</t>
  </si>
  <si>
    <t>KZJ08886816GM11</t>
  </si>
  <si>
    <t>88*867*16结构板G_M11</t>
  </si>
  <si>
    <t>KZJ08886816GM12</t>
  </si>
  <si>
    <t>88*867*16结构板G_M12</t>
  </si>
  <si>
    <t>层板铝扣条16mm板用</t>
    <phoneticPr fontId="7" type="noConversion"/>
  </si>
  <si>
    <t>总延米：</t>
    <phoneticPr fontId="7" type="noConversion"/>
  </si>
  <si>
    <t>KZL56072016_AM11</t>
  </si>
  <si>
    <t>560*720*16左侧板A_M11</t>
  </si>
  <si>
    <t>K_C47826716AM11</t>
  </si>
  <si>
    <t>514*266*16层板A_M11</t>
  </si>
  <si>
    <t>K_C47856716AM11</t>
  </si>
  <si>
    <t>514*566*16层板A_M11</t>
  </si>
  <si>
    <t>对开门地柜</t>
    <phoneticPr fontId="37" type="noConversion"/>
  </si>
  <si>
    <t>KZD56086816AM11</t>
  </si>
  <si>
    <t>560*867*16底板A_M11</t>
  </si>
  <si>
    <t>K_C47886716AM11</t>
  </si>
  <si>
    <t>514*866*16层板A_M11</t>
  </si>
  <si>
    <t>K_B71088003AM11</t>
  </si>
  <si>
    <t>708*878*3背板A_M11</t>
  </si>
  <si>
    <t>K_X04886716ALC</t>
  </si>
  <si>
    <t>48*867*16水盆柜铝横梁A_LC</t>
  </si>
  <si>
    <t>K_C25641708AB01</t>
  </si>
  <si>
    <t>254*416*8透明玻璃层板A_B01</t>
  </si>
  <si>
    <t>K_C25656708AB01</t>
  </si>
  <si>
    <t>254*566*8透明玻璃层板A_B01</t>
  </si>
  <si>
    <t>K_C25686708AB01</t>
  </si>
  <si>
    <t>254*866*8透明玻璃层板A_B01</t>
  </si>
  <si>
    <t>双上翻门吊柜</t>
    <phoneticPr fontId="37" type="noConversion"/>
  </si>
  <si>
    <t>KZL30072016FAM11</t>
  </si>
  <si>
    <t>300*720*16双上翻门左侧板A_M11</t>
  </si>
  <si>
    <t>KZR30072016FAM11</t>
  </si>
  <si>
    <t>300*720*16双上翻门右侧板A_M11</t>
  </si>
  <si>
    <t>KZT27886816BM11</t>
  </si>
  <si>
    <t>277*867*16顶板B_M11</t>
  </si>
  <si>
    <t>拆解人：</t>
    <phoneticPr fontId="33" type="noConversion"/>
  </si>
  <si>
    <t>审核人：</t>
    <phoneticPr fontId="33" type="noConversion"/>
  </si>
  <si>
    <t>兰天</t>
    <phoneticPr fontId="7" type="noConversion"/>
  </si>
  <si>
    <t>单门吊柜（含玻璃门）</t>
    <phoneticPr fontId="37" type="noConversion"/>
  </si>
  <si>
    <t>单门吊柜</t>
    <phoneticPr fontId="37" type="noConversion"/>
  </si>
  <si>
    <t>对开门吊柜</t>
    <phoneticPr fontId="7" type="noConversion"/>
  </si>
  <si>
    <t>透明</t>
    <phoneticPr fontId="7" type="noConversion"/>
  </si>
  <si>
    <t>瓶</t>
    <phoneticPr fontId="7" type="noConversion"/>
  </si>
  <si>
    <t xml:space="preserve">               北京意德法家木业有限公司包装材料单 （本地包装）  </t>
    <phoneticPr fontId="7" type="noConversion"/>
  </si>
  <si>
    <t>城市：</t>
    <phoneticPr fontId="7" type="noConversion"/>
  </si>
  <si>
    <t>宽</t>
    <phoneticPr fontId="7" type="noConversion"/>
  </si>
  <si>
    <t>高</t>
    <phoneticPr fontId="7" type="noConversion"/>
  </si>
  <si>
    <t>柜型</t>
    <phoneticPr fontId="7" type="noConversion"/>
  </si>
  <si>
    <t>柜体数量</t>
    <phoneticPr fontId="7" type="noConversion"/>
  </si>
  <si>
    <t>用量</t>
    <phoneticPr fontId="7" type="noConversion"/>
  </si>
  <si>
    <t>备注</t>
    <phoneticPr fontId="7" type="noConversion"/>
  </si>
  <si>
    <t>≤150</t>
    <phoneticPr fontId="37" type="noConversion"/>
  </si>
  <si>
    <t>地柜</t>
    <phoneticPr fontId="37" type="noConversion"/>
  </si>
  <si>
    <t>150宽柜体门板扣盖</t>
  </si>
  <si>
    <t>只</t>
  </si>
  <si>
    <t>2MM厚EPE保护膜（1150宽）</t>
    <phoneticPr fontId="37" type="noConversion"/>
  </si>
  <si>
    <t>米</t>
  </si>
  <si>
    <t>151-450</t>
    <phoneticPr fontId="37" type="noConversion"/>
  </si>
  <si>
    <t>吊/地柜</t>
    <phoneticPr fontId="37" type="noConversion"/>
  </si>
  <si>
    <t>300-450宽柜体门板扣盖</t>
    <phoneticPr fontId="7" type="noConversion"/>
  </si>
  <si>
    <t>平板苯板（10mm厚苯板）2000*10*1000</t>
    <phoneticPr fontId="7" type="noConversion"/>
  </si>
  <si>
    <t>张</t>
    <phoneticPr fontId="37" type="noConversion"/>
  </si>
  <si>
    <t>玻璃门板用</t>
    <phoneticPr fontId="37" type="noConversion"/>
  </si>
  <si>
    <t>451-600</t>
    <phoneticPr fontId="37" type="noConversion"/>
  </si>
  <si>
    <t>500-600宽柜体门板扣盖</t>
    <phoneticPr fontId="7" type="noConversion"/>
  </si>
  <si>
    <t>601-900</t>
    <phoneticPr fontId="37" type="noConversion"/>
  </si>
  <si>
    <t>800-900宽柜体门板扣盖</t>
    <phoneticPr fontId="7" type="noConversion"/>
  </si>
  <si>
    <t>901-1200</t>
    <phoneticPr fontId="37" type="noConversion"/>
  </si>
  <si>
    <t>1000-1200宽柜体门板扣盖</t>
    <phoneticPr fontId="7" type="noConversion"/>
  </si>
  <si>
    <t>半高柜</t>
    <phoneticPr fontId="37" type="noConversion"/>
  </si>
  <si>
    <t>450-600</t>
    <phoneticPr fontId="37" type="noConversion"/>
  </si>
  <si>
    <t>高柜</t>
    <phoneticPr fontId="37" type="noConversion"/>
  </si>
  <si>
    <t>600-2160宽柜体门板扣盖</t>
    <phoneticPr fontId="7" type="noConversion"/>
  </si>
  <si>
    <t>背板、层板、踢脚板、顶线、罗马柱、装饰板类</t>
    <phoneticPr fontId="7" type="noConversion"/>
  </si>
  <si>
    <t>图兰朵</t>
    <phoneticPr fontId="7" type="noConversion"/>
  </si>
  <si>
    <t>1--10个</t>
    <phoneticPr fontId="7" type="noConversion"/>
  </si>
  <si>
    <t>包装纸板1500mm*2400mm</t>
    <phoneticPr fontId="7" type="noConversion"/>
  </si>
  <si>
    <t>张</t>
  </si>
  <si>
    <t>米</t>
    <phoneticPr fontId="37" type="noConversion"/>
  </si>
  <si>
    <t>平板苯板（10mm厚苯板）1900*10*400</t>
    <phoneticPr fontId="7" type="noConversion"/>
  </si>
  <si>
    <t>个</t>
    <phoneticPr fontId="37" type="noConversion"/>
  </si>
  <si>
    <t>L型苯板护角（15mm厚）120*1000*120</t>
    <phoneticPr fontId="7" type="noConversion"/>
  </si>
  <si>
    <t>根</t>
    <phoneticPr fontId="37" type="noConversion"/>
  </si>
  <si>
    <t>罗马柱顶线用</t>
    <phoneticPr fontId="37" type="noConversion"/>
  </si>
  <si>
    <t>11个以上</t>
    <phoneticPr fontId="7" type="noConversion"/>
  </si>
  <si>
    <t xml:space="preserve">               北京意德法家木业有限公司包装材料单 （外地包装）  </t>
    <phoneticPr fontId="7" type="noConversion"/>
  </si>
  <si>
    <t>订单编号：</t>
    <phoneticPr fontId="7" type="noConversion"/>
  </si>
  <si>
    <t>城市：</t>
    <phoneticPr fontId="7" type="noConversion"/>
  </si>
  <si>
    <t>客户姓名</t>
    <phoneticPr fontId="7" type="noConversion"/>
  </si>
  <si>
    <t>下单日期</t>
    <phoneticPr fontId="7" type="noConversion"/>
  </si>
  <si>
    <t>橱柜款式：</t>
    <phoneticPr fontId="7" type="noConversion"/>
  </si>
  <si>
    <t>安装日期</t>
    <phoneticPr fontId="7" type="noConversion"/>
  </si>
  <si>
    <t>序号</t>
    <phoneticPr fontId="7" type="noConversion"/>
  </si>
  <si>
    <t>宽</t>
    <phoneticPr fontId="7" type="noConversion"/>
  </si>
  <si>
    <t>高</t>
    <phoneticPr fontId="7" type="noConversion"/>
  </si>
  <si>
    <t>柜型</t>
    <phoneticPr fontId="7" type="noConversion"/>
  </si>
  <si>
    <t>柜体数量</t>
    <phoneticPr fontId="7" type="noConversion"/>
  </si>
  <si>
    <t>材料名称</t>
    <phoneticPr fontId="7" type="noConversion"/>
  </si>
  <si>
    <t>用量</t>
    <phoneticPr fontId="7" type="noConversion"/>
  </si>
  <si>
    <t>单位</t>
    <phoneticPr fontId="7" type="noConversion"/>
  </si>
  <si>
    <t>备注</t>
    <phoneticPr fontId="7" type="noConversion"/>
  </si>
  <si>
    <t>300    450    600</t>
    <phoneticPr fontId="7" type="noConversion"/>
  </si>
  <si>
    <t>地柜</t>
    <phoneticPr fontId="37" type="noConversion"/>
  </si>
  <si>
    <t>600宽地柜一片成型包装箱</t>
    <phoneticPr fontId="37" type="noConversion"/>
  </si>
  <si>
    <t>个</t>
    <phoneticPr fontId="37" type="noConversion"/>
  </si>
  <si>
    <t>2MM厚EPE保护膜（1150宽）</t>
    <phoneticPr fontId="37" type="noConversion"/>
  </si>
  <si>
    <t>平板苯板（10mm厚苯板）1900*10*400</t>
    <phoneticPr fontId="37" type="noConversion"/>
  </si>
  <si>
    <t>张</t>
    <phoneticPr fontId="37" type="noConversion"/>
  </si>
  <si>
    <t>小护角</t>
    <phoneticPr fontId="37" type="noConversion"/>
  </si>
  <si>
    <t>900宽地柜一片成型包装箱</t>
    <phoneticPr fontId="37" type="noConversion"/>
  </si>
  <si>
    <t>小护角</t>
    <phoneticPr fontId="37" type="noConversion"/>
  </si>
  <si>
    <t>1200宽地柜一片成型包装箱</t>
    <phoneticPr fontId="37" type="noConversion"/>
  </si>
  <si>
    <t>吊柜</t>
    <phoneticPr fontId="37" type="noConversion"/>
  </si>
  <si>
    <t>600宽吊柜一片成型包装箱</t>
    <phoneticPr fontId="37" type="noConversion"/>
  </si>
  <si>
    <t>只</t>
    <phoneticPr fontId="37" type="noConversion"/>
  </si>
  <si>
    <t>900宽吊柜一片成型包装箱</t>
    <phoneticPr fontId="37" type="noConversion"/>
  </si>
  <si>
    <t>1200宽地柜柜一片成型包装箱</t>
    <phoneticPr fontId="37" type="noConversion"/>
  </si>
  <si>
    <t>450    600</t>
    <phoneticPr fontId="7" type="noConversion"/>
  </si>
  <si>
    <t>半高柜</t>
    <phoneticPr fontId="37" type="noConversion"/>
  </si>
  <si>
    <t>包装纸板1500mm*2400mm</t>
    <phoneticPr fontId="37" type="noConversion"/>
  </si>
  <si>
    <t>含门板包装材料</t>
    <phoneticPr fontId="7" type="noConversion"/>
  </si>
  <si>
    <t>小护角（整件时使用大护角）</t>
    <phoneticPr fontId="37" type="noConversion"/>
  </si>
  <si>
    <t>高柜</t>
    <phoneticPr fontId="37" type="noConversion"/>
  </si>
  <si>
    <t>600*2160高柜一片成型包装箱</t>
    <phoneticPr fontId="37" type="noConversion"/>
  </si>
  <si>
    <t>外地整包包装（抽屉柜、拉篮柜）</t>
    <phoneticPr fontId="7" type="noConversion"/>
  </si>
  <si>
    <t>拉篮柜</t>
    <phoneticPr fontId="7" type="noConversion"/>
  </si>
  <si>
    <t>150宽拉篮柜对口包装箱</t>
  </si>
  <si>
    <t>大护角</t>
    <phoneticPr fontId="37" type="noConversion"/>
  </si>
  <si>
    <t>拉篮柜
抽屉柜</t>
    <phoneticPr fontId="7" type="noConversion"/>
  </si>
  <si>
    <t>600宽拉篮、抽屉柜对口箱</t>
  </si>
  <si>
    <t>平板苯板（10mm厚苯板）2000*10*1000</t>
    <phoneticPr fontId="37" type="noConversion"/>
  </si>
  <si>
    <t>玻璃门板用</t>
    <phoneticPr fontId="37" type="noConversion"/>
  </si>
  <si>
    <t>900宽拉篮、抽屉柜对口箱</t>
  </si>
  <si>
    <t>外地门板</t>
    <phoneticPr fontId="37" type="noConversion"/>
  </si>
  <si>
    <t>297     447</t>
    <phoneticPr fontId="7" type="noConversion"/>
  </si>
  <si>
    <t>450宽门板一片成型包装箱</t>
    <phoneticPr fontId="37" type="noConversion"/>
  </si>
  <si>
    <t>4块门板一包</t>
    <phoneticPr fontId="7" type="noConversion"/>
  </si>
  <si>
    <t>600宽门板一片成型包装箱</t>
    <phoneticPr fontId="37" type="noConversion"/>
  </si>
  <si>
    <t>上翻门600宽门板一片成型包装箱</t>
    <phoneticPr fontId="37" type="noConversion"/>
  </si>
  <si>
    <t>个</t>
    <phoneticPr fontId="37" type="noConversion"/>
  </si>
  <si>
    <t>4块门板一包</t>
    <phoneticPr fontId="7" type="noConversion"/>
  </si>
  <si>
    <t>2MM厚EPE保护膜（1150宽）</t>
    <phoneticPr fontId="37" type="noConversion"/>
  </si>
  <si>
    <t>平板苯板（10mm厚苯板）1900*10*400</t>
    <phoneticPr fontId="37" type="noConversion"/>
  </si>
  <si>
    <t>小护角</t>
    <phoneticPr fontId="37" type="noConversion"/>
  </si>
  <si>
    <t>上翻门900宽门板一片成型包装箱</t>
    <phoneticPr fontId="37" type="noConversion"/>
  </si>
  <si>
    <t>背板、层板、踢脚板、顶线、罗马柱、装饰板类</t>
    <phoneticPr fontId="7" type="noConversion"/>
  </si>
  <si>
    <t>图兰朵</t>
    <phoneticPr fontId="7" type="noConversion"/>
  </si>
  <si>
    <t>柜体数量</t>
    <phoneticPr fontId="7" type="noConversion"/>
  </si>
  <si>
    <t>1--10个</t>
    <phoneticPr fontId="7" type="noConversion"/>
  </si>
  <si>
    <t>包装纸板1500mm*2400mm</t>
    <phoneticPr fontId="37" type="noConversion"/>
  </si>
  <si>
    <t>米</t>
    <phoneticPr fontId="37" type="noConversion"/>
  </si>
  <si>
    <t>L型苯板护角（15mm厚）120*1000*120</t>
    <phoneticPr fontId="37" type="noConversion"/>
  </si>
  <si>
    <t>根</t>
    <phoneticPr fontId="37" type="noConversion"/>
  </si>
  <si>
    <t>罗马柱顶线用</t>
    <phoneticPr fontId="37" type="noConversion"/>
  </si>
  <si>
    <t>11个以上</t>
    <phoneticPr fontId="7" type="noConversion"/>
  </si>
  <si>
    <t>张</t>
    <phoneticPr fontId="37" type="noConversion"/>
  </si>
  <si>
    <t>外地非标柜</t>
    <phoneticPr fontId="37" type="noConversion"/>
  </si>
  <si>
    <t>所有无法使用包装箱的地柜</t>
    <phoneticPr fontId="37" type="noConversion"/>
  </si>
  <si>
    <t>非标地柜</t>
    <phoneticPr fontId="37" type="noConversion"/>
  </si>
  <si>
    <t>此处包装材料用量中已包含非标柜的柜体和门板包装</t>
    <phoneticPr fontId="37" type="noConversion"/>
  </si>
  <si>
    <t>小护角（整件时使用大护角）</t>
    <phoneticPr fontId="37" type="noConversion"/>
  </si>
  <si>
    <t>所有无法使用包装箱的吊柜</t>
    <phoneticPr fontId="37" type="noConversion"/>
  </si>
  <si>
    <t>非标吊柜</t>
    <phoneticPr fontId="37" type="noConversion"/>
  </si>
  <si>
    <t>所有无法使用包装箱的半高柜、高柜</t>
    <phoneticPr fontId="37" type="noConversion"/>
  </si>
  <si>
    <t>非标半高柜、高柜</t>
    <phoneticPr fontId="37" type="noConversion"/>
  </si>
  <si>
    <t>版本型录号</t>
    <phoneticPr fontId="7" type="noConversion"/>
  </si>
  <si>
    <t>本地非标柜</t>
    <phoneticPr fontId="37" type="noConversion"/>
  </si>
  <si>
    <t>暖白双贴三聚氰胺E0级刨花板</t>
    <phoneticPr fontId="7" type="noConversion"/>
  </si>
  <si>
    <t>暖白双贴三聚氰胺E1级中密度板</t>
    <phoneticPr fontId="7" type="noConversion"/>
  </si>
  <si>
    <t>8*1830*2440</t>
  </si>
  <si>
    <t>个</t>
    <phoneticPr fontId="46" type="noConversion"/>
  </si>
  <si>
    <t>本地衣帽间180高护角240*360</t>
    <phoneticPr fontId="37" type="noConversion"/>
  </si>
  <si>
    <t>本地衣帽间180高护角240*360</t>
    <phoneticPr fontId="37" type="noConversion"/>
  </si>
  <si>
    <t>FC-BZ020025</t>
  </si>
  <si>
    <t>气垫膜</t>
    <phoneticPr fontId="37" type="noConversion"/>
  </si>
  <si>
    <t>FC-BZ010962</t>
    <phoneticPr fontId="37" type="noConversion"/>
  </si>
  <si>
    <t>硬纸护角</t>
    <phoneticPr fontId="37" type="noConversion"/>
  </si>
  <si>
    <t>根据板件高度选择硬纸护角的高度（41/54）</t>
    <phoneticPr fontId="37" type="noConversion"/>
  </si>
  <si>
    <t>FC-BZ010110</t>
  </si>
  <si>
    <t>包装纸板1500mm*2400mm（三层瓦楞纸)</t>
    <phoneticPr fontId="37" type="noConversion"/>
  </si>
  <si>
    <t>1层</t>
    <phoneticPr fontId="37" type="noConversion"/>
  </si>
  <si>
    <t>——</t>
    <phoneticPr fontId="37" type="noConversion"/>
  </si>
  <si>
    <t>H≤2400</t>
    <phoneticPr fontId="37" type="noConversion"/>
  </si>
  <si>
    <t>600＜W≤900</t>
    <phoneticPr fontId="37" type="noConversion"/>
  </si>
  <si>
    <t>装饰墙板</t>
    <phoneticPr fontId="37" type="noConversion"/>
  </si>
  <si>
    <t>2层</t>
    <phoneticPr fontId="37" type="noConversion"/>
  </si>
  <si>
    <t>W≤600</t>
    <phoneticPr fontId="37" type="noConversion"/>
  </si>
  <si>
    <t>硬纸护角41mm高</t>
  </si>
  <si>
    <t>4层</t>
    <phoneticPr fontId="37" type="noConversion"/>
  </si>
  <si>
    <t>D≤300</t>
    <phoneticPr fontId="37" type="noConversion"/>
  </si>
  <si>
    <t>W≤1200</t>
    <phoneticPr fontId="37" type="noConversion"/>
  </si>
  <si>
    <t>墙上层板</t>
    <phoneticPr fontId="37" type="noConversion"/>
  </si>
  <si>
    <t>加硬包装</t>
    <phoneticPr fontId="37" type="noConversion"/>
  </si>
  <si>
    <t>1个</t>
    <phoneticPr fontId="37" type="noConversion"/>
  </si>
  <si>
    <t>酒架、调料盒、碗盘架、墙上搁架</t>
    <phoneticPr fontId="37" type="noConversion"/>
  </si>
  <si>
    <t>硬纸护角54mm高</t>
    <phoneticPr fontId="37" type="noConversion"/>
  </si>
  <si>
    <t>25侧板U型护边350*2600</t>
    <phoneticPr fontId="37" type="noConversion"/>
  </si>
  <si>
    <t>350＜D≤650</t>
    <phoneticPr fontId="37" type="noConversion"/>
  </si>
  <si>
    <t>1200＜W≤2400</t>
    <phoneticPr fontId="37" type="noConversion"/>
  </si>
  <si>
    <t>图兰朵盖板</t>
    <phoneticPr fontId="37" type="noConversion"/>
  </si>
  <si>
    <t>25侧板U型护边280*2600</t>
    <phoneticPr fontId="37" type="noConversion"/>
  </si>
  <si>
    <t>D≤350</t>
    <phoneticPr fontId="37" type="noConversion"/>
  </si>
  <si>
    <t>烟机罩</t>
    <phoneticPr fontId="37" type="noConversion"/>
  </si>
  <si>
    <t>1块</t>
    <phoneticPr fontId="37" type="noConversion"/>
  </si>
  <si>
    <t>—</t>
    <phoneticPr fontId="37" type="noConversion"/>
  </si>
  <si>
    <t>H≤1200</t>
    <phoneticPr fontId="37" type="noConversion"/>
  </si>
  <si>
    <t>1300＜W≤1600</t>
    <phoneticPr fontId="37" type="noConversion"/>
  </si>
  <si>
    <t>浴室镜</t>
    <phoneticPr fontId="37" type="noConversion"/>
  </si>
  <si>
    <t>W≤1300</t>
    <phoneticPr fontId="37" type="noConversion"/>
  </si>
  <si>
    <t>L型苯板护角</t>
    <phoneticPr fontId="37" type="noConversion"/>
  </si>
  <si>
    <t>4层/包</t>
    <phoneticPr fontId="37" type="noConversion"/>
  </si>
  <si>
    <t>W≤2400</t>
    <phoneticPr fontId="37" type="noConversion"/>
  </si>
  <si>
    <t>单体罗马柱、顶线、灯线、踢脚板、图兰朵边框</t>
    <phoneticPr fontId="37" type="noConversion"/>
  </si>
  <si>
    <t>W＞600</t>
    <phoneticPr fontId="37" type="noConversion"/>
  </si>
  <si>
    <t>H≤840</t>
    <phoneticPr fontId="37" type="noConversion"/>
  </si>
  <si>
    <t>50、75、150</t>
    <phoneticPr fontId="37" type="noConversion"/>
  </si>
  <si>
    <t>罗马柱箱体</t>
    <phoneticPr fontId="37" type="noConversion"/>
  </si>
  <si>
    <t>840＜H≤2260</t>
    <phoneticPr fontId="37" type="noConversion"/>
  </si>
  <si>
    <t>350＜W≤600</t>
    <phoneticPr fontId="37" type="noConversion"/>
  </si>
  <si>
    <t>200＜W≤350</t>
    <phoneticPr fontId="37" type="noConversion"/>
  </si>
  <si>
    <t>H≤840</t>
    <phoneticPr fontId="37" type="noConversion"/>
  </si>
  <si>
    <t>罗马柱箱体</t>
    <phoneticPr fontId="37" type="noConversion"/>
  </si>
  <si>
    <t>米</t>
    <phoneticPr fontId="37" type="noConversion"/>
  </si>
  <si>
    <t>气垫膜</t>
    <phoneticPr fontId="37" type="noConversion"/>
  </si>
  <si>
    <t>个</t>
    <phoneticPr fontId="37" type="noConversion"/>
  </si>
  <si>
    <t>FC-BZ010962</t>
    <phoneticPr fontId="37" type="noConversion"/>
  </si>
  <si>
    <t>包装纸板1500mm*2400mm（三层瓦楞纸)</t>
    <phoneticPr fontId="37" type="noConversion"/>
  </si>
  <si>
    <t>1个</t>
    <phoneticPr fontId="37" type="noConversion"/>
  </si>
  <si>
    <t>W≤600</t>
    <phoneticPr fontId="37" type="noConversion"/>
  </si>
  <si>
    <t>840＜H≤2260</t>
    <phoneticPr fontId="37" type="noConversion"/>
  </si>
  <si>
    <t>2个</t>
    <phoneticPr fontId="37" type="noConversion"/>
  </si>
  <si>
    <t>350＜W≤600</t>
    <phoneticPr fontId="37" type="noConversion"/>
  </si>
  <si>
    <t>硬纸护角54mm高</t>
    <phoneticPr fontId="37" type="noConversion"/>
  </si>
  <si>
    <t>25侧板U型护边350*2600</t>
    <phoneticPr fontId="37" type="noConversion"/>
  </si>
  <si>
    <t>25侧板U型护边280*2600</t>
    <phoneticPr fontId="37" type="noConversion"/>
  </si>
  <si>
    <t>W≤350</t>
    <phoneticPr fontId="37" type="noConversion"/>
  </si>
  <si>
    <t>备注</t>
  </si>
  <si>
    <t>单位</t>
  </si>
  <si>
    <t>数量</t>
  </si>
  <si>
    <t>物料编码</t>
    <phoneticPr fontId="37" type="noConversion"/>
  </si>
  <si>
    <t>包装材料名称</t>
    <phoneticPr fontId="37" type="noConversion"/>
  </si>
  <si>
    <t>数量</t>
    <phoneticPr fontId="37" type="noConversion"/>
  </si>
  <si>
    <t>深度</t>
    <phoneticPr fontId="37" type="noConversion"/>
  </si>
  <si>
    <t>高度</t>
    <phoneticPr fontId="37" type="noConversion"/>
  </si>
  <si>
    <t>宽度</t>
    <phoneticPr fontId="37" type="noConversion"/>
  </si>
  <si>
    <t>名称</t>
    <phoneticPr fontId="37" type="noConversion"/>
  </si>
  <si>
    <t>四、装饰部件部分（本地、外地通用）</t>
    <phoneticPr fontId="37" type="noConversion"/>
  </si>
  <si>
    <t>张</t>
    <phoneticPr fontId="37" type="noConversion"/>
  </si>
  <si>
    <t>FC-BZ011016</t>
    <phoneticPr fontId="37" type="noConversion"/>
  </si>
  <si>
    <t>拉篮、抽屉柜、特殊柜</t>
    <phoneticPr fontId="37" type="noConversion"/>
  </si>
  <si>
    <t>—</t>
    <phoneticPr fontId="37" type="noConversion"/>
  </si>
  <si>
    <t>W＞600</t>
  </si>
  <si>
    <t>备注</t>
    <phoneticPr fontId="37" type="noConversion"/>
  </si>
  <si>
    <t>柜型</t>
    <phoneticPr fontId="37" type="noConversion"/>
  </si>
  <si>
    <t>序号</t>
  </si>
  <si>
    <t>2.整件包装--所有无法使用对口箱的所有柜体</t>
    <phoneticPr fontId="37" type="noConversion"/>
  </si>
  <si>
    <t>车间调配</t>
    <phoneticPr fontId="37" type="noConversion"/>
  </si>
  <si>
    <t>FC-BZ010806</t>
  </si>
  <si>
    <t>平板苯板</t>
    <phoneticPr fontId="37" type="noConversion"/>
  </si>
  <si>
    <t>FC-BZ011023</t>
  </si>
  <si>
    <t>FC-BZ011022</t>
  </si>
  <si>
    <t>FC-BZ011021</t>
  </si>
  <si>
    <t>三、整件发货部分（功能柜）</t>
    <phoneticPr fontId="37" type="noConversion"/>
  </si>
  <si>
    <t>平板苯板18mm厚</t>
    <phoneticPr fontId="37" type="noConversion"/>
  </si>
  <si>
    <t>FC-BZ011017</t>
  </si>
  <si>
    <t>18/22/25</t>
    <phoneticPr fontId="37" type="noConversion"/>
  </si>
  <si>
    <t>H＞720</t>
    <phoneticPr fontId="37" type="noConversion"/>
  </si>
  <si>
    <t>-</t>
    <phoneticPr fontId="37" type="noConversion"/>
  </si>
  <si>
    <t>地柜、吊柜、半高柜、台上柜、高柜：4块/包</t>
    <phoneticPr fontId="37" type="noConversion"/>
  </si>
  <si>
    <t>H≤720</t>
    <phoneticPr fontId="37" type="noConversion"/>
  </si>
  <si>
    <t>适用范围</t>
    <phoneticPr fontId="37" type="noConversion"/>
  </si>
  <si>
    <t>厚度</t>
    <phoneticPr fontId="37" type="noConversion"/>
  </si>
  <si>
    <t>2.散件包装的门板--所有无法使用一片成型包装箱的门板散件</t>
    <phoneticPr fontId="37" type="noConversion"/>
  </si>
  <si>
    <t>FC-BZ011018</t>
  </si>
  <si>
    <t>600宽门板一片成型包装箱（三层瓦楞纸)A型</t>
    <phoneticPr fontId="37" type="noConversion"/>
  </si>
  <si>
    <t>≤720</t>
    <phoneticPr fontId="37" type="noConversion"/>
  </si>
  <si>
    <t>448-597</t>
    <phoneticPr fontId="37" type="noConversion"/>
  </si>
  <si>
    <t>2#门板散件包装</t>
  </si>
  <si>
    <t>保证每包最底层门板为此包装箱最大尺寸门板</t>
    <phoneticPr fontId="37" type="noConversion"/>
  </si>
  <si>
    <t>450宽门板一片成型包装箱（三层瓦楞纸)A型</t>
    <phoneticPr fontId="37" type="noConversion"/>
  </si>
  <si>
    <t>门板材质散包18A：5层/每包、22A：4层/包、25A：3层/包，每层可置多块板件，需保证底层为适合此包装箱规格的最大尺寸门板，25A门板包装时增加一层苯板。</t>
    <phoneticPr fontId="37" type="noConversion"/>
  </si>
  <si>
    <t>≤447</t>
    <phoneticPr fontId="37" type="noConversion"/>
  </si>
  <si>
    <t>1#门板散件包装</t>
    <phoneticPr fontId="37" type="noConversion"/>
  </si>
  <si>
    <t>单位</t>
    <phoneticPr fontId="37" type="noConversion"/>
  </si>
  <si>
    <t>包装标准</t>
    <phoneticPr fontId="37" type="noConversion"/>
  </si>
  <si>
    <t>包装编号</t>
    <phoneticPr fontId="37" type="noConversion"/>
  </si>
  <si>
    <t>1.散件包装的门板---可使用一片成型包装箱的明细</t>
    <phoneticPr fontId="37" type="noConversion"/>
  </si>
  <si>
    <t>二、散件门板部分</t>
    <phoneticPr fontId="37" type="noConversion"/>
  </si>
  <si>
    <t>含半高柜、高柜的订单</t>
    <phoneticPr fontId="37" type="noConversion"/>
  </si>
  <si>
    <t>每套</t>
    <phoneticPr fontId="37" type="noConversion"/>
  </si>
  <si>
    <t>无限制</t>
    <phoneticPr fontId="37" type="noConversion"/>
  </si>
  <si>
    <t>1.所有背板包装以本包最大尺寸为准选择包装材料及用量
2.所有背板包使用固定架保护，固定架使用多层板</t>
    <phoneticPr fontId="37" type="noConversion"/>
  </si>
  <si>
    <t>无半高柜、高柜的订单</t>
    <phoneticPr fontId="37" type="noConversion"/>
  </si>
  <si>
    <t>散件包装柜体的背板</t>
    <phoneticPr fontId="37" type="noConversion"/>
  </si>
  <si>
    <t>高柜</t>
    <phoneticPr fontId="37" type="noConversion"/>
  </si>
  <si>
    <t>D＞300</t>
    <phoneticPr fontId="37" type="noConversion"/>
  </si>
  <si>
    <t>D≤300</t>
    <phoneticPr fontId="37" type="noConversion"/>
  </si>
  <si>
    <t>半高柜、台上柜</t>
    <phoneticPr fontId="37" type="noConversion"/>
  </si>
  <si>
    <t>地柜</t>
    <phoneticPr fontId="37" type="noConversion"/>
  </si>
  <si>
    <t>W＞600</t>
    <phoneticPr fontId="37" type="noConversion"/>
  </si>
  <si>
    <t>吊柜</t>
    <phoneticPr fontId="37" type="noConversion"/>
  </si>
  <si>
    <t>散件包装的柜体--所有无法使用一片成型包装箱的柜体散件（玻璃层板单独包装）</t>
    <phoneticPr fontId="37" type="noConversion"/>
  </si>
  <si>
    <t>注：以上包装箱适用地柜560深、720高散件柜体；吊柜300深、720高柜体；高柜560深2160高的散件柜体（除特定两种柜形外），外地所有玻璃层板单独包装</t>
    <phoneticPr fontId="37" type="noConversion"/>
  </si>
  <si>
    <t>2160高柜一片成型包装箱（三层瓦楞纸)A型</t>
    <phoneticPr fontId="37" type="noConversion"/>
  </si>
  <si>
    <t>高柜散包柜体不适用高身拉篮及内置冰箱高柜</t>
    <phoneticPr fontId="37" type="noConversion"/>
  </si>
  <si>
    <t>600*2160高柜</t>
  </si>
  <si>
    <t>8#柜体散件包装</t>
  </si>
  <si>
    <t>FC-BZ011015</t>
    <phoneticPr fontId="37" type="noConversion"/>
  </si>
  <si>
    <t>1200宽吊柜一片成型包装箱（三层瓦楞纸)A型</t>
    <phoneticPr fontId="37" type="noConversion"/>
  </si>
  <si>
    <t>吊柜散件柜体</t>
    <phoneticPr fontId="37" type="noConversion"/>
  </si>
  <si>
    <t>901-1200</t>
    <phoneticPr fontId="37" type="noConversion"/>
  </si>
  <si>
    <t>7#柜体散件包装</t>
    <phoneticPr fontId="37" type="noConversion"/>
  </si>
  <si>
    <t>FC-BZ011014</t>
    <phoneticPr fontId="37" type="noConversion"/>
  </si>
  <si>
    <t>900宽吊柜一片成型包装箱（三层瓦楞纸)A型</t>
    <phoneticPr fontId="37" type="noConversion"/>
  </si>
  <si>
    <t>601-900</t>
    <phoneticPr fontId="37" type="noConversion"/>
  </si>
  <si>
    <t>6#柜体散件包装</t>
    <phoneticPr fontId="37" type="noConversion"/>
  </si>
  <si>
    <t>FC-BZ011013</t>
    <phoneticPr fontId="37" type="noConversion"/>
  </si>
  <si>
    <t>600宽吊柜一片成型包装箱（三层瓦楞纸)A型</t>
    <phoneticPr fontId="37" type="noConversion"/>
  </si>
  <si>
    <t>吊柜散包柜体</t>
    <phoneticPr fontId="37" type="noConversion"/>
  </si>
  <si>
    <t>5#柜体散件包装</t>
    <phoneticPr fontId="37" type="noConversion"/>
  </si>
  <si>
    <t>300宽吊柜一片成型包装箱（三层瓦楞纸)A型</t>
    <phoneticPr fontId="37" type="noConversion"/>
  </si>
  <si>
    <t>≤350</t>
    <phoneticPr fontId="37" type="noConversion"/>
  </si>
  <si>
    <t>4#柜体散件包装</t>
    <phoneticPr fontId="37" type="noConversion"/>
  </si>
  <si>
    <t>FC-BZ011012</t>
    <phoneticPr fontId="37" type="noConversion"/>
  </si>
  <si>
    <t>1200宽地柜一片成型包装箱（三层瓦楞纸)A型</t>
    <phoneticPr fontId="37" type="noConversion"/>
  </si>
  <si>
    <t>地柜散件柜体</t>
    <phoneticPr fontId="37" type="noConversion"/>
  </si>
  <si>
    <t>3#柜体散件包装</t>
    <phoneticPr fontId="37" type="noConversion"/>
  </si>
  <si>
    <t>FC-BZ011011</t>
    <phoneticPr fontId="37" type="noConversion"/>
  </si>
  <si>
    <t>900宽地柜一片成型包装箱（三层瓦楞纸)A型</t>
    <phoneticPr fontId="37" type="noConversion"/>
  </si>
  <si>
    <t>2#柜体散件包装</t>
    <phoneticPr fontId="37" type="noConversion"/>
  </si>
  <si>
    <t>硬纸护角41mm高</t>
    <phoneticPr fontId="37" type="noConversion"/>
  </si>
  <si>
    <t>FC-BZ011010</t>
    <phoneticPr fontId="37" type="noConversion"/>
  </si>
  <si>
    <t>600宽地柜一片成型包装箱（三层瓦楞纸)A型</t>
    <phoneticPr fontId="37" type="noConversion"/>
  </si>
  <si>
    <t>≤600</t>
    <phoneticPr fontId="37" type="noConversion"/>
  </si>
  <si>
    <t>1#柜体散件包装</t>
    <phoneticPr fontId="37" type="noConversion"/>
  </si>
  <si>
    <t>散件包装的柜体---可使用一片成型包装箱的明细</t>
    <phoneticPr fontId="37" type="noConversion"/>
  </si>
  <si>
    <t>橱柜款式：</t>
    <phoneticPr fontId="7" type="noConversion"/>
  </si>
  <si>
    <t>下单日期</t>
    <phoneticPr fontId="7" type="noConversion"/>
  </si>
  <si>
    <t>客户姓名</t>
    <phoneticPr fontId="7" type="noConversion"/>
  </si>
  <si>
    <t>城市：</t>
    <phoneticPr fontId="7" type="noConversion"/>
  </si>
  <si>
    <t>订单编号：</t>
    <phoneticPr fontId="7" type="noConversion"/>
  </si>
  <si>
    <t>单位</t>
    <phoneticPr fontId="37" type="noConversion"/>
  </si>
  <si>
    <t>351-600</t>
    <phoneticPr fontId="37" type="noConversion"/>
  </si>
  <si>
    <t>C168-008</t>
  </si>
  <si>
    <t>A785</t>
  </si>
  <si>
    <t>96mm</t>
  </si>
  <si>
    <t>锌合金+陶瓷</t>
  </si>
  <si>
    <t>C146银</t>
  </si>
  <si>
    <t>单孔</t>
  </si>
  <si>
    <t>陶瓷锌合金</t>
  </si>
  <si>
    <t>LC-003</t>
  </si>
  <si>
    <t>嵌入式嵌入式拉手</t>
  </si>
  <si>
    <t>A833-160</t>
  </si>
  <si>
    <t>160mm</t>
  </si>
  <si>
    <t>U型圆角铝拉手</t>
  </si>
  <si>
    <t>A833-192</t>
  </si>
  <si>
    <t>192mm</t>
  </si>
  <si>
    <t>A658-160</t>
  </si>
  <si>
    <t>U型宽直边锌合金拉手</t>
  </si>
  <si>
    <t>A846-160</t>
  </si>
  <si>
    <t>U型窄直边锌合金拉手</t>
  </si>
  <si>
    <t>A846-192</t>
  </si>
  <si>
    <t>A846-256</t>
  </si>
  <si>
    <t>256mm</t>
  </si>
  <si>
    <t>A956-128</t>
  </si>
  <si>
    <t>128mm</t>
  </si>
  <si>
    <t>U圆柱铝拉手</t>
  </si>
  <si>
    <t>A956-160</t>
  </si>
  <si>
    <t>U型圆柱铝拉手</t>
  </si>
  <si>
    <t>A956-192</t>
  </si>
  <si>
    <t>A956-256</t>
  </si>
  <si>
    <t>A956-320</t>
  </si>
  <si>
    <t>320mm</t>
  </si>
  <si>
    <t>A956-480</t>
  </si>
  <si>
    <t>480mm</t>
  </si>
  <si>
    <t>A9014-160</t>
  </si>
  <si>
    <t>圆弧空心锌合金拉手</t>
  </si>
  <si>
    <t>A959-96</t>
  </si>
  <si>
    <t>斜平面铝拉手</t>
  </si>
  <si>
    <t>A959-128</t>
  </si>
  <si>
    <t>A959-160</t>
  </si>
  <si>
    <t>A959-192</t>
  </si>
  <si>
    <t>A959-256</t>
  </si>
  <si>
    <t>C398-1</t>
  </si>
  <si>
    <t>32mm</t>
  </si>
  <si>
    <t>空心方形铝拉手</t>
  </si>
  <si>
    <t>C398</t>
  </si>
  <si>
    <t>实面方形铝拉手</t>
  </si>
  <si>
    <t>A880</t>
  </si>
  <si>
    <t>内嵌方拉手</t>
  </si>
  <si>
    <t>A881</t>
  </si>
  <si>
    <t>内嵌长方拉手</t>
  </si>
  <si>
    <t>A841</t>
  </si>
  <si>
    <t>镀铬长环拉手</t>
  </si>
  <si>
    <t>A843</t>
  </si>
  <si>
    <t>A993-160</t>
  </si>
  <si>
    <t>U型半圆弧边钢拉手</t>
  </si>
  <si>
    <t>A993-192</t>
  </si>
  <si>
    <t>A993-256</t>
  </si>
  <si>
    <t>A993-320</t>
  </si>
  <si>
    <t>长形拉手</t>
  </si>
  <si>
    <t>亮光弧形拉手</t>
  </si>
  <si>
    <t>A9012-128</t>
  </si>
  <si>
    <t>弧形拉手</t>
  </si>
  <si>
    <t>A664</t>
  </si>
  <si>
    <t>A9154</t>
  </si>
  <si>
    <t>亮光长形拉手</t>
  </si>
  <si>
    <t>A9205</t>
  </si>
  <si>
    <t>长型槽纹拉手</t>
  </si>
  <si>
    <t>A9158</t>
  </si>
  <si>
    <t>水立方长型拉手</t>
  </si>
  <si>
    <t>A9109-1</t>
  </si>
  <si>
    <t>亮光方形</t>
  </si>
  <si>
    <t>A9219</t>
  </si>
  <si>
    <t>方型水晶拉手</t>
  </si>
  <si>
    <t>A9206</t>
  </si>
  <si>
    <t>方型槽纹拉手</t>
  </si>
  <si>
    <t>A9166</t>
  </si>
  <si>
    <t>水立方方型拉手</t>
  </si>
  <si>
    <t>A9003-160</t>
  </si>
  <si>
    <t>拉丝弯条拉手</t>
  </si>
  <si>
    <t>C168-077</t>
  </si>
  <si>
    <t>A770-96-082</t>
  </si>
  <si>
    <t>古铜＋陶瓷</t>
  </si>
  <si>
    <t>C344</t>
  </si>
  <si>
    <t>C397</t>
  </si>
  <si>
    <t>银色菱形塔状</t>
  </si>
  <si>
    <t>XY393M</t>
  </si>
  <si>
    <t>64mm</t>
  </si>
  <si>
    <t>椭圆形银色亮面</t>
  </si>
  <si>
    <t>XY394M</t>
  </si>
  <si>
    <t>A9037-G</t>
  </si>
  <si>
    <t>金色U型圆柱透明拉手</t>
  </si>
  <si>
    <t>A631-S</t>
  </si>
  <si>
    <t>高光银色狐爪</t>
  </si>
  <si>
    <t>C305</t>
  </si>
  <si>
    <t>C108-049</t>
    <phoneticPr fontId="37" type="noConversion"/>
  </si>
  <si>
    <t>C148-087</t>
  </si>
  <si>
    <t>古铜+陶瓷</t>
  </si>
  <si>
    <t>A9222</t>
  </si>
  <si>
    <t>古铜花纹（白漆）</t>
  </si>
  <si>
    <t>A760-128</t>
  </si>
  <si>
    <t>古铜裂纹陶瓷</t>
  </si>
  <si>
    <t>A768-128-75</t>
  </si>
  <si>
    <t>A787-008</t>
  </si>
  <si>
    <t>半成品</t>
    <phoneticPr fontId="46" type="noConversion"/>
  </si>
  <si>
    <r>
      <t>硬包装专用板条1</t>
    </r>
    <r>
      <rPr>
        <sz val="11"/>
        <color theme="1"/>
        <rFont val="宋体"/>
        <family val="2"/>
        <charset val="134"/>
        <scheme val="minor"/>
      </rPr>
      <t>00*2400</t>
    </r>
    <phoneticPr fontId="46" type="noConversion"/>
  </si>
  <si>
    <t>根</t>
    <phoneticPr fontId="46" type="noConversion"/>
  </si>
  <si>
    <t>热熔胶</t>
    <phoneticPr fontId="7" type="noConversion"/>
  </si>
  <si>
    <t>城市</t>
    <phoneticPr fontId="7" type="noConversion"/>
  </si>
  <si>
    <t>宽</t>
    <phoneticPr fontId="7" type="noConversion"/>
  </si>
  <si>
    <t>高</t>
    <phoneticPr fontId="7" type="noConversion"/>
  </si>
  <si>
    <t>数量</t>
    <phoneticPr fontId="7" type="noConversion"/>
  </si>
  <si>
    <t>6A板材</t>
    <phoneticPr fontId="7" type="noConversion"/>
  </si>
  <si>
    <t>3A板材</t>
    <phoneticPr fontId="7" type="noConversion"/>
  </si>
  <si>
    <t>触感红樱桃双贴三聚氰胺E0级刨花板</t>
    <phoneticPr fontId="7" type="noConversion"/>
  </si>
  <si>
    <t>触感红樱桃双贴三聚氰胺E1级中密度板</t>
    <phoneticPr fontId="7" type="noConversion"/>
  </si>
  <si>
    <t>米黄麻双贴三聚氰胺E0级刨花板</t>
    <phoneticPr fontId="7" type="noConversion"/>
  </si>
  <si>
    <t>进口樱桃双贴三聚氰胺E0级刨花板</t>
    <phoneticPr fontId="7" type="noConversion"/>
  </si>
  <si>
    <t>红樱桃双贴三聚氰胺中密度板(欧-18)</t>
    <phoneticPr fontId="7" type="noConversion"/>
  </si>
  <si>
    <t>16厚暖白</t>
    <phoneticPr fontId="7" type="noConversion"/>
  </si>
  <si>
    <t>16厚触感红樱桃</t>
    <phoneticPr fontId="7" type="noConversion"/>
  </si>
  <si>
    <t>16厚米黄</t>
    <phoneticPr fontId="7" type="noConversion"/>
  </si>
  <si>
    <t>16厚樱桃木</t>
    <phoneticPr fontId="7" type="noConversion"/>
  </si>
  <si>
    <t>色号</t>
    <phoneticPr fontId="7" type="noConversion"/>
  </si>
  <si>
    <t>1.0封边</t>
    <phoneticPr fontId="7" type="noConversion"/>
  </si>
  <si>
    <t xml:space="preserve">  </t>
    <phoneticPr fontId="7" type="noConversion"/>
  </si>
  <si>
    <t>玻璃胶</t>
    <phoneticPr fontId="7" type="noConversion"/>
  </si>
  <si>
    <t>瓷白</t>
    <phoneticPr fontId="7" type="noConversion"/>
  </si>
  <si>
    <t>吊码片盖</t>
  </si>
  <si>
    <t>偏心件装饰盖</t>
  </si>
  <si>
    <t>白色</t>
    <phoneticPr fontId="7" type="noConversion"/>
  </si>
  <si>
    <t>黄色</t>
    <phoneticPr fontId="7" type="noConversion"/>
  </si>
  <si>
    <t>棕色</t>
  </si>
  <si>
    <t>棕色</t>
    <phoneticPr fontId="7" type="noConversion"/>
  </si>
  <si>
    <t>樱桃色</t>
    <phoneticPr fontId="7" type="noConversion"/>
  </si>
  <si>
    <t>樱桃</t>
    <phoneticPr fontId="7" type="noConversion"/>
  </si>
  <si>
    <t>固搁，梗板等非标板件</t>
    <phoneticPr fontId="7" type="noConversion"/>
  </si>
  <si>
    <t>柜宽</t>
    <phoneticPr fontId="7" type="noConversion"/>
  </si>
  <si>
    <t>铝梁数</t>
    <phoneticPr fontId="7" type="noConversion"/>
  </si>
  <si>
    <r>
      <t>合计</t>
    </r>
    <r>
      <rPr>
        <sz val="10"/>
        <rFont val="Times New Roman"/>
        <family val="1"/>
      </rPr>
      <t>:</t>
    </r>
    <phoneticPr fontId="7" type="noConversion"/>
  </si>
  <si>
    <r>
      <t>合计</t>
    </r>
    <r>
      <rPr>
        <sz val="10"/>
        <rFont val="Times New Roman"/>
        <family val="1"/>
      </rPr>
      <t>:</t>
    </r>
    <phoneticPr fontId="7" type="noConversion"/>
  </si>
  <si>
    <t>款式</t>
    <phoneticPr fontId="7" type="noConversion"/>
  </si>
  <si>
    <t>规格</t>
    <phoneticPr fontId="7" type="noConversion"/>
  </si>
  <si>
    <t>8803A</t>
  </si>
  <si>
    <t>排孔塞</t>
    <phoneticPr fontId="7" type="noConversion"/>
  </si>
  <si>
    <t>总延米：</t>
    <phoneticPr fontId="7" type="noConversion"/>
  </si>
  <si>
    <t>16厚板材</t>
    <phoneticPr fontId="7" type="noConversion"/>
  </si>
  <si>
    <t>LC-032铝框门</t>
  </si>
  <si>
    <t>LC-043铝框门</t>
  </si>
  <si>
    <t>B05透光夹胶玻璃6A</t>
    <phoneticPr fontId="7" type="noConversion"/>
  </si>
  <si>
    <t>玻璃及厚度</t>
    <phoneticPr fontId="7" type="noConversion"/>
  </si>
  <si>
    <t>铝框型号</t>
    <phoneticPr fontId="7" type="noConversion"/>
  </si>
  <si>
    <t>铝材型号</t>
    <phoneticPr fontId="7" type="noConversion"/>
  </si>
  <si>
    <t>减尺</t>
    <phoneticPr fontId="7" type="noConversion"/>
  </si>
  <si>
    <t>铝材用量</t>
    <phoneticPr fontId="7" type="noConversion"/>
  </si>
  <si>
    <t>版本型录号</t>
  </si>
  <si>
    <t>宽度</t>
  </si>
  <si>
    <t>门板生产加工单（自加工）</t>
    <phoneticPr fontId="7" type="noConversion"/>
  </si>
  <si>
    <t>客户姓名：</t>
    <phoneticPr fontId="7" type="noConversion"/>
  </si>
  <si>
    <t>总数量：</t>
    <phoneticPr fontId="7" type="noConversion"/>
  </si>
  <si>
    <t>亚马逊</t>
    <phoneticPr fontId="7" type="noConversion"/>
  </si>
  <si>
    <t>门板描述：</t>
    <phoneticPr fontId="7" type="noConversion"/>
  </si>
  <si>
    <t>M11暖白+2.0*22暖白PVC</t>
  </si>
  <si>
    <t>左岸都市II</t>
    <phoneticPr fontId="7" type="noConversion"/>
  </si>
  <si>
    <t>PVC</t>
    <phoneticPr fontId="7" type="noConversion"/>
  </si>
  <si>
    <t>3+1</t>
    <phoneticPr fontId="7" type="noConversion"/>
  </si>
  <si>
    <t>简爱I</t>
    <phoneticPr fontId="7" type="noConversion"/>
  </si>
  <si>
    <t>说明</t>
    <phoneticPr fontId="7" type="noConversion"/>
  </si>
  <si>
    <t>成型尺寸</t>
    <phoneticPr fontId="7" type="noConversion"/>
  </si>
  <si>
    <t>下料尺寸</t>
    <phoneticPr fontId="7" type="noConversion"/>
  </si>
  <si>
    <t>所有下料纹理方向均为高度方向</t>
    <phoneticPr fontId="7" type="noConversion"/>
  </si>
  <si>
    <t>简爱II</t>
    <phoneticPr fontId="7" type="noConversion"/>
  </si>
  <si>
    <t>箱体序号</t>
    <phoneticPr fontId="7" type="noConversion"/>
  </si>
  <si>
    <t>高度</t>
    <phoneticPr fontId="7" type="noConversion"/>
  </si>
  <si>
    <t>门板颜色</t>
    <phoneticPr fontId="7" type="noConversion"/>
  </si>
  <si>
    <t>LC-001铝材</t>
    <phoneticPr fontId="7" type="noConversion"/>
  </si>
  <si>
    <t>门板平米</t>
    <phoneticPr fontId="7" type="noConversion"/>
  </si>
  <si>
    <t>门板张数</t>
    <phoneticPr fontId="7" type="noConversion"/>
  </si>
  <si>
    <t>悦章</t>
    <phoneticPr fontId="7" type="noConversion"/>
  </si>
  <si>
    <r>
      <t>M01-01触感浅橡</t>
    </r>
    <r>
      <rPr>
        <sz val="12"/>
        <rFont val="宋体"/>
        <family val="3"/>
        <charset val="134"/>
      </rPr>
      <t>(横纹）</t>
    </r>
    <phoneticPr fontId="7" type="noConversion"/>
  </si>
  <si>
    <t>触感浅橡双贴三聚氰胺EO级刨花板</t>
    <phoneticPr fontId="7" type="noConversion"/>
  </si>
  <si>
    <t>2.0*22浅橡PVC</t>
    <phoneticPr fontId="7" type="noConversion"/>
  </si>
  <si>
    <r>
      <t>M03-01触感红樱桃</t>
    </r>
    <r>
      <rPr>
        <sz val="12"/>
        <rFont val="宋体"/>
        <family val="3"/>
        <charset val="134"/>
      </rPr>
      <t>(</t>
    </r>
    <r>
      <rPr>
        <sz val="12"/>
        <rFont val="宋体"/>
        <family val="3"/>
        <charset val="134"/>
      </rPr>
      <t>横纹）</t>
    </r>
    <phoneticPr fontId="7" type="noConversion"/>
  </si>
  <si>
    <t>触感红樱桃双贴三聚氰胺EO级刨花板</t>
    <phoneticPr fontId="7" type="noConversion"/>
  </si>
  <si>
    <t>2.0*22红樱桃橡PVC</t>
    <phoneticPr fontId="7" type="noConversion"/>
  </si>
  <si>
    <r>
      <t>M06-01触感深橡</t>
    </r>
    <r>
      <rPr>
        <sz val="12"/>
        <rFont val="宋体"/>
        <family val="3"/>
        <charset val="134"/>
      </rPr>
      <t>(</t>
    </r>
    <r>
      <rPr>
        <sz val="12"/>
        <rFont val="宋体"/>
        <family val="3"/>
        <charset val="134"/>
      </rPr>
      <t>横纹）</t>
    </r>
    <phoneticPr fontId="7" type="noConversion"/>
  </si>
  <si>
    <t>触感深橡双贴三聚氰胺E0级刨花板</t>
    <phoneticPr fontId="7" type="noConversion"/>
  </si>
  <si>
    <t>2.0*22深橡PVC</t>
    <phoneticPr fontId="7" type="noConversion"/>
  </si>
  <si>
    <t>M11暖白</t>
    <phoneticPr fontId="7" type="noConversion"/>
  </si>
  <si>
    <t>暖白双贴三聚氰胺E0级刨花板（竖纹）</t>
    <phoneticPr fontId="7" type="noConversion"/>
  </si>
  <si>
    <t>2.0*22暖白PVC</t>
    <phoneticPr fontId="7" type="noConversion"/>
  </si>
  <si>
    <r>
      <t>M07艺术胡桃</t>
    </r>
    <r>
      <rPr>
        <sz val="12"/>
        <rFont val="宋体"/>
        <family val="3"/>
        <charset val="134"/>
      </rPr>
      <t>(</t>
    </r>
    <r>
      <rPr>
        <sz val="12"/>
        <rFont val="宋体"/>
        <family val="3"/>
        <charset val="134"/>
      </rPr>
      <t>横纹）</t>
    </r>
    <phoneticPr fontId="7" type="noConversion"/>
  </si>
  <si>
    <t>艺术胡桃双贴三聚氰胺E0级刨花板（竖纹）</t>
    <phoneticPr fontId="7" type="noConversion"/>
  </si>
  <si>
    <t>2.0*22艺术胡桃PVC</t>
    <phoneticPr fontId="7" type="noConversion"/>
  </si>
  <si>
    <t>M13荷花白</t>
    <phoneticPr fontId="7" type="noConversion"/>
  </si>
  <si>
    <t>荷花白双贴三聚氰胺E0级刨花板</t>
    <phoneticPr fontId="7" type="noConversion"/>
  </si>
  <si>
    <r>
      <t>2.0*22荷花白</t>
    </r>
    <r>
      <rPr>
        <sz val="12"/>
        <rFont val="宋体"/>
        <family val="3"/>
        <charset val="134"/>
      </rPr>
      <t>PVC</t>
    </r>
    <phoneticPr fontId="7" type="noConversion"/>
  </si>
  <si>
    <t>M16触感铁灰+2.0*22铁灰PVC</t>
    <phoneticPr fontId="7" type="noConversion"/>
  </si>
  <si>
    <t>M16触感铁灰</t>
    <phoneticPr fontId="7" type="noConversion"/>
  </si>
  <si>
    <t>触感铁灰双贴三聚氰胺级E0刨花板</t>
    <phoneticPr fontId="7" type="noConversion"/>
  </si>
  <si>
    <r>
      <t>2.0*22铁灰</t>
    </r>
    <r>
      <rPr>
        <sz val="12"/>
        <rFont val="宋体"/>
        <family val="3"/>
        <charset val="134"/>
      </rPr>
      <t>PVC</t>
    </r>
    <phoneticPr fontId="7" type="noConversion"/>
  </si>
  <si>
    <t>M17豆绿哑光</t>
    <phoneticPr fontId="7" type="noConversion"/>
  </si>
  <si>
    <t>豆绿哑光双贴三聚氰胺级EO刨花板</t>
    <phoneticPr fontId="7" type="noConversion"/>
  </si>
  <si>
    <t>M28白蜡木(横纹）</t>
    <phoneticPr fontId="7" type="noConversion"/>
  </si>
  <si>
    <t>白蜡木双贴三聚氰胺E0级刨花板</t>
    <phoneticPr fontId="7" type="noConversion"/>
  </si>
  <si>
    <t>2.0*22白蜡木PVC</t>
    <phoneticPr fontId="7" type="noConversion"/>
  </si>
  <si>
    <t>M01-2浮雕浅橡(横纹）</t>
    <phoneticPr fontId="7" type="noConversion"/>
  </si>
  <si>
    <t>浅橡浮雕双贴三聚氰胺E0级刨花板</t>
    <phoneticPr fontId="7" type="noConversion"/>
  </si>
  <si>
    <t>2.0*22浮雕浅橡PVC</t>
    <phoneticPr fontId="7" type="noConversion"/>
  </si>
  <si>
    <t>M29-深胡桃(横纹）</t>
    <phoneticPr fontId="7" type="noConversion"/>
  </si>
  <si>
    <t>深胡桃双贴三聚氰胺E0级刨花板</t>
    <phoneticPr fontId="7" type="noConversion"/>
  </si>
  <si>
    <t>2.0*22深胡桃PVC</t>
    <phoneticPr fontId="7" type="noConversion"/>
  </si>
  <si>
    <t>M30柚木(横纹）</t>
    <phoneticPr fontId="7" type="noConversion"/>
  </si>
  <si>
    <t>柚木双贴三聚氰胺E0级刨花板</t>
    <phoneticPr fontId="7" type="noConversion"/>
  </si>
  <si>
    <t>2.0*22柚木PVC</t>
    <phoneticPr fontId="7" type="noConversion"/>
  </si>
  <si>
    <t>M43</t>
    <phoneticPr fontId="7" type="noConversion"/>
  </si>
  <si>
    <t>奶油灰高光双贴三聚氰胺E1级中密度板</t>
    <phoneticPr fontId="7" type="noConversion"/>
  </si>
  <si>
    <t>铝色PVC2.0*22</t>
    <phoneticPr fontId="7" type="noConversion"/>
  </si>
  <si>
    <t>M38</t>
    <phoneticPr fontId="7" type="noConversion"/>
  </si>
  <si>
    <t>酒红高光双贴三聚氰胺E1级中密度板</t>
    <phoneticPr fontId="7" type="noConversion"/>
  </si>
  <si>
    <t>M39</t>
  </si>
  <si>
    <t>黑檀高光双贴三聚氰胺E1级中密度板</t>
    <phoneticPr fontId="7" type="noConversion"/>
  </si>
  <si>
    <t>M40</t>
  </si>
  <si>
    <t>香槟高光双贴三聚氰胺E1级中密度板</t>
  </si>
  <si>
    <t>M41</t>
  </si>
  <si>
    <t>湛蓝高光双贴三聚氰胺E1级中密度板</t>
    <phoneticPr fontId="7" type="noConversion"/>
  </si>
  <si>
    <t>M42</t>
  </si>
  <si>
    <t>纯白高光双贴三聚氰胺E1级中密度板</t>
    <phoneticPr fontId="7" type="noConversion"/>
  </si>
  <si>
    <r>
      <t>M21银灰波浪</t>
    </r>
    <r>
      <rPr>
        <sz val="12"/>
        <rFont val="宋体"/>
        <family val="3"/>
        <charset val="134"/>
      </rPr>
      <t>(</t>
    </r>
    <r>
      <rPr>
        <sz val="12"/>
        <rFont val="宋体"/>
        <family val="3"/>
        <charset val="134"/>
      </rPr>
      <t>横纹）</t>
    </r>
    <phoneticPr fontId="7" type="noConversion"/>
  </si>
  <si>
    <t>银灰波浪双贴三聚氰胺级EO刨花板</t>
    <phoneticPr fontId="7" type="noConversion"/>
  </si>
  <si>
    <t>2.0*22银灰波浪PVC</t>
    <phoneticPr fontId="7" type="noConversion"/>
  </si>
  <si>
    <r>
      <t>M24荷花白波浪</t>
    </r>
    <r>
      <rPr>
        <sz val="12"/>
        <rFont val="宋体"/>
        <family val="3"/>
        <charset val="134"/>
      </rPr>
      <t>(</t>
    </r>
    <r>
      <rPr>
        <sz val="12"/>
        <rFont val="宋体"/>
        <family val="3"/>
        <charset val="134"/>
      </rPr>
      <t>横纹）</t>
    </r>
    <phoneticPr fontId="7" type="noConversion"/>
  </si>
  <si>
    <t>18厚M24荷花白波浪双贴三聚氰胺刨花板</t>
    <phoneticPr fontId="7" type="noConversion"/>
  </si>
  <si>
    <t>合计数</t>
    <phoneticPr fontId="7" type="noConversion"/>
  </si>
  <si>
    <t>M25银灰</t>
    <phoneticPr fontId="7" type="noConversion"/>
  </si>
  <si>
    <t>18mm银灰双贴三聚氰胺级刨花板</t>
    <phoneticPr fontId="7" type="noConversion"/>
  </si>
  <si>
    <r>
      <t>2.0*22银灰</t>
    </r>
    <r>
      <rPr>
        <sz val="12"/>
        <rFont val="宋体"/>
        <family val="3"/>
        <charset val="134"/>
      </rPr>
      <t>PVC</t>
    </r>
    <phoneticPr fontId="7" type="noConversion"/>
  </si>
  <si>
    <r>
      <t>M1</t>
    </r>
    <r>
      <rPr>
        <sz val="12"/>
        <rFont val="宋体"/>
        <family val="3"/>
        <charset val="134"/>
      </rPr>
      <t>6铁灰</t>
    </r>
    <r>
      <rPr>
        <sz val="12"/>
        <rFont val="宋体"/>
        <family val="3"/>
        <charset val="134"/>
      </rPr>
      <t>+T型铝封边</t>
    </r>
    <phoneticPr fontId="7" type="noConversion"/>
  </si>
  <si>
    <t>M16铁灰</t>
    <phoneticPr fontId="7" type="noConversion"/>
  </si>
  <si>
    <t>铁灰双贴三聚氰胺级E0刨花板</t>
    <phoneticPr fontId="7" type="noConversion"/>
  </si>
  <si>
    <r>
      <t>如有材质、颜色、尺寸不明请和工艺组联系并确认</t>
    </r>
    <r>
      <rPr>
        <sz val="14"/>
        <rFont val="宋体"/>
        <family val="3"/>
        <charset val="134"/>
      </rPr>
      <t>！</t>
    </r>
    <r>
      <rPr>
        <sz val="14"/>
        <rFont val="华文行楷"/>
        <family val="3"/>
        <charset val="134"/>
      </rPr>
      <t xml:space="preserve">  分机电话：</t>
    </r>
    <r>
      <rPr>
        <sz val="14"/>
        <rFont val="华文中宋"/>
        <family val="3"/>
        <charset val="134"/>
      </rPr>
      <t>2160</t>
    </r>
    <phoneticPr fontId="7" type="noConversion"/>
  </si>
  <si>
    <t>制单人：</t>
    <phoneticPr fontId="7" type="noConversion"/>
  </si>
  <si>
    <t>纯色，竖纹</t>
    <phoneticPr fontId="7" type="noConversion"/>
  </si>
  <si>
    <t>横纹</t>
    <phoneticPr fontId="7" type="noConversion"/>
  </si>
  <si>
    <t>对纹</t>
    <phoneticPr fontId="7" type="noConversion"/>
  </si>
  <si>
    <t>客户姓名：</t>
  </si>
  <si>
    <t>款式：</t>
    <phoneticPr fontId="7" type="noConversion"/>
  </si>
  <si>
    <t>图纸编号：</t>
  </si>
  <si>
    <t>型号.规格.颜色</t>
    <phoneticPr fontId="7" type="noConversion"/>
  </si>
  <si>
    <t>门板顶线罗马柱</t>
    <phoneticPr fontId="7" type="noConversion"/>
  </si>
  <si>
    <t>18*4*8</t>
    <phoneticPr fontId="7" type="noConversion"/>
  </si>
  <si>
    <t>门板加工辅助材料</t>
    <phoneticPr fontId="7" type="noConversion"/>
  </si>
  <si>
    <t>通长铝拉手</t>
    <phoneticPr fontId="7" type="noConversion"/>
  </si>
  <si>
    <r>
      <t>L</t>
    </r>
    <r>
      <rPr>
        <sz val="12"/>
        <color indexed="10"/>
        <rFont val="宋体"/>
        <family val="3"/>
        <charset val="134"/>
      </rPr>
      <t>C-003</t>
    </r>
    <phoneticPr fontId="7" type="noConversion"/>
  </si>
  <si>
    <t>普施宝免钉胶</t>
    <phoneticPr fontId="7" type="noConversion"/>
  </si>
  <si>
    <t>接单日期</t>
    <phoneticPr fontId="7" type="noConversion"/>
  </si>
  <si>
    <t>码龙骨</t>
    <phoneticPr fontId="7" type="noConversion"/>
  </si>
  <si>
    <t>定厚砂光</t>
    <phoneticPr fontId="7" type="noConversion"/>
  </si>
  <si>
    <t>四面刨</t>
    <phoneticPr fontId="7" type="noConversion"/>
  </si>
  <si>
    <t>热压</t>
    <phoneticPr fontId="7" type="noConversion"/>
  </si>
  <si>
    <t>木皮切割</t>
    <phoneticPr fontId="7" type="noConversion"/>
  </si>
  <si>
    <t>木皮拼线</t>
    <phoneticPr fontId="7" type="noConversion"/>
  </si>
  <si>
    <t>木皮涂胶</t>
    <phoneticPr fontId="7" type="noConversion"/>
  </si>
  <si>
    <t>木皮砂光</t>
    <phoneticPr fontId="7" type="noConversion"/>
  </si>
  <si>
    <t>包覆机</t>
    <phoneticPr fontId="7" type="noConversion"/>
  </si>
  <si>
    <t>门板制作</t>
    <phoneticPr fontId="7" type="noConversion"/>
  </si>
  <si>
    <t>铣型</t>
    <phoneticPr fontId="7" type="noConversion"/>
  </si>
  <si>
    <t>异型封边</t>
    <phoneticPr fontId="7" type="noConversion"/>
  </si>
  <si>
    <t>COSTA砂光</t>
    <phoneticPr fontId="7" type="noConversion"/>
  </si>
  <si>
    <t>滚涂底漆</t>
    <phoneticPr fontId="7" type="noConversion"/>
  </si>
  <si>
    <t>手工清理边角</t>
    <phoneticPr fontId="7" type="noConversion"/>
  </si>
  <si>
    <t>双面砂边</t>
    <phoneticPr fontId="7" type="noConversion"/>
  </si>
  <si>
    <t>COSTA底漆</t>
    <phoneticPr fontId="7" type="noConversion"/>
  </si>
  <si>
    <t>手工边缘打磨</t>
    <phoneticPr fontId="7" type="noConversion"/>
  </si>
  <si>
    <t>清理除尘</t>
    <phoneticPr fontId="7" type="noConversion"/>
  </si>
  <si>
    <t>CEFLA白底</t>
    <phoneticPr fontId="7" type="noConversion"/>
  </si>
  <si>
    <t>手工喷漆</t>
    <phoneticPr fontId="7" type="noConversion"/>
  </si>
  <si>
    <t>手工润色</t>
    <phoneticPr fontId="7" type="noConversion"/>
  </si>
  <si>
    <t>水磨</t>
    <phoneticPr fontId="7" type="noConversion"/>
  </si>
  <si>
    <t>抛光</t>
    <phoneticPr fontId="7" type="noConversion"/>
  </si>
  <si>
    <t>拉篮</t>
    <phoneticPr fontId="7" type="noConversion"/>
  </si>
  <si>
    <t>安玻璃</t>
    <phoneticPr fontId="7" type="noConversion"/>
  </si>
  <si>
    <t>封边拉手</t>
    <phoneticPr fontId="7" type="noConversion"/>
  </si>
  <si>
    <t>车间负责人：</t>
    <phoneticPr fontId="7" type="noConversion"/>
  </si>
  <si>
    <t>木业橱柜（铝材，玻璃类）作业单</t>
    <phoneticPr fontId="7" type="noConversion"/>
  </si>
  <si>
    <t xml:space="preserve">木业有限公司包装材料单 （外地包装）  </t>
    <phoneticPr fontId="7" type="noConversion"/>
  </si>
  <si>
    <t>木业有限公司销售中心-工艺部</t>
    <phoneticPr fontId="7" type="noConversion"/>
  </si>
  <si>
    <t>木业有限公司工艺材料单(门板)</t>
    <phoneticPr fontId="7" type="noConversion"/>
  </si>
  <si>
    <t>门板生产加工单（自加工）</t>
    <phoneticPr fontId="83" type="noConversion"/>
  </si>
  <si>
    <t>客户姓名：</t>
    <phoneticPr fontId="83" type="noConversion"/>
  </si>
  <si>
    <t>总数量：</t>
  </si>
  <si>
    <t>图纸编号：</t>
    <phoneticPr fontId="83" type="noConversion"/>
  </si>
  <si>
    <t>下单日期：</t>
  </si>
  <si>
    <r>
      <t xml:space="preserve"> </t>
    </r>
    <r>
      <rPr>
        <sz val="12"/>
        <rFont val="宋体"/>
        <family val="3"/>
        <charset val="134"/>
      </rPr>
      <t xml:space="preserve"> </t>
    </r>
    <phoneticPr fontId="83" type="noConversion"/>
  </si>
  <si>
    <t>城市</t>
  </si>
  <si>
    <t>门板描述：</t>
    <phoneticPr fontId="83" type="noConversion"/>
  </si>
  <si>
    <t>单面烤漆：</t>
    <phoneticPr fontId="83" type="noConversion"/>
  </si>
  <si>
    <t>橱柜款式</t>
    <phoneticPr fontId="83" type="noConversion"/>
  </si>
  <si>
    <t>色诱</t>
    <phoneticPr fontId="83" type="noConversion"/>
  </si>
  <si>
    <t>此单为单面烤漆，正面及四边做漆</t>
    <phoneticPr fontId="83" type="noConversion"/>
  </si>
  <si>
    <t>说明</t>
    <phoneticPr fontId="83" type="noConversion"/>
  </si>
  <si>
    <t>成型尺寸</t>
    <phoneticPr fontId="83" type="noConversion"/>
  </si>
  <si>
    <t>下料尺寸</t>
    <phoneticPr fontId="83" type="noConversion"/>
  </si>
  <si>
    <t>门板基材:</t>
    <phoneticPr fontId="83" type="noConversion"/>
  </si>
  <si>
    <t>18A暖白双贴三聚氰胺刨花板</t>
    <phoneticPr fontId="83" type="noConversion"/>
  </si>
  <si>
    <t>一实际宽边方向铣拉手槽</t>
    <phoneticPr fontId="83" type="noConversion"/>
  </si>
  <si>
    <t>箱体序号</t>
    <phoneticPr fontId="83" type="noConversion"/>
  </si>
  <si>
    <t>高度</t>
    <phoneticPr fontId="83" type="noConversion"/>
  </si>
  <si>
    <t>数量</t>
    <phoneticPr fontId="83" type="noConversion"/>
  </si>
  <si>
    <t>宽度</t>
    <phoneticPr fontId="83" type="noConversion"/>
  </si>
  <si>
    <t>加工备注</t>
    <phoneticPr fontId="83" type="noConversion"/>
  </si>
  <si>
    <t>门板平米</t>
    <phoneticPr fontId="83" type="noConversion"/>
  </si>
  <si>
    <t>门板封边</t>
    <phoneticPr fontId="83" type="noConversion"/>
  </si>
  <si>
    <t>门板张数</t>
    <phoneticPr fontId="83" type="noConversion"/>
  </si>
  <si>
    <t>单面油漆总平米数</t>
    <phoneticPr fontId="83" type="noConversion"/>
  </si>
  <si>
    <t>双面油漆总平米数</t>
    <phoneticPr fontId="83" type="noConversion"/>
  </si>
  <si>
    <t>LC-003铝材</t>
    <phoneticPr fontId="83" type="noConversion"/>
  </si>
  <si>
    <t>油漆平米数：</t>
    <phoneticPr fontId="83" type="noConversion"/>
  </si>
  <si>
    <t>此单分下料尺寸和成型尺寸2种，请生产各工段注意！</t>
    <phoneticPr fontId="83" type="noConversion"/>
  </si>
  <si>
    <t>合计数</t>
    <phoneticPr fontId="83" type="noConversion"/>
  </si>
  <si>
    <r>
      <t>如有材质、颜色、尺寸不明请和工艺组联系并确认</t>
    </r>
    <r>
      <rPr>
        <sz val="14"/>
        <rFont val="宋体"/>
        <family val="3"/>
        <charset val="134"/>
      </rPr>
      <t>！</t>
    </r>
    <r>
      <rPr>
        <sz val="14"/>
        <rFont val="华文行楷"/>
        <family val="3"/>
        <charset val="134"/>
      </rPr>
      <t xml:space="preserve">  分机电话：2160</t>
    </r>
    <phoneticPr fontId="83" type="noConversion"/>
  </si>
  <si>
    <t>侧边平米数</t>
    <phoneticPr fontId="83" type="noConversion"/>
  </si>
  <si>
    <t>制单人：</t>
    <phoneticPr fontId="83" type="noConversion"/>
  </si>
  <si>
    <t>门板单面+四边油漆面积</t>
    <phoneticPr fontId="83" type="noConversion"/>
  </si>
  <si>
    <t>油漆平米数：</t>
  </si>
  <si>
    <t>橱柜款式</t>
    <phoneticPr fontId="83" type="noConversion"/>
  </si>
  <si>
    <t>色诱</t>
    <phoneticPr fontId="83" type="noConversion"/>
  </si>
  <si>
    <t>材质</t>
    <phoneticPr fontId="83" type="noConversion"/>
  </si>
  <si>
    <t>表面光度</t>
  </si>
  <si>
    <t>颜色名称</t>
  </si>
  <si>
    <t>色号</t>
    <phoneticPr fontId="83" type="noConversion"/>
  </si>
  <si>
    <t>加工工序</t>
  </si>
  <si>
    <t>加工方式</t>
    <phoneticPr fontId="83" type="noConversion"/>
  </si>
  <si>
    <t>单次定额
g/㎡</t>
    <phoneticPr fontId="83" type="noConversion"/>
  </si>
  <si>
    <t>次数</t>
    <phoneticPr fontId="83" type="noConversion"/>
  </si>
  <si>
    <t>材料型号</t>
  </si>
  <si>
    <t>配比</t>
  </si>
  <si>
    <t>用量</t>
    <phoneticPr fontId="83" type="noConversion"/>
  </si>
  <si>
    <t>主剂</t>
  </si>
  <si>
    <t>固化剂</t>
  </si>
  <si>
    <t>稀料（冬/夏）</t>
  </si>
  <si>
    <t>修色剂</t>
  </si>
  <si>
    <t>稀释剂</t>
  </si>
  <si>
    <t>项目</t>
    <phoneticPr fontId="83" type="noConversion"/>
  </si>
  <si>
    <t>序号</t>
    <phoneticPr fontId="83" type="noConversion"/>
  </si>
  <si>
    <t>材料名称</t>
    <phoneticPr fontId="83" type="noConversion"/>
  </si>
  <si>
    <t>规格</t>
    <phoneticPr fontId="83" type="noConversion"/>
  </si>
  <si>
    <t>数量</t>
    <phoneticPr fontId="83" type="noConversion"/>
  </si>
  <si>
    <t>单位</t>
    <phoneticPr fontId="83" type="noConversion"/>
  </si>
  <si>
    <t>材质颜色</t>
    <phoneticPr fontId="83" type="noConversion"/>
  </si>
  <si>
    <t>PU一分光</t>
    <phoneticPr fontId="83" type="noConversion"/>
  </si>
  <si>
    <t>象牙白</t>
  </si>
  <si>
    <t>L02</t>
  </si>
  <si>
    <t>面漆工序</t>
    <phoneticPr fontId="83" type="noConversion"/>
  </si>
  <si>
    <t>手工喷涂</t>
    <phoneticPr fontId="83" type="noConversion"/>
  </si>
  <si>
    <t>PBJ3386</t>
  </si>
  <si>
    <t>PR82</t>
  </si>
  <si>
    <t>PX903/PX904</t>
  </si>
  <si>
    <t>无</t>
    <phoneticPr fontId="83" type="noConversion"/>
  </si>
  <si>
    <t>门板基材</t>
    <phoneticPr fontId="83" type="noConversion"/>
  </si>
  <si>
    <t>1220*2440</t>
    <phoneticPr fontId="83" type="noConversion"/>
  </si>
  <si>
    <t>张</t>
    <phoneticPr fontId="83" type="noConversion"/>
  </si>
  <si>
    <t>冬用</t>
    <phoneticPr fontId="83" type="noConversion"/>
  </si>
  <si>
    <t>纯白</t>
  </si>
  <si>
    <t>L12</t>
  </si>
  <si>
    <t>面漆工序</t>
    <phoneticPr fontId="83" type="noConversion"/>
  </si>
  <si>
    <t>手工喷涂</t>
    <phoneticPr fontId="83" type="noConversion"/>
  </si>
  <si>
    <t>CRF55085A9</t>
  </si>
  <si>
    <t>CRF55085B</t>
    <phoneticPr fontId="83" type="noConversion"/>
  </si>
  <si>
    <t>RTS-10SL</t>
    <phoneticPr fontId="83" type="noConversion"/>
  </si>
  <si>
    <t>1.0*22白色PVC（混油专用）</t>
    <phoneticPr fontId="83" type="noConversion"/>
  </si>
  <si>
    <t>米</t>
    <phoneticPr fontId="83" type="noConversion"/>
  </si>
  <si>
    <t>夏用</t>
    <phoneticPr fontId="83" type="noConversion"/>
  </si>
  <si>
    <t>珍珠白</t>
  </si>
  <si>
    <t>L01</t>
  </si>
  <si>
    <t>PBJ3388</t>
  </si>
  <si>
    <t>无</t>
  </si>
  <si>
    <t>热熔胶</t>
  </si>
  <si>
    <t>克</t>
    <phoneticPr fontId="83" type="noConversion"/>
  </si>
  <si>
    <t>油漆明细</t>
    <phoneticPr fontId="83" type="noConversion"/>
  </si>
  <si>
    <t>千克</t>
    <phoneticPr fontId="83" type="noConversion"/>
  </si>
  <si>
    <t>浅灰</t>
  </si>
  <si>
    <t>L05</t>
  </si>
  <si>
    <t>面漆工序</t>
    <phoneticPr fontId="83" type="noConversion"/>
  </si>
  <si>
    <t>手工喷涂</t>
    <phoneticPr fontId="83" type="noConversion"/>
  </si>
  <si>
    <t>PBJ3413</t>
  </si>
  <si>
    <t>PR50</t>
  </si>
  <si>
    <t>PU
高光</t>
    <phoneticPr fontId="83" type="noConversion"/>
  </si>
  <si>
    <t>卡布奇诺</t>
  </si>
  <si>
    <t>L06</t>
  </si>
  <si>
    <t>面漆工序</t>
    <phoneticPr fontId="83" type="noConversion"/>
  </si>
  <si>
    <t>手工喷涂</t>
    <phoneticPr fontId="83" type="noConversion"/>
  </si>
  <si>
    <t>PBJ3411</t>
  </si>
  <si>
    <r>
      <t>PU白底（cefla喷涂</t>
    </r>
    <r>
      <rPr>
        <sz val="10"/>
        <rFont val="宋体"/>
        <family val="3"/>
        <charset val="134"/>
      </rPr>
      <t>+手工喷涂</t>
    </r>
    <r>
      <rPr>
        <sz val="10"/>
        <rFont val="宋体"/>
        <family val="3"/>
        <charset val="134"/>
      </rPr>
      <t>）</t>
    </r>
    <phoneticPr fontId="83" type="noConversion"/>
  </si>
  <si>
    <t>千克</t>
    <phoneticPr fontId="83" type="noConversion"/>
  </si>
  <si>
    <t>纯黑</t>
    <phoneticPr fontId="83" type="noConversion"/>
  </si>
  <si>
    <t>L11</t>
  </si>
  <si>
    <t>P1270</t>
  </si>
  <si>
    <t>千克</t>
    <phoneticPr fontId="83" type="noConversion"/>
  </si>
  <si>
    <t>面漆工序</t>
    <phoneticPr fontId="83" type="noConversion"/>
  </si>
  <si>
    <t>手工喷涂</t>
    <phoneticPr fontId="83" type="noConversion"/>
  </si>
  <si>
    <t>CRF55085B</t>
  </si>
  <si>
    <t>RTS-10SL</t>
  </si>
  <si>
    <t>千克</t>
    <phoneticPr fontId="83" type="noConversion"/>
  </si>
  <si>
    <t>G01</t>
  </si>
  <si>
    <t>面漆工序</t>
  </si>
  <si>
    <t>G02</t>
  </si>
  <si>
    <t>PU面漆（手工喷涂)</t>
    <phoneticPr fontId="83" type="noConversion"/>
  </si>
  <si>
    <t>G06</t>
  </si>
  <si>
    <t>深灰</t>
    <phoneticPr fontId="83" type="noConversion"/>
  </si>
  <si>
    <t>G07</t>
  </si>
  <si>
    <t>PBJ3408</t>
  </si>
  <si>
    <t>柠檬绿</t>
    <phoneticPr fontId="83" type="noConversion"/>
  </si>
  <si>
    <t>G08</t>
    <phoneticPr fontId="83" type="noConversion"/>
  </si>
  <si>
    <t>PBJ3412</t>
    <phoneticPr fontId="83" type="noConversion"/>
  </si>
  <si>
    <t>PR50</t>
    <phoneticPr fontId="83" type="noConversion"/>
  </si>
  <si>
    <t>法拉利红</t>
  </si>
  <si>
    <t>G09</t>
  </si>
  <si>
    <t>PBJ3403</t>
  </si>
  <si>
    <t>酒红</t>
  </si>
  <si>
    <t>G10</t>
  </si>
  <si>
    <t>PBJ3419</t>
  </si>
  <si>
    <t>纯黑</t>
  </si>
  <si>
    <t>G11</t>
  </si>
  <si>
    <r>
      <t>P127</t>
    </r>
    <r>
      <rPr>
        <sz val="8"/>
        <color indexed="8"/>
        <rFont val="微软雅黑"/>
        <family val="2"/>
        <charset val="134"/>
      </rPr>
      <t>0</t>
    </r>
    <phoneticPr fontId="83" type="noConversion"/>
  </si>
  <si>
    <t>拉手</t>
    <phoneticPr fontId="83" type="noConversion"/>
  </si>
  <si>
    <t>配料：</t>
    <phoneticPr fontId="83" type="noConversion"/>
  </si>
  <si>
    <t>G12</t>
  </si>
  <si>
    <t>PBJ4490</t>
  </si>
  <si>
    <t>T32944</t>
  </si>
  <si>
    <t>PX801/PX803</t>
  </si>
  <si>
    <t>配料日期：</t>
    <phoneticPr fontId="83" type="noConversion"/>
  </si>
  <si>
    <t>三聚氰胺刨花板门板/柜板</t>
    <phoneticPr fontId="83" type="noConversion"/>
  </si>
  <si>
    <t>G01/G02/G06/G07/G09/G10/G11/G12</t>
    <phoneticPr fontId="83" type="noConversion"/>
  </si>
  <si>
    <t>UV清底</t>
  </si>
  <si>
    <t>辊涂面</t>
  </si>
  <si>
    <t>平面</t>
    <phoneticPr fontId="83" type="noConversion"/>
  </si>
  <si>
    <t>UA5002</t>
  </si>
  <si>
    <t>UV白底</t>
  </si>
  <si>
    <t>UTA1012</t>
  </si>
  <si>
    <t>PU白底</t>
    <phoneticPr fontId="83" type="noConversion"/>
  </si>
  <si>
    <t>手工喷涂</t>
  </si>
  <si>
    <t>平面+四边</t>
    <phoneticPr fontId="83" type="noConversion"/>
  </si>
  <si>
    <t>T20975</t>
    <phoneticPr fontId="83" type="noConversion"/>
  </si>
  <si>
    <t>PR66</t>
  </si>
  <si>
    <t>PX705/PX707</t>
  </si>
  <si>
    <t>L01/L02/L05/L06/L12</t>
    <phoneticPr fontId="83" type="noConversion"/>
  </si>
  <si>
    <t>共</t>
    <phoneticPr fontId="83" type="noConversion"/>
  </si>
  <si>
    <t>套</t>
    <phoneticPr fontId="83" type="noConversion"/>
  </si>
  <si>
    <t>客户姓名</t>
    <phoneticPr fontId="83" type="noConversion"/>
  </si>
  <si>
    <t>订单编号</t>
    <phoneticPr fontId="83" type="noConversion"/>
  </si>
  <si>
    <t>接单日期</t>
    <phoneticPr fontId="83" type="noConversion"/>
  </si>
  <si>
    <t>款式名称</t>
    <phoneticPr fontId="83" type="noConversion"/>
  </si>
  <si>
    <t>色诱</t>
    <phoneticPr fontId="83" type="noConversion"/>
  </si>
  <si>
    <t>材质/色号</t>
    <phoneticPr fontId="83" type="noConversion"/>
  </si>
  <si>
    <t>下单日期</t>
    <phoneticPr fontId="83" type="noConversion"/>
  </si>
  <si>
    <t>销售点</t>
    <phoneticPr fontId="83" type="noConversion"/>
  </si>
  <si>
    <t>设计师</t>
    <phoneticPr fontId="83" type="noConversion"/>
  </si>
  <si>
    <t>应完成日期</t>
    <phoneticPr fontId="83" type="noConversion"/>
  </si>
  <si>
    <t>产品系列</t>
    <phoneticPr fontId="83" type="noConversion"/>
  </si>
  <si>
    <t>实木</t>
    <phoneticPr fontId="83" type="noConversion"/>
  </si>
  <si>
    <t>混油</t>
    <phoneticPr fontId="83" type="noConversion"/>
  </si>
  <si>
    <t>清油</t>
    <phoneticPr fontId="83" type="noConversion"/>
  </si>
  <si>
    <t>吸塑</t>
    <phoneticPr fontId="83" type="noConversion"/>
  </si>
  <si>
    <t>免漆</t>
    <phoneticPr fontId="83" type="noConversion"/>
  </si>
  <si>
    <t>铝框</t>
    <phoneticPr fontId="83" type="noConversion"/>
  </si>
  <si>
    <t>序号</t>
    <phoneticPr fontId="83" type="noConversion"/>
  </si>
  <si>
    <t>工序名称</t>
    <phoneticPr fontId="83" type="noConversion"/>
  </si>
  <si>
    <t>成品数量</t>
    <phoneticPr fontId="83" type="noConversion"/>
  </si>
  <si>
    <t>接单日期</t>
    <phoneticPr fontId="83" type="noConversion"/>
  </si>
  <si>
    <t>完成日期</t>
    <phoneticPr fontId="83" type="noConversion"/>
  </si>
  <si>
    <t>主机手</t>
    <phoneticPr fontId="83" type="noConversion"/>
  </si>
  <si>
    <t>质检</t>
    <phoneticPr fontId="83" type="noConversion"/>
  </si>
  <si>
    <t>备注</t>
    <phoneticPr fontId="83" type="noConversion"/>
  </si>
  <si>
    <t>下料</t>
    <phoneticPr fontId="83" type="noConversion"/>
  </si>
  <si>
    <t>码龙骨</t>
    <phoneticPr fontId="83" type="noConversion"/>
  </si>
  <si>
    <t>定厚砂光</t>
    <phoneticPr fontId="83" type="noConversion"/>
  </si>
  <si>
    <t>四面刨</t>
    <phoneticPr fontId="83" type="noConversion"/>
  </si>
  <si>
    <t>热压</t>
    <phoneticPr fontId="83" type="noConversion"/>
  </si>
  <si>
    <t>木皮切割</t>
    <phoneticPr fontId="83" type="noConversion"/>
  </si>
  <si>
    <t>木皮拼线</t>
    <phoneticPr fontId="83" type="noConversion"/>
  </si>
  <si>
    <t>木皮涂胶</t>
    <phoneticPr fontId="83" type="noConversion"/>
  </si>
  <si>
    <t>木皮砂光</t>
    <phoneticPr fontId="83" type="noConversion"/>
  </si>
  <si>
    <t>包覆机</t>
    <phoneticPr fontId="83" type="noConversion"/>
  </si>
  <si>
    <t>层板铝扣条</t>
    <phoneticPr fontId="83" type="noConversion"/>
  </si>
  <si>
    <t>铝制踢脚板</t>
    <phoneticPr fontId="83" type="noConversion"/>
  </si>
  <si>
    <t>封边</t>
    <phoneticPr fontId="83" type="noConversion"/>
  </si>
  <si>
    <t>排钻</t>
    <phoneticPr fontId="83" type="noConversion"/>
  </si>
  <si>
    <t>门板制作</t>
    <phoneticPr fontId="83" type="noConversion"/>
  </si>
  <si>
    <t>铣型</t>
    <phoneticPr fontId="83" type="noConversion"/>
  </si>
  <si>
    <t>异型封边</t>
    <phoneticPr fontId="83" type="noConversion"/>
  </si>
  <si>
    <t>COSTA砂光</t>
    <phoneticPr fontId="83" type="noConversion"/>
  </si>
  <si>
    <t>滚涂底漆</t>
    <phoneticPr fontId="83" type="noConversion"/>
  </si>
  <si>
    <t>手工清理边角</t>
    <phoneticPr fontId="83" type="noConversion"/>
  </si>
  <si>
    <t>双面砂边</t>
    <phoneticPr fontId="83" type="noConversion"/>
  </si>
  <si>
    <t>COSTA底漆</t>
    <phoneticPr fontId="83" type="noConversion"/>
  </si>
  <si>
    <t>手工边缘打磨</t>
    <phoneticPr fontId="83" type="noConversion"/>
  </si>
  <si>
    <t>清理除尘</t>
    <phoneticPr fontId="83" type="noConversion"/>
  </si>
  <si>
    <t>CEFLA白底</t>
    <phoneticPr fontId="83" type="noConversion"/>
  </si>
  <si>
    <t>手工喷漆</t>
    <phoneticPr fontId="83" type="noConversion"/>
  </si>
  <si>
    <t>手工润色</t>
    <phoneticPr fontId="83" type="noConversion"/>
  </si>
  <si>
    <t>水磨</t>
    <phoneticPr fontId="83" type="noConversion"/>
  </si>
  <si>
    <t>抛光</t>
    <phoneticPr fontId="83" type="noConversion"/>
  </si>
  <si>
    <t>组装</t>
    <phoneticPr fontId="83" type="noConversion"/>
  </si>
  <si>
    <t>拉篮</t>
    <phoneticPr fontId="83" type="noConversion"/>
  </si>
  <si>
    <t>小怪物</t>
    <phoneticPr fontId="83" type="noConversion"/>
  </si>
  <si>
    <t>铝框门</t>
    <phoneticPr fontId="83" type="noConversion"/>
  </si>
  <si>
    <t>门铰</t>
    <phoneticPr fontId="83" type="noConversion"/>
  </si>
  <si>
    <t>铝百叶</t>
    <phoneticPr fontId="83" type="noConversion"/>
  </si>
  <si>
    <t>安玻璃</t>
    <phoneticPr fontId="83" type="noConversion"/>
  </si>
  <si>
    <t>扣手</t>
    <phoneticPr fontId="83" type="noConversion"/>
  </si>
  <si>
    <t>封边拉手</t>
    <phoneticPr fontId="83" type="noConversion"/>
  </si>
  <si>
    <t>打包</t>
    <phoneticPr fontId="83" type="noConversion"/>
  </si>
  <si>
    <t>工艺员：</t>
    <phoneticPr fontId="83" type="noConversion"/>
  </si>
  <si>
    <t>车间负责人：</t>
    <phoneticPr fontId="83" type="noConversion"/>
  </si>
  <si>
    <t>木业有限公司技术部-工艺组</t>
    <phoneticPr fontId="83" type="noConversion"/>
  </si>
  <si>
    <t>木业有限公司工艺材料单(门板)</t>
    <phoneticPr fontId="83" type="noConversion"/>
  </si>
  <si>
    <t>夏用</t>
  </si>
  <si>
    <t>木业生产线工序交接表（橱柜油漆门板）</t>
    <phoneticPr fontId="83" type="noConversion"/>
  </si>
  <si>
    <t>UV白底</t>
    <phoneticPr fontId="7" type="noConversion"/>
  </si>
  <si>
    <t>UV1012</t>
    <phoneticPr fontId="7" type="noConversion"/>
  </si>
  <si>
    <t>UV1043</t>
    <phoneticPr fontId="7" type="noConversion"/>
  </si>
  <si>
    <t>木业有限公司技术部-工艺组</t>
    <phoneticPr fontId="7" type="noConversion"/>
  </si>
  <si>
    <t>门板生产加工单（自加工）      UV辊边工艺</t>
    <phoneticPr fontId="7" type="noConversion"/>
  </si>
  <si>
    <t>庄园橡木山纹N02-V</t>
  </si>
  <si>
    <t>设计姓名：</t>
    <phoneticPr fontId="7" type="noConversion"/>
  </si>
  <si>
    <t>樱桃山纹N03-V</t>
  </si>
  <si>
    <t>下单日期：</t>
    <phoneticPr fontId="7" type="noConversion"/>
  </si>
  <si>
    <t>安装日期</t>
    <phoneticPr fontId="7" type="noConversion"/>
  </si>
  <si>
    <t xml:space="preserve"> </t>
    <phoneticPr fontId="7" type="noConversion"/>
  </si>
  <si>
    <t>浅胡桃-山纹-N04-V</t>
  </si>
  <si>
    <t>门板描述：</t>
    <phoneticPr fontId="7" type="noConversion"/>
  </si>
  <si>
    <t>双面实木贴皮：</t>
    <phoneticPr fontId="7" type="noConversion"/>
  </si>
  <si>
    <t>横纹</t>
    <phoneticPr fontId="7" type="noConversion"/>
  </si>
  <si>
    <t>3分光</t>
    <phoneticPr fontId="7" type="noConversion"/>
  </si>
  <si>
    <t>左岸都市I</t>
    <phoneticPr fontId="7" type="noConversion"/>
  </si>
  <si>
    <t>门板成型尺寸一宽方向铣拉手槽</t>
  </si>
  <si>
    <t>深胡桃-山纹-N05-V</t>
  </si>
  <si>
    <t>所有下料纹理方向均为高度方向</t>
    <phoneticPr fontId="7" type="noConversion"/>
  </si>
  <si>
    <t>深橡-山纹N06</t>
  </si>
  <si>
    <t>说明</t>
    <phoneticPr fontId="7" type="noConversion"/>
  </si>
  <si>
    <t>成型尺寸</t>
    <phoneticPr fontId="7" type="noConversion"/>
  </si>
  <si>
    <t>下料尺寸</t>
    <phoneticPr fontId="7" type="noConversion"/>
  </si>
  <si>
    <t>门板基材：</t>
    <phoneticPr fontId="7" type="noConversion"/>
  </si>
  <si>
    <t>18厚EO级素刨花板</t>
    <phoneticPr fontId="7" type="noConversion"/>
  </si>
  <si>
    <t>非洲核桃直纹-N07-H</t>
  </si>
  <si>
    <t>箱体序号</t>
    <phoneticPr fontId="7" type="noConversion"/>
  </si>
  <si>
    <t>高度</t>
    <phoneticPr fontId="7" type="noConversion"/>
  </si>
  <si>
    <t>数量</t>
    <phoneticPr fontId="7" type="noConversion"/>
  </si>
  <si>
    <t>宽度</t>
    <phoneticPr fontId="7" type="noConversion"/>
  </si>
  <si>
    <t>门板说明</t>
    <phoneticPr fontId="7" type="noConversion"/>
  </si>
  <si>
    <t>备注</t>
    <phoneticPr fontId="7" type="noConversion"/>
  </si>
  <si>
    <t>门板封边</t>
    <phoneticPr fontId="7" type="noConversion"/>
  </si>
  <si>
    <t>门板平米</t>
    <phoneticPr fontId="7" type="noConversion"/>
  </si>
  <si>
    <t>门板张数</t>
    <phoneticPr fontId="7" type="noConversion"/>
  </si>
  <si>
    <t>双面平米</t>
    <phoneticPr fontId="7" type="noConversion"/>
  </si>
  <si>
    <t>木皮平米数</t>
    <phoneticPr fontId="7" type="noConversion"/>
  </si>
  <si>
    <t>踢脚板</t>
    <phoneticPr fontId="7" type="noConversion"/>
  </si>
  <si>
    <t>红色区域勿动</t>
    <phoneticPr fontId="7" type="noConversion"/>
  </si>
  <si>
    <t>此单分下料尺寸和成型尺寸2种，请生产各工段注意！</t>
    <phoneticPr fontId="7" type="noConversion"/>
  </si>
  <si>
    <t>油漆平米数</t>
    <phoneticPr fontId="7" type="noConversion"/>
  </si>
  <si>
    <r>
      <t>如有材质、颜色、尺寸不明请和工艺组联系并确认</t>
    </r>
    <r>
      <rPr>
        <sz val="14"/>
        <rFont val="宋体"/>
        <family val="3"/>
        <charset val="134"/>
      </rPr>
      <t>！</t>
    </r>
    <r>
      <rPr>
        <sz val="14"/>
        <rFont val="华文行楷"/>
        <family val="3"/>
        <charset val="134"/>
      </rPr>
      <t xml:space="preserve">  分机电话：2115</t>
    </r>
    <phoneticPr fontId="7" type="noConversion"/>
  </si>
  <si>
    <t>侧边平米数</t>
    <phoneticPr fontId="7" type="noConversion"/>
  </si>
  <si>
    <t>制单人：</t>
    <phoneticPr fontId="7" type="noConversion"/>
  </si>
  <si>
    <t>夏用(有慢干水)</t>
  </si>
  <si>
    <t>夏用(无慢干水)</t>
    <phoneticPr fontId="7" type="noConversion"/>
  </si>
  <si>
    <t>夏用(有慢干水)</t>
    <phoneticPr fontId="7" type="noConversion"/>
  </si>
  <si>
    <t>手工喷边</t>
    <phoneticPr fontId="7" type="noConversion"/>
  </si>
  <si>
    <t>手工喷涂整个做漆面</t>
    <phoneticPr fontId="7" type="noConversion"/>
  </si>
  <si>
    <t>左岸都市1</t>
    <phoneticPr fontId="7" type="noConversion"/>
  </si>
  <si>
    <t>冬用</t>
    <phoneticPr fontId="7" type="noConversion"/>
  </si>
  <si>
    <t>木皮</t>
    <phoneticPr fontId="7" type="noConversion"/>
  </si>
  <si>
    <t>封边条</t>
    <phoneticPr fontId="7" type="noConversion"/>
  </si>
  <si>
    <t>修色</t>
    <phoneticPr fontId="7" type="noConversion"/>
  </si>
  <si>
    <t>单次量</t>
    <phoneticPr fontId="7" type="noConversion"/>
  </si>
  <si>
    <t>次数</t>
    <phoneticPr fontId="7" type="noConversion"/>
  </si>
  <si>
    <t>面漆</t>
    <phoneticPr fontId="7" type="noConversion"/>
  </si>
  <si>
    <t>PU清漆</t>
    <phoneticPr fontId="7" type="noConversion"/>
  </si>
  <si>
    <t>UV清底</t>
    <phoneticPr fontId="7" type="noConversion"/>
  </si>
  <si>
    <t>PU清底</t>
    <phoneticPr fontId="7" type="noConversion"/>
  </si>
  <si>
    <r>
      <t>U</t>
    </r>
    <r>
      <rPr>
        <sz val="12"/>
        <rFont val="宋体"/>
        <family val="3"/>
        <charset val="134"/>
      </rPr>
      <t>V辊面</t>
    </r>
    <phoneticPr fontId="7" type="noConversion"/>
  </si>
  <si>
    <t>设计姓名</t>
    <phoneticPr fontId="7" type="noConversion"/>
  </si>
  <si>
    <t>一分光</t>
    <phoneticPr fontId="7" type="noConversion"/>
  </si>
  <si>
    <t>白橡木皮</t>
    <phoneticPr fontId="7" type="noConversion"/>
  </si>
  <si>
    <t>山纹</t>
    <phoneticPr fontId="7" type="noConversion"/>
  </si>
  <si>
    <t>白橡山纹木皮封边</t>
    <phoneticPr fontId="7" type="noConversion"/>
  </si>
  <si>
    <t>主剂GT2024</t>
    <phoneticPr fontId="7" type="noConversion"/>
  </si>
  <si>
    <t>固化剂PR50</t>
    <phoneticPr fontId="7" type="noConversion"/>
  </si>
  <si>
    <t>稀料PX903/PX904</t>
    <phoneticPr fontId="7" type="noConversion"/>
  </si>
  <si>
    <t>红黄黑色精</t>
    <phoneticPr fontId="7" type="noConversion"/>
  </si>
  <si>
    <t>主剂P12001</t>
    <phoneticPr fontId="7" type="noConversion"/>
  </si>
  <si>
    <t>主剂PD3200</t>
    <phoneticPr fontId="7" type="noConversion"/>
  </si>
  <si>
    <t>固化剂PR66</t>
    <phoneticPr fontId="7" type="noConversion"/>
  </si>
  <si>
    <t>稀料PX705/PX707</t>
    <phoneticPr fontId="7" type="noConversion"/>
  </si>
  <si>
    <t>主剂UA5002</t>
    <phoneticPr fontId="7" type="noConversion"/>
  </si>
  <si>
    <t>三分光</t>
    <phoneticPr fontId="7" type="noConversion"/>
  </si>
  <si>
    <t>樱桃山纹木皮</t>
    <phoneticPr fontId="7" type="noConversion"/>
  </si>
  <si>
    <t>樱桃山纹木皮0.5mm</t>
    <phoneticPr fontId="7" type="noConversion"/>
  </si>
  <si>
    <t>红樱桃木皮封边</t>
    <phoneticPr fontId="7" type="noConversion"/>
  </si>
  <si>
    <t>PBJ3992</t>
    <phoneticPr fontId="7" type="noConversion"/>
  </si>
  <si>
    <t>主剂P86003</t>
    <phoneticPr fontId="7" type="noConversion"/>
  </si>
  <si>
    <t>固化剂PR86</t>
    <phoneticPr fontId="7" type="noConversion"/>
  </si>
  <si>
    <t>门板基材</t>
    <phoneticPr fontId="7" type="noConversion"/>
  </si>
  <si>
    <t>门板</t>
    <phoneticPr fontId="7" type="noConversion"/>
  </si>
  <si>
    <t>*</t>
    <phoneticPr fontId="7" type="noConversion"/>
  </si>
  <si>
    <t>胡桃山纹木皮</t>
    <phoneticPr fontId="7" type="noConversion"/>
  </si>
  <si>
    <t>胡桃山纹木皮0.5mm</t>
    <phoneticPr fontId="7" type="noConversion"/>
  </si>
  <si>
    <t>胡桃木皮封边</t>
  </si>
  <si>
    <t>PBJ4525</t>
    <phoneticPr fontId="7" type="noConversion"/>
  </si>
  <si>
    <t>胡桃山纹木皮</t>
  </si>
  <si>
    <t>胡桃山纹木皮封边条</t>
  </si>
  <si>
    <t>平米</t>
    <phoneticPr fontId="7" type="noConversion"/>
  </si>
  <si>
    <t>转换平米合计</t>
    <phoneticPr fontId="7" type="noConversion"/>
  </si>
  <si>
    <t>红橡山纹木皮</t>
    <phoneticPr fontId="7" type="noConversion"/>
  </si>
  <si>
    <t>红橡山纹木皮0.5mm</t>
    <phoneticPr fontId="7" type="noConversion"/>
  </si>
  <si>
    <t>红橡直纹木皮封边条</t>
    <phoneticPr fontId="7" type="noConversion"/>
  </si>
  <si>
    <t>PBJ4526</t>
    <phoneticPr fontId="7" type="noConversion"/>
  </si>
  <si>
    <t>胶类</t>
    <phoneticPr fontId="7" type="noConversion"/>
  </si>
  <si>
    <t>丽凯8803A</t>
    <phoneticPr fontId="7" type="noConversion"/>
  </si>
  <si>
    <t>非洲核桃木皮</t>
  </si>
  <si>
    <t>直纹木皮0.5mm厚</t>
    <phoneticPr fontId="7" type="noConversion"/>
  </si>
  <si>
    <t>非洲核桃木皮封边条</t>
    <phoneticPr fontId="7" type="noConversion"/>
  </si>
  <si>
    <t>主剂GT2024</t>
    <phoneticPr fontId="7" type="noConversion"/>
  </si>
  <si>
    <t>固化剂PR50</t>
    <phoneticPr fontId="7" type="noConversion"/>
  </si>
  <si>
    <t>稀料PX903/PX904</t>
    <phoneticPr fontId="7" type="noConversion"/>
  </si>
  <si>
    <t>红黄黑色精</t>
    <phoneticPr fontId="7" type="noConversion"/>
  </si>
  <si>
    <t>主剂P12001</t>
    <phoneticPr fontId="7" type="noConversion"/>
  </si>
  <si>
    <t>主剂PD3200</t>
    <phoneticPr fontId="7" type="noConversion"/>
  </si>
  <si>
    <t>固化剂PR66</t>
    <phoneticPr fontId="7" type="noConversion"/>
  </si>
  <si>
    <t>稀料PX705/PX707</t>
    <phoneticPr fontId="7" type="noConversion"/>
  </si>
  <si>
    <t>主剂UA5002</t>
    <phoneticPr fontId="7" type="noConversion"/>
  </si>
  <si>
    <t>拉手</t>
    <phoneticPr fontId="7" type="noConversion"/>
  </si>
  <si>
    <t>LC-003</t>
    <phoneticPr fontId="7" type="noConversion"/>
  </si>
  <si>
    <t>米</t>
    <phoneticPr fontId="7" type="noConversion"/>
  </si>
  <si>
    <t>热熔胶</t>
    <phoneticPr fontId="7" type="noConversion"/>
  </si>
  <si>
    <t>KS3920</t>
    <phoneticPr fontId="7" type="noConversion"/>
  </si>
  <si>
    <t>克</t>
    <phoneticPr fontId="7" type="noConversion"/>
  </si>
  <si>
    <t>普施宝免钉胶</t>
    <phoneticPr fontId="7" type="noConversion"/>
  </si>
  <si>
    <t>瓶</t>
    <phoneticPr fontId="7" type="noConversion"/>
  </si>
  <si>
    <t>贴面胶</t>
    <phoneticPr fontId="7" type="noConversion"/>
  </si>
  <si>
    <t>KL3052SR</t>
    <phoneticPr fontId="7" type="noConversion"/>
  </si>
  <si>
    <t>油漆明细</t>
    <phoneticPr fontId="7" type="noConversion"/>
  </si>
  <si>
    <t>UV底漆</t>
    <phoneticPr fontId="7" type="noConversion"/>
  </si>
  <si>
    <t>UV1832</t>
    <phoneticPr fontId="7" type="noConversion"/>
  </si>
  <si>
    <t>千克</t>
    <phoneticPr fontId="7" type="noConversion"/>
  </si>
  <si>
    <t>UA5002</t>
    <phoneticPr fontId="7" type="noConversion"/>
  </si>
  <si>
    <t>UA5012</t>
    <phoneticPr fontId="7" type="noConversion"/>
  </si>
  <si>
    <t>以下区域勿动</t>
    <phoneticPr fontId="7" type="noConversion"/>
  </si>
  <si>
    <t>UA辊边</t>
    <phoneticPr fontId="7" type="noConversion"/>
  </si>
  <si>
    <t>UV辊边</t>
    <phoneticPr fontId="7" type="noConversion"/>
  </si>
  <si>
    <t>UA1832</t>
    <phoneticPr fontId="7" type="noConversion"/>
  </si>
  <si>
    <t>UV辊边工艺</t>
    <phoneticPr fontId="7" type="noConversion"/>
  </si>
  <si>
    <t>UA4032</t>
    <phoneticPr fontId="7" type="noConversion"/>
  </si>
  <si>
    <t>PU清底（手工喷涂）</t>
    <phoneticPr fontId="7" type="noConversion"/>
  </si>
  <si>
    <t>修色 面漆</t>
    <phoneticPr fontId="7" type="noConversion"/>
  </si>
  <si>
    <t>慢干水PZ807</t>
    <phoneticPr fontId="7" type="noConversion"/>
  </si>
  <si>
    <t>PU面漆（手工喷涂）</t>
    <phoneticPr fontId="7" type="noConversion"/>
  </si>
  <si>
    <t>UV清底</t>
    <phoneticPr fontId="7" type="noConversion"/>
  </si>
  <si>
    <t>配料：</t>
    <phoneticPr fontId="7" type="noConversion"/>
  </si>
  <si>
    <t>审核人：</t>
    <phoneticPr fontId="7" type="noConversion"/>
  </si>
  <si>
    <t>UV辊面</t>
    <phoneticPr fontId="7" type="noConversion"/>
  </si>
  <si>
    <t>主剂UA69225</t>
    <phoneticPr fontId="7" type="noConversion"/>
  </si>
  <si>
    <t>配料日期：</t>
    <phoneticPr fontId="7" type="noConversion"/>
  </si>
  <si>
    <t>审核日期：</t>
    <phoneticPr fontId="7" type="noConversion"/>
  </si>
  <si>
    <t>木业生产线工序交接表（橱柜油漆门板）  UV辊边工艺</t>
    <phoneticPr fontId="7" type="noConversion"/>
  </si>
  <si>
    <t>共</t>
    <phoneticPr fontId="7" type="noConversion"/>
  </si>
  <si>
    <t>套</t>
    <phoneticPr fontId="7" type="noConversion"/>
  </si>
  <si>
    <t>客户姓名</t>
    <phoneticPr fontId="7" type="noConversion"/>
  </si>
  <si>
    <t>订单编号</t>
    <phoneticPr fontId="7" type="noConversion"/>
  </si>
  <si>
    <t>接单日期</t>
    <phoneticPr fontId="7" type="noConversion"/>
  </si>
  <si>
    <t>款式名称</t>
    <phoneticPr fontId="7" type="noConversion"/>
  </si>
  <si>
    <t>材质/色号</t>
    <phoneticPr fontId="7" type="noConversion"/>
  </si>
  <si>
    <t>下单日期</t>
    <phoneticPr fontId="7" type="noConversion"/>
  </si>
  <si>
    <t>销售点</t>
    <phoneticPr fontId="7" type="noConversion"/>
  </si>
  <si>
    <t>设计师</t>
    <phoneticPr fontId="7" type="noConversion"/>
  </si>
  <si>
    <t>应完成日期</t>
    <phoneticPr fontId="7" type="noConversion"/>
  </si>
  <si>
    <t>产品系列</t>
    <phoneticPr fontId="7" type="noConversion"/>
  </si>
  <si>
    <t>实木</t>
    <phoneticPr fontId="7" type="noConversion"/>
  </si>
  <si>
    <t>混油</t>
    <phoneticPr fontId="7" type="noConversion"/>
  </si>
  <si>
    <t>清油</t>
    <phoneticPr fontId="7" type="noConversion"/>
  </si>
  <si>
    <t>吸塑</t>
    <phoneticPr fontId="7" type="noConversion"/>
  </si>
  <si>
    <t>免漆</t>
    <phoneticPr fontId="7" type="noConversion"/>
  </si>
  <si>
    <t>铝框</t>
    <phoneticPr fontId="7" type="noConversion"/>
  </si>
  <si>
    <t>序号</t>
    <phoneticPr fontId="7" type="noConversion"/>
  </si>
  <si>
    <t>工序名称</t>
    <phoneticPr fontId="7" type="noConversion"/>
  </si>
  <si>
    <t>成品数量</t>
    <phoneticPr fontId="7" type="noConversion"/>
  </si>
  <si>
    <t>完成日期</t>
    <phoneticPr fontId="7" type="noConversion"/>
  </si>
  <si>
    <t>主机手</t>
    <phoneticPr fontId="7" type="noConversion"/>
  </si>
  <si>
    <t>质检</t>
    <phoneticPr fontId="7" type="noConversion"/>
  </si>
  <si>
    <t>备注</t>
    <phoneticPr fontId="7" type="noConversion"/>
  </si>
  <si>
    <t>下料</t>
    <phoneticPr fontId="7" type="noConversion"/>
  </si>
  <si>
    <t>码龙骨</t>
    <phoneticPr fontId="7" type="noConversion"/>
  </si>
  <si>
    <t>定厚砂光</t>
    <phoneticPr fontId="7" type="noConversion"/>
  </si>
  <si>
    <t>四面刨</t>
    <phoneticPr fontId="7" type="noConversion"/>
  </si>
  <si>
    <t>热压</t>
    <phoneticPr fontId="7" type="noConversion"/>
  </si>
  <si>
    <t>木皮切割</t>
    <phoneticPr fontId="7" type="noConversion"/>
  </si>
  <si>
    <t>木皮拼线</t>
    <phoneticPr fontId="7" type="noConversion"/>
  </si>
  <si>
    <t>木皮涂胶</t>
    <phoneticPr fontId="7" type="noConversion"/>
  </si>
  <si>
    <t>木皮砂光</t>
    <phoneticPr fontId="7" type="noConversion"/>
  </si>
  <si>
    <t>包覆机</t>
    <phoneticPr fontId="7" type="noConversion"/>
  </si>
  <si>
    <t>层板铝扣条</t>
    <phoneticPr fontId="7" type="noConversion"/>
  </si>
  <si>
    <t>铝制踢脚板</t>
    <phoneticPr fontId="7" type="noConversion"/>
  </si>
  <si>
    <t>封边</t>
    <phoneticPr fontId="7" type="noConversion"/>
  </si>
  <si>
    <t>排钻</t>
    <phoneticPr fontId="7" type="noConversion"/>
  </si>
  <si>
    <t>门板制作</t>
    <phoneticPr fontId="7" type="noConversion"/>
  </si>
  <si>
    <t>铣型</t>
    <phoneticPr fontId="7" type="noConversion"/>
  </si>
  <si>
    <t>异型封边</t>
    <phoneticPr fontId="7" type="noConversion"/>
  </si>
  <si>
    <t>COSTA砂光</t>
    <phoneticPr fontId="7" type="noConversion"/>
  </si>
  <si>
    <t>滚涂底漆</t>
    <phoneticPr fontId="7" type="noConversion"/>
  </si>
  <si>
    <t>手工清理边角</t>
    <phoneticPr fontId="7" type="noConversion"/>
  </si>
  <si>
    <t>双面砂边</t>
    <phoneticPr fontId="7" type="noConversion"/>
  </si>
  <si>
    <t>COSTA底漆</t>
    <phoneticPr fontId="7" type="noConversion"/>
  </si>
  <si>
    <t>手工边缘打磨</t>
    <phoneticPr fontId="7" type="noConversion"/>
  </si>
  <si>
    <t>清理除尘</t>
    <phoneticPr fontId="7" type="noConversion"/>
  </si>
  <si>
    <t>CEFLA白底</t>
    <phoneticPr fontId="7" type="noConversion"/>
  </si>
  <si>
    <t>手工喷漆</t>
    <phoneticPr fontId="7" type="noConversion"/>
  </si>
  <si>
    <t>手工润色</t>
    <phoneticPr fontId="7" type="noConversion"/>
  </si>
  <si>
    <t>水磨</t>
    <phoneticPr fontId="7" type="noConversion"/>
  </si>
  <si>
    <t>抛光</t>
    <phoneticPr fontId="7" type="noConversion"/>
  </si>
  <si>
    <t>组装</t>
    <phoneticPr fontId="7" type="noConversion"/>
  </si>
  <si>
    <t>拉篮</t>
    <phoneticPr fontId="7" type="noConversion"/>
  </si>
  <si>
    <t>小怪物</t>
    <phoneticPr fontId="7" type="noConversion"/>
  </si>
  <si>
    <t>铝框门</t>
    <phoneticPr fontId="7" type="noConversion"/>
  </si>
  <si>
    <t>门铰</t>
    <phoneticPr fontId="7" type="noConversion"/>
  </si>
  <si>
    <t>铝百叶</t>
    <phoneticPr fontId="7" type="noConversion"/>
  </si>
  <si>
    <t>安玻璃</t>
    <phoneticPr fontId="7" type="noConversion"/>
  </si>
  <si>
    <t>扣手</t>
    <phoneticPr fontId="7" type="noConversion"/>
  </si>
  <si>
    <t>封边拉手</t>
    <phoneticPr fontId="7" type="noConversion"/>
  </si>
  <si>
    <t>打包</t>
    <phoneticPr fontId="7" type="noConversion"/>
  </si>
  <si>
    <t>工艺员：</t>
    <phoneticPr fontId="7" type="noConversion"/>
  </si>
  <si>
    <t>车间负责人：</t>
    <phoneticPr fontId="7" type="noConversion"/>
  </si>
  <si>
    <r>
      <t xml:space="preserve"> </t>
    </r>
    <r>
      <rPr>
        <b/>
        <sz val="16"/>
        <rFont val="宋体"/>
        <family val="3"/>
        <charset val="134"/>
      </rPr>
      <t>（厨浴柜）门板外协加工单</t>
    </r>
    <phoneticPr fontId="83" type="noConversion"/>
  </si>
  <si>
    <t xml:space="preserve"> </t>
    <phoneticPr fontId="83" type="noConversion"/>
  </si>
  <si>
    <t>TO:</t>
    <phoneticPr fontId="83" type="noConversion"/>
  </si>
  <si>
    <t>宜美家</t>
    <phoneticPr fontId="83" type="noConversion"/>
  </si>
  <si>
    <r>
      <t>客户姓名：</t>
    </r>
    <r>
      <rPr>
        <sz val="12"/>
        <rFont val="Times New Roman"/>
        <family val="1"/>
      </rPr>
      <t xml:space="preserve">  </t>
    </r>
    <phoneticPr fontId="83" type="noConversion"/>
  </si>
  <si>
    <r>
      <t>件数</t>
    </r>
    <r>
      <rPr>
        <sz val="12"/>
        <rFont val="Times New Roman"/>
        <family val="1"/>
      </rPr>
      <t>:</t>
    </r>
    <phoneticPr fontId="83" type="noConversion"/>
  </si>
  <si>
    <t>订单编号：</t>
    <phoneticPr fontId="83" type="noConversion"/>
  </si>
  <si>
    <t>传单日期：</t>
    <phoneticPr fontId="83" type="noConversion"/>
  </si>
  <si>
    <t>交货日期：</t>
    <phoneticPr fontId="83" type="noConversion"/>
  </si>
  <si>
    <t>供货单位：</t>
    <phoneticPr fontId="83" type="noConversion"/>
  </si>
  <si>
    <t>供货传真：</t>
    <phoneticPr fontId="83" type="noConversion"/>
  </si>
  <si>
    <t>供货电话：</t>
    <phoneticPr fontId="83" type="noConversion"/>
  </si>
  <si>
    <r>
      <t>定货单位：</t>
    </r>
    <r>
      <rPr>
        <sz val="12"/>
        <rFont val="Times New Roman"/>
        <family val="1"/>
      </rPr>
      <t xml:space="preserve">               </t>
    </r>
    <phoneticPr fontId="83" type="noConversion"/>
  </si>
  <si>
    <t>收货传真：</t>
    <phoneticPr fontId="83" type="noConversion"/>
  </si>
  <si>
    <t>收货电话：</t>
    <phoneticPr fontId="83" type="noConversion"/>
  </si>
  <si>
    <r>
      <t>门板种类</t>
    </r>
    <r>
      <rPr>
        <sz val="12"/>
        <rFont val="宋体"/>
        <family val="3"/>
        <charset val="134"/>
      </rPr>
      <t>：</t>
    </r>
    <r>
      <rPr>
        <sz val="12"/>
        <rFont val="Times New Roman"/>
        <family val="1"/>
      </rPr>
      <t xml:space="preserve">     </t>
    </r>
    <phoneticPr fontId="83" type="noConversion"/>
  </si>
  <si>
    <t>门板颜色及刀型：香颂</t>
    <phoneticPr fontId="83" type="noConversion"/>
  </si>
  <si>
    <t>收货人：</t>
    <phoneticPr fontId="83" type="noConversion"/>
  </si>
  <si>
    <t>郝晓卓/冯刚强</t>
    <phoneticPr fontId="83" type="noConversion"/>
  </si>
  <si>
    <t>X</t>
    <phoneticPr fontId="83" type="noConversion"/>
  </si>
  <si>
    <t>加工刀型</t>
    <phoneticPr fontId="83" type="noConversion"/>
  </si>
  <si>
    <t>罗马柱</t>
    <phoneticPr fontId="83" type="noConversion"/>
  </si>
  <si>
    <r>
      <t>含1</t>
    </r>
    <r>
      <rPr>
        <sz val="12"/>
        <rFont val="宋体"/>
        <family val="3"/>
        <charset val="134"/>
      </rPr>
      <t>00高罗马柱础</t>
    </r>
    <phoneticPr fontId="83" type="noConversion"/>
  </si>
  <si>
    <t>踢脚板</t>
    <phoneticPr fontId="83" type="noConversion"/>
  </si>
  <si>
    <t>平板无刀型</t>
    <phoneticPr fontId="83" type="noConversion"/>
  </si>
  <si>
    <t>顶线</t>
    <phoneticPr fontId="83" type="noConversion"/>
  </si>
  <si>
    <t>烟机罩顶线</t>
    <phoneticPr fontId="83" type="noConversion"/>
  </si>
  <si>
    <t>烟机罩眉线</t>
    <phoneticPr fontId="83" type="noConversion"/>
  </si>
  <si>
    <t>备注：香颂罗马柱侧板的深度地柜为540mm吊柜为280mm</t>
    <phoneticPr fontId="83" type="noConversion"/>
  </si>
  <si>
    <r>
      <t>如有刀型不明请回传!收到后请回传此单至</t>
    </r>
    <r>
      <rPr>
        <sz val="14"/>
        <rFont val="宋体"/>
        <family val="3"/>
        <charset val="134"/>
      </rPr>
      <t>:80529723</t>
    </r>
    <r>
      <rPr>
        <sz val="14"/>
        <rFont val="华文行楷"/>
        <family val="3"/>
        <charset val="134"/>
      </rPr>
      <t xml:space="preserve"> 签收人:__________</t>
    </r>
    <phoneticPr fontId="83" type="noConversion"/>
  </si>
  <si>
    <t>审核人：</t>
  </si>
  <si>
    <r>
      <rPr>
        <b/>
        <sz val="16"/>
        <rFont val="宋体"/>
        <family val="3"/>
        <charset val="134"/>
      </rPr>
      <t>（厨浴柜）</t>
    </r>
    <r>
      <rPr>
        <b/>
        <sz val="16"/>
        <rFont val="Times New Roman"/>
        <family val="1"/>
      </rPr>
      <t xml:space="preserve"> </t>
    </r>
    <r>
      <rPr>
        <b/>
        <sz val="16"/>
        <rFont val="宋体"/>
        <family val="3"/>
        <charset val="134"/>
      </rPr>
      <t>门板外协加工单</t>
    </r>
    <phoneticPr fontId="83" type="noConversion"/>
  </si>
  <si>
    <t>卡其</t>
    <phoneticPr fontId="83" type="noConversion"/>
  </si>
  <si>
    <t>北京家和佳兴家具厂</t>
    <phoneticPr fontId="83" type="noConversion"/>
  </si>
  <si>
    <t>门板颜色及刀型同罗丹单面做旧</t>
    <phoneticPr fontId="83" type="noConversion"/>
  </si>
  <si>
    <t>颜色</t>
    <phoneticPr fontId="83" type="noConversion"/>
  </si>
  <si>
    <t>X</t>
    <phoneticPr fontId="83" type="noConversion"/>
  </si>
  <si>
    <t>罗马柱</t>
    <phoneticPr fontId="83" type="noConversion"/>
  </si>
  <si>
    <t>罗马柱础</t>
    <phoneticPr fontId="83" type="noConversion"/>
  </si>
  <si>
    <t>踢脚板</t>
    <phoneticPr fontId="83" type="noConversion"/>
  </si>
  <si>
    <t>平板无刀型</t>
    <phoneticPr fontId="83" type="noConversion"/>
  </si>
  <si>
    <t>顶线</t>
    <phoneticPr fontId="83" type="noConversion"/>
  </si>
  <si>
    <t>烟机罩装饰顶线</t>
    <phoneticPr fontId="83" type="noConversion"/>
  </si>
  <si>
    <t>具体尺寸及刀型详见图纸(厚度36）</t>
    <phoneticPr fontId="83" type="noConversion"/>
  </si>
  <si>
    <t>烟机罩装饰眉板</t>
    <phoneticPr fontId="83" type="noConversion"/>
  </si>
  <si>
    <t>具体尺寸及刀型详见图纸（厚度18）</t>
    <phoneticPr fontId="83" type="noConversion"/>
  </si>
  <si>
    <t>烟机罩装饰底线</t>
    <phoneticPr fontId="83" type="noConversion"/>
  </si>
  <si>
    <t>具体尺寸及刀型详见图纸（厚度36）</t>
    <phoneticPr fontId="83" type="noConversion"/>
  </si>
  <si>
    <r>
      <t>如有刀型不明请回传!收到后请回传此单至</t>
    </r>
    <r>
      <rPr>
        <sz val="12"/>
        <rFont val="宋体"/>
        <family val="3"/>
        <charset val="134"/>
      </rPr>
      <t>:</t>
    </r>
    <r>
      <rPr>
        <sz val="12"/>
        <rFont val="宋体"/>
        <family val="3"/>
        <charset val="134"/>
      </rPr>
      <t>80529723</t>
    </r>
    <r>
      <rPr>
        <sz val="14"/>
        <rFont val="宋体"/>
        <family val="3"/>
        <charset val="134"/>
      </rPr>
      <t xml:space="preserve"> </t>
    </r>
    <r>
      <rPr>
        <sz val="14"/>
        <rFont val="华文行楷"/>
        <family val="3"/>
        <charset val="134"/>
      </rPr>
      <t xml:space="preserve">   签收人:__________</t>
    </r>
    <phoneticPr fontId="83" type="noConversion"/>
  </si>
  <si>
    <t>制单人：</t>
    <phoneticPr fontId="83" type="noConversion"/>
  </si>
  <si>
    <t>审核人：</t>
    <phoneticPr fontId="83" type="noConversion"/>
  </si>
  <si>
    <t>采购：</t>
    <phoneticPr fontId="83" type="noConversion"/>
  </si>
  <si>
    <t>整体厨房工艺科</t>
    <phoneticPr fontId="83" type="noConversion"/>
  </si>
  <si>
    <t>木业有限公司·工艺组</t>
    <phoneticPr fontId="83" type="noConversion"/>
  </si>
  <si>
    <t>高朋祥</t>
  </si>
  <si>
    <t>高朋祥</t>
    <phoneticPr fontId="83" type="noConversion"/>
  </si>
  <si>
    <t>高朋祥</t>
    <phoneticPr fontId="83" type="noConversion"/>
  </si>
  <si>
    <t>凯斯宝玛地柜侧拉篮203R（右）</t>
  </si>
  <si>
    <t>凯斯宝玛地柜侧拉篮203L（左）</t>
  </si>
  <si>
    <t>凯斯宝玛地柜调料拉篮221</t>
  </si>
  <si>
    <t>凯斯宝玛百纳宝拉篮211</t>
  </si>
  <si>
    <t>成品描述：</t>
    <phoneticPr fontId="7" type="noConversion"/>
  </si>
  <si>
    <t>成品编码：</t>
    <phoneticPr fontId="7" type="noConversion"/>
  </si>
  <si>
    <t>材质：</t>
    <phoneticPr fontId="7" type="noConversion"/>
  </si>
  <si>
    <t>混油</t>
    <phoneticPr fontId="7" type="noConversion"/>
  </si>
  <si>
    <t>清油</t>
    <phoneticPr fontId="7" type="noConversion"/>
  </si>
  <si>
    <t>吸塑</t>
    <phoneticPr fontId="7" type="noConversion"/>
  </si>
  <si>
    <t>免漆</t>
    <phoneticPr fontId="7" type="noConversion"/>
  </si>
  <si>
    <t>左岸都市II</t>
  </si>
  <si>
    <t>简爱</t>
    <phoneticPr fontId="7" type="noConversion"/>
  </si>
  <si>
    <t>简爱I</t>
  </si>
  <si>
    <t>简爱II</t>
  </si>
  <si>
    <t>香草天空II</t>
  </si>
  <si>
    <t>浮士德</t>
  </si>
  <si>
    <t>卡帝亚</t>
  </si>
  <si>
    <t>罗丹</t>
  </si>
  <si>
    <t>丛林印象</t>
  </si>
  <si>
    <t>东南亚</t>
  </si>
  <si>
    <t>左岸都市I</t>
  </si>
  <si>
    <t>帕拉迪奥</t>
  </si>
  <si>
    <t>帕格尼尼</t>
  </si>
  <si>
    <t>色诱</t>
  </si>
  <si>
    <t>混油</t>
    <phoneticPr fontId="7" type="noConversion"/>
  </si>
  <si>
    <t>图兰朵</t>
  </si>
  <si>
    <t>图兰朵II</t>
  </si>
  <si>
    <t>炫彩梦幻</t>
  </si>
  <si>
    <t>齐彭代尔</t>
  </si>
  <si>
    <t>托斯卡纳</t>
  </si>
  <si>
    <t>实木</t>
    <phoneticPr fontId="7" type="noConversion"/>
  </si>
  <si>
    <t>香颂</t>
  </si>
  <si>
    <t>爱屋集屋</t>
  </si>
  <si>
    <t>免漆</t>
    <phoneticPr fontId="7" type="noConversion"/>
  </si>
  <si>
    <t>汉诺威</t>
  </si>
  <si>
    <t>极简</t>
  </si>
  <si>
    <t>新贵M</t>
  </si>
  <si>
    <t>新贵B</t>
  </si>
  <si>
    <t>悦章</t>
  </si>
  <si>
    <t>巴厘岛</t>
  </si>
  <si>
    <t>吸塑</t>
    <phoneticPr fontId="7" type="noConversion"/>
  </si>
  <si>
    <t>优雅</t>
  </si>
  <si>
    <t>亚马逊</t>
  </si>
  <si>
    <t>新贵A</t>
  </si>
  <si>
    <t>北美风情</t>
  </si>
  <si>
    <t>花样年</t>
  </si>
  <si>
    <t>烤漆</t>
    <phoneticPr fontId="7" type="noConversion"/>
  </si>
  <si>
    <t>摩登</t>
  </si>
  <si>
    <t>轻奢</t>
  </si>
  <si>
    <t>罗马假日</t>
  </si>
  <si>
    <t>数码印刷</t>
  </si>
  <si>
    <t>厨柜</t>
    <phoneticPr fontId="7" type="noConversion"/>
  </si>
  <si>
    <t>浴室柜</t>
    <phoneticPr fontId="7" type="noConversion"/>
  </si>
  <si>
    <t>通用</t>
    <phoneticPr fontId="7" type="noConversion"/>
  </si>
  <si>
    <t>生产线工序交接单（门板）</t>
    <phoneticPr fontId="7" type="noConversion"/>
  </si>
  <si>
    <t>规格</t>
    <phoneticPr fontId="7" type="noConversion"/>
  </si>
  <si>
    <t>款式</t>
    <phoneticPr fontId="7" type="noConversion"/>
  </si>
  <si>
    <r>
      <t xml:space="preserve">工艺下料单(此单为偏心件结构)(此单所有柜体请按照最新工艺封边、排孔、开槽，背板后空19mm)   </t>
    </r>
    <r>
      <rPr>
        <b/>
        <sz val="16"/>
        <rFont val="宋体"/>
        <family val="3"/>
        <charset val="134"/>
      </rPr>
      <t>(四周1.0PVC)</t>
    </r>
    <phoneticPr fontId="31" type="noConversion"/>
  </si>
  <si>
    <r>
      <t>1.</t>
    </r>
    <r>
      <rPr>
        <sz val="10"/>
        <rFont val="宋体"/>
        <family val="3"/>
        <charset val="134"/>
      </rPr>
      <t>0</t>
    </r>
    <r>
      <rPr>
        <sz val="10"/>
        <rFont val="宋体"/>
        <family val="3"/>
        <charset val="134"/>
      </rPr>
      <t>PVC封边</t>
    </r>
    <phoneticPr fontId="7" type="noConversion"/>
  </si>
  <si>
    <t>16横纹锯齿</t>
    <phoneticPr fontId="7" type="noConversion"/>
  </si>
  <si>
    <t>横纹锯齿双贴三聚氰胺E0级刨花板</t>
    <phoneticPr fontId="7" type="noConversion"/>
  </si>
  <si>
    <t>横纹锯齿双贴三聚氰胺E1级中密度板</t>
    <phoneticPr fontId="7" type="noConversion"/>
  </si>
  <si>
    <t>透明玻璃5A</t>
  </si>
  <si>
    <t>灰色</t>
    <phoneticPr fontId="7" type="noConversion"/>
  </si>
  <si>
    <t>备用条</t>
    <phoneticPr fontId="7" type="noConversion"/>
  </si>
  <si>
    <t>厚度</t>
    <phoneticPr fontId="7" type="noConversion"/>
  </si>
  <si>
    <t>18厚板材</t>
    <phoneticPr fontId="7" type="noConversion"/>
  </si>
  <si>
    <t>25厚板材</t>
    <phoneticPr fontId="7" type="noConversion"/>
  </si>
  <si>
    <t>暖白PVC封边条</t>
    <phoneticPr fontId="7" type="noConversion"/>
  </si>
  <si>
    <t>红樱桃PVC封边条</t>
    <phoneticPr fontId="7" type="noConversion"/>
  </si>
  <si>
    <t>米黄麻PVC封边条</t>
    <phoneticPr fontId="7" type="noConversion"/>
  </si>
  <si>
    <t>进口樱桃pvc封边条</t>
    <phoneticPr fontId="7" type="noConversion"/>
  </si>
  <si>
    <t>横纹锯齿pvc封边条</t>
    <phoneticPr fontId="7" type="noConversion"/>
  </si>
  <si>
    <r>
      <t>1</t>
    </r>
    <r>
      <rPr>
        <sz val="12"/>
        <rFont val="宋体"/>
        <family val="3"/>
        <charset val="134"/>
      </rPr>
      <t>6</t>
    </r>
    <r>
      <rPr>
        <sz val="12"/>
        <rFont val="宋体"/>
        <family val="3"/>
        <charset val="134"/>
      </rPr>
      <t>板</t>
    </r>
    <phoneticPr fontId="7" type="noConversion"/>
  </si>
  <si>
    <r>
      <t>1</t>
    </r>
    <r>
      <rPr>
        <sz val="12"/>
        <rFont val="宋体"/>
        <family val="3"/>
        <charset val="134"/>
      </rPr>
      <t>8板</t>
    </r>
    <phoneticPr fontId="7" type="noConversion"/>
  </si>
  <si>
    <r>
      <t>2</t>
    </r>
    <r>
      <rPr>
        <sz val="12"/>
        <rFont val="宋体"/>
        <family val="3"/>
        <charset val="134"/>
      </rPr>
      <t>5板</t>
    </r>
    <phoneticPr fontId="7" type="noConversion"/>
  </si>
  <si>
    <t>封边组</t>
  </si>
  <si>
    <t>家具班组转序交接表</t>
    <phoneticPr fontId="37" type="noConversion"/>
  </si>
  <si>
    <t>客户姓名</t>
    <phoneticPr fontId="37" type="noConversion"/>
  </si>
  <si>
    <t>接单日期</t>
    <phoneticPr fontId="37" type="noConversion"/>
  </si>
  <si>
    <t>款式名称</t>
    <phoneticPr fontId="37" type="noConversion"/>
  </si>
  <si>
    <t>材质/色号</t>
    <phoneticPr fontId="37" type="noConversion"/>
  </si>
  <si>
    <t>下单日期</t>
    <phoneticPr fontId="37" type="noConversion"/>
  </si>
  <si>
    <t>销售点</t>
    <phoneticPr fontId="37" type="noConversion"/>
  </si>
  <si>
    <t>版本型号录号</t>
    <phoneticPr fontId="37" type="noConversion"/>
  </si>
  <si>
    <t>应完成日期</t>
    <phoneticPr fontId="37" type="noConversion"/>
  </si>
  <si>
    <t>产品系列</t>
    <phoneticPr fontId="37" type="noConversion"/>
  </si>
  <si>
    <t>实木</t>
    <phoneticPr fontId="37" type="noConversion"/>
  </si>
  <si>
    <t>混油</t>
    <phoneticPr fontId="37" type="noConversion"/>
  </si>
  <si>
    <t>清油</t>
    <phoneticPr fontId="37" type="noConversion"/>
  </si>
  <si>
    <t>吸塑</t>
    <phoneticPr fontId="37" type="noConversion"/>
  </si>
  <si>
    <t>免漆</t>
    <phoneticPr fontId="37" type="noConversion"/>
  </si>
  <si>
    <t>铝框</t>
    <phoneticPr fontId="37" type="noConversion"/>
  </si>
  <si>
    <t>标准地柜</t>
    <phoneticPr fontId="37" type="noConversion"/>
  </si>
  <si>
    <t>标准吊柜</t>
    <phoneticPr fontId="37" type="noConversion"/>
  </si>
  <si>
    <t>生产周期</t>
    <phoneticPr fontId="37" type="noConversion"/>
  </si>
  <si>
    <t>序号</t>
    <phoneticPr fontId="37" type="noConversion"/>
  </si>
  <si>
    <t>工段班组</t>
    <phoneticPr fontId="37" type="noConversion"/>
  </si>
  <si>
    <t>工序名称</t>
    <phoneticPr fontId="37" type="noConversion"/>
  </si>
  <si>
    <t>成品数量</t>
    <phoneticPr fontId="37" type="noConversion"/>
  </si>
  <si>
    <t>完成日期</t>
    <phoneticPr fontId="37" type="noConversion"/>
  </si>
  <si>
    <t>主机手</t>
    <phoneticPr fontId="37" type="noConversion"/>
  </si>
  <si>
    <t>质检</t>
    <phoneticPr fontId="37" type="noConversion"/>
  </si>
  <si>
    <t>备注</t>
    <phoneticPr fontId="37" type="noConversion"/>
  </si>
  <si>
    <t>橱柜线</t>
    <phoneticPr fontId="37" type="noConversion"/>
  </si>
  <si>
    <t>下料组</t>
    <phoneticPr fontId="37" type="noConversion"/>
  </si>
  <si>
    <t>块</t>
    <phoneticPr fontId="37" type="noConversion"/>
  </si>
  <si>
    <t>块</t>
    <phoneticPr fontId="37" type="noConversion"/>
  </si>
  <si>
    <t>钻铣组1</t>
    <phoneticPr fontId="37" type="noConversion"/>
  </si>
  <si>
    <t>家具线</t>
    <phoneticPr fontId="37" type="noConversion"/>
  </si>
  <si>
    <t>下料组</t>
    <phoneticPr fontId="37" type="noConversion"/>
  </si>
  <si>
    <t>钻铣组2</t>
    <phoneticPr fontId="37" type="noConversion"/>
  </si>
  <si>
    <t>门板线</t>
    <phoneticPr fontId="37" type="noConversion"/>
  </si>
  <si>
    <t>下料冷压封边组</t>
    <phoneticPr fontId="37" type="noConversion"/>
  </si>
  <si>
    <t>钻铣组3</t>
    <phoneticPr fontId="37" type="noConversion"/>
  </si>
  <si>
    <t>吸塑线</t>
    <phoneticPr fontId="37" type="noConversion"/>
  </si>
  <si>
    <t>机加组</t>
    <phoneticPr fontId="37" type="noConversion"/>
  </si>
  <si>
    <t>吸塑组</t>
    <phoneticPr fontId="37" type="noConversion"/>
  </si>
  <si>
    <t>打磨组</t>
    <phoneticPr fontId="37" type="noConversion"/>
  </si>
  <si>
    <t>铝材拼框组</t>
    <phoneticPr fontId="37" type="noConversion"/>
  </si>
  <si>
    <t>试装线</t>
    <phoneticPr fontId="37" type="noConversion"/>
  </si>
  <si>
    <t>橱柜试装组</t>
    <phoneticPr fontId="37" type="noConversion"/>
  </si>
  <si>
    <t>延米</t>
    <phoneticPr fontId="37" type="noConversion"/>
  </si>
  <si>
    <t>衣帽间试装组</t>
    <phoneticPr fontId="37" type="noConversion"/>
  </si>
  <si>
    <t>平米</t>
    <phoneticPr fontId="37" type="noConversion"/>
  </si>
  <si>
    <t>五金配套组</t>
    <phoneticPr fontId="37" type="noConversion"/>
  </si>
  <si>
    <t>单</t>
    <phoneticPr fontId="37" type="noConversion"/>
  </si>
  <si>
    <t>家具高光线</t>
    <phoneticPr fontId="37" type="noConversion"/>
  </si>
  <si>
    <t>机涂组</t>
    <phoneticPr fontId="37" type="noConversion"/>
  </si>
  <si>
    <t>高光喷漆组</t>
    <phoneticPr fontId="37" type="noConversion"/>
  </si>
  <si>
    <t>包装线</t>
    <phoneticPr fontId="37" type="noConversion"/>
  </si>
  <si>
    <t>家具包装组</t>
    <phoneticPr fontId="37" type="noConversion"/>
  </si>
  <si>
    <t>钻铣</t>
    <phoneticPr fontId="7" type="noConversion"/>
  </si>
  <si>
    <t>内门线</t>
    <phoneticPr fontId="7" type="noConversion"/>
  </si>
  <si>
    <t>混油打磨组</t>
    <phoneticPr fontId="7" type="noConversion"/>
  </si>
  <si>
    <t>平米</t>
    <phoneticPr fontId="37" type="noConversion"/>
  </si>
  <si>
    <t>清油打磨组</t>
    <phoneticPr fontId="7" type="noConversion"/>
  </si>
  <si>
    <t>产品类型</t>
    <phoneticPr fontId="46" type="noConversion"/>
  </si>
  <si>
    <t>厨浴柜</t>
    <phoneticPr fontId="46" type="noConversion"/>
  </si>
  <si>
    <t>应完成日期：</t>
    <phoneticPr fontId="7" type="noConversion"/>
  </si>
  <si>
    <t>签单日期</t>
    <phoneticPr fontId="7" type="noConversion"/>
  </si>
  <si>
    <t>LC-032铝框门</t>
    <phoneticPr fontId="7" type="noConversion"/>
  </si>
  <si>
    <t>（氧化铝JF383）6米/支</t>
    <phoneticPr fontId="7" type="noConversion"/>
  </si>
  <si>
    <t>（氧化铝JF299）3.5米/支</t>
    <phoneticPr fontId="7" type="noConversion"/>
  </si>
  <si>
    <t>木皮线</t>
    <phoneticPr fontId="37" type="noConversion"/>
  </si>
  <si>
    <t>裁切木皮组</t>
    <phoneticPr fontId="37" type="noConversion"/>
  </si>
  <si>
    <t>块</t>
    <phoneticPr fontId="37" type="noConversion"/>
  </si>
  <si>
    <t>板材</t>
    <phoneticPr fontId="7" type="noConversion"/>
  </si>
  <si>
    <t>1.发光镜子的灯相关物料需要开在组装；</t>
    <phoneticPr fontId="7" type="noConversion"/>
  </si>
  <si>
    <t>2.所有水盆、电器的物料需开在组装；</t>
    <phoneticPr fontId="7" type="noConversion"/>
  </si>
  <si>
    <t>兰伯特直臂铰链（CS0951）</t>
    <phoneticPr fontId="7" type="noConversion"/>
  </si>
  <si>
    <t>爱屋直臂</t>
    <phoneticPr fontId="7" type="noConversion"/>
  </si>
  <si>
    <t xml:space="preserve">护套线 </t>
    <phoneticPr fontId="69" type="noConversion"/>
  </si>
  <si>
    <t>米</t>
    <phoneticPr fontId="69" type="noConversion"/>
  </si>
  <si>
    <t>名称</t>
    <phoneticPr fontId="7" type="noConversion"/>
  </si>
  <si>
    <t>孔距</t>
    <phoneticPr fontId="7" type="noConversion"/>
  </si>
  <si>
    <t>描述</t>
    <phoneticPr fontId="7" type="noConversion"/>
  </si>
  <si>
    <t>兰伯特阻尼铰链（CS0971）</t>
    <phoneticPr fontId="37" type="noConversion"/>
  </si>
  <si>
    <t>爱屋平开</t>
    <phoneticPr fontId="7" type="noConversion"/>
  </si>
  <si>
    <t>凯光射灯GX53-CFL3U（2700K暖光）</t>
    <phoneticPr fontId="69" type="noConversion"/>
  </si>
  <si>
    <t>个</t>
    <phoneticPr fontId="69" type="noConversion"/>
  </si>
  <si>
    <t>单孔</t>
    <phoneticPr fontId="37" type="noConversion"/>
  </si>
  <si>
    <t>古铜＋陶瓷</t>
    <phoneticPr fontId="37" type="noConversion"/>
  </si>
  <si>
    <t>整件发货柜体个数：</t>
    <phoneticPr fontId="7" type="noConversion"/>
  </si>
  <si>
    <t>触碰开关（PSC-01）</t>
    <phoneticPr fontId="69" type="noConversion"/>
  </si>
  <si>
    <t>套</t>
    <phoneticPr fontId="69" type="noConversion"/>
  </si>
  <si>
    <t>2选一</t>
    <phoneticPr fontId="69" type="noConversion"/>
  </si>
  <si>
    <t>偏心件总个数</t>
    <phoneticPr fontId="7" type="noConversion"/>
  </si>
  <si>
    <t>整件发货偏心件个数：</t>
    <phoneticPr fontId="7" type="noConversion"/>
  </si>
  <si>
    <t>门控开关（PSC-01-B0.8M）</t>
    <phoneticPr fontId="69" type="noConversion"/>
  </si>
  <si>
    <t>铁灰仿旧方塔</t>
    <phoneticPr fontId="37" type="noConversion"/>
  </si>
  <si>
    <t>套</t>
    <phoneticPr fontId="7" type="noConversion"/>
  </si>
  <si>
    <t>木榫总个数</t>
    <phoneticPr fontId="7" type="noConversion"/>
  </si>
  <si>
    <t>整件发货木榫个数：</t>
    <phoneticPr fontId="7" type="noConversion"/>
  </si>
  <si>
    <t>乐卡豪华阻尼低帮抽450mm（595.01.945）</t>
    <phoneticPr fontId="7" type="noConversion"/>
  </si>
  <si>
    <t>乐卡豪华阻尼高帮抽450mm（595.05.945）</t>
    <phoneticPr fontId="7" type="noConversion"/>
  </si>
  <si>
    <t>古铜仿古拉手</t>
    <phoneticPr fontId="37" type="noConversion"/>
  </si>
  <si>
    <t>陶瓷花纹</t>
    <phoneticPr fontId="37" type="noConversion"/>
  </si>
  <si>
    <t>米</t>
    <phoneticPr fontId="7" type="noConversion"/>
  </si>
  <si>
    <t>上翻门重型支撑-BLUM20K.2900.BL</t>
    <phoneticPr fontId="7" type="noConversion"/>
  </si>
  <si>
    <t>上翻门重型支撑-BLUM20K.2700.BL</t>
    <phoneticPr fontId="7" type="noConversion"/>
  </si>
  <si>
    <t>上翻门重型支撑-BLUM20K.2500.BL</t>
    <phoneticPr fontId="7" type="noConversion"/>
  </si>
  <si>
    <t>古铜裂纹陶瓷</t>
    <phoneticPr fontId="37" type="noConversion"/>
  </si>
  <si>
    <t>地柜侧拉篮（阻尼）右（2层）203R-凯斯宝玛</t>
    <phoneticPr fontId="7" type="noConversion"/>
  </si>
  <si>
    <t>地柜侧拉篮（阻尼）左（2层）203L-凯斯宝玛</t>
    <phoneticPr fontId="7" type="noConversion"/>
  </si>
  <si>
    <t>100高</t>
    <phoneticPr fontId="7" type="noConversion"/>
  </si>
  <si>
    <t>根</t>
    <phoneticPr fontId="7" type="noConversion"/>
  </si>
  <si>
    <t>80高</t>
    <phoneticPr fontId="7" type="noConversion"/>
  </si>
  <si>
    <t>防撞胶粒</t>
    <phoneticPr fontId="7" type="noConversion"/>
  </si>
  <si>
    <t>s</t>
    <phoneticPr fontId="7" type="noConversion"/>
  </si>
  <si>
    <t>18mm板用</t>
    <phoneticPr fontId="7" type="noConversion"/>
  </si>
  <si>
    <t>16mm厚用</t>
    <phoneticPr fontId="7" type="noConversion"/>
  </si>
  <si>
    <t>铝制踢脚板用</t>
    <phoneticPr fontId="7" type="noConversion"/>
  </si>
  <si>
    <t>瓷白</t>
    <phoneticPr fontId="7" type="noConversion"/>
  </si>
  <si>
    <t>3*1830*2440</t>
    <phoneticPr fontId="7" type="noConversion"/>
  </si>
  <si>
    <t>长垫片2</t>
    <phoneticPr fontId="7" type="noConversion"/>
  </si>
  <si>
    <t>6.7mm</t>
    <phoneticPr fontId="7" type="noConversion"/>
  </si>
  <si>
    <t>防撞缓冲塞</t>
    <phoneticPr fontId="7" type="noConversion"/>
  </si>
  <si>
    <t>长垫片1</t>
    <phoneticPr fontId="7" type="noConversion"/>
  </si>
  <si>
    <t>6mm</t>
    <phoneticPr fontId="7" type="noConversion"/>
  </si>
  <si>
    <t>圆垫片1</t>
    <phoneticPr fontId="7" type="noConversion"/>
  </si>
  <si>
    <t>圆垫片2</t>
    <phoneticPr fontId="7" type="noConversion"/>
  </si>
  <si>
    <t>160mm</t>
    <phoneticPr fontId="37" type="noConversion"/>
  </si>
  <si>
    <t>U型窄边弧面锌合金拉手</t>
    <phoneticPr fontId="37" type="noConversion"/>
  </si>
  <si>
    <t>A9202银</t>
    <phoneticPr fontId="37" type="noConversion"/>
  </si>
  <si>
    <t>A9204银</t>
    <phoneticPr fontId="37" type="noConversion"/>
  </si>
  <si>
    <t>透明</t>
    <phoneticPr fontId="7" type="noConversion"/>
  </si>
  <si>
    <t>1个UN30+尼龙胀塞8*60 1个+3.5*12自攻钉 3个</t>
    <phoneticPr fontId="7" type="noConversion"/>
  </si>
  <si>
    <t>电器水盆</t>
    <phoneticPr fontId="7" type="noConversion"/>
  </si>
  <si>
    <t>水盆套餐</t>
    <phoneticPr fontId="7" type="noConversion"/>
  </si>
  <si>
    <t>水盆配件包</t>
    <phoneticPr fontId="7" type="noConversion"/>
  </si>
  <si>
    <t>对丝八字阀等下水附件</t>
    <phoneticPr fontId="7" type="noConversion"/>
  </si>
  <si>
    <t>张昌波</t>
    <phoneticPr fontId="7" type="noConversion"/>
  </si>
  <si>
    <t>客户姓名</t>
    <phoneticPr fontId="7" type="noConversion"/>
  </si>
  <si>
    <t>销售点：</t>
    <phoneticPr fontId="7" type="noConversion"/>
  </si>
  <si>
    <t>订单编号：</t>
    <phoneticPr fontId="7" type="noConversion"/>
  </si>
  <si>
    <t>项目</t>
    <phoneticPr fontId="7" type="noConversion"/>
  </si>
  <si>
    <t>序号</t>
    <phoneticPr fontId="7" type="noConversion"/>
  </si>
  <si>
    <t>材料名称</t>
    <phoneticPr fontId="7" type="noConversion"/>
  </si>
  <si>
    <t>型号、规格</t>
    <phoneticPr fontId="7" type="noConversion"/>
  </si>
  <si>
    <t>数量</t>
    <phoneticPr fontId="7" type="noConversion"/>
  </si>
  <si>
    <t>单位</t>
    <phoneticPr fontId="7" type="noConversion"/>
  </si>
  <si>
    <t>装箱确认</t>
    <phoneticPr fontId="7" type="noConversion"/>
  </si>
  <si>
    <t>材料名称、颜色</t>
    <phoneticPr fontId="7" type="noConversion"/>
  </si>
  <si>
    <t>型号、规格</t>
    <phoneticPr fontId="7" type="noConversion"/>
  </si>
  <si>
    <t>张</t>
    <phoneticPr fontId="7" type="noConversion"/>
  </si>
  <si>
    <t>安装基础五金</t>
    <phoneticPr fontId="7" type="noConversion"/>
  </si>
  <si>
    <t>偏心件16板</t>
    <phoneticPr fontId="7" type="noConversion"/>
  </si>
  <si>
    <t>套</t>
    <phoneticPr fontId="7" type="noConversion"/>
  </si>
  <si>
    <t>￠8木榫</t>
    <phoneticPr fontId="7" type="noConversion"/>
  </si>
  <si>
    <t>个</t>
    <phoneticPr fontId="7" type="noConversion"/>
  </si>
  <si>
    <t>排孔塞</t>
    <phoneticPr fontId="7" type="noConversion"/>
  </si>
  <si>
    <t>塑料胀塞∮5</t>
    <phoneticPr fontId="7" type="noConversion"/>
  </si>
  <si>
    <t>18*1220*2440</t>
    <phoneticPr fontId="7" type="noConversion"/>
  </si>
  <si>
    <t>25*1220*2440</t>
    <phoneticPr fontId="7" type="noConversion"/>
  </si>
  <si>
    <t>封边、胶</t>
    <phoneticPr fontId="7" type="noConversion"/>
  </si>
  <si>
    <t>1.0*20</t>
    <phoneticPr fontId="7" type="noConversion"/>
  </si>
  <si>
    <t>米</t>
    <phoneticPr fontId="7" type="noConversion"/>
  </si>
  <si>
    <t>1.0*22</t>
    <phoneticPr fontId="7" type="noConversion"/>
  </si>
  <si>
    <t>玻璃压块数量</t>
    <phoneticPr fontId="7" type="noConversion"/>
  </si>
  <si>
    <t>1.0*29</t>
    <phoneticPr fontId="7" type="noConversion"/>
  </si>
  <si>
    <t>尼龙胀塞</t>
    <phoneticPr fontId="7" type="noConversion"/>
  </si>
  <si>
    <t>热熔胶</t>
    <phoneticPr fontId="7" type="noConversion"/>
  </si>
  <si>
    <t>8803A</t>
    <phoneticPr fontId="7" type="noConversion"/>
  </si>
  <si>
    <t>克</t>
    <phoneticPr fontId="7" type="noConversion"/>
  </si>
  <si>
    <t>封边胶</t>
    <phoneticPr fontId="7" type="noConversion"/>
  </si>
  <si>
    <t>KS3920</t>
    <phoneticPr fontId="7" type="noConversion"/>
  </si>
  <si>
    <t>组装基础五金</t>
    <phoneticPr fontId="7" type="noConversion"/>
  </si>
  <si>
    <t>U型条</t>
    <phoneticPr fontId="7" type="noConversion"/>
  </si>
  <si>
    <t>根</t>
    <phoneticPr fontId="7" type="noConversion"/>
  </si>
  <si>
    <t>防撞胶粒</t>
    <phoneticPr fontId="7" type="noConversion"/>
  </si>
  <si>
    <t>小角铁</t>
    <phoneticPr fontId="7" type="noConversion"/>
  </si>
  <si>
    <t>偏心件装饰盖</t>
    <phoneticPr fontId="7" type="noConversion"/>
  </si>
  <si>
    <t>时尚下水口(防水底漏)</t>
    <phoneticPr fontId="7" type="noConversion"/>
  </si>
  <si>
    <t>自攻钉</t>
    <phoneticPr fontId="7" type="noConversion"/>
  </si>
  <si>
    <t>3.5*16</t>
    <phoneticPr fontId="7" type="noConversion"/>
  </si>
  <si>
    <t>4*30</t>
    <phoneticPr fontId="7" type="noConversion"/>
  </si>
  <si>
    <t>3.5*12</t>
    <phoneticPr fontId="7" type="noConversion"/>
  </si>
  <si>
    <t>组装五金</t>
    <phoneticPr fontId="7" type="noConversion"/>
  </si>
  <si>
    <t>中性玻璃胶</t>
    <phoneticPr fontId="7" type="noConversion"/>
  </si>
  <si>
    <t>瓷白</t>
    <phoneticPr fontId="7" type="noConversion"/>
  </si>
  <si>
    <t>瓶</t>
    <phoneticPr fontId="7" type="noConversion"/>
  </si>
  <si>
    <t>安装五金</t>
    <phoneticPr fontId="7" type="noConversion"/>
  </si>
  <si>
    <t>铰链</t>
    <phoneticPr fontId="7" type="noConversion"/>
  </si>
  <si>
    <t>BLUM直臂铰链100°</t>
    <phoneticPr fontId="7" type="noConversion"/>
  </si>
  <si>
    <t>拉篮
米箱
垃圾筒</t>
    <phoneticPr fontId="7" type="noConversion"/>
  </si>
  <si>
    <t>支撑</t>
    <phoneticPr fontId="7" type="noConversion"/>
  </si>
  <si>
    <t>拉手</t>
    <phoneticPr fontId="7" type="noConversion"/>
  </si>
  <si>
    <t>灯具</t>
    <phoneticPr fontId="7" type="noConversion"/>
  </si>
  <si>
    <t>铝横梁（氧化铝）</t>
    <phoneticPr fontId="7" type="noConversion"/>
  </si>
  <si>
    <t>LC-932（3米/支）</t>
    <phoneticPr fontId="7" type="noConversion"/>
  </si>
  <si>
    <t>备注：灯箱底板、拉篮、含玻璃镜子的板件都需要打硬包装</t>
    <phoneticPr fontId="46" type="noConversion"/>
  </si>
  <si>
    <t>8*30</t>
    <phoneticPr fontId="7" type="noConversion"/>
  </si>
  <si>
    <t>销售单号</t>
    <phoneticPr fontId="7" type="noConversion"/>
  </si>
  <si>
    <t xml:space="preserve">   拆解员：                                                 </t>
    <phoneticPr fontId="7" type="noConversion"/>
  </si>
  <si>
    <t xml:space="preserve">
玻璃
</t>
    <phoneticPr fontId="7" type="noConversion"/>
  </si>
  <si>
    <t>铝材</t>
    <phoneticPr fontId="7" type="noConversion"/>
  </si>
  <si>
    <t xml:space="preserve">   拆解员：                                装箱员：</t>
    <phoneticPr fontId="7" type="noConversion"/>
  </si>
  <si>
    <r>
      <rPr>
        <b/>
        <sz val="10"/>
        <color rgb="FFFF0000"/>
        <rFont val="微软雅黑"/>
        <family val="2"/>
        <charset val="134"/>
      </rPr>
      <t>备注：</t>
    </r>
    <r>
      <rPr>
        <sz val="10"/>
        <color theme="1"/>
        <rFont val="微软雅黑"/>
        <family val="2"/>
        <charset val="134"/>
      </rPr>
      <t xml:space="preserve">
a、A880  A881  类拉手是安装五金
           **铝拉手放铝材
b、水盆电器写在料单左边
c、只有24伏的那一套灯/灯箱底板是组装五金领。其他安装五金
d、除安装五金外，不要把其他的放在料单右侧；
e、注意如门板也有安装五金,或不清楚的五金分类标准请务必与IE部沟通处理；
</t>
    </r>
    <phoneticPr fontId="7" type="noConversion"/>
  </si>
  <si>
    <t>领料单——</t>
    <phoneticPr fontId="7" type="noConversion"/>
  </si>
  <si>
    <t>装箱清单——</t>
    <phoneticPr fontId="7" type="noConversion"/>
  </si>
  <si>
    <t>布纹玻璃5A</t>
    <phoneticPr fontId="7" type="noConversion"/>
  </si>
  <si>
    <t>透明玻璃5A</t>
    <phoneticPr fontId="7" type="noConversion"/>
  </si>
  <si>
    <t>B06透明夹胶玻璃6A</t>
    <phoneticPr fontId="7" type="noConversion"/>
  </si>
  <si>
    <t>3*1220*2440</t>
    <phoneticPr fontId="7" type="noConversion"/>
  </si>
  <si>
    <t>米黄麻双贴三聚氰胺E1级中密度板</t>
    <phoneticPr fontId="7" type="noConversion"/>
  </si>
  <si>
    <t>抽屉</t>
    <phoneticPr fontId="7" type="noConversion"/>
  </si>
  <si>
    <t>蜂窝纸板1250*800*15</t>
    <phoneticPr fontId="46" type="noConversion"/>
  </si>
  <si>
    <t>蜂窝纸板2200*650*15</t>
    <phoneticPr fontId="46" type="noConversion"/>
  </si>
  <si>
    <t>垫板</t>
    <phoneticPr fontId="7" type="noConversion"/>
  </si>
  <si>
    <t>四边篮301004A</t>
    <phoneticPr fontId="7" type="noConversion"/>
  </si>
  <si>
    <t>四边篮301103A</t>
    <phoneticPr fontId="7" type="noConversion"/>
  </si>
  <si>
    <t>多功能四边篮301607A</t>
    <phoneticPr fontId="7" type="noConversion"/>
  </si>
  <si>
    <t>多功能四边篮301603A</t>
    <phoneticPr fontId="7" type="noConversion"/>
  </si>
  <si>
    <t>三边篮303103A</t>
    <phoneticPr fontId="7" type="noConversion"/>
  </si>
  <si>
    <t>多功能三边篮303603A</t>
    <phoneticPr fontId="7" type="noConversion"/>
  </si>
  <si>
    <r>
      <t>1.整件包装---可使用对口箱的柜体（抽屉柜、拉篮柜）</t>
    </r>
    <r>
      <rPr>
        <b/>
        <sz val="10"/>
        <color rgb="FFFF0000"/>
        <rFont val="宋体"/>
        <family val="3"/>
        <charset val="134"/>
        <scheme val="minor"/>
      </rPr>
      <t>（备注：150宽、450宽、600宽整柜包装需增加15厚以上同柜体材质垫</t>
    </r>
    <phoneticPr fontId="37" type="noConversion"/>
  </si>
  <si>
    <t>拉篮柜</t>
    <phoneticPr fontId="37" type="noConversion"/>
  </si>
  <si>
    <t>150宽拉篮柜对口箱（三层瓦楞纸)170*630*750</t>
    <phoneticPr fontId="37" type="noConversion"/>
  </si>
  <si>
    <t>个</t>
    <phoneticPr fontId="37" type="noConversion"/>
  </si>
  <si>
    <t>图兰朵拉篮柜无法使用，使用大纸板包装</t>
    <phoneticPr fontId="37" type="noConversion"/>
  </si>
  <si>
    <t>FC-BZ010962</t>
    <phoneticPr fontId="37" type="noConversion"/>
  </si>
  <si>
    <t>气垫膜</t>
    <phoneticPr fontId="37" type="noConversion"/>
  </si>
  <si>
    <t>包装纸板1500mm*2400mm（三层瓦楞纸)</t>
    <phoneticPr fontId="37" type="noConversion"/>
  </si>
  <si>
    <t>张</t>
    <phoneticPr fontId="37" type="noConversion"/>
  </si>
  <si>
    <t>图兰朵拉篮柜专用</t>
    <phoneticPr fontId="37" type="noConversion"/>
  </si>
  <si>
    <t>300宽拉篮、抽屉对口箱（三层瓦楞纸)320*630*750</t>
    <phoneticPr fontId="37" type="noConversion"/>
  </si>
  <si>
    <t>拉篮柜
抽屉柜</t>
    <phoneticPr fontId="37" type="noConversion"/>
  </si>
  <si>
    <t>450宽拉篮、抽屉对口箱（三层瓦楞纸)470*630*750</t>
    <phoneticPr fontId="37" type="noConversion"/>
  </si>
  <si>
    <t>米</t>
    <phoneticPr fontId="37" type="noConversion"/>
  </si>
  <si>
    <t>600宽拉篮、抽屉对口箱（三层瓦楞纸)620*630*750</t>
    <phoneticPr fontId="37" type="noConversion"/>
  </si>
  <si>
    <t>平板苯板</t>
    <phoneticPr fontId="37" type="noConversion"/>
  </si>
  <si>
    <t>车间调配</t>
    <phoneticPr fontId="37" type="noConversion"/>
  </si>
  <si>
    <t>玻璃门板时增加此项</t>
    <phoneticPr fontId="37" type="noConversion"/>
  </si>
  <si>
    <t>拉篮柜
抽屉柜</t>
    <phoneticPr fontId="37" type="noConversion"/>
  </si>
  <si>
    <t>900宽拉篮、抽屉对口箱（三层瓦楞纸)920*630*750</t>
    <phoneticPr fontId="37" type="noConversion"/>
  </si>
  <si>
    <t>个</t>
    <phoneticPr fontId="37" type="noConversion"/>
  </si>
  <si>
    <t>FC-BZ010962</t>
    <phoneticPr fontId="37" type="noConversion"/>
  </si>
  <si>
    <t>气垫膜</t>
    <phoneticPr fontId="37" type="noConversion"/>
  </si>
  <si>
    <t>平板苯板</t>
    <phoneticPr fontId="37" type="noConversion"/>
  </si>
  <si>
    <t>车间调配</t>
    <phoneticPr fontId="37" type="noConversion"/>
  </si>
  <si>
    <t>玻璃门板时增加此项</t>
    <phoneticPr fontId="37" type="noConversion"/>
  </si>
  <si>
    <t>60高</t>
    <phoneticPr fontId="7" type="noConversion"/>
  </si>
  <si>
    <t>BLUM直臂阻尼器973A0500</t>
    <phoneticPr fontId="7" type="noConversion"/>
  </si>
  <si>
    <t>个</t>
    <phoneticPr fontId="7" type="noConversion"/>
  </si>
  <si>
    <t>木业有限公司包装材料单 （外地包装）  (免漆产品包装）</t>
    <phoneticPr fontId="7" type="noConversion"/>
  </si>
  <si>
    <t>橱柜款式：</t>
    <phoneticPr fontId="7" type="noConversion"/>
  </si>
  <si>
    <t>三、整件发货部分（功能柜）</t>
    <phoneticPr fontId="37" type="noConversion"/>
  </si>
  <si>
    <r>
      <t>1.整件包装---可使用对口箱的柜体（抽屉柜、拉篮柜）</t>
    </r>
    <r>
      <rPr>
        <b/>
        <sz val="10"/>
        <color rgb="FFFF0000"/>
        <rFont val="宋体"/>
        <family val="3"/>
        <charset val="134"/>
        <scheme val="minor"/>
      </rPr>
      <t>（备注：所有整柜包装需增加蜂窝纸板)</t>
    </r>
    <phoneticPr fontId="37" type="noConversion"/>
  </si>
  <si>
    <t>深度</t>
    <phoneticPr fontId="37" type="noConversion"/>
  </si>
  <si>
    <t>柜型</t>
    <phoneticPr fontId="37" type="noConversion"/>
  </si>
  <si>
    <t>包装材料名称</t>
    <phoneticPr fontId="37" type="noConversion"/>
  </si>
  <si>
    <t>物料编码</t>
    <phoneticPr fontId="37" type="noConversion"/>
  </si>
  <si>
    <t>拉篮柜</t>
    <phoneticPr fontId="37" type="noConversion"/>
  </si>
  <si>
    <t>150宽拉篮柜对口箱（三层瓦楞纸)170*630*750</t>
    <phoneticPr fontId="37" type="noConversion"/>
  </si>
  <si>
    <t>个</t>
    <phoneticPr fontId="37" type="noConversion"/>
  </si>
  <si>
    <t>图兰朵拉篮柜无法使用，使用大纸板包装</t>
    <phoneticPr fontId="37" type="noConversion"/>
  </si>
  <si>
    <t>FC-BZ010962</t>
    <phoneticPr fontId="37" type="noConversion"/>
  </si>
  <si>
    <t>气垫膜1100mm宽</t>
    <phoneticPr fontId="7" type="noConversion"/>
  </si>
  <si>
    <t>蜂窝纸板1250*800*15</t>
    <phoneticPr fontId="37" type="noConversion"/>
  </si>
  <si>
    <t>张</t>
    <phoneticPr fontId="37" type="noConversion"/>
  </si>
  <si>
    <t>包装纸板1500mm*2400mm（三层瓦楞纸)</t>
    <phoneticPr fontId="37" type="noConversion"/>
  </si>
  <si>
    <t>图兰朵拉篮柜专用</t>
    <phoneticPr fontId="37" type="noConversion"/>
  </si>
  <si>
    <t>气垫膜1100mm宽</t>
  </si>
  <si>
    <t>300宽拉篮、抽屉对口箱（三层瓦楞纸)320*630*750</t>
    <phoneticPr fontId="37" type="noConversion"/>
  </si>
  <si>
    <t>个</t>
    <phoneticPr fontId="37" type="noConversion"/>
  </si>
  <si>
    <t>FC-BZ010962</t>
    <phoneticPr fontId="37" type="noConversion"/>
  </si>
  <si>
    <t>气垫膜1100mm宽</t>
    <phoneticPr fontId="7" type="noConversion"/>
  </si>
  <si>
    <t>蜂窝纸板1250*800*15</t>
    <phoneticPr fontId="37" type="noConversion"/>
  </si>
  <si>
    <t>张</t>
    <phoneticPr fontId="37" type="noConversion"/>
  </si>
  <si>
    <t>拉篮柜
抽屉柜</t>
    <phoneticPr fontId="37" type="noConversion"/>
  </si>
  <si>
    <t>450宽拉篮、抽屉对口箱（三层瓦楞纸)470*630*750</t>
    <phoneticPr fontId="37" type="noConversion"/>
  </si>
  <si>
    <t>米</t>
    <phoneticPr fontId="37" type="noConversion"/>
  </si>
  <si>
    <t>600宽拉篮、抽屉对口箱（三层瓦楞纸)620*630*750</t>
    <phoneticPr fontId="37" type="noConversion"/>
  </si>
  <si>
    <t>平板苯板</t>
    <phoneticPr fontId="37" type="noConversion"/>
  </si>
  <si>
    <t>车间调配</t>
    <phoneticPr fontId="37" type="noConversion"/>
  </si>
  <si>
    <t>玻璃门板时增加此项</t>
    <phoneticPr fontId="37" type="noConversion"/>
  </si>
  <si>
    <t>900宽拉篮、抽屉对口箱（三层瓦楞纸)920*630*750</t>
    <phoneticPr fontId="37" type="noConversion"/>
  </si>
  <si>
    <r>
      <t>2.整件包装--所有无法使用对口箱的所有柜体</t>
    </r>
    <r>
      <rPr>
        <b/>
        <sz val="10"/>
        <color rgb="FFFF0000"/>
        <rFont val="宋体"/>
        <family val="3"/>
        <charset val="134"/>
        <scheme val="minor"/>
      </rPr>
      <t>（备注：所有整柜包装需增加蜂窝纸板)</t>
    </r>
    <phoneticPr fontId="37" type="noConversion"/>
  </si>
  <si>
    <t>宽度</t>
    <phoneticPr fontId="37" type="noConversion"/>
  </si>
  <si>
    <t>高度</t>
    <phoneticPr fontId="37" type="noConversion"/>
  </si>
  <si>
    <t>深度</t>
    <phoneticPr fontId="37" type="noConversion"/>
  </si>
  <si>
    <t>柜型</t>
    <phoneticPr fontId="37" type="noConversion"/>
  </si>
  <si>
    <t>包装材料名称</t>
    <phoneticPr fontId="37" type="noConversion"/>
  </si>
  <si>
    <t>物料编码</t>
    <phoneticPr fontId="37" type="noConversion"/>
  </si>
  <si>
    <t>备注</t>
    <phoneticPr fontId="37" type="noConversion"/>
  </si>
  <si>
    <t>W≤600</t>
    <phoneticPr fontId="37" type="noConversion"/>
  </si>
  <si>
    <t>—</t>
    <phoneticPr fontId="37" type="noConversion"/>
  </si>
  <si>
    <t>拉篮、抽屉柜、特殊柜</t>
    <phoneticPr fontId="37" type="noConversion"/>
  </si>
  <si>
    <t>FC-BZ011016</t>
    <phoneticPr fontId="37" type="noConversion"/>
  </si>
  <si>
    <t>W＞600</t>
    <phoneticPr fontId="37" type="noConversion"/>
  </si>
  <si>
    <t>散件包装的柜体---可使用一片成型包装箱的明细</t>
    <phoneticPr fontId="37" type="noConversion"/>
  </si>
  <si>
    <t>包装编号</t>
    <phoneticPr fontId="37" type="noConversion"/>
  </si>
  <si>
    <t>宽度</t>
    <phoneticPr fontId="37" type="noConversion"/>
  </si>
  <si>
    <t>高度</t>
    <phoneticPr fontId="37" type="noConversion"/>
  </si>
  <si>
    <t>适用范围</t>
    <phoneticPr fontId="37" type="noConversion"/>
  </si>
  <si>
    <t>数量</t>
    <phoneticPr fontId="37" type="noConversion"/>
  </si>
  <si>
    <t>单位</t>
    <phoneticPr fontId="37" type="noConversion"/>
  </si>
  <si>
    <t>备注</t>
    <phoneticPr fontId="37" type="noConversion"/>
  </si>
  <si>
    <t>1#柜体散件包装</t>
    <phoneticPr fontId="37" type="noConversion"/>
  </si>
  <si>
    <t>≤600</t>
    <phoneticPr fontId="37" type="noConversion"/>
  </si>
  <si>
    <t>地柜散件柜体</t>
    <phoneticPr fontId="37" type="noConversion"/>
  </si>
  <si>
    <t>600宽地柜一片成型包装箱（三层瓦楞纸)A型</t>
    <phoneticPr fontId="37" type="noConversion"/>
  </si>
  <si>
    <t>FC-BZ011010</t>
    <phoneticPr fontId="37" type="noConversion"/>
  </si>
  <si>
    <t>平板苯板</t>
    <phoneticPr fontId="37" type="noConversion"/>
  </si>
  <si>
    <t>车间调配</t>
    <phoneticPr fontId="37" type="noConversion"/>
  </si>
  <si>
    <t>硬纸护角41mm高</t>
    <phoneticPr fontId="37" type="noConversion"/>
  </si>
  <si>
    <t>2#柜体散件包装</t>
    <phoneticPr fontId="37" type="noConversion"/>
  </si>
  <si>
    <t>601-900</t>
    <phoneticPr fontId="37" type="noConversion"/>
  </si>
  <si>
    <t>900宽地柜一片成型包装箱（三层瓦楞纸)A型</t>
    <phoneticPr fontId="37" type="noConversion"/>
  </si>
  <si>
    <t>FC-BZ011011</t>
    <phoneticPr fontId="37" type="noConversion"/>
  </si>
  <si>
    <t>3#柜体散件包装</t>
    <phoneticPr fontId="37" type="noConversion"/>
  </si>
  <si>
    <t>901-1200</t>
    <phoneticPr fontId="37" type="noConversion"/>
  </si>
  <si>
    <t>1200宽地柜一片成型包装箱（三层瓦楞纸)A型</t>
    <phoneticPr fontId="37" type="noConversion"/>
  </si>
  <si>
    <t>FC-BZ011012</t>
    <phoneticPr fontId="37" type="noConversion"/>
  </si>
  <si>
    <t>4#柜体散件包装</t>
    <phoneticPr fontId="37" type="noConversion"/>
  </si>
  <si>
    <t>≤350</t>
    <phoneticPr fontId="37" type="noConversion"/>
  </si>
  <si>
    <t>吊柜散包柜体</t>
    <phoneticPr fontId="37" type="noConversion"/>
  </si>
  <si>
    <t>300宽吊柜一片成型包装箱（三层瓦楞纸)A型</t>
    <phoneticPr fontId="37" type="noConversion"/>
  </si>
  <si>
    <t>FC-BZ011013</t>
    <phoneticPr fontId="37" type="noConversion"/>
  </si>
  <si>
    <t>5#柜体散件包装</t>
    <phoneticPr fontId="37" type="noConversion"/>
  </si>
  <si>
    <t>351-600</t>
    <phoneticPr fontId="37" type="noConversion"/>
  </si>
  <si>
    <t>600宽吊柜一片成型包装箱（三层瓦楞纸)A型</t>
    <phoneticPr fontId="37" type="noConversion"/>
  </si>
  <si>
    <t>米</t>
    <phoneticPr fontId="37" type="noConversion"/>
  </si>
  <si>
    <t>6#柜体散件包装</t>
    <phoneticPr fontId="37" type="noConversion"/>
  </si>
  <si>
    <t>吊柜散件柜体</t>
    <phoneticPr fontId="37" type="noConversion"/>
  </si>
  <si>
    <t>900宽吊柜一片成型包装箱（三层瓦楞纸)A型</t>
    <phoneticPr fontId="37" type="noConversion"/>
  </si>
  <si>
    <t>FC-BZ011014</t>
    <phoneticPr fontId="37" type="noConversion"/>
  </si>
  <si>
    <t>7#柜体散件包装</t>
    <phoneticPr fontId="37" type="noConversion"/>
  </si>
  <si>
    <t>1200宽吊柜一片成型包装箱（三层瓦楞纸)A型</t>
    <phoneticPr fontId="37" type="noConversion"/>
  </si>
  <si>
    <t>FC-BZ011015</t>
    <phoneticPr fontId="37" type="noConversion"/>
  </si>
  <si>
    <t>高柜散包柜体不适用高身拉篮及内置冰箱高柜</t>
    <phoneticPr fontId="37" type="noConversion"/>
  </si>
  <si>
    <t>2160高柜一片成型包装箱（三层瓦楞纸)A型</t>
    <phoneticPr fontId="37" type="noConversion"/>
  </si>
  <si>
    <t>注：以上包装箱适用地柜560深、720高散件柜体；吊柜300深、720高柜体；高柜560深2160高的散件柜体（除特定两种柜形外），外地所有玻璃层板单独包装</t>
    <phoneticPr fontId="37" type="noConversion"/>
  </si>
  <si>
    <t>散件包装的柜体--所有无法使用一片成型包装箱的柜体散件（玻璃层板单独包装）</t>
    <phoneticPr fontId="37" type="noConversion"/>
  </si>
  <si>
    <t>W≤600</t>
    <phoneticPr fontId="37" type="noConversion"/>
  </si>
  <si>
    <t>吊柜</t>
    <phoneticPr fontId="37" type="noConversion"/>
  </si>
  <si>
    <t>地柜</t>
    <phoneticPr fontId="37" type="noConversion"/>
  </si>
  <si>
    <t>D≤300</t>
    <phoneticPr fontId="37" type="noConversion"/>
  </si>
  <si>
    <t>半高柜、台上柜</t>
    <phoneticPr fontId="37" type="noConversion"/>
  </si>
  <si>
    <t>D＞300</t>
    <phoneticPr fontId="37" type="noConversion"/>
  </si>
  <si>
    <t>高柜</t>
    <phoneticPr fontId="37" type="noConversion"/>
  </si>
  <si>
    <t>散件包装柜体的背板</t>
    <phoneticPr fontId="37" type="noConversion"/>
  </si>
  <si>
    <t>无限制</t>
    <phoneticPr fontId="37" type="noConversion"/>
  </si>
  <si>
    <t>H≤720</t>
    <phoneticPr fontId="37" type="noConversion"/>
  </si>
  <si>
    <t>每套</t>
    <phoneticPr fontId="37" type="noConversion"/>
  </si>
  <si>
    <t>无半高柜、高柜的订单</t>
    <phoneticPr fontId="37" type="noConversion"/>
  </si>
  <si>
    <t>1.所有背板包装以本包最大尺寸为准选择包装材料及用量
2.所有背板包使用固定架保护，固定架使用多层板</t>
    <phoneticPr fontId="37" type="noConversion"/>
  </si>
  <si>
    <t>蜂窝纸板1250*800*15</t>
    <phoneticPr fontId="7" type="noConversion"/>
  </si>
  <si>
    <t>H＞720</t>
    <phoneticPr fontId="37" type="noConversion"/>
  </si>
  <si>
    <t>含半高柜、高柜的订单</t>
    <phoneticPr fontId="37" type="noConversion"/>
  </si>
  <si>
    <t>蜂窝纸板2200*650*15</t>
    <phoneticPr fontId="7" type="noConversion"/>
  </si>
  <si>
    <t>二、散件门板部分</t>
    <phoneticPr fontId="37" type="noConversion"/>
  </si>
  <si>
    <t>1.散件包装的门板---可使用一片成型包装箱的明细</t>
    <phoneticPr fontId="37" type="noConversion"/>
  </si>
  <si>
    <t>厚度</t>
    <phoneticPr fontId="37" type="noConversion"/>
  </si>
  <si>
    <t>包装标准</t>
    <phoneticPr fontId="37" type="noConversion"/>
  </si>
  <si>
    <t>1#门板散件包装</t>
    <phoneticPr fontId="37" type="noConversion"/>
  </si>
  <si>
    <t>≤447</t>
    <phoneticPr fontId="37" type="noConversion"/>
  </si>
  <si>
    <t>≤720</t>
    <phoneticPr fontId="37" type="noConversion"/>
  </si>
  <si>
    <t>18/22/25</t>
    <phoneticPr fontId="37" type="noConversion"/>
  </si>
  <si>
    <t>门板材质散包18A：5层/每包、22A：4层/包、25A：3层/包，每层可置多块板件，需保证底层为适合此包装箱规格的最大尺寸门板，25A门板包装时增加一层苯板。</t>
    <phoneticPr fontId="37" type="noConversion"/>
  </si>
  <si>
    <t>450宽门板一片成型包装箱（三层瓦楞纸)A型</t>
    <phoneticPr fontId="37" type="noConversion"/>
  </si>
  <si>
    <t>保证每包最底层门板为此包装箱最大尺寸门板</t>
    <phoneticPr fontId="37" type="noConversion"/>
  </si>
  <si>
    <t>平板苯板18mm厚</t>
    <phoneticPr fontId="37" type="noConversion"/>
  </si>
  <si>
    <t>448-597</t>
    <phoneticPr fontId="37" type="noConversion"/>
  </si>
  <si>
    <t>600宽门板一片成型包装箱（三层瓦楞纸)A型</t>
    <phoneticPr fontId="37" type="noConversion"/>
  </si>
  <si>
    <t>2.散件包装的门板--所有无法使用一片成型包装箱的门板散件</t>
    <phoneticPr fontId="37" type="noConversion"/>
  </si>
  <si>
    <t>-</t>
    <phoneticPr fontId="37" type="noConversion"/>
  </si>
  <si>
    <t>地柜、吊柜、半高柜、台上柜、高柜：4块/包</t>
    <phoneticPr fontId="37" type="noConversion"/>
  </si>
  <si>
    <t>四、装饰部件部分（本地、外地通用）</t>
    <phoneticPr fontId="37" type="noConversion"/>
  </si>
  <si>
    <t>名称</t>
    <phoneticPr fontId="37" type="noConversion"/>
  </si>
  <si>
    <t>罗马柱箱体</t>
    <phoneticPr fontId="37" type="noConversion"/>
  </si>
  <si>
    <t>H≤840</t>
    <phoneticPr fontId="37" type="noConversion"/>
  </si>
  <si>
    <t>W≤350</t>
    <phoneticPr fontId="37" type="noConversion"/>
  </si>
  <si>
    <t>1个</t>
    <phoneticPr fontId="37" type="noConversion"/>
  </si>
  <si>
    <t>25侧板U型护边280*2600</t>
    <phoneticPr fontId="37" type="noConversion"/>
  </si>
  <si>
    <t>硬纸护角54mm高</t>
    <phoneticPr fontId="37" type="noConversion"/>
  </si>
  <si>
    <t>350＜W≤600</t>
    <phoneticPr fontId="37" type="noConversion"/>
  </si>
  <si>
    <t>25侧板U型护边350*2600</t>
    <phoneticPr fontId="37" type="noConversion"/>
  </si>
  <si>
    <t>840＜H≤2260</t>
    <phoneticPr fontId="37" type="noConversion"/>
  </si>
  <si>
    <t>200＜W≤350</t>
    <phoneticPr fontId="37" type="noConversion"/>
  </si>
  <si>
    <t>2个</t>
    <phoneticPr fontId="37" type="noConversion"/>
  </si>
  <si>
    <t>50、75、150</t>
    <phoneticPr fontId="37" type="noConversion"/>
  </si>
  <si>
    <t>单体罗马柱、顶线、灯线、踢脚板、图兰朵边框</t>
    <phoneticPr fontId="37" type="noConversion"/>
  </si>
  <si>
    <t>W≤2400</t>
    <phoneticPr fontId="37" type="noConversion"/>
  </si>
  <si>
    <t>4层/包</t>
    <phoneticPr fontId="37" type="noConversion"/>
  </si>
  <si>
    <t>L型苯板护角</t>
    <phoneticPr fontId="37" type="noConversion"/>
  </si>
  <si>
    <t>根</t>
    <phoneticPr fontId="37" type="noConversion"/>
  </si>
  <si>
    <t>浴室镜</t>
    <phoneticPr fontId="37" type="noConversion"/>
  </si>
  <si>
    <t>W≤1300</t>
    <phoneticPr fontId="37" type="noConversion"/>
  </si>
  <si>
    <t>H≤1200</t>
    <phoneticPr fontId="37" type="noConversion"/>
  </si>
  <si>
    <t>1块</t>
    <phoneticPr fontId="37" type="noConversion"/>
  </si>
  <si>
    <t>加硬包装</t>
    <phoneticPr fontId="37" type="noConversion"/>
  </si>
  <si>
    <t>1300＜W≤1600</t>
    <phoneticPr fontId="37" type="noConversion"/>
  </si>
  <si>
    <t>烟机罩</t>
    <phoneticPr fontId="37" type="noConversion"/>
  </si>
  <si>
    <t>——</t>
    <phoneticPr fontId="37" type="noConversion"/>
  </si>
  <si>
    <t>图兰朵盖板</t>
    <phoneticPr fontId="37" type="noConversion"/>
  </si>
  <si>
    <t>W≤1200</t>
    <phoneticPr fontId="37" type="noConversion"/>
  </si>
  <si>
    <t>D≤350</t>
    <phoneticPr fontId="37" type="noConversion"/>
  </si>
  <si>
    <t>1层</t>
    <phoneticPr fontId="37" type="noConversion"/>
  </si>
  <si>
    <t>1200＜W≤2400</t>
    <phoneticPr fontId="37" type="noConversion"/>
  </si>
  <si>
    <t>350＜D≤650</t>
    <phoneticPr fontId="37" type="noConversion"/>
  </si>
  <si>
    <t>酒架、调料盒、碗盘架、墙上搁架</t>
    <phoneticPr fontId="37" type="noConversion"/>
  </si>
  <si>
    <t>墙上层板</t>
    <phoneticPr fontId="37" type="noConversion"/>
  </si>
  <si>
    <t>4层</t>
    <phoneticPr fontId="37" type="noConversion"/>
  </si>
  <si>
    <t>装饰墙板</t>
    <phoneticPr fontId="37" type="noConversion"/>
  </si>
  <si>
    <t>H≤2400</t>
    <phoneticPr fontId="37" type="noConversion"/>
  </si>
  <si>
    <t>2层</t>
    <phoneticPr fontId="37" type="noConversion"/>
  </si>
  <si>
    <t>根据板件高度选择硬纸护角的高度（41/54）</t>
    <phoneticPr fontId="37" type="noConversion"/>
  </si>
  <si>
    <t>硬纸护角</t>
    <phoneticPr fontId="37" type="noConversion"/>
  </si>
  <si>
    <t>600＜W≤900</t>
    <phoneticPr fontId="37" type="noConversion"/>
  </si>
  <si>
    <t>半成品</t>
    <phoneticPr fontId="7" type="noConversion"/>
  </si>
  <si>
    <t>硬包装专用板条2440*100*18</t>
    <phoneticPr fontId="7" type="noConversion"/>
  </si>
  <si>
    <t>LVL撑板专用板条15*120*2440mm</t>
    <phoneticPr fontId="37" type="noConversion"/>
  </si>
  <si>
    <t>备注：灯箱底板、拉篮、含玻璃镜子的板件都需要打硬包装</t>
    <phoneticPr fontId="7" type="noConversion"/>
  </si>
  <si>
    <t>包装材料名称</t>
    <phoneticPr fontId="37" type="noConversion"/>
  </si>
  <si>
    <t>物料编码</t>
    <phoneticPr fontId="37" type="noConversion"/>
  </si>
  <si>
    <t>拉篮柜</t>
    <phoneticPr fontId="37" type="noConversion"/>
  </si>
  <si>
    <t>150宽拉篮柜对口箱（三层瓦楞纸)170*630*750</t>
    <phoneticPr fontId="37" type="noConversion"/>
  </si>
  <si>
    <t>个</t>
    <phoneticPr fontId="37" type="noConversion"/>
  </si>
  <si>
    <t>图兰朵拉篮柜无法使用，使用大纸板包装</t>
    <phoneticPr fontId="37" type="noConversion"/>
  </si>
  <si>
    <t>FC-BZ010962</t>
    <phoneticPr fontId="37" type="noConversion"/>
  </si>
  <si>
    <t>气垫膜1100mm宽</t>
    <phoneticPr fontId="7" type="noConversion"/>
  </si>
  <si>
    <t>蜂窝纸板1250*800*15</t>
    <phoneticPr fontId="37" type="noConversion"/>
  </si>
  <si>
    <t>张</t>
    <phoneticPr fontId="37" type="noConversion"/>
  </si>
  <si>
    <t>包装纸板1500mm*2400mm（三层瓦楞纸)</t>
    <phoneticPr fontId="37" type="noConversion"/>
  </si>
  <si>
    <t>图兰朵拉篮柜专用</t>
    <phoneticPr fontId="37" type="noConversion"/>
  </si>
  <si>
    <t>300宽拉篮、抽屉对口箱（三层瓦楞纸)320*630*750</t>
    <phoneticPr fontId="37" type="noConversion"/>
  </si>
  <si>
    <t>拉篮柜
抽屉柜</t>
    <phoneticPr fontId="37" type="noConversion"/>
  </si>
  <si>
    <t>450宽拉篮、抽屉对口箱（三层瓦楞纸)470*630*750</t>
    <phoneticPr fontId="37" type="noConversion"/>
  </si>
  <si>
    <t>米</t>
    <phoneticPr fontId="37" type="noConversion"/>
  </si>
  <si>
    <t>600宽拉篮、抽屉对口箱（三层瓦楞纸)620*630*750</t>
    <phoneticPr fontId="37" type="noConversion"/>
  </si>
  <si>
    <t>平板苯板</t>
    <phoneticPr fontId="37" type="noConversion"/>
  </si>
  <si>
    <t>车间调配</t>
    <phoneticPr fontId="37" type="noConversion"/>
  </si>
  <si>
    <t>玻璃门板时增加此项</t>
    <phoneticPr fontId="37" type="noConversion"/>
  </si>
  <si>
    <t>900宽拉篮、抽屉对口箱（三层瓦楞纸)920*630*750</t>
    <phoneticPr fontId="37" type="noConversion"/>
  </si>
  <si>
    <r>
      <t>2.整件包装--所有无法使用对口箱的所有柜体</t>
    </r>
    <r>
      <rPr>
        <b/>
        <sz val="10"/>
        <color rgb="FFFF0000"/>
        <rFont val="宋体"/>
        <family val="3"/>
        <charset val="134"/>
        <scheme val="minor"/>
      </rPr>
      <t>（备注：所有整柜包装需增加蜂窝纸板)</t>
    </r>
    <phoneticPr fontId="37" type="noConversion"/>
  </si>
  <si>
    <t>宽度</t>
    <phoneticPr fontId="37" type="noConversion"/>
  </si>
  <si>
    <t>高度</t>
    <phoneticPr fontId="37" type="noConversion"/>
  </si>
  <si>
    <t>深度</t>
    <phoneticPr fontId="37" type="noConversion"/>
  </si>
  <si>
    <t>柜型</t>
    <phoneticPr fontId="37" type="noConversion"/>
  </si>
  <si>
    <t>备注</t>
    <phoneticPr fontId="37" type="noConversion"/>
  </si>
  <si>
    <t>W≤600</t>
    <phoneticPr fontId="37" type="noConversion"/>
  </si>
  <si>
    <t>—</t>
    <phoneticPr fontId="37" type="noConversion"/>
  </si>
  <si>
    <t>拉篮、抽屉柜、特殊柜</t>
    <phoneticPr fontId="37" type="noConversion"/>
  </si>
  <si>
    <t>FC-BZ011016</t>
    <phoneticPr fontId="37" type="noConversion"/>
  </si>
  <si>
    <t>W＞600</t>
    <phoneticPr fontId="37" type="noConversion"/>
  </si>
  <si>
    <t>散件包装的柜体---可使用一片成型包装箱的明细</t>
    <phoneticPr fontId="37" type="noConversion"/>
  </si>
  <si>
    <t>包装编号</t>
    <phoneticPr fontId="37" type="noConversion"/>
  </si>
  <si>
    <t>适用范围</t>
    <phoneticPr fontId="37" type="noConversion"/>
  </si>
  <si>
    <t>数量</t>
    <phoneticPr fontId="37" type="noConversion"/>
  </si>
  <si>
    <t>单位</t>
    <phoneticPr fontId="37" type="noConversion"/>
  </si>
  <si>
    <t>1#柜体散件包装</t>
    <phoneticPr fontId="37" type="noConversion"/>
  </si>
  <si>
    <t>≤600</t>
    <phoneticPr fontId="37" type="noConversion"/>
  </si>
  <si>
    <t>地柜散件柜体</t>
    <phoneticPr fontId="37" type="noConversion"/>
  </si>
  <si>
    <t>600宽地柜一片成型包装箱（三层瓦楞纸)A型</t>
    <phoneticPr fontId="37" type="noConversion"/>
  </si>
  <si>
    <t>FC-BZ011010</t>
    <phoneticPr fontId="37" type="noConversion"/>
  </si>
  <si>
    <t>硬纸护角41mm高</t>
    <phoneticPr fontId="37" type="noConversion"/>
  </si>
  <si>
    <t>2#柜体散件包装</t>
    <phoneticPr fontId="37" type="noConversion"/>
  </si>
  <si>
    <t>601-900</t>
    <phoneticPr fontId="37" type="noConversion"/>
  </si>
  <si>
    <t>900宽地柜一片成型包装箱（三层瓦楞纸)A型</t>
    <phoneticPr fontId="37" type="noConversion"/>
  </si>
  <si>
    <t>FC-BZ011011</t>
    <phoneticPr fontId="37" type="noConversion"/>
  </si>
  <si>
    <t>3#柜体散件包装</t>
    <phoneticPr fontId="37" type="noConversion"/>
  </si>
  <si>
    <t>901-1200</t>
    <phoneticPr fontId="37" type="noConversion"/>
  </si>
  <si>
    <t>地柜散件柜体</t>
    <phoneticPr fontId="37" type="noConversion"/>
  </si>
  <si>
    <t>1200宽地柜一片成型包装箱（三层瓦楞纸)A型</t>
    <phoneticPr fontId="37" type="noConversion"/>
  </si>
  <si>
    <t>FC-BZ011012</t>
    <phoneticPr fontId="37" type="noConversion"/>
  </si>
  <si>
    <t>个</t>
    <phoneticPr fontId="37" type="noConversion"/>
  </si>
  <si>
    <t>平板苯板</t>
    <phoneticPr fontId="37" type="noConversion"/>
  </si>
  <si>
    <t>车间调配</t>
    <phoneticPr fontId="37" type="noConversion"/>
  </si>
  <si>
    <t>FC-BZ010962</t>
    <phoneticPr fontId="37" type="noConversion"/>
  </si>
  <si>
    <t>4#柜体散件包装</t>
    <phoneticPr fontId="37" type="noConversion"/>
  </si>
  <si>
    <t>≤350</t>
    <phoneticPr fontId="37" type="noConversion"/>
  </si>
  <si>
    <t>吊柜散包柜体</t>
    <phoneticPr fontId="37" type="noConversion"/>
  </si>
  <si>
    <t>300宽吊柜一片成型包装箱（三层瓦楞纸)A型</t>
    <phoneticPr fontId="37" type="noConversion"/>
  </si>
  <si>
    <t>FC-BZ011013</t>
    <phoneticPr fontId="37" type="noConversion"/>
  </si>
  <si>
    <t>5#柜体散件包装</t>
    <phoneticPr fontId="37" type="noConversion"/>
  </si>
  <si>
    <t>351-600</t>
    <phoneticPr fontId="37" type="noConversion"/>
  </si>
  <si>
    <t>600宽吊柜一片成型包装箱（三层瓦楞纸)A型</t>
    <phoneticPr fontId="37" type="noConversion"/>
  </si>
  <si>
    <t>米</t>
    <phoneticPr fontId="37" type="noConversion"/>
  </si>
  <si>
    <t>6#柜体散件包装</t>
    <phoneticPr fontId="37" type="noConversion"/>
  </si>
  <si>
    <t>601-900</t>
    <phoneticPr fontId="37" type="noConversion"/>
  </si>
  <si>
    <t>吊柜散件柜体</t>
    <phoneticPr fontId="37" type="noConversion"/>
  </si>
  <si>
    <t>900宽吊柜一片成型包装箱（三层瓦楞纸)A型</t>
    <phoneticPr fontId="37" type="noConversion"/>
  </si>
  <si>
    <t>FC-BZ011014</t>
    <phoneticPr fontId="37" type="noConversion"/>
  </si>
  <si>
    <t>7#柜体散件包装</t>
    <phoneticPr fontId="37" type="noConversion"/>
  </si>
  <si>
    <t>1200宽吊柜一片成型包装箱（三层瓦楞纸)A型</t>
    <phoneticPr fontId="37" type="noConversion"/>
  </si>
  <si>
    <t>FC-BZ011015</t>
    <phoneticPr fontId="37" type="noConversion"/>
  </si>
  <si>
    <t>高柜散包柜体不适用高身拉篮及内置冰箱高柜</t>
    <phoneticPr fontId="37" type="noConversion"/>
  </si>
  <si>
    <t>2160高柜一片成型包装箱（三层瓦楞纸)A型</t>
    <phoneticPr fontId="37" type="noConversion"/>
  </si>
  <si>
    <t>FC-BZ011016</t>
    <phoneticPr fontId="37" type="noConversion"/>
  </si>
  <si>
    <t>张</t>
    <phoneticPr fontId="37" type="noConversion"/>
  </si>
  <si>
    <t>注：以上包装箱适用地柜560深、720高散件柜体；吊柜300深、720高柜体；高柜560深2160高的散件柜体（除特定两种柜形外），外地所有玻璃层板单独包装</t>
    <phoneticPr fontId="37" type="noConversion"/>
  </si>
  <si>
    <t>散件包装的柜体--所有无法使用一片成型包装箱的柜体散件（玻璃层板单独包装）</t>
    <phoneticPr fontId="37" type="noConversion"/>
  </si>
  <si>
    <t>宽度</t>
    <phoneticPr fontId="37" type="noConversion"/>
  </si>
  <si>
    <t>高度</t>
    <phoneticPr fontId="37" type="noConversion"/>
  </si>
  <si>
    <t>深度</t>
    <phoneticPr fontId="37" type="noConversion"/>
  </si>
  <si>
    <t>适用范围</t>
    <phoneticPr fontId="37" type="noConversion"/>
  </si>
  <si>
    <t>包装材料名称</t>
    <phoneticPr fontId="37" type="noConversion"/>
  </si>
  <si>
    <t>物料编码</t>
    <phoneticPr fontId="37" type="noConversion"/>
  </si>
  <si>
    <t>备注</t>
    <phoneticPr fontId="37" type="noConversion"/>
  </si>
  <si>
    <t>W≤600</t>
    <phoneticPr fontId="37" type="noConversion"/>
  </si>
  <si>
    <t>—</t>
    <phoneticPr fontId="37" type="noConversion"/>
  </si>
  <si>
    <t>吊柜</t>
    <phoneticPr fontId="37" type="noConversion"/>
  </si>
  <si>
    <t>包装纸板1500mm*2400mm（三层瓦楞纸)</t>
    <phoneticPr fontId="37" type="noConversion"/>
  </si>
  <si>
    <t>W＞600</t>
    <phoneticPr fontId="37" type="noConversion"/>
  </si>
  <si>
    <t>地柜</t>
    <phoneticPr fontId="37" type="noConversion"/>
  </si>
  <si>
    <t>D≤300</t>
    <phoneticPr fontId="37" type="noConversion"/>
  </si>
  <si>
    <t>半高柜、台上柜</t>
    <phoneticPr fontId="37" type="noConversion"/>
  </si>
  <si>
    <t>D＞300</t>
    <phoneticPr fontId="37" type="noConversion"/>
  </si>
  <si>
    <t>高柜</t>
    <phoneticPr fontId="37" type="noConversion"/>
  </si>
  <si>
    <t>散件包装柜体的背板</t>
    <phoneticPr fontId="37" type="noConversion"/>
  </si>
  <si>
    <t>数量</t>
    <phoneticPr fontId="37" type="noConversion"/>
  </si>
  <si>
    <t>无限制</t>
    <phoneticPr fontId="37" type="noConversion"/>
  </si>
  <si>
    <t>H≤720</t>
    <phoneticPr fontId="37" type="noConversion"/>
  </si>
  <si>
    <t>每套</t>
    <phoneticPr fontId="37" type="noConversion"/>
  </si>
  <si>
    <t>无半高柜、高柜的订单</t>
    <phoneticPr fontId="37" type="noConversion"/>
  </si>
  <si>
    <t>1.所有背板包装以本包最大尺寸为准选择包装材料及用量
2.所有背板包使用固定架保护，固定架使用多层板</t>
    <phoneticPr fontId="37" type="noConversion"/>
  </si>
  <si>
    <t>蜂窝纸板1250*800*15</t>
    <phoneticPr fontId="7" type="noConversion"/>
  </si>
  <si>
    <t>H＞720</t>
    <phoneticPr fontId="37" type="noConversion"/>
  </si>
  <si>
    <t>含半高柜、高柜的订单</t>
    <phoneticPr fontId="37" type="noConversion"/>
  </si>
  <si>
    <t>蜂窝纸板2200*650*15</t>
    <phoneticPr fontId="7" type="noConversion"/>
  </si>
  <si>
    <t>二、散件门板部分</t>
    <phoneticPr fontId="37" type="noConversion"/>
  </si>
  <si>
    <t>1.散件包装的门板---可使用一片成型包装箱的明细</t>
    <phoneticPr fontId="37" type="noConversion"/>
  </si>
  <si>
    <t>包装编号</t>
    <phoneticPr fontId="37" type="noConversion"/>
  </si>
  <si>
    <t>厚度</t>
    <phoneticPr fontId="37" type="noConversion"/>
  </si>
  <si>
    <t>包装标准</t>
    <phoneticPr fontId="37" type="noConversion"/>
  </si>
  <si>
    <t>单位</t>
    <phoneticPr fontId="37" type="noConversion"/>
  </si>
  <si>
    <t>1#门板散件包装</t>
    <phoneticPr fontId="37" type="noConversion"/>
  </si>
  <si>
    <t>≤447</t>
    <phoneticPr fontId="37" type="noConversion"/>
  </si>
  <si>
    <t>≤720</t>
    <phoneticPr fontId="37" type="noConversion"/>
  </si>
  <si>
    <t>18/22/25</t>
    <phoneticPr fontId="37" type="noConversion"/>
  </si>
  <si>
    <t>门板材质散包18A：5层/每包、22A：4层/包、25A：3层/包，每层可置多块板件，需保证底层为适合此包装箱规格的最大尺寸门板，25A门板包装时增加一层苯板。</t>
    <phoneticPr fontId="37" type="noConversion"/>
  </si>
  <si>
    <t>450宽门板一片成型包装箱（三层瓦楞纸)A型</t>
    <phoneticPr fontId="37" type="noConversion"/>
  </si>
  <si>
    <t>保证每包最底层门板为此包装箱最大尺寸门板</t>
    <phoneticPr fontId="37" type="noConversion"/>
  </si>
  <si>
    <t>平板苯板18mm厚</t>
    <phoneticPr fontId="37" type="noConversion"/>
  </si>
  <si>
    <t>448-597</t>
    <phoneticPr fontId="37" type="noConversion"/>
  </si>
  <si>
    <t>600宽门板一片成型包装箱（三层瓦楞纸)A型</t>
    <phoneticPr fontId="37" type="noConversion"/>
  </si>
  <si>
    <t>2.散件包装的门板--所有无法使用一片成型包装箱的门板散件</t>
    <phoneticPr fontId="37" type="noConversion"/>
  </si>
  <si>
    <t>-</t>
    <phoneticPr fontId="37" type="noConversion"/>
  </si>
  <si>
    <t>地柜、吊柜、半高柜、台上柜、高柜：4块/包</t>
    <phoneticPr fontId="37" type="noConversion"/>
  </si>
  <si>
    <t>四、装饰部件部分（本地、外地通用）</t>
    <phoneticPr fontId="37" type="noConversion"/>
  </si>
  <si>
    <t>名称</t>
    <phoneticPr fontId="37" type="noConversion"/>
  </si>
  <si>
    <t>罗马柱箱体</t>
    <phoneticPr fontId="37" type="noConversion"/>
  </si>
  <si>
    <t>H≤840</t>
    <phoneticPr fontId="37" type="noConversion"/>
  </si>
  <si>
    <t>W≤350</t>
    <phoneticPr fontId="37" type="noConversion"/>
  </si>
  <si>
    <t>1个</t>
    <phoneticPr fontId="37" type="noConversion"/>
  </si>
  <si>
    <t>25侧板U型护边280*2600</t>
    <phoneticPr fontId="37" type="noConversion"/>
  </si>
  <si>
    <t>硬纸护角54mm高</t>
    <phoneticPr fontId="37" type="noConversion"/>
  </si>
  <si>
    <t>350＜W≤600</t>
    <phoneticPr fontId="37" type="noConversion"/>
  </si>
  <si>
    <t>25侧板U型护边350*2600</t>
    <phoneticPr fontId="37" type="noConversion"/>
  </si>
  <si>
    <t>840＜H≤2260</t>
    <phoneticPr fontId="37" type="noConversion"/>
  </si>
  <si>
    <t>200＜W≤350</t>
    <phoneticPr fontId="37" type="noConversion"/>
  </si>
  <si>
    <t>2个</t>
    <phoneticPr fontId="37" type="noConversion"/>
  </si>
  <si>
    <t>50、75、150</t>
    <phoneticPr fontId="37" type="noConversion"/>
  </si>
  <si>
    <t>单体罗马柱、顶线、灯线、踢脚板、图兰朵边框</t>
    <phoneticPr fontId="37" type="noConversion"/>
  </si>
  <si>
    <t>W≤2400</t>
    <phoneticPr fontId="37" type="noConversion"/>
  </si>
  <si>
    <t>4层/包</t>
    <phoneticPr fontId="37" type="noConversion"/>
  </si>
  <si>
    <t>L型苯板护角</t>
    <phoneticPr fontId="37" type="noConversion"/>
  </si>
  <si>
    <t>根</t>
    <phoneticPr fontId="37" type="noConversion"/>
  </si>
  <si>
    <t>浴室镜</t>
    <phoneticPr fontId="37" type="noConversion"/>
  </si>
  <si>
    <t>W≤1300</t>
    <phoneticPr fontId="37" type="noConversion"/>
  </si>
  <si>
    <t>H≤1200</t>
    <phoneticPr fontId="37" type="noConversion"/>
  </si>
  <si>
    <t>1块</t>
    <phoneticPr fontId="37" type="noConversion"/>
  </si>
  <si>
    <t>加硬包装</t>
    <phoneticPr fontId="37" type="noConversion"/>
  </si>
  <si>
    <t>1300＜W≤1600</t>
    <phoneticPr fontId="37" type="noConversion"/>
  </si>
  <si>
    <t>烟机罩</t>
    <phoneticPr fontId="37" type="noConversion"/>
  </si>
  <si>
    <t>——</t>
    <phoneticPr fontId="37" type="noConversion"/>
  </si>
  <si>
    <t>图兰朵盖板</t>
    <phoneticPr fontId="37" type="noConversion"/>
  </si>
  <si>
    <t>W≤1200</t>
    <phoneticPr fontId="37" type="noConversion"/>
  </si>
  <si>
    <t>D≤350</t>
    <phoneticPr fontId="37" type="noConversion"/>
  </si>
  <si>
    <t>1层</t>
    <phoneticPr fontId="37" type="noConversion"/>
  </si>
  <si>
    <t>1200＜W≤2400</t>
    <phoneticPr fontId="37" type="noConversion"/>
  </si>
  <si>
    <t>350＜D≤650</t>
    <phoneticPr fontId="37" type="noConversion"/>
  </si>
  <si>
    <t>酒架、调料盒、碗盘架、墙上搁架</t>
    <phoneticPr fontId="37" type="noConversion"/>
  </si>
  <si>
    <t>墙上层板</t>
    <phoneticPr fontId="37" type="noConversion"/>
  </si>
  <si>
    <t>4层</t>
    <phoneticPr fontId="37" type="noConversion"/>
  </si>
  <si>
    <t>装饰墙板</t>
    <phoneticPr fontId="37" type="noConversion"/>
  </si>
  <si>
    <t>H≤2400</t>
    <phoneticPr fontId="37" type="noConversion"/>
  </si>
  <si>
    <t>2层</t>
    <phoneticPr fontId="37" type="noConversion"/>
  </si>
  <si>
    <t>根据板件高度选择硬纸护角的高度（41/54）</t>
    <phoneticPr fontId="37" type="noConversion"/>
  </si>
  <si>
    <t>硬纸护角</t>
    <phoneticPr fontId="37" type="noConversion"/>
  </si>
  <si>
    <t>600＜W≤900</t>
    <phoneticPr fontId="37" type="noConversion"/>
  </si>
  <si>
    <t>半成品</t>
    <phoneticPr fontId="7" type="noConversion"/>
  </si>
  <si>
    <t>硬包装专用板条2440*100*18</t>
    <phoneticPr fontId="7" type="noConversion"/>
  </si>
  <si>
    <t>LVL撑板专用板条15*120*2440mm</t>
    <phoneticPr fontId="37" type="noConversion"/>
  </si>
  <si>
    <t>备注：灯箱底板、拉篮、含玻璃镜子的板件都需要打硬包装</t>
    <phoneticPr fontId="7" type="noConversion"/>
  </si>
  <si>
    <t>木业有限公司包装材料单 （外地包装）  (油漆产品包装）</t>
    <phoneticPr fontId="7" type="noConversion"/>
  </si>
  <si>
    <t>杜鹃</t>
    <phoneticPr fontId="7" type="noConversion"/>
  </si>
  <si>
    <t>S400383705</t>
    <phoneticPr fontId="7" type="noConversion"/>
  </si>
  <si>
    <t>西安</t>
    <phoneticPr fontId="7" type="noConversion"/>
  </si>
  <si>
    <t>16厚暖白</t>
  </si>
  <si>
    <t>悬挂式地柜挂件</t>
    <phoneticPr fontId="7" type="noConversion"/>
  </si>
  <si>
    <t>8*60</t>
    <phoneticPr fontId="7" type="noConversion"/>
  </si>
</sst>
</file>

<file path=xl/styles.xml><?xml version="1.0" encoding="utf-8"?>
<styleSheet xmlns="http://schemas.openxmlformats.org/spreadsheetml/2006/main">
  <numFmts count="12">
    <numFmt numFmtId="176" formatCode="0.000_ "/>
    <numFmt numFmtId="177" formatCode="0_ "/>
    <numFmt numFmtId="178" formatCode="0.00_ "/>
    <numFmt numFmtId="179" formatCode="0.0_ "/>
    <numFmt numFmtId="180" formatCode="yyyy&quot;年&quot;m&quot;月&quot;d&quot;日&quot;;@"/>
    <numFmt numFmtId="181" formatCode="0_);\(0\)"/>
    <numFmt numFmtId="182" formatCode="[$-F800]dddd\,\ mmmm\ dd\,\ yyyy"/>
    <numFmt numFmtId="183" formatCode="0_);[Red]\(0\)"/>
    <numFmt numFmtId="184" formatCode="0.0_);[Red]\(0.0\)"/>
    <numFmt numFmtId="185" formatCode="0&quot;高&quot;"/>
    <numFmt numFmtId="186" formatCode="0.00_);[Red]\(0.00\)"/>
    <numFmt numFmtId="187" formatCode="0.0"/>
  </numFmts>
  <fonts count="141">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2"/>
      <name val="宋体"/>
      <family val="3"/>
      <charset val="134"/>
    </font>
    <font>
      <sz val="9"/>
      <name val="宋体"/>
      <family val="3"/>
      <charset val="134"/>
    </font>
    <font>
      <sz val="12"/>
      <name val="Times New Roman"/>
      <family val="1"/>
    </font>
    <font>
      <b/>
      <sz val="12"/>
      <name val="宋体"/>
      <family val="3"/>
      <charset val="134"/>
    </font>
    <font>
      <sz val="14"/>
      <name val="宋体"/>
      <family val="3"/>
      <charset val="134"/>
    </font>
    <font>
      <sz val="10"/>
      <name val="宋体"/>
      <family val="3"/>
      <charset val="134"/>
    </font>
    <font>
      <b/>
      <sz val="12"/>
      <color indexed="10"/>
      <name val="宋体"/>
      <family val="3"/>
      <charset val="134"/>
    </font>
    <font>
      <b/>
      <sz val="14"/>
      <name val="宋体"/>
      <family val="3"/>
      <charset val="134"/>
    </font>
    <font>
      <b/>
      <sz val="12"/>
      <color indexed="48"/>
      <name val="宋体"/>
      <family val="3"/>
      <charset val="134"/>
    </font>
    <font>
      <sz val="11"/>
      <name val="宋体"/>
      <family val="3"/>
      <charset val="134"/>
    </font>
    <font>
      <sz val="12"/>
      <name val="宋体"/>
      <family val="3"/>
      <charset val="134"/>
    </font>
    <font>
      <b/>
      <sz val="10"/>
      <color indexed="8"/>
      <name val="宋体"/>
      <family val="3"/>
      <charset val="134"/>
    </font>
    <font>
      <sz val="10"/>
      <color indexed="8"/>
      <name val="宋体"/>
      <family val="3"/>
      <charset val="134"/>
    </font>
    <font>
      <sz val="10"/>
      <color indexed="8"/>
      <name val="宋体"/>
      <family val="3"/>
      <charset val="134"/>
    </font>
    <font>
      <sz val="10"/>
      <name val="宋体"/>
      <family val="3"/>
      <charset val="134"/>
    </font>
    <font>
      <sz val="10"/>
      <name val="Times New Roman"/>
      <family val="1"/>
    </font>
    <font>
      <b/>
      <sz val="10"/>
      <name val="宋体"/>
      <family val="3"/>
      <charset val="134"/>
    </font>
    <font>
      <sz val="9"/>
      <color indexed="81"/>
      <name val="宋体"/>
      <family val="3"/>
      <charset val="134"/>
    </font>
    <font>
      <b/>
      <sz val="9"/>
      <color indexed="81"/>
      <name val="宋体"/>
      <family val="3"/>
      <charset val="134"/>
    </font>
    <font>
      <b/>
      <sz val="22"/>
      <name val="华文细黑"/>
      <family val="3"/>
      <charset val="134"/>
    </font>
    <font>
      <sz val="14"/>
      <name val="华文细黑"/>
      <family val="3"/>
      <charset val="134"/>
    </font>
    <font>
      <sz val="12"/>
      <name val="华文新魏"/>
      <family val="3"/>
      <charset val="134"/>
    </font>
    <font>
      <sz val="14"/>
      <name val="华文新魏"/>
      <family val="3"/>
      <charset val="134"/>
    </font>
    <font>
      <b/>
      <sz val="16"/>
      <name val="华文细黑"/>
      <family val="3"/>
      <charset val="134"/>
    </font>
    <font>
      <sz val="8"/>
      <name val="宋体"/>
      <family val="3"/>
      <charset val="134"/>
    </font>
    <font>
      <sz val="9"/>
      <name val="宋体"/>
      <family val="3"/>
      <charset val="134"/>
    </font>
    <font>
      <sz val="10"/>
      <color indexed="8"/>
      <name val="宋体"/>
      <family val="3"/>
      <charset val="134"/>
    </font>
    <font>
      <sz val="9"/>
      <name val="宋体"/>
      <family val="3"/>
      <charset val="134"/>
    </font>
    <font>
      <sz val="11"/>
      <color theme="1"/>
      <name val="宋体"/>
      <family val="3"/>
      <charset val="134"/>
      <scheme val="minor"/>
    </font>
    <font>
      <b/>
      <sz val="12"/>
      <color theme="1"/>
      <name val="宋体"/>
      <family val="3"/>
      <charset val="134"/>
      <scheme val="minor"/>
    </font>
    <font>
      <sz val="10"/>
      <color theme="1"/>
      <name val="宋体"/>
      <family val="3"/>
      <charset val="134"/>
      <scheme val="minor"/>
    </font>
    <font>
      <sz val="9"/>
      <name val="宋体"/>
      <family val="2"/>
      <charset val="134"/>
      <scheme val="minor"/>
    </font>
    <font>
      <b/>
      <sz val="10"/>
      <color theme="1"/>
      <name val="宋体"/>
      <family val="3"/>
      <charset val="134"/>
      <scheme val="minor"/>
    </font>
    <font>
      <b/>
      <vertAlign val="superscript"/>
      <sz val="10"/>
      <color indexed="8"/>
      <name val="宋体"/>
      <family val="3"/>
      <charset val="134"/>
    </font>
    <font>
      <b/>
      <sz val="10"/>
      <name val="宋体"/>
      <family val="3"/>
      <charset val="134"/>
      <scheme val="minor"/>
    </font>
    <font>
      <sz val="10"/>
      <name val="Arial Unicode MS"/>
      <family val="2"/>
      <charset val="134"/>
    </font>
    <font>
      <sz val="9"/>
      <color indexed="81"/>
      <name val="Tahoma"/>
      <family val="2"/>
    </font>
    <font>
      <sz val="10"/>
      <color rgb="FFFF0000"/>
      <name val="宋体"/>
      <family val="3"/>
      <charset val="134"/>
      <scheme val="minor"/>
    </font>
    <font>
      <sz val="12"/>
      <name val="宋体"/>
      <family val="3"/>
      <charset val="134"/>
    </font>
    <font>
      <b/>
      <sz val="14"/>
      <name val="宋体"/>
      <family val="3"/>
      <charset val="134"/>
      <scheme val="minor"/>
    </font>
    <font>
      <sz val="9"/>
      <name val="宋体"/>
      <family val="3"/>
      <charset val="134"/>
    </font>
    <font>
      <sz val="10"/>
      <name val="宋体"/>
      <family val="3"/>
      <charset val="134"/>
      <scheme val="minor"/>
    </font>
    <font>
      <sz val="9"/>
      <color indexed="20"/>
      <name val="宋体"/>
      <family val="3"/>
      <charset val="134"/>
    </font>
    <font>
      <sz val="11"/>
      <color theme="1"/>
      <name val="宋体"/>
      <family val="3"/>
      <charset val="134"/>
      <scheme val="minor"/>
    </font>
    <font>
      <sz val="9"/>
      <color theme="1"/>
      <name val="宋体"/>
      <family val="3"/>
      <charset val="134"/>
    </font>
    <font>
      <sz val="11"/>
      <color indexed="8"/>
      <name val="宋体"/>
      <family val="3"/>
      <charset val="134"/>
    </font>
    <font>
      <sz val="9"/>
      <color indexed="17"/>
      <name val="宋体"/>
      <family val="3"/>
      <charset val="134"/>
    </font>
    <font>
      <sz val="16"/>
      <name val="宋体"/>
      <family val="3"/>
      <charset val="134"/>
      <scheme val="minor"/>
    </font>
    <font>
      <sz val="10"/>
      <name val="宋体"/>
      <family val="3"/>
      <charset val="134"/>
      <scheme val="minor"/>
    </font>
    <font>
      <sz val="12"/>
      <name val="宋体"/>
      <family val="3"/>
      <charset val="134"/>
      <scheme val="minor"/>
    </font>
    <font>
      <sz val="9"/>
      <color theme="1"/>
      <name val="宋体"/>
      <family val="3"/>
      <charset val="134"/>
      <scheme val="minor"/>
    </font>
    <font>
      <sz val="11"/>
      <name val="宋体"/>
      <family val="3"/>
      <charset val="134"/>
      <scheme val="minor"/>
    </font>
    <font>
      <sz val="8"/>
      <color theme="1"/>
      <name val="宋体"/>
      <family val="3"/>
      <charset val="134"/>
      <scheme val="minor"/>
    </font>
    <font>
      <b/>
      <sz val="10"/>
      <color theme="1"/>
      <name val="华文细黑"/>
      <family val="3"/>
      <charset val="134"/>
    </font>
    <font>
      <b/>
      <sz val="8"/>
      <color indexed="8"/>
      <name val="宋体"/>
      <family val="3"/>
      <charset val="134"/>
    </font>
    <font>
      <b/>
      <sz val="11"/>
      <name val="宋体"/>
      <family val="3"/>
      <charset val="134"/>
    </font>
    <font>
      <sz val="8"/>
      <color theme="1"/>
      <name val="宋体"/>
      <family val="3"/>
      <charset val="134"/>
    </font>
    <font>
      <b/>
      <sz val="8"/>
      <color theme="1"/>
      <name val="宋体"/>
      <family val="3"/>
      <charset val="134"/>
    </font>
    <font>
      <b/>
      <sz val="9"/>
      <name val="宋体"/>
      <family val="3"/>
      <charset val="134"/>
    </font>
    <font>
      <b/>
      <sz val="12"/>
      <name val="Times New Roman"/>
      <family val="1"/>
    </font>
    <font>
      <sz val="14"/>
      <name val="华文行楷"/>
      <family val="3"/>
      <charset val="134"/>
    </font>
    <font>
      <sz val="10"/>
      <name val="华文中宋"/>
      <family val="3"/>
      <charset val="134"/>
    </font>
    <font>
      <sz val="16"/>
      <name val="宋体"/>
      <family val="3"/>
      <charset val="134"/>
    </font>
    <font>
      <sz val="9"/>
      <name val="宋体"/>
      <family val="3"/>
      <charset val="134"/>
    </font>
    <font>
      <sz val="12"/>
      <name val="宋体"/>
      <family val="3"/>
      <charset val="134"/>
    </font>
    <font>
      <u/>
      <sz val="10"/>
      <name val="宋体"/>
      <family val="3"/>
      <charset val="134"/>
    </font>
    <font>
      <sz val="12"/>
      <color indexed="10"/>
      <name val="宋体"/>
      <family val="3"/>
      <charset val="134"/>
    </font>
    <font>
      <sz val="14"/>
      <name val="Times New Roman"/>
      <family val="1"/>
    </font>
    <font>
      <b/>
      <i/>
      <sz val="14"/>
      <name val="宋体"/>
      <family val="3"/>
      <charset val="134"/>
    </font>
    <font>
      <sz val="16"/>
      <name val="Times New Roman"/>
      <family val="1"/>
    </font>
    <font>
      <sz val="11"/>
      <color theme="1"/>
      <name val="宋体"/>
      <family val="3"/>
      <charset val="134"/>
      <scheme val="minor"/>
    </font>
    <font>
      <u/>
      <sz val="10"/>
      <name val="宋体"/>
      <family val="3"/>
      <charset val="134"/>
    </font>
    <font>
      <sz val="12"/>
      <color indexed="10"/>
      <name val="宋体"/>
      <family val="3"/>
      <charset val="134"/>
    </font>
    <font>
      <sz val="11"/>
      <name val="Times New Roman"/>
      <family val="1"/>
    </font>
    <font>
      <sz val="14"/>
      <name val="华文中宋"/>
      <family val="3"/>
      <charset val="134"/>
    </font>
    <font>
      <b/>
      <i/>
      <sz val="14"/>
      <name val="宋体"/>
      <family val="3"/>
      <charset val="134"/>
    </font>
    <font>
      <sz val="12"/>
      <name val="宋体"/>
      <family val="3"/>
      <charset val="134"/>
    </font>
    <font>
      <sz val="9"/>
      <name val="宋体"/>
      <family val="3"/>
      <charset val="134"/>
    </font>
    <font>
      <u/>
      <sz val="10"/>
      <name val="宋体"/>
      <family val="3"/>
      <charset val="134"/>
    </font>
    <font>
      <b/>
      <sz val="14"/>
      <name val="宋体"/>
      <family val="3"/>
      <charset val="134"/>
    </font>
    <font>
      <sz val="12"/>
      <color indexed="10"/>
      <name val="宋体"/>
      <family val="3"/>
      <charset val="134"/>
    </font>
    <font>
      <sz val="10"/>
      <name val="宋体"/>
      <family val="3"/>
      <charset val="134"/>
    </font>
    <font>
      <b/>
      <sz val="20"/>
      <name val="宋体"/>
      <family val="3"/>
      <charset val="134"/>
      <scheme val="major"/>
    </font>
    <font>
      <b/>
      <sz val="12"/>
      <name val="宋体"/>
      <family val="3"/>
      <charset val="134"/>
    </font>
    <font>
      <sz val="11"/>
      <color indexed="10"/>
      <name val="宋体"/>
      <family val="3"/>
      <charset val="134"/>
    </font>
    <font>
      <sz val="11"/>
      <name val="宋体"/>
      <family val="3"/>
      <charset val="134"/>
    </font>
    <font>
      <sz val="14"/>
      <name val="华文行楷"/>
      <family val="3"/>
      <charset val="134"/>
    </font>
    <font>
      <sz val="14"/>
      <name val="宋体"/>
      <family val="3"/>
      <charset val="134"/>
    </font>
    <font>
      <b/>
      <i/>
      <sz val="14"/>
      <name val="宋体"/>
      <family val="3"/>
      <charset val="134"/>
    </font>
    <font>
      <sz val="16"/>
      <name val="宋体"/>
      <family val="3"/>
      <charset val="134"/>
    </font>
    <font>
      <b/>
      <sz val="9"/>
      <name val="微软雅黑"/>
      <family val="2"/>
      <charset val="134"/>
    </font>
    <font>
      <b/>
      <sz val="10"/>
      <name val="微软雅黑"/>
      <family val="2"/>
      <charset val="134"/>
    </font>
    <font>
      <sz val="8"/>
      <name val="微软雅黑"/>
      <family val="2"/>
      <charset val="134"/>
    </font>
    <font>
      <sz val="20"/>
      <name val="宋体"/>
      <family val="3"/>
      <charset val="134"/>
    </font>
    <font>
      <sz val="8"/>
      <color indexed="8"/>
      <name val="微软雅黑"/>
      <family val="2"/>
      <charset val="134"/>
    </font>
    <font>
      <b/>
      <sz val="14"/>
      <name val="宋体"/>
      <family val="3"/>
      <charset val="134"/>
      <scheme val="minor"/>
    </font>
    <font>
      <sz val="10"/>
      <name val="宋体"/>
      <family val="3"/>
      <charset val="134"/>
      <scheme val="minor"/>
    </font>
    <font>
      <b/>
      <sz val="10"/>
      <name val="宋体"/>
      <family val="3"/>
      <charset val="134"/>
      <scheme val="minor"/>
    </font>
    <font>
      <b/>
      <sz val="16"/>
      <name val="宋体"/>
      <family val="3"/>
      <charset val="134"/>
    </font>
    <font>
      <b/>
      <sz val="18"/>
      <color indexed="8"/>
      <name val="宋体"/>
      <family val="3"/>
      <charset val="134"/>
    </font>
    <font>
      <sz val="12"/>
      <color theme="4"/>
      <name val="宋体"/>
      <family val="3"/>
      <charset val="134"/>
    </font>
    <font>
      <sz val="12"/>
      <color rgb="FFFF0000"/>
      <name val="宋体"/>
      <family val="3"/>
      <charset val="134"/>
    </font>
    <font>
      <sz val="30"/>
      <name val="宋体"/>
      <family val="3"/>
      <charset val="134"/>
    </font>
    <font>
      <b/>
      <sz val="16"/>
      <name val="Times New Roman"/>
      <family val="1"/>
    </font>
    <font>
      <b/>
      <sz val="16"/>
      <name val="宋体"/>
      <family val="3"/>
      <charset val="134"/>
    </font>
    <font>
      <sz val="18"/>
      <name val="宋体"/>
      <family val="3"/>
      <charset val="134"/>
    </font>
    <font>
      <b/>
      <i/>
      <sz val="16"/>
      <name val="宋体"/>
      <family val="3"/>
      <charset val="134"/>
    </font>
    <font>
      <sz val="8"/>
      <name val="宋体"/>
      <family val="3"/>
      <charset val="134"/>
    </font>
    <font>
      <sz val="10"/>
      <name val="Arial"/>
      <family val="2"/>
    </font>
    <font>
      <b/>
      <sz val="9"/>
      <name val="宋体"/>
      <family val="3"/>
      <charset val="134"/>
      <scheme val="minor"/>
    </font>
    <font>
      <b/>
      <sz val="8"/>
      <name val="宋体"/>
      <family val="3"/>
      <charset val="134"/>
    </font>
    <font>
      <b/>
      <sz val="9"/>
      <color indexed="81"/>
      <name val="Tahoma"/>
      <family val="2"/>
    </font>
    <font>
      <b/>
      <sz val="11"/>
      <color theme="1"/>
      <name val="宋体"/>
      <family val="3"/>
      <charset val="134"/>
      <scheme val="minor"/>
    </font>
    <font>
      <sz val="10"/>
      <name val="微软雅黑"/>
      <family val="2"/>
      <charset val="134"/>
    </font>
    <font>
      <sz val="9"/>
      <color theme="1"/>
      <name val="微软雅黑"/>
      <family val="2"/>
      <charset val="134"/>
    </font>
    <font>
      <sz val="9"/>
      <name val="微软雅黑"/>
      <family val="2"/>
      <charset val="134"/>
    </font>
    <font>
      <sz val="9"/>
      <color theme="0"/>
      <name val="微软雅黑"/>
      <family val="2"/>
      <charset val="134"/>
    </font>
    <font>
      <sz val="9"/>
      <color indexed="10"/>
      <name val="微软雅黑"/>
      <family val="2"/>
      <charset val="134"/>
    </font>
    <font>
      <sz val="9"/>
      <color theme="2"/>
      <name val="微软雅黑"/>
      <family val="2"/>
      <charset val="134"/>
    </font>
    <font>
      <sz val="9"/>
      <color rgb="FFF0F0F0"/>
      <name val="微软雅黑"/>
      <family val="2"/>
      <charset val="134"/>
    </font>
    <font>
      <sz val="14"/>
      <name val="微软雅黑"/>
      <family val="2"/>
      <charset val="134"/>
    </font>
    <font>
      <sz val="12"/>
      <name val="微软雅黑"/>
      <family val="2"/>
      <charset val="134"/>
    </font>
    <font>
      <b/>
      <sz val="14"/>
      <name val="微软雅黑"/>
      <family val="2"/>
      <charset val="134"/>
    </font>
    <font>
      <sz val="9"/>
      <color rgb="FF000000"/>
      <name val="微软雅黑"/>
      <family val="2"/>
      <charset val="134"/>
    </font>
    <font>
      <sz val="9"/>
      <color rgb="FFFF0000"/>
      <name val="微软雅黑"/>
      <family val="2"/>
      <charset val="134"/>
    </font>
    <font>
      <sz val="11"/>
      <name val="微软雅黑"/>
      <family val="2"/>
      <charset val="134"/>
    </font>
    <font>
      <sz val="14"/>
      <color theme="1"/>
      <name val="宋体"/>
      <family val="2"/>
      <charset val="134"/>
      <scheme val="minor"/>
    </font>
    <font>
      <sz val="14"/>
      <color theme="1"/>
      <name val="宋体"/>
      <family val="3"/>
      <charset val="134"/>
      <scheme val="minor"/>
    </font>
    <font>
      <sz val="11"/>
      <color theme="1"/>
      <name val="微软雅黑"/>
      <family val="2"/>
      <charset val="134"/>
    </font>
    <font>
      <sz val="10"/>
      <color theme="1"/>
      <name val="微软雅黑"/>
      <family val="2"/>
      <charset val="134"/>
    </font>
    <font>
      <b/>
      <sz val="10"/>
      <color rgb="FFFF0000"/>
      <name val="微软雅黑"/>
      <family val="2"/>
      <charset val="134"/>
    </font>
    <font>
      <sz val="11"/>
      <color rgb="FF9C0006"/>
      <name val="宋体"/>
      <family val="2"/>
      <charset val="134"/>
      <scheme val="minor"/>
    </font>
    <font>
      <b/>
      <sz val="10"/>
      <color rgb="FFFF0000"/>
      <name val="宋体"/>
      <family val="3"/>
      <charset val="134"/>
      <scheme val="minor"/>
    </font>
    <font>
      <sz val="11"/>
      <color rgb="FF9C0006"/>
      <name val="宋体"/>
      <family val="3"/>
      <charset val="134"/>
      <scheme val="minor"/>
    </font>
    <font>
      <sz val="9"/>
      <name val="宋体"/>
      <charset val="134"/>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45"/>
      </patternFill>
    </fill>
    <fill>
      <patternFill patternType="solid">
        <fgColor indexed="42"/>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theme="6" tint="-0.499984740745262"/>
        <bgColor indexed="64"/>
      </patternFill>
    </fill>
    <fill>
      <patternFill patternType="solid">
        <fgColor indexed="10"/>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1" tint="0.499984740745262"/>
        <bgColor indexed="64"/>
      </patternFill>
    </fill>
    <fill>
      <patternFill patternType="solid">
        <fgColor indexed="55"/>
        <bgColor indexed="64"/>
      </patternFill>
    </fill>
    <fill>
      <patternFill patternType="solid">
        <fgColor rgb="FF0070C0"/>
        <bgColor indexed="64"/>
      </patternFill>
    </fill>
    <fill>
      <patternFill patternType="solid">
        <fgColor rgb="FF00B050"/>
        <bgColor indexed="64"/>
      </patternFill>
    </fill>
    <fill>
      <patternFill patternType="solid">
        <fgColor rgb="FF00B0F0"/>
        <bgColor indexed="64"/>
      </patternFill>
    </fill>
    <fill>
      <patternFill patternType="solid">
        <fgColor rgb="FFFFC7CE"/>
      </patternFill>
    </fill>
  </fills>
  <borders count="1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bottom/>
      <diagonal/>
    </border>
    <border>
      <left style="medium">
        <color indexed="64"/>
      </left>
      <right style="hair">
        <color indexed="64"/>
      </right>
      <top/>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diagonal/>
    </border>
    <border>
      <left/>
      <right/>
      <top style="hair">
        <color indexed="64"/>
      </top>
      <bottom style="hair">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top style="medium">
        <color indexed="64"/>
      </top>
      <bottom/>
      <diagonal/>
    </border>
    <border>
      <left/>
      <right/>
      <top style="medium">
        <color indexed="64"/>
      </top>
      <bottom/>
      <diagonal/>
    </border>
    <border>
      <left/>
      <right/>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indexed="64"/>
      </left>
      <right style="hair">
        <color indexed="64"/>
      </right>
      <top style="hair">
        <color indexed="64"/>
      </top>
      <bottom/>
      <diagonal/>
    </border>
    <border>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style="hair">
        <color indexed="64"/>
      </right>
      <top style="medium">
        <color indexed="64"/>
      </top>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diagonal/>
    </border>
    <border>
      <left style="hair">
        <color indexed="64"/>
      </left>
      <right style="hair">
        <color indexed="64"/>
      </right>
      <top/>
      <bottom style="medium">
        <color indexed="64"/>
      </bottom>
      <diagonal/>
    </border>
    <border>
      <left/>
      <right style="hair">
        <color indexed="64"/>
      </right>
      <top/>
      <bottom style="thin">
        <color indexed="64"/>
      </bottom>
      <diagonal/>
    </border>
    <border>
      <left style="hair">
        <color indexed="64"/>
      </left>
      <right style="thin">
        <color indexed="64"/>
      </right>
      <top style="hair">
        <color indexed="64"/>
      </top>
      <bottom/>
      <diagonal/>
    </border>
    <border>
      <left style="hair">
        <color indexed="64"/>
      </left>
      <right style="medium">
        <color indexed="64"/>
      </right>
      <top/>
      <bottom style="hair">
        <color indexed="64"/>
      </bottom>
      <diagonal/>
    </border>
    <border>
      <left style="medium">
        <color indexed="64"/>
      </left>
      <right style="hair">
        <color indexed="64"/>
      </right>
      <top style="medium">
        <color indexed="64"/>
      </top>
      <bottom/>
      <diagonal/>
    </border>
    <border>
      <left style="medium">
        <color indexed="64"/>
      </left>
      <right style="hair">
        <color indexed="64"/>
      </right>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top style="thin">
        <color indexed="64"/>
      </top>
      <bottom style="hair">
        <color rgb="FF000000"/>
      </bottom>
      <diagonal/>
    </border>
    <border>
      <left/>
      <right/>
      <top style="thin">
        <color indexed="64"/>
      </top>
      <bottom style="hair">
        <color rgb="FF000000"/>
      </bottom>
      <diagonal/>
    </border>
    <border>
      <left/>
      <right style="thin">
        <color indexed="64"/>
      </right>
      <top style="thin">
        <color indexed="64"/>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hair">
        <color indexed="64"/>
      </right>
      <top style="hair">
        <color indexed="64"/>
      </top>
      <bottom/>
      <diagonal/>
    </border>
    <border>
      <left style="hair">
        <color indexed="64"/>
      </left>
      <right style="medium">
        <color indexed="64"/>
      </right>
      <top style="thin">
        <color indexed="64"/>
      </top>
      <bottom style="hair">
        <color indexed="64"/>
      </bottom>
      <diagonal/>
    </border>
    <border>
      <left style="medium">
        <color indexed="64"/>
      </left>
      <right style="hair">
        <color indexed="64"/>
      </right>
      <top style="thin">
        <color indexed="64"/>
      </top>
      <bottom style="hair">
        <color indexed="64"/>
      </bottom>
      <diagonal/>
    </border>
    <border>
      <left style="medium">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hair">
        <color indexed="64"/>
      </left>
      <right style="medium">
        <color indexed="64"/>
      </right>
      <top style="medium">
        <color indexed="64"/>
      </top>
      <bottom/>
      <diagonal/>
    </border>
    <border>
      <left style="hair">
        <color indexed="64"/>
      </left>
      <right/>
      <top/>
      <bottom style="hair">
        <color indexed="64"/>
      </bottom>
      <diagonal/>
    </border>
    <border>
      <left/>
      <right style="hair">
        <color indexed="64"/>
      </right>
      <top/>
      <bottom style="hair">
        <color indexed="64"/>
      </bottom>
      <diagonal/>
    </border>
    <border>
      <left/>
      <right/>
      <top/>
      <bottom style="hair">
        <color indexed="64"/>
      </bottom>
      <diagonal/>
    </border>
    <border>
      <left style="hair">
        <color indexed="64"/>
      </left>
      <right/>
      <top style="hair">
        <color indexed="64"/>
      </top>
      <bottom style="thin">
        <color indexed="64"/>
      </bottom>
      <diagonal/>
    </border>
    <border>
      <left style="hair">
        <color indexed="64"/>
      </left>
      <right/>
      <top style="thin">
        <color indexed="64"/>
      </top>
      <bottom style="hair">
        <color indexed="64"/>
      </bottom>
      <diagonal/>
    </border>
    <border>
      <left/>
      <right/>
      <top style="hair">
        <color indexed="64"/>
      </top>
      <bottom style="thin">
        <color indexed="64"/>
      </bottom>
      <diagonal/>
    </border>
    <border>
      <left style="hair">
        <color indexed="64"/>
      </left>
      <right/>
      <top style="hair">
        <color indexed="64"/>
      </top>
      <bottom style="medium">
        <color indexed="64"/>
      </bottom>
      <diagonal/>
    </border>
    <border>
      <left/>
      <right style="medium">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thin">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medium">
        <color indexed="64"/>
      </top>
      <bottom style="thin">
        <color indexed="64"/>
      </bottom>
      <diagonal/>
    </border>
    <border>
      <left/>
      <right style="hair">
        <color indexed="64"/>
      </right>
      <top style="medium">
        <color indexed="64"/>
      </top>
      <bottom style="thin">
        <color indexed="64"/>
      </bottom>
      <diagonal/>
    </border>
    <border>
      <left/>
      <right/>
      <top style="medium">
        <color indexed="64"/>
      </top>
      <bottom style="thin">
        <color indexed="64"/>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bottom style="hair">
        <color indexed="64"/>
      </bottom>
      <diagonal/>
    </border>
    <border>
      <left/>
      <right style="medium">
        <color indexed="64"/>
      </right>
      <top style="medium">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hair">
        <color indexed="64"/>
      </left>
      <right/>
      <top style="hair">
        <color indexed="64"/>
      </top>
      <bottom/>
      <diagonal/>
    </border>
    <border>
      <left style="hair">
        <color indexed="64"/>
      </left>
      <right/>
      <top style="thin">
        <color indexed="64"/>
      </top>
      <bottom/>
      <diagonal/>
    </border>
    <border>
      <left/>
      <right style="thin">
        <color indexed="64"/>
      </right>
      <top style="hair">
        <color indexed="64"/>
      </top>
      <bottom style="hair">
        <color indexed="64"/>
      </bottom>
      <diagonal/>
    </border>
    <border>
      <left style="thin">
        <color indexed="64"/>
      </left>
      <right style="hair">
        <color indexed="64"/>
      </right>
      <top/>
      <bottom/>
      <diagonal/>
    </border>
    <border>
      <left style="hair">
        <color indexed="64"/>
      </left>
      <right style="thin">
        <color indexed="64"/>
      </right>
      <top/>
      <bottom style="hair">
        <color indexed="64"/>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s>
  <cellStyleXfs count="50">
    <xf numFmtId="0" fontId="0" fillId="0" borderId="0">
      <alignment vertical="center"/>
    </xf>
    <xf numFmtId="0" fontId="6" fillId="0" borderId="0"/>
    <xf numFmtId="0" fontId="34" fillId="0" borderId="0">
      <alignment vertical="center"/>
    </xf>
    <xf numFmtId="0" fontId="6" fillId="0" borderId="0">
      <alignment vertical="center"/>
    </xf>
    <xf numFmtId="0" fontId="44" fillId="0" borderId="0"/>
    <xf numFmtId="0" fontId="44" fillId="0" borderId="0">
      <alignment vertical="center"/>
    </xf>
    <xf numFmtId="0" fontId="48"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9" fillId="0" borderId="0">
      <alignment vertical="center"/>
    </xf>
    <xf numFmtId="0" fontId="50" fillId="0" borderId="0">
      <alignment vertical="center"/>
    </xf>
    <xf numFmtId="0" fontId="44" fillId="0" borderId="0"/>
    <xf numFmtId="0" fontId="51" fillId="0" borderId="0">
      <alignment vertical="center"/>
    </xf>
    <xf numFmtId="0" fontId="51" fillId="0" borderId="0">
      <alignment vertical="center"/>
    </xf>
    <xf numFmtId="0" fontId="51" fillId="0" borderId="0">
      <alignment vertical="center"/>
    </xf>
    <xf numFmtId="0" fontId="51" fillId="0" borderId="0">
      <alignment vertical="center"/>
    </xf>
    <xf numFmtId="0" fontId="51" fillId="0" borderId="0">
      <alignment vertical="center"/>
    </xf>
    <xf numFmtId="0" fontId="51" fillId="0" borderId="0">
      <alignment vertical="center"/>
    </xf>
    <xf numFmtId="0" fontId="44" fillId="0" borderId="0"/>
    <xf numFmtId="0" fontId="50" fillId="0" borderId="0">
      <alignment vertical="center"/>
    </xf>
    <xf numFmtId="0" fontId="49" fillId="0" borderId="0">
      <alignment vertical="center"/>
    </xf>
    <xf numFmtId="0" fontId="49" fillId="0" borderId="0">
      <alignment vertical="center"/>
    </xf>
    <xf numFmtId="0" fontId="52" fillId="5" borderId="0" applyNumberFormat="0" applyBorder="0" applyAlignment="0" applyProtection="0">
      <alignment vertical="center"/>
    </xf>
    <xf numFmtId="0" fontId="52" fillId="5" borderId="0" applyNumberFormat="0" applyBorder="0" applyAlignment="0" applyProtection="0">
      <alignment vertical="center"/>
    </xf>
    <xf numFmtId="0" fontId="5" fillId="0" borderId="0">
      <alignment vertical="center"/>
    </xf>
    <xf numFmtId="0" fontId="70" fillId="0" borderId="0"/>
    <xf numFmtId="0" fontId="76" fillId="0" borderId="0">
      <alignment vertical="center"/>
    </xf>
    <xf numFmtId="0" fontId="70" fillId="0" borderId="0"/>
    <xf numFmtId="0" fontId="70" fillId="0" borderId="0">
      <alignment vertical="center"/>
    </xf>
    <xf numFmtId="0" fontId="70" fillId="0" borderId="0"/>
    <xf numFmtId="0" fontId="6" fillId="0" borderId="0"/>
    <xf numFmtId="0" fontId="82" fillId="0" borderId="0"/>
    <xf numFmtId="0" fontId="82" fillId="0" borderId="0">
      <alignment vertical="center"/>
    </xf>
    <xf numFmtId="0" fontId="82" fillId="0" borderId="0"/>
    <xf numFmtId="0" fontId="82" fillId="0" borderId="0"/>
    <xf numFmtId="0" fontId="51" fillId="0" borderId="0">
      <alignment vertical="center"/>
    </xf>
    <xf numFmtId="0" fontId="82" fillId="0" borderId="0"/>
    <xf numFmtId="0" fontId="6" fillId="0" borderId="0"/>
    <xf numFmtId="0" fontId="34" fillId="0" borderId="0">
      <alignment vertical="center"/>
    </xf>
    <xf numFmtId="0" fontId="137" fillId="23" borderId="0" applyNumberFormat="0" applyBorder="0" applyAlignment="0" applyProtection="0">
      <alignment vertical="center"/>
    </xf>
    <xf numFmtId="0" fontId="3" fillId="0" borderId="0">
      <alignment vertical="center"/>
    </xf>
    <xf numFmtId="0" fontId="6" fillId="0" borderId="0"/>
    <xf numFmtId="0" fontId="6" fillId="0" borderId="0"/>
    <xf numFmtId="0" fontId="6" fillId="0" borderId="0">
      <alignment vertical="center"/>
    </xf>
    <xf numFmtId="0" fontId="6" fillId="0" borderId="0"/>
    <xf numFmtId="0" fontId="34" fillId="0" borderId="0">
      <alignment vertical="center"/>
    </xf>
    <xf numFmtId="0" fontId="6" fillId="0" borderId="0"/>
    <xf numFmtId="0" fontId="2" fillId="0" borderId="0">
      <alignment vertical="center"/>
    </xf>
  </cellStyleXfs>
  <cellXfs count="1623">
    <xf numFmtId="0" fontId="0" fillId="0" borderId="0" xfId="0">
      <alignment vertical="center"/>
    </xf>
    <xf numFmtId="0" fontId="0" fillId="0" borderId="0" xfId="0" applyBorder="1">
      <alignment vertical="center"/>
    </xf>
    <xf numFmtId="0" fontId="0" fillId="0" borderId="0" xfId="0" applyBorder="1" applyAlignment="1">
      <alignment horizontal="center" vertical="center"/>
    </xf>
    <xf numFmtId="0" fontId="0" fillId="0" borderId="1" xfId="0" applyBorder="1">
      <alignment vertical="center"/>
    </xf>
    <xf numFmtId="0" fontId="6" fillId="0" borderId="0" xfId="1"/>
    <xf numFmtId="49" fontId="6" fillId="0" borderId="0" xfId="1" applyNumberFormat="1"/>
    <xf numFmtId="0" fontId="0" fillId="0" borderId="0" xfId="0" applyAlignment="1"/>
    <xf numFmtId="0" fontId="0" fillId="0" borderId="0" xfId="0" applyAlignment="1" applyProtection="1">
      <protection locked="0"/>
    </xf>
    <xf numFmtId="0" fontId="6" fillId="0" borderId="0" xfId="0" applyFont="1" applyAlignment="1">
      <alignment vertical="center"/>
    </xf>
    <xf numFmtId="0" fontId="6" fillId="0" borderId="0" xfId="0" applyFont="1">
      <alignment vertical="center"/>
    </xf>
    <xf numFmtId="0" fontId="6" fillId="0" borderId="0" xfId="0" applyFont="1" applyAlignment="1">
      <alignment horizontal="right" vertical="center"/>
    </xf>
    <xf numFmtId="0" fontId="6" fillId="0" borderId="0" xfId="0" applyFont="1" applyFill="1" applyBorder="1" applyAlignment="1">
      <alignment horizontal="center" vertical="center"/>
    </xf>
    <xf numFmtId="0" fontId="6" fillId="0" borderId="4" xfId="0" applyFont="1" applyBorder="1" applyAlignment="1">
      <alignment vertical="center"/>
    </xf>
    <xf numFmtId="0" fontId="0" fillId="0" borderId="4" xfId="0" applyBorder="1" applyAlignment="1">
      <alignment vertical="center"/>
    </xf>
    <xf numFmtId="0" fontId="0" fillId="0" borderId="4" xfId="0" applyBorder="1">
      <alignment vertical="center"/>
    </xf>
    <xf numFmtId="179" fontId="11" fillId="0" borderId="6" xfId="0" applyNumberFormat="1" applyFont="1" applyFill="1" applyBorder="1" applyAlignment="1">
      <alignment horizontal="center" vertical="center"/>
    </xf>
    <xf numFmtId="0" fontId="15" fillId="0" borderId="6" xfId="0" applyFont="1" applyFill="1" applyBorder="1" applyAlignment="1">
      <alignment horizontal="center" vertical="center"/>
    </xf>
    <xf numFmtId="0" fontId="6" fillId="0" borderId="1" xfId="0" applyFont="1" applyBorder="1" applyAlignment="1">
      <alignment horizontal="center" vertical="center"/>
    </xf>
    <xf numFmtId="0" fontId="26" fillId="0" borderId="0" xfId="0" applyFont="1">
      <alignment vertical="center"/>
    </xf>
    <xf numFmtId="0" fontId="26" fillId="0" borderId="0" xfId="0" applyFont="1" applyAlignment="1">
      <alignment horizontal="center" vertical="center"/>
    </xf>
    <xf numFmtId="0" fontId="26" fillId="0" borderId="4" xfId="0" applyFont="1" applyBorder="1" applyAlignment="1">
      <alignment horizontal="center" vertical="center"/>
    </xf>
    <xf numFmtId="0" fontId="27" fillId="0" borderId="1" xfId="0" applyFont="1" applyBorder="1" applyAlignment="1">
      <alignment horizontal="center" vertical="center"/>
    </xf>
    <xf numFmtId="0" fontId="10" fillId="0" borderId="1" xfId="0" applyFont="1" applyBorder="1" applyAlignment="1">
      <alignment horizontal="center" vertical="center"/>
    </xf>
    <xf numFmtId="0" fontId="28" fillId="0" borderId="1" xfId="0" applyFont="1" applyBorder="1" applyAlignment="1">
      <alignment horizontal="center" vertical="center"/>
    </xf>
    <xf numFmtId="0" fontId="26" fillId="0" borderId="1" xfId="0" applyFont="1" applyBorder="1" applyAlignment="1">
      <alignment horizontal="center" vertical="center"/>
    </xf>
    <xf numFmtId="0" fontId="26" fillId="0" borderId="0" xfId="0" applyFont="1" applyBorder="1" applyAlignment="1">
      <alignment horizontal="center" vertical="center"/>
    </xf>
    <xf numFmtId="0" fontId="26" fillId="0" borderId="17" xfId="0" applyFont="1" applyBorder="1" applyAlignment="1">
      <alignment horizontal="center" vertical="center"/>
    </xf>
    <xf numFmtId="0" fontId="26" fillId="0" borderId="0" xfId="0" applyFont="1" applyBorder="1" applyAlignment="1">
      <alignment horizontal="right" vertical="center"/>
    </xf>
    <xf numFmtId="0" fontId="29" fillId="0" borderId="0" xfId="0" applyFont="1" applyAlignment="1">
      <alignment horizontal="center" vertical="center"/>
    </xf>
    <xf numFmtId="0" fontId="6" fillId="0" borderId="4" xfId="0" applyFont="1" applyBorder="1" applyAlignment="1">
      <alignment horizontal="center" vertical="center"/>
    </xf>
    <xf numFmtId="0" fontId="0" fillId="0" borderId="1" xfId="0" applyFill="1" applyBorder="1" applyAlignment="1">
      <alignment horizontal="center" vertical="center"/>
    </xf>
    <xf numFmtId="0" fontId="35" fillId="0" borderId="0" xfId="2" applyFont="1" applyFill="1" applyBorder="1" applyAlignment="1">
      <alignment vertical="center"/>
    </xf>
    <xf numFmtId="0" fontId="36" fillId="0" borderId="0" xfId="2" applyFont="1" applyFill="1" applyAlignment="1">
      <alignment horizontal="center" vertical="center"/>
    </xf>
    <xf numFmtId="0" fontId="36" fillId="0" borderId="0" xfId="2" applyFont="1" applyFill="1">
      <alignment vertical="center"/>
    </xf>
    <xf numFmtId="0" fontId="35" fillId="0" borderId="0" xfId="2" applyFont="1" applyFill="1" applyBorder="1" applyAlignment="1">
      <alignment horizontal="center" vertical="center"/>
    </xf>
    <xf numFmtId="0" fontId="38" fillId="0" borderId="13" xfId="2" applyFont="1" applyFill="1" applyBorder="1" applyAlignment="1">
      <alignment horizontal="center" vertical="center"/>
    </xf>
    <xf numFmtId="0" fontId="38" fillId="0" borderId="14" xfId="2" applyFont="1" applyFill="1" applyBorder="1" applyAlignment="1">
      <alignment horizontal="center" vertical="center"/>
    </xf>
    <xf numFmtId="0" fontId="38" fillId="0" borderId="43" xfId="2" applyFont="1" applyFill="1" applyBorder="1" applyAlignment="1">
      <alignment horizontal="center" vertical="center" wrapText="1"/>
    </xf>
    <xf numFmtId="0" fontId="40" fillId="0" borderId="44" xfId="2" applyFont="1" applyFill="1" applyBorder="1" applyAlignment="1">
      <alignment horizontal="center" vertical="center" wrapText="1"/>
    </xf>
    <xf numFmtId="0" fontId="38" fillId="0" borderId="9" xfId="2" applyFont="1" applyFill="1" applyBorder="1" applyAlignment="1">
      <alignment horizontal="center" vertical="center"/>
    </xf>
    <xf numFmtId="0" fontId="38" fillId="0" borderId="6" xfId="2" applyFont="1" applyFill="1" applyBorder="1" applyAlignment="1">
      <alignment horizontal="center" vertical="center"/>
    </xf>
    <xf numFmtId="0" fontId="36" fillId="0" borderId="0" xfId="2" applyFont="1" applyFill="1" applyBorder="1" applyAlignment="1">
      <alignment horizontal="center" vertical="center"/>
    </xf>
    <xf numFmtId="0" fontId="36" fillId="0" borderId="31" xfId="2" applyFont="1" applyFill="1" applyBorder="1" applyAlignment="1">
      <alignment horizontal="left" vertical="center"/>
    </xf>
    <xf numFmtId="0" fontId="36" fillId="0" borderId="33" xfId="2" applyFont="1" applyFill="1" applyBorder="1" applyAlignment="1">
      <alignment horizontal="center" vertical="center"/>
    </xf>
    <xf numFmtId="0" fontId="36" fillId="0" borderId="49" xfId="2" applyFont="1" applyFill="1" applyBorder="1" applyAlignment="1">
      <alignment horizontal="center" vertical="center" wrapText="1"/>
    </xf>
    <xf numFmtId="0" fontId="36" fillId="0" borderId="9" xfId="2" applyFont="1" applyFill="1" applyBorder="1" applyAlignment="1">
      <alignment horizontal="left" vertical="center"/>
    </xf>
    <xf numFmtId="0" fontId="36" fillId="0" borderId="6" xfId="2" applyFont="1" applyFill="1" applyBorder="1" applyAlignment="1">
      <alignment horizontal="left" vertical="center"/>
    </xf>
    <xf numFmtId="0" fontId="34" fillId="0" borderId="1" xfId="2" applyFill="1" applyBorder="1" applyAlignment="1">
      <alignment horizontal="center" vertical="center"/>
    </xf>
    <xf numFmtId="0" fontId="34" fillId="0" borderId="3" xfId="2" applyFill="1" applyBorder="1" applyAlignment="1">
      <alignment horizontal="center" vertical="center"/>
    </xf>
    <xf numFmtId="178" fontId="34" fillId="0" borderId="50" xfId="2" applyNumberFormat="1" applyFill="1" applyBorder="1" applyAlignment="1">
      <alignment horizontal="right" vertical="center" wrapText="1"/>
    </xf>
    <xf numFmtId="178" fontId="34" fillId="0" borderId="51" xfId="2" applyNumberFormat="1" applyFill="1" applyBorder="1" applyAlignment="1">
      <alignment horizontal="right" vertical="center" wrapText="1"/>
    </xf>
    <xf numFmtId="178" fontId="34" fillId="0" borderId="39" xfId="2" applyNumberFormat="1" applyFill="1" applyBorder="1" applyAlignment="1">
      <alignment horizontal="right" vertical="center" wrapText="1"/>
    </xf>
    <xf numFmtId="0" fontId="36" fillId="0" borderId="7" xfId="2" applyFont="1" applyFill="1" applyBorder="1" applyAlignment="1">
      <alignment horizontal="center" vertical="center"/>
    </xf>
    <xf numFmtId="0" fontId="34" fillId="0" borderId="0" xfId="2" applyFill="1" applyBorder="1" applyAlignment="1">
      <alignment horizontal="center" vertical="center"/>
    </xf>
    <xf numFmtId="0" fontId="0" fillId="0" borderId="1" xfId="0" applyFill="1" applyBorder="1" applyAlignment="1">
      <alignment vertical="center"/>
    </xf>
    <xf numFmtId="0" fontId="34" fillId="0" borderId="0" xfId="2" applyFill="1" applyAlignment="1">
      <alignment horizontal="center" vertical="center"/>
    </xf>
    <xf numFmtId="0" fontId="34" fillId="0" borderId="0" xfId="2" applyFill="1">
      <alignment vertical="center"/>
    </xf>
    <xf numFmtId="0" fontId="36" fillId="0" borderId="13" xfId="2" applyFont="1" applyFill="1" applyBorder="1" applyAlignment="1">
      <alignment horizontal="left" vertical="center"/>
    </xf>
    <xf numFmtId="0" fontId="36" fillId="0" borderId="14" xfId="2" applyFont="1" applyFill="1" applyBorder="1" applyAlignment="1">
      <alignment horizontal="center" vertical="center"/>
    </xf>
    <xf numFmtId="0" fontId="36" fillId="0" borderId="44" xfId="2" applyFont="1" applyFill="1" applyBorder="1" applyAlignment="1">
      <alignment horizontal="center" vertical="center" wrapText="1"/>
    </xf>
    <xf numFmtId="0" fontId="36" fillId="0" borderId="55" xfId="2" applyFont="1" applyFill="1" applyBorder="1" applyAlignment="1">
      <alignment horizontal="center" vertical="center" wrapText="1"/>
    </xf>
    <xf numFmtId="0" fontId="36" fillId="0" borderId="10" xfId="2" applyFont="1" applyFill="1" applyBorder="1" applyAlignment="1">
      <alignment horizontal="left" vertical="center"/>
    </xf>
    <xf numFmtId="0" fontId="36" fillId="0" borderId="34" xfId="2" applyFont="1" applyFill="1" applyBorder="1" applyAlignment="1">
      <alignment horizontal="left" vertical="center"/>
    </xf>
    <xf numFmtId="0" fontId="34" fillId="0" borderId="0" xfId="2" applyFill="1" applyAlignment="1">
      <alignment vertical="center" wrapText="1"/>
    </xf>
    <xf numFmtId="0" fontId="34" fillId="0" borderId="0" xfId="2" applyFill="1" applyAlignment="1">
      <alignment horizontal="center" vertical="center" wrapText="1"/>
    </xf>
    <xf numFmtId="180" fontId="35" fillId="0" borderId="0" xfId="2" applyNumberFormat="1" applyFont="1" applyFill="1" applyBorder="1" applyAlignment="1">
      <alignment horizontal="center" vertical="center"/>
    </xf>
    <xf numFmtId="0" fontId="36" fillId="0" borderId="6" xfId="0" applyFont="1" applyBorder="1" applyAlignment="1">
      <alignment horizontal="left" vertical="center"/>
    </xf>
    <xf numFmtId="0" fontId="36" fillId="0" borderId="1" xfId="0" applyFont="1" applyBorder="1" applyAlignment="1">
      <alignment horizontal="left" vertical="center"/>
    </xf>
    <xf numFmtId="0" fontId="36" fillId="0" borderId="1" xfId="0" applyFont="1" applyBorder="1">
      <alignment vertical="center"/>
    </xf>
    <xf numFmtId="178" fontId="34" fillId="0" borderId="1" xfId="2" applyNumberFormat="1" applyBorder="1" applyAlignment="1">
      <alignment horizontal="center" vertical="center" wrapText="1"/>
    </xf>
    <xf numFmtId="0" fontId="36" fillId="0" borderId="0" xfId="0" applyFont="1">
      <alignment vertical="center"/>
    </xf>
    <xf numFmtId="0" fontId="36" fillId="0" borderId="1" xfId="2" applyFont="1" applyBorder="1" applyAlignment="1">
      <alignment horizontal="left" vertical="center"/>
    </xf>
    <xf numFmtId="0" fontId="36" fillId="0" borderId="0" xfId="2" applyFont="1">
      <alignment vertical="center"/>
    </xf>
    <xf numFmtId="0" fontId="34" fillId="0" borderId="0" xfId="2" applyAlignment="1">
      <alignment horizontal="center" vertical="center"/>
    </xf>
    <xf numFmtId="0" fontId="34" fillId="0" borderId="0" xfId="2">
      <alignment vertical="center"/>
    </xf>
    <xf numFmtId="0" fontId="34" fillId="0" borderId="1" xfId="2" applyBorder="1">
      <alignment vertical="center"/>
    </xf>
    <xf numFmtId="0" fontId="36" fillId="0" borderId="9" xfId="0" applyFont="1" applyBorder="1" applyAlignment="1">
      <alignment horizontal="left" vertical="center"/>
    </xf>
    <xf numFmtId="0" fontId="36" fillId="0" borderId="19" xfId="0" applyFont="1" applyBorder="1" applyAlignment="1">
      <alignment horizontal="center" vertical="center"/>
    </xf>
    <xf numFmtId="0" fontId="36" fillId="0" borderId="19" xfId="2" applyFont="1" applyBorder="1" applyAlignment="1">
      <alignment horizontal="center" vertical="center" wrapText="1"/>
    </xf>
    <xf numFmtId="0" fontId="36" fillId="0" borderId="19" xfId="0" applyFont="1" applyBorder="1" applyAlignment="1">
      <alignment horizontal="left" vertical="center"/>
    </xf>
    <xf numFmtId="0" fontId="36" fillId="0" borderId="19" xfId="0" applyFont="1" applyBorder="1" applyAlignment="1">
      <alignment vertical="center"/>
    </xf>
    <xf numFmtId="0" fontId="36" fillId="0" borderId="31" xfId="0" applyFont="1" applyBorder="1" applyAlignment="1">
      <alignment horizontal="left" vertical="center"/>
    </xf>
    <xf numFmtId="0" fontId="36" fillId="0" borderId="33" xfId="0" applyFont="1" applyBorder="1" applyAlignment="1">
      <alignment horizontal="center" vertical="center"/>
    </xf>
    <xf numFmtId="0" fontId="36" fillId="0" borderId="7" xfId="0" applyFont="1" applyBorder="1" applyAlignment="1">
      <alignment horizontal="center" vertical="center"/>
    </xf>
    <xf numFmtId="0" fontId="36" fillId="0" borderId="13" xfId="0" applyFont="1" applyBorder="1" applyAlignment="1">
      <alignment horizontal="left" vertical="center"/>
    </xf>
    <xf numFmtId="0" fontId="36" fillId="0" borderId="14" xfId="0" applyFont="1" applyBorder="1" applyAlignment="1">
      <alignment horizontal="center" vertical="center"/>
    </xf>
    <xf numFmtId="0" fontId="26" fillId="0" borderId="4" xfId="0" applyFont="1" applyBorder="1" applyAlignment="1">
      <alignment horizontal="center" vertical="center"/>
    </xf>
    <xf numFmtId="177" fontId="28" fillId="0" borderId="1" xfId="0" applyNumberFormat="1" applyFont="1" applyBorder="1" applyAlignment="1">
      <alignment horizontal="center" vertical="center"/>
    </xf>
    <xf numFmtId="0" fontId="43" fillId="2" borderId="1" xfId="2" applyFont="1" applyFill="1" applyBorder="1" applyAlignment="1">
      <alignment horizontal="left" vertical="center"/>
    </xf>
    <xf numFmtId="0" fontId="36" fillId="0" borderId="36" xfId="2" applyFont="1" applyFill="1" applyBorder="1" applyAlignment="1">
      <alignment horizontal="left" vertical="center"/>
    </xf>
    <xf numFmtId="0" fontId="36" fillId="0" borderId="56" xfId="2" applyFont="1" applyFill="1" applyBorder="1" applyAlignment="1">
      <alignment horizontal="center" vertical="center"/>
    </xf>
    <xf numFmtId="0" fontId="43" fillId="0" borderId="1" xfId="2" applyFont="1" applyBorder="1" applyAlignment="1">
      <alignment horizontal="center" vertical="center"/>
    </xf>
    <xf numFmtId="0" fontId="43" fillId="0" borderId="1" xfId="2" applyFont="1" applyBorder="1" applyAlignment="1">
      <alignment horizontal="center" vertical="center" wrapText="1"/>
    </xf>
    <xf numFmtId="0" fontId="54" fillId="0" borderId="0" xfId="0" applyFont="1" applyFill="1" applyBorder="1">
      <alignment vertical="center"/>
    </xf>
    <xf numFmtId="0" fontId="54" fillId="0" borderId="0" xfId="0" applyFont="1" applyFill="1" applyBorder="1" applyAlignment="1">
      <alignment horizontal="center" vertical="center"/>
    </xf>
    <xf numFmtId="0" fontId="36" fillId="6" borderId="1" xfId="0" applyFont="1" applyFill="1" applyBorder="1" applyAlignment="1">
      <alignment horizontal="center" vertical="center" wrapText="1"/>
    </xf>
    <xf numFmtId="0" fontId="36" fillId="0" borderId="1" xfId="0" applyFont="1" applyFill="1" applyBorder="1" applyAlignment="1">
      <alignment horizontal="center" vertical="center" wrapText="1"/>
    </xf>
    <xf numFmtId="0" fontId="43" fillId="2" borderId="1" xfId="0" applyFont="1" applyFill="1" applyBorder="1" applyAlignment="1">
      <alignment horizontal="center" vertical="center" wrapText="1"/>
    </xf>
    <xf numFmtId="0" fontId="55" fillId="7" borderId="0" xfId="0" applyFont="1" applyFill="1" applyBorder="1">
      <alignment vertical="center"/>
    </xf>
    <xf numFmtId="0" fontId="55" fillId="7" borderId="0" xfId="0" applyFont="1" applyFill="1" applyBorder="1" applyAlignment="1">
      <alignment horizontal="center" vertical="center"/>
    </xf>
    <xf numFmtId="0" fontId="56" fillId="0" borderId="1" xfId="0" applyFont="1" applyFill="1" applyBorder="1" applyAlignment="1">
      <alignment horizontal="center" vertical="center" wrapText="1"/>
    </xf>
    <xf numFmtId="0" fontId="55" fillId="0" borderId="0" xfId="0" applyFont="1" applyFill="1" applyBorder="1">
      <alignment vertical="center"/>
    </xf>
    <xf numFmtId="0" fontId="43" fillId="0" borderId="1" xfId="0" applyFont="1" applyFill="1" applyBorder="1" applyAlignment="1">
      <alignment horizontal="center" vertical="center" wrapText="1"/>
    </xf>
    <xf numFmtId="0" fontId="54" fillId="0" borderId="1" xfId="0" applyFont="1" applyFill="1" applyBorder="1">
      <alignment vertical="center"/>
    </xf>
    <xf numFmtId="0" fontId="55" fillId="0" borderId="0" xfId="0" applyFont="1" applyFill="1" applyBorder="1" applyAlignment="1">
      <alignment horizontal="center" vertical="center"/>
    </xf>
    <xf numFmtId="0" fontId="36" fillId="0" borderId="1" xfId="0" applyFont="1" applyFill="1" applyBorder="1" applyAlignment="1">
      <alignment horizontal="center" vertical="center" wrapText="1"/>
    </xf>
    <xf numFmtId="0" fontId="5" fillId="0" borderId="0" xfId="26" applyFill="1">
      <alignment vertical="center"/>
    </xf>
    <xf numFmtId="0" fontId="5" fillId="0" borderId="0" xfId="26" applyFill="1" applyAlignment="1">
      <alignment horizontal="center" vertical="center"/>
    </xf>
    <xf numFmtId="0" fontId="5" fillId="2" borderId="0" xfId="26" applyFill="1">
      <alignment vertical="center"/>
    </xf>
    <xf numFmtId="0" fontId="36" fillId="0" borderId="0" xfId="26" applyFont="1" applyFill="1" applyBorder="1" applyAlignment="1">
      <alignment horizontal="left" vertical="center" wrapText="1"/>
    </xf>
    <xf numFmtId="0" fontId="36" fillId="0" borderId="64" xfId="26" applyFont="1" applyFill="1" applyBorder="1" applyAlignment="1">
      <alignment horizontal="center" vertical="center" wrapText="1"/>
    </xf>
    <xf numFmtId="0" fontId="36" fillId="0" borderId="64" xfId="26" applyFont="1" applyFill="1" applyBorder="1" applyAlignment="1">
      <alignment horizontal="left" vertical="center" wrapText="1"/>
    </xf>
    <xf numFmtId="0" fontId="54" fillId="0" borderId="64" xfId="26" applyFont="1" applyFill="1" applyBorder="1">
      <alignment vertical="center"/>
    </xf>
    <xf numFmtId="0" fontId="36" fillId="0" borderId="0" xfId="26" applyFont="1" applyFill="1" applyBorder="1" applyAlignment="1">
      <alignment vertical="center" wrapText="1"/>
    </xf>
    <xf numFmtId="0" fontId="36" fillId="0" borderId="64" xfId="26" applyFont="1" applyFill="1" applyBorder="1">
      <alignment vertical="center"/>
    </xf>
    <xf numFmtId="0" fontId="54" fillId="0" borderId="64" xfId="26" applyFont="1" applyFill="1" applyBorder="1" applyAlignment="1">
      <alignment horizontal="center" vertical="center" wrapText="1"/>
    </xf>
    <xf numFmtId="0" fontId="54" fillId="0" borderId="64" xfId="26" applyFont="1" applyFill="1" applyBorder="1" applyAlignment="1">
      <alignment horizontal="left" vertical="center" wrapText="1"/>
    </xf>
    <xf numFmtId="0" fontId="57" fillId="0" borderId="0" xfId="26" applyFont="1" applyFill="1">
      <alignment vertical="center"/>
    </xf>
    <xf numFmtId="0" fontId="36" fillId="2" borderId="64" xfId="26" applyFont="1" applyFill="1" applyBorder="1" applyAlignment="1">
      <alignment horizontal="center" vertical="center" wrapText="1"/>
    </xf>
    <xf numFmtId="0" fontId="58" fillId="0" borderId="64" xfId="26" applyFont="1" applyFill="1" applyBorder="1" applyAlignment="1">
      <alignment horizontal="center" vertical="center" wrapText="1"/>
    </xf>
    <xf numFmtId="0" fontId="36" fillId="0" borderId="0" xfId="26" applyFont="1" applyFill="1" applyBorder="1" applyAlignment="1">
      <alignment horizontal="center" vertical="center" wrapText="1"/>
    </xf>
    <xf numFmtId="0" fontId="36" fillId="0" borderId="64" xfId="26" applyFont="1" applyFill="1" applyBorder="1" applyAlignment="1">
      <alignment vertical="center" wrapText="1"/>
    </xf>
    <xf numFmtId="0" fontId="36" fillId="0" borderId="65" xfId="26" applyFont="1" applyFill="1" applyBorder="1" applyAlignment="1">
      <alignment horizontal="center" vertical="center" wrapText="1"/>
    </xf>
    <xf numFmtId="0" fontId="36" fillId="0" borderId="65" xfId="26" applyFont="1" applyFill="1" applyBorder="1" applyAlignment="1">
      <alignment horizontal="left" vertical="center" wrapText="1"/>
    </xf>
    <xf numFmtId="0" fontId="5" fillId="0" borderId="1" xfId="26" applyFill="1" applyBorder="1">
      <alignment vertical="center"/>
    </xf>
    <xf numFmtId="0" fontId="5" fillId="2" borderId="1" xfId="26" applyFill="1" applyBorder="1">
      <alignment vertical="center"/>
    </xf>
    <xf numFmtId="0" fontId="5" fillId="0" borderId="1" xfId="26" applyFill="1" applyBorder="1" applyAlignment="1">
      <alignment horizontal="center" vertical="center"/>
    </xf>
    <xf numFmtId="0" fontId="4" fillId="0" borderId="1" xfId="26" applyFont="1" applyFill="1" applyBorder="1">
      <alignment vertical="center"/>
    </xf>
    <xf numFmtId="0" fontId="0" fillId="10" borderId="6" xfId="0" applyFill="1" applyBorder="1" applyAlignment="1">
      <alignment horizontal="center" vertical="center"/>
    </xf>
    <xf numFmtId="0" fontId="60" fillId="10" borderId="50" xfId="0" applyFont="1" applyFill="1" applyBorder="1" applyAlignment="1">
      <alignment horizontal="center" vertical="center" wrapText="1"/>
    </xf>
    <xf numFmtId="0" fontId="19" fillId="10" borderId="68" xfId="0" applyFont="1" applyFill="1" applyBorder="1" applyAlignment="1">
      <alignment horizontal="center" vertical="center"/>
    </xf>
    <xf numFmtId="0" fontId="19" fillId="10" borderId="39" xfId="0" applyFont="1" applyFill="1" applyBorder="1" applyAlignment="1">
      <alignment horizontal="center" vertical="center"/>
    </xf>
    <xf numFmtId="0" fontId="32" fillId="10" borderId="68" xfId="0" applyFont="1" applyFill="1" applyBorder="1" applyAlignment="1">
      <alignment horizontal="center" vertical="center"/>
    </xf>
    <xf numFmtId="0" fontId="20" fillId="10" borderId="39" xfId="0" applyFont="1" applyFill="1" applyBorder="1" applyAlignment="1">
      <alignment horizontal="center" vertical="center"/>
    </xf>
    <xf numFmtId="0" fontId="0" fillId="10" borderId="68" xfId="0" applyFill="1" applyBorder="1" applyAlignment="1">
      <alignment horizontal="center" vertical="center"/>
    </xf>
    <xf numFmtId="0" fontId="0" fillId="10" borderId="39" xfId="0" applyFill="1" applyBorder="1" applyAlignment="1">
      <alignment horizontal="center" vertical="center"/>
    </xf>
    <xf numFmtId="0" fontId="0" fillId="10" borderId="49" xfId="0" applyFill="1" applyBorder="1" applyAlignment="1">
      <alignment horizontal="center" vertical="center"/>
    </xf>
    <xf numFmtId="178" fontId="62" fillId="11" borderId="1" xfId="0" applyNumberFormat="1" applyFont="1" applyFill="1" applyBorder="1" applyAlignment="1">
      <alignment horizontal="center" vertical="center"/>
    </xf>
    <xf numFmtId="184" fontId="62" fillId="11" borderId="1" xfId="0" applyNumberFormat="1" applyFont="1" applyFill="1" applyBorder="1" applyAlignment="1">
      <alignment horizontal="center" vertical="center"/>
    </xf>
    <xf numFmtId="0" fontId="62" fillId="11" borderId="1" xfId="0" applyFont="1" applyFill="1" applyBorder="1" applyAlignment="1">
      <alignment horizontal="center" vertical="center"/>
    </xf>
    <xf numFmtId="0" fontId="0" fillId="11" borderId="0" xfId="0" applyFill="1" applyBorder="1" applyAlignment="1">
      <alignment horizontal="center" vertical="center"/>
    </xf>
    <xf numFmtId="0" fontId="0" fillId="11" borderId="0" xfId="0" applyFill="1" applyBorder="1">
      <alignment vertical="center"/>
    </xf>
    <xf numFmtId="0" fontId="9" fillId="11" borderId="0" xfId="0" applyFont="1" applyFill="1" applyBorder="1" applyAlignment="1">
      <alignment horizontal="center" vertical="center"/>
    </xf>
    <xf numFmtId="0" fontId="0" fillId="11" borderId="24" xfId="0" applyFill="1" applyBorder="1" applyAlignment="1">
      <alignment horizontal="center" vertical="center"/>
    </xf>
    <xf numFmtId="0" fontId="0" fillId="11" borderId="1" xfId="0" applyFill="1" applyBorder="1" applyAlignment="1">
      <alignment horizontal="center" vertical="center"/>
    </xf>
    <xf numFmtId="0" fontId="9" fillId="11" borderId="1" xfId="0" applyFont="1" applyFill="1" applyBorder="1" applyAlignment="1">
      <alignment horizontal="center" vertical="center"/>
    </xf>
    <xf numFmtId="178" fontId="0" fillId="11" borderId="1" xfId="0" applyNumberFormat="1" applyFill="1" applyBorder="1" applyAlignment="1">
      <alignment horizontal="center" vertical="center"/>
    </xf>
    <xf numFmtId="177" fontId="0" fillId="11" borderId="1" xfId="0" applyNumberFormat="1" applyFill="1" applyBorder="1" applyAlignment="1">
      <alignment horizontal="center" vertical="center"/>
    </xf>
    <xf numFmtId="179" fontId="0" fillId="11" borderId="1" xfId="0" applyNumberFormat="1" applyFill="1" applyBorder="1" applyAlignment="1">
      <alignment horizontal="center" vertical="center"/>
    </xf>
    <xf numFmtId="0" fontId="0" fillId="11" borderId="0" xfId="0" applyFill="1" applyBorder="1" applyAlignment="1">
      <alignment vertical="center"/>
    </xf>
    <xf numFmtId="0" fontId="9" fillId="11" borderId="2" xfId="0" applyFont="1" applyFill="1" applyBorder="1" applyAlignment="1">
      <alignment horizontal="center" vertical="center"/>
    </xf>
    <xf numFmtId="0" fontId="9" fillId="11" borderId="24" xfId="0" applyFont="1" applyFill="1" applyBorder="1" applyAlignment="1">
      <alignment horizontal="center" vertical="center"/>
    </xf>
    <xf numFmtId="0" fontId="58" fillId="11" borderId="1" xfId="0" applyFont="1" applyFill="1" applyBorder="1" applyAlignment="1">
      <alignment horizontal="center" vertical="center"/>
    </xf>
    <xf numFmtId="0" fontId="6" fillId="9" borderId="1" xfId="0" applyFont="1" applyFill="1" applyBorder="1" applyAlignment="1">
      <alignment horizontal="center" vertical="center"/>
    </xf>
    <xf numFmtId="0" fontId="0" fillId="11" borderId="0" xfId="0" applyFill="1" applyBorder="1" applyAlignment="1">
      <alignment horizontal="center" vertical="center"/>
    </xf>
    <xf numFmtId="0" fontId="6" fillId="11" borderId="0" xfId="0" applyFont="1" applyFill="1" applyBorder="1" applyAlignment="1">
      <alignment horizontal="center" vertical="center"/>
    </xf>
    <xf numFmtId="0" fontId="11" fillId="0" borderId="80" xfId="0" applyFont="1" applyFill="1" applyBorder="1" applyAlignment="1">
      <alignment horizontal="center" vertical="center"/>
    </xf>
    <xf numFmtId="0" fontId="11" fillId="0" borderId="79" xfId="0" applyFont="1" applyFill="1" applyBorder="1" applyAlignment="1">
      <alignment horizontal="center" vertical="center"/>
    </xf>
    <xf numFmtId="0" fontId="64" fillId="0" borderId="57" xfId="0" applyFont="1" applyFill="1" applyBorder="1" applyAlignment="1">
      <alignment horizontal="center" vertical="center"/>
    </xf>
    <xf numFmtId="0" fontId="61" fillId="0" borderId="48" xfId="0" applyFont="1" applyFill="1" applyBorder="1" applyAlignment="1">
      <alignment horizontal="center" vertical="center"/>
    </xf>
    <xf numFmtId="0" fontId="22" fillId="0" borderId="57" xfId="0" applyFont="1" applyFill="1" applyBorder="1" applyAlignment="1">
      <alignment horizontal="center" vertical="center"/>
    </xf>
    <xf numFmtId="0" fontId="11" fillId="0" borderId="49" xfId="0" applyFont="1" applyBorder="1" applyAlignment="1">
      <alignment horizontal="center" vertical="center"/>
    </xf>
    <xf numFmtId="0" fontId="11" fillId="10" borderId="44" xfId="0" applyFont="1" applyFill="1" applyBorder="1" applyAlignment="1">
      <alignment horizontal="center" vertical="center"/>
    </xf>
    <xf numFmtId="0" fontId="0" fillId="0" borderId="0" xfId="0" applyBorder="1" applyAlignment="1">
      <alignment vertical="center"/>
    </xf>
    <xf numFmtId="0" fontId="20" fillId="10" borderId="68" xfId="0" applyFont="1" applyFill="1" applyBorder="1" applyAlignment="1">
      <alignment horizontal="center" vertical="center"/>
    </xf>
    <xf numFmtId="0" fontId="11" fillId="0" borderId="6" xfId="0" applyFont="1" applyBorder="1" applyAlignment="1">
      <alignment horizontal="center" vertical="center"/>
    </xf>
    <xf numFmtId="0" fontId="67" fillId="0" borderId="6" xfId="0" applyFont="1" applyBorder="1" applyAlignment="1">
      <alignment horizontal="center" vertical="center"/>
    </xf>
    <xf numFmtId="0" fontId="11" fillId="10" borderId="71" xfId="0" applyFont="1" applyFill="1" applyBorder="1" applyAlignment="1">
      <alignment horizontal="center" vertical="center"/>
    </xf>
    <xf numFmtId="179" fontId="11" fillId="0" borderId="6" xfId="0" applyNumberFormat="1" applyFont="1" applyBorder="1" applyAlignment="1">
      <alignment horizontal="center" vertical="center"/>
    </xf>
    <xf numFmtId="0" fontId="61" fillId="10" borderId="68" xfId="0" applyFont="1" applyFill="1" applyBorder="1" applyAlignment="1">
      <alignment horizontal="center" vertical="center"/>
    </xf>
    <xf numFmtId="0" fontId="6" fillId="0" borderId="89" xfId="0" applyFont="1" applyFill="1" applyBorder="1" applyAlignment="1">
      <alignment horizontal="center" vertical="center"/>
    </xf>
    <xf numFmtId="0" fontId="6" fillId="0" borderId="93" xfId="0" applyFont="1" applyFill="1" applyBorder="1" applyAlignment="1">
      <alignment horizontal="center" vertical="center"/>
    </xf>
    <xf numFmtId="0" fontId="6" fillId="0" borderId="95" xfId="0" applyFont="1" applyFill="1" applyBorder="1" applyAlignment="1">
      <alignment horizontal="center" vertical="center"/>
    </xf>
    <xf numFmtId="0" fontId="9" fillId="0" borderId="48" xfId="0" applyFont="1" applyFill="1" applyBorder="1" applyAlignment="1">
      <alignment horizontal="center" vertical="center"/>
    </xf>
    <xf numFmtId="0" fontId="0" fillId="11" borderId="0" xfId="0" applyFill="1" applyBorder="1" applyAlignment="1">
      <alignment horizontal="center" vertical="center"/>
    </xf>
    <xf numFmtId="0" fontId="22" fillId="10" borderId="72" xfId="0" applyFont="1" applyFill="1" applyBorder="1" applyAlignment="1">
      <alignment horizontal="center" vertical="center"/>
    </xf>
    <xf numFmtId="0" fontId="22" fillId="10" borderId="73" xfId="0" applyFont="1" applyFill="1" applyBorder="1" applyAlignment="1">
      <alignment horizontal="center" vertical="center"/>
    </xf>
    <xf numFmtId="0" fontId="22" fillId="10" borderId="74" xfId="0" applyFont="1" applyFill="1" applyBorder="1" applyAlignment="1">
      <alignment horizontal="center" vertical="center"/>
    </xf>
    <xf numFmtId="0" fontId="9" fillId="10" borderId="68" xfId="0" applyFont="1" applyFill="1" applyBorder="1" applyAlignment="1">
      <alignment horizontal="center" vertical="center"/>
    </xf>
    <xf numFmtId="0" fontId="20" fillId="0" borderId="0" xfId="0" applyFont="1" applyBorder="1" applyAlignment="1">
      <alignment horizontal="center" vertical="center"/>
    </xf>
    <xf numFmtId="0" fontId="9" fillId="0" borderId="1" xfId="0" applyFont="1" applyBorder="1" applyAlignment="1">
      <alignment horizontal="center" vertical="center"/>
    </xf>
    <xf numFmtId="0" fontId="6" fillId="0" borderId="6"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18" xfId="0" applyFont="1" applyFill="1" applyBorder="1" applyAlignment="1">
      <alignment horizontal="center" vertical="center"/>
    </xf>
    <xf numFmtId="0" fontId="6" fillId="0" borderId="9" xfId="0" applyFont="1" applyFill="1" applyBorder="1" applyAlignment="1">
      <alignment horizontal="center" vertical="center"/>
    </xf>
    <xf numFmtId="0" fontId="12" fillId="0" borderId="0" xfId="0" applyFont="1" applyBorder="1" applyAlignment="1">
      <alignment horizontal="center" vertical="center"/>
    </xf>
    <xf numFmtId="0" fontId="0" fillId="0" borderId="0" xfId="0" applyBorder="1" applyAlignment="1">
      <alignment horizontal="center" vertical="center"/>
    </xf>
    <xf numFmtId="0" fontId="14" fillId="0" borderId="0" xfId="0" applyFont="1" applyBorder="1" applyAlignment="1">
      <alignment horizontal="center" vertical="center"/>
    </xf>
    <xf numFmtId="0" fontId="6" fillId="0" borderId="68" xfId="0" applyFont="1" applyFill="1" applyBorder="1" applyAlignment="1">
      <alignment horizontal="center" vertical="center"/>
    </xf>
    <xf numFmtId="0" fontId="6" fillId="0" borderId="13" xfId="0" applyFont="1" applyFill="1" applyBorder="1" applyAlignment="1">
      <alignment horizontal="center" vertical="center"/>
    </xf>
    <xf numFmtId="0" fontId="11" fillId="0" borderId="5" xfId="0" applyFont="1" applyFill="1" applyBorder="1" applyAlignment="1">
      <alignment horizontal="center" vertical="center"/>
    </xf>
    <xf numFmtId="0" fontId="11" fillId="0" borderId="30" xfId="0" applyFont="1" applyFill="1" applyBorder="1" applyAlignment="1">
      <alignment horizontal="center" vertical="center"/>
    </xf>
    <xf numFmtId="0" fontId="6" fillId="0" borderId="71" xfId="0" applyFont="1" applyFill="1" applyBorder="1" applyAlignment="1">
      <alignment horizontal="center" vertical="center"/>
    </xf>
    <xf numFmtId="0" fontId="11" fillId="0" borderId="69" xfId="0" applyFont="1" applyBorder="1" applyAlignment="1">
      <alignment horizontal="center" vertical="center"/>
    </xf>
    <xf numFmtId="0" fontId="11" fillId="0" borderId="69" xfId="0" applyFont="1" applyFill="1" applyBorder="1" applyAlignment="1">
      <alignment horizontal="center" vertical="center"/>
    </xf>
    <xf numFmtId="0" fontId="11" fillId="10" borderId="70" xfId="0" applyFont="1" applyFill="1" applyBorder="1" applyAlignment="1">
      <alignment horizontal="center" vertical="center"/>
    </xf>
    <xf numFmtId="0" fontId="15" fillId="0" borderId="6" xfId="0" applyFont="1" applyBorder="1" applyAlignment="1">
      <alignment horizontal="center" vertical="center"/>
    </xf>
    <xf numFmtId="186" fontId="0" fillId="11" borderId="0" xfId="0" applyNumberFormat="1" applyFill="1" applyBorder="1" applyAlignment="1">
      <alignment horizontal="center" vertical="center"/>
    </xf>
    <xf numFmtId="186" fontId="0" fillId="11" borderId="1" xfId="0" applyNumberFormat="1" applyFill="1" applyBorder="1" applyAlignment="1">
      <alignment horizontal="center" vertical="center"/>
    </xf>
    <xf numFmtId="186" fontId="0" fillId="11" borderId="0" xfId="0" applyNumberFormat="1" applyFill="1" applyBorder="1">
      <alignment vertical="center"/>
    </xf>
    <xf numFmtId="186" fontId="0" fillId="12" borderId="1" xfId="0" applyNumberFormat="1" applyFill="1" applyBorder="1" applyAlignment="1">
      <alignment horizontal="center" vertical="center"/>
    </xf>
    <xf numFmtId="186" fontId="6" fillId="11" borderId="0" xfId="0" applyNumberFormat="1" applyFont="1" applyFill="1" applyBorder="1" applyAlignment="1">
      <alignment horizontal="center" vertical="center"/>
    </xf>
    <xf numFmtId="186" fontId="6" fillId="9" borderId="1" xfId="0" applyNumberFormat="1" applyFont="1" applyFill="1" applyBorder="1" applyAlignment="1">
      <alignment horizontal="center" vertical="center"/>
    </xf>
    <xf numFmtId="186" fontId="11" fillId="11" borderId="1" xfId="0" applyNumberFormat="1" applyFont="1" applyFill="1" applyBorder="1" applyAlignment="1">
      <alignment horizontal="center" vertical="center"/>
    </xf>
    <xf numFmtId="186" fontId="6" fillId="11" borderId="1" xfId="0" applyNumberFormat="1" applyFont="1" applyFill="1" applyBorder="1" applyAlignment="1">
      <alignment horizontal="center" vertical="center"/>
    </xf>
    <xf numFmtId="186" fontId="9" fillId="12" borderId="1" xfId="0" applyNumberFormat="1" applyFont="1" applyFill="1" applyBorder="1" applyAlignment="1">
      <alignment horizontal="center" vertical="center"/>
    </xf>
    <xf numFmtId="186" fontId="9" fillId="11" borderId="0" xfId="0" applyNumberFormat="1" applyFont="1" applyFill="1" applyBorder="1" applyAlignment="1">
      <alignment horizontal="center" vertical="center"/>
    </xf>
    <xf numFmtId="186" fontId="16" fillId="11" borderId="0" xfId="0" applyNumberFormat="1" applyFont="1" applyFill="1" applyBorder="1" applyAlignment="1">
      <alignment horizontal="center" vertical="center"/>
    </xf>
    <xf numFmtId="184" fontId="22" fillId="10" borderId="73" xfId="0" applyNumberFormat="1" applyFont="1" applyFill="1" applyBorder="1" applyAlignment="1">
      <alignment horizontal="center" vertical="center"/>
    </xf>
    <xf numFmtId="0" fontId="6" fillId="9" borderId="1" xfId="0" applyNumberFormat="1" applyFont="1" applyFill="1" applyBorder="1" applyAlignment="1">
      <alignment horizontal="center" vertical="center"/>
    </xf>
    <xf numFmtId="0" fontId="6" fillId="0" borderId="6" xfId="0" applyFont="1" applyFill="1" applyBorder="1" applyAlignment="1">
      <alignment horizontal="center" vertical="center"/>
    </xf>
    <xf numFmtId="0" fontId="6" fillId="0" borderId="68" xfId="0" applyFont="1" applyFill="1" applyBorder="1" applyAlignment="1">
      <alignment horizontal="center" vertical="center"/>
    </xf>
    <xf numFmtId="0" fontId="15" fillId="0" borderId="6" xfId="0" applyFont="1" applyFill="1" applyBorder="1" applyAlignment="1">
      <alignment horizontal="center" vertical="center"/>
    </xf>
    <xf numFmtId="0" fontId="0" fillId="0" borderId="0" xfId="31" applyFont="1" applyBorder="1"/>
    <xf numFmtId="0" fontId="0" fillId="0" borderId="0" xfId="31" applyFont="1" applyFill="1" applyBorder="1"/>
    <xf numFmtId="0" fontId="0" fillId="8" borderId="0" xfId="31" applyFont="1" applyFill="1"/>
    <xf numFmtId="0" fontId="0" fillId="0" borderId="0" xfId="31" applyFont="1"/>
    <xf numFmtId="0" fontId="0" fillId="0" borderId="4" xfId="31" applyFont="1" applyBorder="1"/>
    <xf numFmtId="0" fontId="78" fillId="0" borderId="4" xfId="31" applyFont="1" applyBorder="1" applyAlignment="1">
      <alignment horizontal="center"/>
    </xf>
    <xf numFmtId="180" fontId="11" fillId="0" borderId="20" xfId="31" applyNumberFormat="1" applyFont="1" applyBorder="1" applyAlignment="1">
      <alignment horizontal="center"/>
    </xf>
    <xf numFmtId="0" fontId="0" fillId="0" borderId="20" xfId="31" applyFont="1" applyBorder="1"/>
    <xf numFmtId="0" fontId="8" fillId="0" borderId="0" xfId="31" applyFont="1" applyBorder="1" applyAlignment="1">
      <alignment horizontal="center"/>
    </xf>
    <xf numFmtId="0" fontId="8" fillId="0" borderId="0" xfId="31" applyFont="1" applyFill="1" applyBorder="1" applyAlignment="1">
      <alignment horizontal="center"/>
    </xf>
    <xf numFmtId="0" fontId="6" fillId="8" borderId="0" xfId="31" applyFont="1" applyFill="1" applyAlignment="1">
      <alignment horizontal="center"/>
    </xf>
    <xf numFmtId="0" fontId="6" fillId="0" borderId="0" xfId="31" applyFont="1"/>
    <xf numFmtId="180" fontId="11" fillId="0" borderId="0" xfId="31" applyNumberFormat="1" applyFont="1" applyBorder="1" applyAlignment="1">
      <alignment horizontal="center"/>
    </xf>
    <xf numFmtId="0" fontId="6" fillId="0" borderId="32" xfId="31" applyFont="1" applyBorder="1" applyAlignment="1">
      <alignment horizontal="center" vertical="center"/>
    </xf>
    <xf numFmtId="0" fontId="15" fillId="0" borderId="5" xfId="31" applyFont="1" applyBorder="1" applyAlignment="1">
      <alignment horizontal="center" vertical="center"/>
    </xf>
    <xf numFmtId="0" fontId="6" fillId="0" borderId="6" xfId="31" applyFont="1" applyBorder="1" applyAlignment="1">
      <alignment horizontal="center" vertical="center"/>
    </xf>
    <xf numFmtId="0" fontId="6" fillId="0" borderId="6" xfId="31" applyFont="1" applyFill="1" applyBorder="1" applyAlignment="1">
      <alignment horizontal="center" vertical="center"/>
    </xf>
    <xf numFmtId="0" fontId="6" fillId="13" borderId="6" xfId="31" applyFont="1" applyFill="1" applyBorder="1" applyAlignment="1">
      <alignment horizontal="center" vertical="center"/>
    </xf>
    <xf numFmtId="0" fontId="11" fillId="0" borderId="0" xfId="31" applyFont="1" applyFill="1" applyBorder="1" applyAlignment="1">
      <alignment horizontal="center"/>
    </xf>
    <xf numFmtId="0" fontId="7" fillId="0" borderId="0" xfId="31" applyFont="1" applyFill="1" applyBorder="1" applyAlignment="1">
      <alignment horizontal="center"/>
    </xf>
    <xf numFmtId="0" fontId="8" fillId="0" borderId="5" xfId="31" applyNumberFormat="1" applyFont="1" applyBorder="1" applyAlignment="1">
      <alignment horizontal="center"/>
    </xf>
    <xf numFmtId="0" fontId="8" fillId="0" borderId="6" xfId="31" applyFont="1" applyBorder="1" applyAlignment="1">
      <alignment horizontal="center"/>
    </xf>
    <xf numFmtId="0" fontId="6" fillId="0" borderId="6" xfId="31" applyFont="1" applyBorder="1" applyAlignment="1">
      <alignment horizontal="center"/>
    </xf>
    <xf numFmtId="0" fontId="6" fillId="0" borderId="6" xfId="31" applyFont="1" applyFill="1" applyBorder="1" applyAlignment="1">
      <alignment horizontal="center"/>
    </xf>
    <xf numFmtId="0" fontId="6" fillId="13" borderId="6" xfId="31" applyFont="1" applyFill="1" applyBorder="1" applyAlignment="1">
      <alignment horizontal="center"/>
    </xf>
    <xf numFmtId="0" fontId="6" fillId="0" borderId="0" xfId="31" quotePrefix="1" applyFont="1"/>
    <xf numFmtId="0" fontId="0" fillId="0" borderId="0" xfId="31" quotePrefix="1" applyFont="1"/>
    <xf numFmtId="0" fontId="0" fillId="0" borderId="0" xfId="31" applyFont="1" applyFill="1"/>
    <xf numFmtId="177" fontId="8" fillId="0" borderId="5" xfId="31" applyNumberFormat="1" applyFont="1" applyBorder="1" applyAlignment="1">
      <alignment horizontal="center"/>
    </xf>
    <xf numFmtId="0" fontId="6" fillId="0" borderId="5" xfId="31" applyNumberFormat="1" applyFont="1" applyBorder="1" applyAlignment="1">
      <alignment horizontal="center"/>
    </xf>
    <xf numFmtId="0" fontId="15" fillId="0" borderId="5" xfId="31" applyNumberFormat="1" applyFont="1" applyBorder="1" applyAlignment="1">
      <alignment horizontal="center"/>
    </xf>
    <xf numFmtId="0" fontId="6" fillId="0" borderId="37" xfId="31" applyNumberFormat="1" applyFont="1" applyBorder="1" applyAlignment="1">
      <alignment horizontal="center"/>
    </xf>
    <xf numFmtId="0" fontId="8" fillId="0" borderId="34" xfId="31" applyFont="1" applyBorder="1" applyAlignment="1">
      <alignment horizontal="center"/>
    </xf>
    <xf numFmtId="0" fontId="6" fillId="0" borderId="34" xfId="31" applyFont="1" applyBorder="1" applyAlignment="1">
      <alignment horizontal="center"/>
    </xf>
    <xf numFmtId="0" fontId="6" fillId="0" borderId="30" xfId="31" applyNumberFormat="1" applyFont="1" applyBorder="1" applyAlignment="1">
      <alignment horizontal="center"/>
    </xf>
    <xf numFmtId="0" fontId="6" fillId="0" borderId="13" xfId="31" applyFont="1" applyBorder="1" applyAlignment="1">
      <alignment horizontal="center" vertical="center"/>
    </xf>
    <xf numFmtId="0" fontId="6" fillId="0" borderId="13" xfId="31" applyFont="1" applyBorder="1" applyAlignment="1">
      <alignment horizontal="center"/>
    </xf>
    <xf numFmtId="0" fontId="6" fillId="0" borderId="0" xfId="31" applyNumberFormat="1" applyFont="1" applyBorder="1"/>
    <xf numFmtId="0" fontId="10" fillId="0" borderId="0" xfId="31" applyFont="1" applyBorder="1"/>
    <xf numFmtId="0" fontId="10" fillId="0" borderId="0" xfId="31" applyFont="1"/>
    <xf numFmtId="58" fontId="73" fillId="0" borderId="0" xfId="31" applyNumberFormat="1" applyFont="1" applyBorder="1"/>
    <xf numFmtId="0" fontId="81" fillId="0" borderId="0" xfId="31" applyFont="1"/>
    <xf numFmtId="0" fontId="10" fillId="0" borderId="0" xfId="31" applyFont="1" applyFill="1"/>
    <xf numFmtId="0" fontId="10" fillId="8" borderId="0" xfId="31" applyFont="1" applyFill="1" applyBorder="1" applyAlignment="1">
      <alignment horizontal="center"/>
    </xf>
    <xf numFmtId="0" fontId="73" fillId="8" borderId="0" xfId="31" applyFont="1" applyFill="1" applyBorder="1" applyAlignment="1">
      <alignment horizontal="center"/>
    </xf>
    <xf numFmtId="0" fontId="68" fillId="0" borderId="0" xfId="31" applyFont="1"/>
    <xf numFmtId="0" fontId="6" fillId="0" borderId="0" xfId="31" applyFont="1" applyFill="1" applyBorder="1"/>
    <xf numFmtId="0" fontId="0" fillId="0" borderId="0" xfId="31" applyFont="1" applyAlignment="1">
      <alignment horizontal="center"/>
    </xf>
    <xf numFmtId="0" fontId="11" fillId="0" borderId="0" xfId="31" applyFont="1" applyAlignment="1">
      <alignment horizontal="center"/>
    </xf>
    <xf numFmtId="58" fontId="75" fillId="0" borderId="0" xfId="31" applyNumberFormat="1" applyFont="1" applyBorder="1"/>
    <xf numFmtId="0" fontId="68" fillId="0" borderId="0" xfId="31" applyFont="1" applyBorder="1" applyAlignment="1">
      <alignment horizontal="center"/>
    </xf>
    <xf numFmtId="0" fontId="10" fillId="0" borderId="0" xfId="31" applyFont="1" applyFill="1" applyBorder="1"/>
    <xf numFmtId="0" fontId="68" fillId="8" borderId="0" xfId="31" applyFont="1" applyFill="1" applyBorder="1" applyAlignment="1">
      <alignment horizontal="center"/>
    </xf>
    <xf numFmtId="0" fontId="75" fillId="8" borderId="0" xfId="31" applyFont="1" applyFill="1" applyBorder="1" applyAlignment="1">
      <alignment horizontal="center"/>
    </xf>
    <xf numFmtId="0" fontId="68" fillId="0" borderId="0" xfId="31" applyFont="1" applyBorder="1"/>
    <xf numFmtId="178" fontId="0" fillId="0" borderId="0" xfId="31" applyNumberFormat="1" applyFont="1"/>
    <xf numFmtId="0" fontId="68" fillId="0" borderId="0" xfId="31" applyFont="1" applyFill="1"/>
    <xf numFmtId="0" fontId="68" fillId="8" borderId="0" xfId="31" applyFont="1" applyFill="1"/>
    <xf numFmtId="178" fontId="6" fillId="0" borderId="0" xfId="31" applyNumberFormat="1" applyFont="1"/>
    <xf numFmtId="0" fontId="68" fillId="13" borderId="0" xfId="31" applyFont="1" applyFill="1"/>
    <xf numFmtId="0" fontId="0" fillId="13" borderId="0" xfId="31" applyFont="1" applyFill="1"/>
    <xf numFmtId="0" fontId="10" fillId="0" borderId="0" xfId="29" applyFont="1" applyAlignment="1">
      <alignment vertical="center"/>
    </xf>
    <xf numFmtId="0" fontId="0" fillId="0" borderId="0" xfId="29" applyFont="1" applyBorder="1"/>
    <xf numFmtId="0" fontId="0" fillId="0" borderId="0" xfId="29" applyFont="1" applyBorder="1" applyAlignment="1">
      <alignment horizontal="center" vertical="center"/>
    </xf>
    <xf numFmtId="0" fontId="6" fillId="0" borderId="6" xfId="29" applyFont="1" applyFill="1" applyBorder="1" applyAlignment="1">
      <alignment vertical="center"/>
    </xf>
    <xf numFmtId="180" fontId="7" fillId="0" borderId="6" xfId="29" applyNumberFormat="1" applyFont="1" applyFill="1" applyBorder="1" applyAlignment="1">
      <alignment vertical="center"/>
    </xf>
    <xf numFmtId="0" fontId="11" fillId="0" borderId="6" xfId="29" applyFont="1" applyFill="1" applyBorder="1" applyAlignment="1">
      <alignment vertical="center"/>
    </xf>
    <xf numFmtId="0" fontId="11" fillId="0" borderId="0" xfId="29" applyFont="1" applyBorder="1" applyAlignment="1">
      <alignment vertical="center"/>
    </xf>
    <xf numFmtId="0" fontId="11" fillId="0" borderId="0" xfId="29" applyFont="1" applyBorder="1" applyAlignment="1">
      <alignment horizontal="center" vertical="center"/>
    </xf>
    <xf numFmtId="0" fontId="78" fillId="0" borderId="0" xfId="29" applyFont="1" applyBorder="1" applyAlignment="1">
      <alignment horizontal="center"/>
    </xf>
    <xf numFmtId="180" fontId="11" fillId="0" borderId="0" xfId="29" applyNumberFormat="1" applyFont="1" applyBorder="1" applyAlignment="1">
      <alignment horizontal="center"/>
    </xf>
    <xf numFmtId="0" fontId="6" fillId="0" borderId="6" xfId="29" applyFont="1" applyFill="1" applyBorder="1"/>
    <xf numFmtId="0" fontId="15" fillId="0" borderId="0" xfId="29" applyFont="1" applyFill="1"/>
    <xf numFmtId="0" fontId="15" fillId="0" borderId="0" xfId="29" applyFont="1" applyFill="1" applyBorder="1"/>
    <xf numFmtId="0" fontId="15" fillId="0" borderId="0" xfId="29" applyFont="1" applyFill="1" applyAlignment="1">
      <alignment horizontal="center" vertical="center"/>
    </xf>
    <xf numFmtId="0" fontId="6" fillId="0" borderId="0" xfId="29" applyFont="1" applyFill="1"/>
    <xf numFmtId="0" fontId="6" fillId="0" borderId="0" xfId="29" applyFont="1" applyFill="1" applyAlignment="1">
      <alignment vertical="center"/>
    </xf>
    <xf numFmtId="0" fontId="6" fillId="0" borderId="0" xfId="29" applyFont="1" applyFill="1" applyBorder="1" applyAlignment="1">
      <alignment horizontal="center" vertical="center"/>
    </xf>
    <xf numFmtId="0" fontId="0" fillId="0" borderId="0" xfId="29" applyFont="1" applyFill="1" applyBorder="1"/>
    <xf numFmtId="0" fontId="47" fillId="0" borderId="0" xfId="32" applyFont="1"/>
    <xf numFmtId="0" fontId="47" fillId="0" borderId="0" xfId="32" applyFont="1" applyAlignment="1">
      <alignment horizontal="right"/>
    </xf>
    <xf numFmtId="0" fontId="40" fillId="0" borderId="1" xfId="32" applyFont="1" applyBorder="1" applyAlignment="1">
      <alignment horizontal="center" vertical="center"/>
    </xf>
    <xf numFmtId="0" fontId="47" fillId="0" borderId="0" xfId="32" applyFont="1" applyBorder="1" applyAlignment="1">
      <alignment horizontal="center" vertical="center"/>
    </xf>
    <xf numFmtId="0" fontId="47" fillId="0" borderId="0" xfId="32" applyFont="1" applyAlignment="1"/>
    <xf numFmtId="0" fontId="40" fillId="0" borderId="0" xfId="32" applyFont="1" applyAlignment="1"/>
    <xf numFmtId="0" fontId="47" fillId="0" borderId="1" xfId="3" applyFont="1" applyBorder="1" applyAlignment="1">
      <alignment horizontal="center" vertical="center"/>
    </xf>
    <xf numFmtId="0" fontId="47" fillId="0" borderId="1" xfId="32" applyFont="1" applyBorder="1" applyAlignment="1">
      <alignment horizontal="center" vertical="center"/>
    </xf>
    <xf numFmtId="0" fontId="0" fillId="0" borderId="0" xfId="33" applyFont="1" applyBorder="1"/>
    <xf numFmtId="0" fontId="0" fillId="0" borderId="0" xfId="33" applyFont="1"/>
    <xf numFmtId="178" fontId="0" fillId="11" borderId="0" xfId="33" applyNumberFormat="1" applyFont="1" applyFill="1" applyAlignment="1">
      <alignment vertical="center"/>
    </xf>
    <xf numFmtId="178" fontId="0" fillId="11" borderId="0" xfId="33" applyNumberFormat="1" applyFont="1" applyFill="1"/>
    <xf numFmtId="0" fontId="0" fillId="11" borderId="0" xfId="33" applyFont="1" applyFill="1"/>
    <xf numFmtId="0" fontId="0" fillId="0" borderId="4" xfId="33" applyFont="1" applyBorder="1"/>
    <xf numFmtId="0" fontId="82" fillId="0" borderId="0" xfId="33" applyFont="1" applyBorder="1" applyAlignment="1">
      <alignment horizontal="center"/>
    </xf>
    <xf numFmtId="0" fontId="86" fillId="0" borderId="4" xfId="33" applyFont="1" applyBorder="1" applyAlignment="1">
      <alignment horizontal="center"/>
    </xf>
    <xf numFmtId="178" fontId="0" fillId="11" borderId="0" xfId="33" applyNumberFormat="1" applyFont="1" applyFill="1" applyBorder="1" applyAlignment="1">
      <alignment horizontal="center" vertical="center"/>
    </xf>
    <xf numFmtId="0" fontId="82" fillId="0" borderId="0" xfId="33" applyFont="1" applyAlignment="1">
      <alignment horizontal="center"/>
    </xf>
    <xf numFmtId="180" fontId="87" fillId="8" borderId="20" xfId="33" applyNumberFormat="1" applyFont="1" applyFill="1" applyBorder="1" applyAlignment="1">
      <alignment horizontal="center"/>
    </xf>
    <xf numFmtId="180" fontId="86" fillId="0" borderId="0" xfId="33" applyNumberFormat="1" applyFont="1" applyBorder="1" applyAlignment="1">
      <alignment horizontal="center"/>
    </xf>
    <xf numFmtId="0" fontId="82" fillId="0" borderId="32" xfId="33" applyFont="1" applyBorder="1" applyAlignment="1">
      <alignment horizontal="center" vertical="center"/>
    </xf>
    <xf numFmtId="0" fontId="86" fillId="0" borderId="103" xfId="33" applyFont="1" applyBorder="1" applyAlignment="1">
      <alignment horizontal="center" vertical="center"/>
    </xf>
    <xf numFmtId="0" fontId="91" fillId="0" borderId="5" xfId="33" applyFont="1" applyBorder="1" applyAlignment="1">
      <alignment horizontal="center" vertical="center"/>
    </xf>
    <xf numFmtId="0" fontId="82" fillId="0" borderId="6" xfId="33" applyFont="1" applyBorder="1" applyAlignment="1">
      <alignment horizontal="center" vertical="center"/>
    </xf>
    <xf numFmtId="178" fontId="87" fillId="11" borderId="0" xfId="33" applyNumberFormat="1" applyFont="1" applyFill="1" applyBorder="1" applyAlignment="1">
      <alignment horizontal="center" vertical="center"/>
    </xf>
    <xf numFmtId="178" fontId="87" fillId="11" borderId="0" xfId="33" applyNumberFormat="1" applyFont="1" applyFill="1" applyBorder="1" applyAlignment="1">
      <alignment horizontal="center"/>
    </xf>
    <xf numFmtId="178" fontId="83" fillId="11" borderId="0" xfId="33" applyNumberFormat="1" applyFont="1" applyFill="1" applyBorder="1" applyAlignment="1">
      <alignment horizontal="center"/>
    </xf>
    <xf numFmtId="178" fontId="83" fillId="11" borderId="0" xfId="33" applyNumberFormat="1" applyFont="1" applyFill="1" applyAlignment="1">
      <alignment vertical="center" wrapText="1"/>
    </xf>
    <xf numFmtId="178" fontId="87" fillId="11" borderId="0" xfId="33" applyNumberFormat="1" applyFont="1" applyFill="1" applyBorder="1" applyAlignment="1">
      <alignment horizontal="center" wrapText="1"/>
    </xf>
    <xf numFmtId="0" fontId="8" fillId="0" borderId="5" xfId="33" applyNumberFormat="1" applyFont="1" applyBorder="1" applyAlignment="1">
      <alignment horizontal="center"/>
    </xf>
    <xf numFmtId="0" fontId="8" fillId="0" borderId="6" xfId="33" applyFont="1" applyBorder="1" applyAlignment="1">
      <alignment horizontal="center"/>
    </xf>
    <xf numFmtId="0" fontId="82" fillId="0" borderId="6" xfId="33" applyFont="1" applyBorder="1" applyAlignment="1">
      <alignment horizontal="center"/>
    </xf>
    <xf numFmtId="0" fontId="82" fillId="0" borderId="6" xfId="33" applyFont="1" applyFill="1" applyBorder="1" applyAlignment="1">
      <alignment horizontal="center"/>
    </xf>
    <xf numFmtId="0" fontId="87" fillId="0" borderId="5" xfId="33" applyNumberFormat="1" applyFont="1" applyBorder="1" applyAlignment="1">
      <alignment horizontal="center"/>
    </xf>
    <xf numFmtId="0" fontId="82" fillId="0" borderId="5" xfId="33" applyNumberFormat="1" applyFont="1" applyBorder="1" applyAlignment="1">
      <alignment horizontal="center"/>
    </xf>
    <xf numFmtId="0" fontId="82" fillId="0" borderId="37" xfId="33" applyNumberFormat="1" applyFont="1" applyBorder="1" applyAlignment="1">
      <alignment horizontal="center"/>
    </xf>
    <xf numFmtId="0" fontId="8" fillId="0" borderId="34" xfId="33" applyFont="1" applyBorder="1" applyAlignment="1">
      <alignment horizontal="center"/>
    </xf>
    <xf numFmtId="0" fontId="82" fillId="0" borderId="34" xfId="33" applyFont="1" applyBorder="1" applyAlignment="1">
      <alignment horizontal="center"/>
    </xf>
    <xf numFmtId="177" fontId="83" fillId="0" borderId="5" xfId="33" applyNumberFormat="1" applyFont="1" applyBorder="1" applyAlignment="1">
      <alignment horizontal="center"/>
    </xf>
    <xf numFmtId="177" fontId="0" fillId="0" borderId="5" xfId="33" applyNumberFormat="1" applyFont="1" applyBorder="1" applyAlignment="1">
      <alignment horizontal="center"/>
    </xf>
    <xf numFmtId="0" fontId="82" fillId="0" borderId="30" xfId="33" applyNumberFormat="1" applyFont="1" applyBorder="1" applyAlignment="1">
      <alignment horizontal="center"/>
    </xf>
    <xf numFmtId="0" fontId="82" fillId="0" borderId="13" xfId="33" applyFont="1" applyBorder="1" applyAlignment="1">
      <alignment horizontal="center" vertical="center"/>
    </xf>
    <xf numFmtId="0" fontId="82" fillId="0" borderId="13" xfId="33" applyFont="1" applyBorder="1" applyAlignment="1">
      <alignment horizontal="center"/>
    </xf>
    <xf numFmtId="178" fontId="87" fillId="0" borderId="94" xfId="33" applyNumberFormat="1" applyFont="1" applyBorder="1" applyAlignment="1">
      <alignment horizontal="left" vertical="center"/>
    </xf>
    <xf numFmtId="0" fontId="82" fillId="0" borderId="0" xfId="33" applyNumberFormat="1" applyFont="1" applyBorder="1"/>
    <xf numFmtId="0" fontId="93" fillId="0" borderId="0" xfId="33" applyFont="1" applyBorder="1"/>
    <xf numFmtId="0" fontId="93" fillId="11" borderId="0" xfId="33" applyFont="1" applyFill="1"/>
    <xf numFmtId="0" fontId="93" fillId="0" borderId="0" xfId="33" applyFont="1"/>
    <xf numFmtId="178" fontId="82" fillId="11" borderId="0" xfId="33" applyNumberFormat="1" applyFont="1" applyFill="1"/>
    <xf numFmtId="58" fontId="73" fillId="0" borderId="0" xfId="33" applyNumberFormat="1" applyFont="1" applyBorder="1"/>
    <xf numFmtId="0" fontId="94" fillId="0" borderId="0" xfId="33" applyFont="1"/>
    <xf numFmtId="0" fontId="93" fillId="0" borderId="0" xfId="33" applyFont="1" applyBorder="1" applyAlignment="1">
      <alignment horizontal="center"/>
    </xf>
    <xf numFmtId="0" fontId="73" fillId="0" borderId="0" xfId="33" applyFont="1" applyBorder="1" applyAlignment="1">
      <alignment horizontal="center"/>
    </xf>
    <xf numFmtId="0" fontId="95" fillId="0" borderId="0" xfId="33" applyFont="1"/>
    <xf numFmtId="0" fontId="82" fillId="0" borderId="0" xfId="33" applyFont="1" applyBorder="1"/>
    <xf numFmtId="58" fontId="75" fillId="0" borderId="0" xfId="33" applyNumberFormat="1" applyFont="1" applyBorder="1"/>
    <xf numFmtId="0" fontId="95" fillId="0" borderId="0" xfId="33" applyFont="1" applyBorder="1" applyAlignment="1">
      <alignment horizontal="center"/>
    </xf>
    <xf numFmtId="0" fontId="75" fillId="0" borderId="0" xfId="33" applyFont="1" applyBorder="1" applyAlignment="1">
      <alignment horizontal="center"/>
    </xf>
    <xf numFmtId="0" fontId="95" fillId="0" borderId="0" xfId="33" applyFont="1" applyBorder="1"/>
    <xf numFmtId="0" fontId="95" fillId="11" borderId="0" xfId="33" applyFont="1" applyFill="1"/>
    <xf numFmtId="0" fontId="82" fillId="11" borderId="0" xfId="33" applyFont="1" applyFill="1" applyBorder="1"/>
    <xf numFmtId="0" fontId="0" fillId="11" borderId="0" xfId="33" applyFont="1" applyFill="1" applyBorder="1"/>
    <xf numFmtId="0" fontId="0" fillId="11" borderId="0" xfId="33" applyFont="1" applyFill="1" applyBorder="1" applyAlignment="1">
      <alignment horizontal="center" vertical="center"/>
    </xf>
    <xf numFmtId="178" fontId="0" fillId="0" borderId="0" xfId="33" applyNumberFormat="1" applyFont="1" applyBorder="1"/>
    <xf numFmtId="0" fontId="82" fillId="0" borderId="0" xfId="33" applyFont="1" applyFill="1" applyBorder="1" applyAlignment="1">
      <alignment horizontal="center" vertical="center"/>
    </xf>
    <xf numFmtId="0" fontId="82" fillId="0" borderId="103" xfId="33" applyFont="1" applyFill="1" applyBorder="1" applyAlignment="1">
      <alignment horizontal="center" vertical="center"/>
    </xf>
    <xf numFmtId="58" fontId="82" fillId="0" borderId="103" xfId="33" applyNumberFormat="1" applyFont="1" applyFill="1" applyBorder="1" applyAlignment="1">
      <alignment horizontal="center" vertical="center"/>
    </xf>
    <xf numFmtId="0" fontId="82" fillId="11" borderId="106" xfId="33" applyFont="1" applyFill="1" applyBorder="1" applyAlignment="1">
      <alignment vertical="center"/>
    </xf>
    <xf numFmtId="0" fontId="96" fillId="14" borderId="103" xfId="34" applyFont="1" applyFill="1" applyBorder="1" applyAlignment="1">
      <alignment vertical="center" wrapText="1"/>
    </xf>
    <xf numFmtId="0" fontId="96" fillId="14" borderId="103" xfId="33" applyFont="1" applyFill="1" applyBorder="1" applyAlignment="1">
      <alignment vertical="center" wrapText="1"/>
    </xf>
    <xf numFmtId="0" fontId="0" fillId="0" borderId="103" xfId="33" applyFont="1" applyBorder="1"/>
    <xf numFmtId="0" fontId="82" fillId="0" borderId="1" xfId="33" applyFont="1" applyFill="1" applyBorder="1" applyAlignment="1">
      <alignment horizontal="center" vertical="center"/>
    </xf>
    <xf numFmtId="0" fontId="82" fillId="0" borderId="1" xfId="33" applyNumberFormat="1" applyFont="1" applyFill="1" applyBorder="1" applyAlignment="1">
      <alignment horizontal="center" vertical="center"/>
    </xf>
    <xf numFmtId="0" fontId="82" fillId="11" borderId="0" xfId="33" applyFont="1" applyFill="1" applyBorder="1" applyAlignment="1">
      <alignment horizontal="center" vertical="center"/>
    </xf>
    <xf numFmtId="0" fontId="0" fillId="11" borderId="107" xfId="33" applyFont="1" applyFill="1" applyBorder="1" applyAlignment="1">
      <alignment vertical="center"/>
    </xf>
    <xf numFmtId="0" fontId="96" fillId="14" borderId="1" xfId="34" applyFont="1" applyFill="1" applyBorder="1" applyAlignment="1">
      <alignment vertical="center" wrapText="1"/>
    </xf>
    <xf numFmtId="0" fontId="96" fillId="14" borderId="1" xfId="33" applyFont="1" applyFill="1" applyBorder="1" applyAlignment="1">
      <alignment vertical="center" wrapText="1"/>
    </xf>
    <xf numFmtId="0" fontId="96" fillId="14" borderId="1" xfId="34" applyFont="1" applyFill="1" applyBorder="1" applyAlignment="1">
      <alignment horizontal="center" vertical="center" wrapText="1"/>
    </xf>
    <xf numFmtId="0" fontId="0" fillId="0" borderId="1" xfId="33" applyFont="1" applyBorder="1"/>
    <xf numFmtId="0" fontId="96" fillId="14" borderId="108" xfId="34" applyFont="1" applyFill="1" applyBorder="1" applyAlignment="1">
      <alignment horizontal="center" vertical="center" wrapText="1"/>
    </xf>
    <xf numFmtId="0" fontId="82" fillId="0" borderId="107" xfId="33" applyFont="1" applyFill="1" applyBorder="1" applyAlignment="1">
      <alignment horizontal="center" vertical="center"/>
    </xf>
    <xf numFmtId="0" fontId="82" fillId="0" borderId="1" xfId="33" applyFont="1" applyFill="1" applyBorder="1" applyAlignment="1">
      <alignment horizontal="center" vertical="center" wrapText="1"/>
    </xf>
    <xf numFmtId="186" fontId="82" fillId="0" borderId="1" xfId="33" applyNumberFormat="1" applyFont="1" applyFill="1" applyBorder="1" applyAlignment="1">
      <alignment horizontal="center" vertical="center"/>
    </xf>
    <xf numFmtId="0" fontId="89" fillId="11" borderId="0" xfId="33" applyFont="1" applyFill="1" applyBorder="1" applyAlignment="1">
      <alignment horizontal="center" vertical="center"/>
    </xf>
    <xf numFmtId="0" fontId="0" fillId="11" borderId="107" xfId="33" applyFont="1" applyFill="1" applyBorder="1" applyAlignment="1">
      <alignment horizontal="center" vertical="center"/>
    </xf>
    <xf numFmtId="0" fontId="98" fillId="8" borderId="1" xfId="34" applyFont="1" applyFill="1" applyBorder="1" applyAlignment="1">
      <alignment vertical="center" wrapText="1"/>
    </xf>
    <xf numFmtId="0" fontId="98" fillId="8" borderId="1" xfId="34" applyFont="1" applyFill="1" applyBorder="1" applyAlignment="1">
      <alignment horizontal="center" vertical="center" wrapText="1"/>
    </xf>
    <xf numFmtId="0" fontId="98" fillId="0" borderId="1" xfId="34" applyFont="1" applyFill="1" applyBorder="1" applyAlignment="1">
      <alignment horizontal="center" vertical="center" wrapText="1"/>
    </xf>
    <xf numFmtId="178" fontId="0" fillId="0" borderId="1" xfId="33" applyNumberFormat="1" applyFont="1" applyBorder="1"/>
    <xf numFmtId="178" fontId="0" fillId="0" borderId="108" xfId="33" applyNumberFormat="1" applyFont="1" applyBorder="1"/>
    <xf numFmtId="0" fontId="87" fillId="0" borderId="1" xfId="33" applyFont="1" applyFill="1" applyBorder="1" applyAlignment="1">
      <alignment horizontal="center" vertical="center"/>
    </xf>
    <xf numFmtId="0" fontId="87" fillId="0" borderId="1" xfId="33" applyFont="1" applyFill="1" applyBorder="1" applyAlignment="1">
      <alignment horizontal="center" vertical="center" wrapText="1"/>
    </xf>
    <xf numFmtId="184" fontId="91" fillId="0" borderId="1" xfId="33" applyNumberFormat="1" applyFont="1" applyFill="1" applyBorder="1" applyAlignment="1">
      <alignment horizontal="center" vertical="center"/>
    </xf>
    <xf numFmtId="186" fontId="87" fillId="0" borderId="1" xfId="33" applyNumberFormat="1" applyFont="1" applyFill="1" applyBorder="1" applyAlignment="1">
      <alignment horizontal="center" vertical="center"/>
    </xf>
    <xf numFmtId="0" fontId="91" fillId="0" borderId="1" xfId="33" applyFont="1" applyFill="1" applyBorder="1" applyAlignment="1">
      <alignment horizontal="center" vertical="center"/>
    </xf>
    <xf numFmtId="178" fontId="87" fillId="0" borderId="1" xfId="33" applyNumberFormat="1" applyFont="1" applyFill="1" applyBorder="1" applyAlignment="1">
      <alignment horizontal="center" vertical="center"/>
    </xf>
    <xf numFmtId="0" fontId="91" fillId="0" borderId="108" xfId="33" applyFont="1" applyFill="1" applyBorder="1" applyAlignment="1">
      <alignment horizontal="center" vertical="center"/>
    </xf>
    <xf numFmtId="0" fontId="91" fillId="0" borderId="110" xfId="33" applyFont="1" applyFill="1" applyBorder="1" applyAlignment="1">
      <alignment horizontal="center" vertical="center"/>
    </xf>
    <xf numFmtId="186" fontId="91" fillId="0" borderId="110" xfId="33" applyNumberFormat="1" applyFont="1" applyFill="1" applyBorder="1" applyAlignment="1">
      <alignment horizontal="center" vertical="center"/>
    </xf>
    <xf numFmtId="0" fontId="91" fillId="0" borderId="111" xfId="33" applyFont="1" applyFill="1" applyBorder="1" applyAlignment="1">
      <alignment horizontal="center" vertical="center"/>
    </xf>
    <xf numFmtId="0" fontId="82" fillId="0" borderId="0" xfId="33" applyFont="1" applyFill="1" applyAlignment="1">
      <alignment horizontal="center" vertical="center"/>
    </xf>
    <xf numFmtId="186" fontId="82" fillId="0" borderId="0" xfId="33" applyNumberFormat="1" applyFont="1" applyFill="1"/>
    <xf numFmtId="0" fontId="91" fillId="0" borderId="0" xfId="33" applyFont="1" applyFill="1" applyBorder="1"/>
    <xf numFmtId="0" fontId="91" fillId="0" borderId="0" xfId="33" applyFont="1" applyFill="1" applyAlignment="1">
      <alignment horizontal="center" vertical="center"/>
    </xf>
    <xf numFmtId="0" fontId="82" fillId="0" borderId="0" xfId="33" applyFont="1" applyFill="1" applyAlignment="1">
      <alignment vertical="center"/>
    </xf>
    <xf numFmtId="0" fontId="82" fillId="0" borderId="0" xfId="33" applyFont="1" applyFill="1" applyAlignment="1">
      <alignment horizontal="right" vertical="center"/>
    </xf>
    <xf numFmtId="0" fontId="0" fillId="0" borderId="0" xfId="33" applyFont="1" applyFill="1" applyBorder="1"/>
    <xf numFmtId="186" fontId="0" fillId="0" borderId="0" xfId="33" applyNumberFormat="1" applyFont="1" applyFill="1" applyBorder="1"/>
    <xf numFmtId="0" fontId="0" fillId="11" borderId="109" xfId="33" applyFont="1" applyFill="1" applyBorder="1" applyAlignment="1">
      <alignment horizontal="center" vertical="center"/>
    </xf>
    <xf numFmtId="0" fontId="98" fillId="8" borderId="110" xfId="34" applyFont="1" applyFill="1" applyBorder="1" applyAlignment="1">
      <alignment vertical="center" wrapText="1"/>
    </xf>
    <xf numFmtId="0" fontId="98" fillId="8" borderId="110" xfId="34" applyFont="1" applyFill="1" applyBorder="1" applyAlignment="1">
      <alignment horizontal="center" vertical="center" wrapText="1"/>
    </xf>
    <xf numFmtId="0" fontId="98" fillId="0" borderId="110" xfId="34" applyFont="1" applyFill="1" applyBorder="1" applyAlignment="1">
      <alignment horizontal="center" vertical="center" wrapText="1"/>
    </xf>
    <xf numFmtId="0" fontId="0" fillId="0" borderId="110" xfId="33" applyFont="1" applyBorder="1"/>
    <xf numFmtId="178" fontId="0" fillId="0" borderId="110" xfId="33" applyNumberFormat="1" applyFont="1" applyBorder="1"/>
    <xf numFmtId="178" fontId="0" fillId="0" borderId="111" xfId="33" applyNumberFormat="1" applyFont="1" applyBorder="1"/>
    <xf numFmtId="186" fontId="0" fillId="0" borderId="0" xfId="33" applyNumberFormat="1" applyFont="1" applyBorder="1"/>
    <xf numFmtId="0" fontId="0" fillId="11" borderId="106" xfId="33" applyFont="1" applyFill="1" applyBorder="1" applyAlignment="1">
      <alignment horizontal="center" vertical="center"/>
    </xf>
    <xf numFmtId="0" fontId="98" fillId="8" borderId="103" xfId="33" applyFont="1" applyFill="1" applyBorder="1" applyAlignment="1">
      <alignment vertical="center" wrapText="1"/>
    </xf>
    <xf numFmtId="0" fontId="98" fillId="8" borderId="103" xfId="33" applyFont="1" applyFill="1" applyBorder="1" applyAlignment="1">
      <alignment horizontal="center" vertical="center" wrapText="1"/>
    </xf>
    <xf numFmtId="0" fontId="98" fillId="8" borderId="103" xfId="33" applyFont="1" applyFill="1" applyBorder="1" applyAlignment="1">
      <alignment horizontal="center" vertical="center"/>
    </xf>
    <xf numFmtId="178" fontId="0" fillId="0" borderId="103" xfId="33" applyNumberFormat="1" applyFont="1" applyBorder="1"/>
    <xf numFmtId="178" fontId="0" fillId="0" borderId="104" xfId="33" applyNumberFormat="1" applyFont="1" applyBorder="1"/>
    <xf numFmtId="0" fontId="98" fillId="8" borderId="1" xfId="33" applyFont="1" applyFill="1" applyBorder="1" applyAlignment="1">
      <alignment vertical="center" wrapText="1"/>
    </xf>
    <xf numFmtId="0" fontId="98" fillId="8" borderId="1" xfId="33" applyFont="1" applyFill="1" applyBorder="1" applyAlignment="1">
      <alignment horizontal="center" vertical="center" wrapText="1"/>
    </xf>
    <xf numFmtId="0" fontId="98" fillId="8" borderId="1" xfId="33" applyFont="1" applyFill="1" applyBorder="1" applyAlignment="1">
      <alignment horizontal="center" vertical="center"/>
    </xf>
    <xf numFmtId="0" fontId="98" fillId="8" borderId="110" xfId="33" applyFont="1" applyFill="1" applyBorder="1" applyAlignment="1">
      <alignment vertical="center" wrapText="1"/>
    </xf>
    <xf numFmtId="0" fontId="98" fillId="8" borderId="110" xfId="33" applyFont="1" applyFill="1" applyBorder="1" applyAlignment="1">
      <alignment horizontal="center" vertical="center" wrapText="1"/>
    </xf>
    <xf numFmtId="0" fontId="98" fillId="8" borderId="110" xfId="33" applyFont="1" applyFill="1" applyBorder="1" applyAlignment="1">
      <alignment horizontal="center" vertical="center"/>
    </xf>
    <xf numFmtId="0" fontId="102" fillId="0" borderId="0" xfId="35" applyFont="1"/>
    <xf numFmtId="0" fontId="102" fillId="0" borderId="0" xfId="35" applyFont="1" applyAlignment="1">
      <alignment horizontal="right"/>
    </xf>
    <xf numFmtId="0" fontId="102" fillId="0" borderId="1" xfId="34" applyFont="1" applyBorder="1" applyAlignment="1">
      <alignment horizontal="center" vertical="center"/>
    </xf>
    <xf numFmtId="0" fontId="102" fillId="0" borderId="1" xfId="35" applyFont="1" applyBorder="1" applyAlignment="1">
      <alignment horizontal="center" vertical="center"/>
    </xf>
    <xf numFmtId="0" fontId="103" fillId="0" borderId="1" xfId="35" applyFont="1" applyBorder="1" applyAlignment="1">
      <alignment horizontal="center" vertical="center"/>
    </xf>
    <xf numFmtId="0" fontId="102" fillId="0" borderId="0" xfId="35" applyFont="1" applyBorder="1" applyAlignment="1">
      <alignment horizontal="center" vertical="center"/>
    </xf>
    <xf numFmtId="0" fontId="102" fillId="0" borderId="0" xfId="35" applyFont="1" applyAlignment="1"/>
    <xf numFmtId="0" fontId="103" fillId="0" borderId="0" xfId="35" applyFont="1" applyAlignment="1"/>
    <xf numFmtId="0" fontId="47" fillId="0" borderId="0" xfId="35" applyFont="1" applyAlignment="1"/>
    <xf numFmtId="0" fontId="11" fillId="0" borderId="1" xfId="26" applyFont="1" applyFill="1" applyBorder="1" applyAlignment="1">
      <alignment horizontal="center" vertical="center"/>
    </xf>
    <xf numFmtId="0" fontId="0" fillId="0" borderId="0" xfId="36" applyFont="1" applyBorder="1"/>
    <xf numFmtId="0" fontId="0" fillId="0" borderId="0" xfId="36" applyFont="1"/>
    <xf numFmtId="0" fontId="0" fillId="0" borderId="4" xfId="36" applyFont="1" applyBorder="1"/>
    <xf numFmtId="0" fontId="6" fillId="0" borderId="0" xfId="36" applyFont="1" applyBorder="1" applyAlignment="1">
      <alignment horizontal="center"/>
    </xf>
    <xf numFmtId="0" fontId="72" fillId="0" borderId="4" xfId="36" applyFont="1" applyBorder="1" applyAlignment="1">
      <alignment horizontal="center"/>
    </xf>
    <xf numFmtId="180" fontId="6" fillId="0" borderId="20" xfId="36" applyNumberFormat="1" applyFont="1" applyBorder="1" applyAlignment="1">
      <alignment horizontal="center"/>
    </xf>
    <xf numFmtId="0" fontId="6" fillId="0" borderId="4" xfId="36" applyFont="1" applyBorder="1" applyAlignment="1">
      <alignment horizontal="center"/>
    </xf>
    <xf numFmtId="180" fontId="13" fillId="0" borderId="0" xfId="36" applyNumberFormat="1" applyFont="1" applyBorder="1" applyAlignment="1">
      <alignment horizontal="center"/>
    </xf>
    <xf numFmtId="180" fontId="0" fillId="0" borderId="0" xfId="36" applyNumberFormat="1" applyFont="1" applyBorder="1" applyAlignment="1">
      <alignment horizontal="center"/>
    </xf>
    <xf numFmtId="0" fontId="6" fillId="0" borderId="32" xfId="36" applyFont="1" applyBorder="1" applyAlignment="1">
      <alignment horizontal="center" vertical="center"/>
    </xf>
    <xf numFmtId="0" fontId="6" fillId="0" borderId="5" xfId="36" applyFont="1" applyBorder="1" applyAlignment="1">
      <alignment horizontal="center" vertical="center"/>
    </xf>
    <xf numFmtId="0" fontId="6" fillId="0" borderId="6" xfId="36" applyFont="1" applyBorder="1" applyAlignment="1">
      <alignment horizontal="center" vertical="center"/>
    </xf>
    <xf numFmtId="0" fontId="6" fillId="13" borderId="6" xfId="36" applyFont="1" applyFill="1" applyBorder="1" applyAlignment="1">
      <alignment horizontal="center" vertical="center"/>
    </xf>
    <xf numFmtId="0" fontId="11" fillId="0" borderId="0" xfId="36" applyFont="1" applyFill="1" applyBorder="1" applyAlignment="1">
      <alignment horizontal="center"/>
    </xf>
    <xf numFmtId="0" fontId="7" fillId="0" borderId="0" xfId="36" applyFont="1" applyFill="1" applyBorder="1" applyAlignment="1">
      <alignment horizontal="center"/>
    </xf>
    <xf numFmtId="0" fontId="6" fillId="0" borderId="0" xfId="36" applyFont="1"/>
    <xf numFmtId="0" fontId="8" fillId="0" borderId="5" xfId="36" applyNumberFormat="1" applyFont="1" applyBorder="1" applyAlignment="1">
      <alignment horizontal="center"/>
    </xf>
    <xf numFmtId="0" fontId="6" fillId="0" borderId="6" xfId="36" applyFont="1" applyBorder="1" applyAlignment="1">
      <alignment horizontal="center"/>
    </xf>
    <xf numFmtId="0" fontId="6" fillId="13" borderId="6" xfId="36" applyFont="1" applyFill="1" applyBorder="1" applyAlignment="1">
      <alignment horizontal="center"/>
    </xf>
    <xf numFmtId="0" fontId="6" fillId="0" borderId="5" xfId="36" applyNumberFormat="1" applyFont="1" applyBorder="1" applyAlignment="1">
      <alignment horizontal="center"/>
    </xf>
    <xf numFmtId="0" fontId="6" fillId="0" borderId="37" xfId="36" applyNumberFormat="1" applyFont="1" applyBorder="1" applyAlignment="1">
      <alignment horizontal="center"/>
    </xf>
    <xf numFmtId="0" fontId="8" fillId="0" borderId="34" xfId="36" applyFont="1" applyBorder="1" applyAlignment="1">
      <alignment horizontal="center"/>
    </xf>
    <xf numFmtId="0" fontId="6" fillId="0" borderId="34" xfId="36" applyFont="1" applyBorder="1" applyAlignment="1">
      <alignment horizontal="center"/>
    </xf>
    <xf numFmtId="0" fontId="6" fillId="0" borderId="30" xfId="36" applyNumberFormat="1" applyFont="1" applyBorder="1" applyAlignment="1">
      <alignment horizontal="center"/>
    </xf>
    <xf numFmtId="0" fontId="6" fillId="0" borderId="13" xfId="36" applyFont="1" applyBorder="1" applyAlignment="1">
      <alignment horizontal="center" vertical="center"/>
    </xf>
    <xf numFmtId="0" fontId="6" fillId="0" borderId="13" xfId="36" applyFont="1" applyBorder="1" applyAlignment="1">
      <alignment horizontal="center"/>
    </xf>
    <xf numFmtId="0" fontId="6" fillId="13" borderId="13" xfId="36" applyFont="1" applyFill="1" applyBorder="1" applyAlignment="1">
      <alignment horizontal="center"/>
    </xf>
    <xf numFmtId="0" fontId="0" fillId="15" borderId="0" xfId="36" applyFont="1" applyFill="1" applyAlignment="1">
      <alignment vertical="center"/>
    </xf>
    <xf numFmtId="0" fontId="6" fillId="0" borderId="0" xfId="36" applyFont="1" applyAlignment="1">
      <alignment vertical="center"/>
    </xf>
    <xf numFmtId="0" fontId="0" fillId="0" borderId="0" xfId="36" applyFont="1" applyAlignment="1">
      <alignment vertical="center"/>
    </xf>
    <xf numFmtId="0" fontId="6" fillId="0" borderId="0" xfId="36" applyNumberFormat="1" applyFont="1" applyBorder="1" applyAlignment="1">
      <alignment vertical="center"/>
    </xf>
    <xf numFmtId="0" fontId="11" fillId="0" borderId="0" xfId="36" applyFont="1" applyBorder="1" applyAlignment="1">
      <alignment horizontal="center" vertical="center"/>
    </xf>
    <xf numFmtId="0" fontId="10" fillId="0" borderId="0" xfId="36" applyFont="1" applyBorder="1" applyAlignment="1">
      <alignment vertical="center"/>
    </xf>
    <xf numFmtId="0" fontId="10" fillId="15" borderId="0" xfId="36" applyFont="1" applyFill="1" applyAlignment="1">
      <alignment vertical="center"/>
    </xf>
    <xf numFmtId="0" fontId="10" fillId="0" borderId="0" xfId="36" applyFont="1" applyAlignment="1">
      <alignment vertical="center"/>
    </xf>
    <xf numFmtId="58" fontId="73" fillId="0" borderId="0" xfId="36" applyNumberFormat="1" applyFont="1" applyBorder="1"/>
    <xf numFmtId="0" fontId="74" fillId="0" borderId="0" xfId="36" applyFont="1"/>
    <xf numFmtId="0" fontId="10" fillId="0" borderId="0" xfId="36" applyFont="1"/>
    <xf numFmtId="0" fontId="10" fillId="0" borderId="0" xfId="36" applyFont="1" applyBorder="1" applyAlignment="1">
      <alignment horizontal="center"/>
    </xf>
    <xf numFmtId="0" fontId="73" fillId="0" borderId="0" xfId="36" applyFont="1" applyBorder="1" applyAlignment="1">
      <alignment horizontal="center"/>
    </xf>
    <xf numFmtId="0" fontId="10" fillId="0" borderId="0" xfId="36" applyFont="1" applyBorder="1"/>
    <xf numFmtId="0" fontId="68" fillId="0" borderId="0" xfId="36" applyFont="1"/>
    <xf numFmtId="0" fontId="6" fillId="0" borderId="0" xfId="36" applyNumberFormat="1" applyFont="1" applyBorder="1"/>
    <xf numFmtId="0" fontId="6" fillId="0" borderId="0" xfId="36" applyFont="1" applyBorder="1"/>
    <xf numFmtId="0" fontId="10" fillId="0" borderId="0" xfId="33" applyFont="1" applyAlignment="1">
      <alignment vertical="center"/>
    </xf>
    <xf numFmtId="0" fontId="105" fillId="0" borderId="0" xfId="37" applyFont="1" applyProtection="1">
      <alignment vertical="center"/>
      <protection locked="0"/>
    </xf>
    <xf numFmtId="0" fontId="51" fillId="0" borderId="0" xfId="37" applyFont="1" applyProtection="1">
      <alignment vertical="center"/>
      <protection locked="0"/>
    </xf>
    <xf numFmtId="0" fontId="0" fillId="0" borderId="0" xfId="33" applyFont="1" applyBorder="1" applyAlignment="1">
      <alignment horizontal="center" vertical="center"/>
    </xf>
    <xf numFmtId="0" fontId="0" fillId="0" borderId="0" xfId="33" applyFont="1" applyBorder="1" applyAlignment="1">
      <alignment horizontal="center"/>
    </xf>
    <xf numFmtId="0" fontId="0" fillId="0" borderId="0" xfId="33" applyFont="1" applyAlignment="1">
      <alignment vertical="center"/>
    </xf>
    <xf numFmtId="0" fontId="0" fillId="0" borderId="0" xfId="33" applyFont="1" applyAlignment="1">
      <alignment horizontal="center" vertical="center"/>
    </xf>
    <xf numFmtId="0" fontId="6" fillId="0" borderId="0" xfId="33" applyFont="1" applyAlignment="1">
      <alignment vertical="center"/>
    </xf>
    <xf numFmtId="0" fontId="6" fillId="0" borderId="0" xfId="33" applyFont="1" applyBorder="1"/>
    <xf numFmtId="0" fontId="0" fillId="16" borderId="0" xfId="33" applyFont="1" applyFill="1" applyAlignment="1">
      <alignment vertical="center"/>
    </xf>
    <xf numFmtId="0" fontId="0" fillId="16" borderId="0" xfId="33" applyFont="1" applyFill="1" applyAlignment="1">
      <alignment horizontal="center" vertical="center"/>
    </xf>
    <xf numFmtId="0" fontId="6" fillId="9" borderId="0" xfId="33" applyFont="1" applyFill="1" applyAlignment="1">
      <alignment horizontal="center" vertical="center"/>
    </xf>
    <xf numFmtId="0" fontId="106" fillId="16" borderId="0" xfId="33" applyFont="1" applyFill="1" applyAlignment="1">
      <alignment vertical="center"/>
    </xf>
    <xf numFmtId="0" fontId="106" fillId="16" borderId="0" xfId="33" applyFont="1" applyFill="1" applyAlignment="1">
      <alignment horizontal="center" vertical="center"/>
    </xf>
    <xf numFmtId="0" fontId="6" fillId="16" borderId="0" xfId="33" applyFont="1" applyFill="1" applyAlignment="1">
      <alignment vertical="center"/>
    </xf>
    <xf numFmtId="0" fontId="6" fillId="17" borderId="0" xfId="33" applyFont="1" applyFill="1" applyAlignment="1">
      <alignment vertical="center"/>
    </xf>
    <xf numFmtId="0" fontId="6" fillId="18" borderId="0" xfId="33" applyFont="1" applyFill="1" applyAlignment="1">
      <alignment vertical="center"/>
    </xf>
    <xf numFmtId="0" fontId="11" fillId="0" borderId="0" xfId="33" applyFont="1" applyBorder="1" applyAlignment="1">
      <alignment vertical="center"/>
    </xf>
    <xf numFmtId="0" fontId="11" fillId="0" borderId="0" xfId="33" applyFont="1" applyBorder="1" applyAlignment="1">
      <alignment horizontal="center" vertical="center"/>
    </xf>
    <xf numFmtId="0" fontId="0" fillId="16" borderId="0" xfId="33" applyFont="1" applyFill="1" applyAlignment="1">
      <alignment horizontal="left" vertical="center"/>
    </xf>
    <xf numFmtId="0" fontId="6" fillId="9" borderId="1" xfId="33" applyFont="1" applyFill="1" applyBorder="1" applyAlignment="1">
      <alignment horizontal="left" vertical="center"/>
    </xf>
    <xf numFmtId="0" fontId="6" fillId="9" borderId="0" xfId="33" applyFont="1" applyFill="1" applyAlignment="1">
      <alignment horizontal="left" vertical="center"/>
    </xf>
    <xf numFmtId="0" fontId="6" fillId="0" borderId="106" xfId="33" applyFont="1" applyFill="1" applyBorder="1" applyAlignment="1">
      <alignment horizontal="center" vertical="center"/>
    </xf>
    <xf numFmtId="0" fontId="6" fillId="0" borderId="103" xfId="33" applyFont="1" applyFill="1" applyBorder="1" applyAlignment="1">
      <alignment horizontal="center" vertical="center"/>
    </xf>
    <xf numFmtId="186" fontId="6" fillId="0" borderId="114" xfId="33" applyNumberFormat="1" applyFont="1" applyFill="1" applyBorder="1" applyAlignment="1">
      <alignment horizontal="center" vertical="center"/>
    </xf>
    <xf numFmtId="186" fontId="6" fillId="0" borderId="103" xfId="33" applyNumberFormat="1" applyFont="1" applyFill="1" applyBorder="1" applyAlignment="1">
      <alignment horizontal="center" vertical="center"/>
    </xf>
    <xf numFmtId="0" fontId="6" fillId="0" borderId="104" xfId="33" applyFont="1" applyFill="1" applyBorder="1" applyAlignment="1">
      <alignment horizontal="center" vertical="center"/>
    </xf>
    <xf numFmtId="0" fontId="11" fillId="8" borderId="1" xfId="33" applyFont="1" applyFill="1" applyBorder="1" applyAlignment="1">
      <alignment horizontal="center" vertical="center"/>
    </xf>
    <xf numFmtId="186" fontId="11" fillId="8" borderId="3" xfId="33" applyNumberFormat="1" applyFont="1" applyFill="1" applyBorder="1" applyAlignment="1">
      <alignment horizontal="center" vertical="center"/>
    </xf>
    <xf numFmtId="179" fontId="11" fillId="8" borderId="3" xfId="33" applyNumberFormat="1" applyFont="1" applyFill="1" applyBorder="1" applyAlignment="1">
      <alignment horizontal="center" vertical="center"/>
    </xf>
    <xf numFmtId="0" fontId="11" fillId="8" borderId="20" xfId="33" applyFont="1" applyFill="1" applyBorder="1" applyAlignment="1">
      <alignment horizontal="center" vertical="center"/>
    </xf>
    <xf numFmtId="0" fontId="11" fillId="8" borderId="19" xfId="33" applyFont="1" applyFill="1" applyBorder="1" applyAlignment="1">
      <alignment horizontal="center" vertical="center"/>
    </xf>
    <xf numFmtId="186" fontId="11" fillId="8" borderId="1" xfId="33" applyNumberFormat="1" applyFont="1" applyFill="1" applyBorder="1" applyAlignment="1">
      <alignment horizontal="center"/>
    </xf>
    <xf numFmtId="0" fontId="11" fillId="8" borderId="108" xfId="33" applyFont="1" applyFill="1" applyBorder="1" applyAlignment="1">
      <alignment horizontal="center" vertical="center"/>
    </xf>
    <xf numFmtId="186" fontId="11" fillId="8" borderId="1" xfId="33" applyNumberFormat="1" applyFont="1" applyFill="1" applyBorder="1" applyAlignment="1">
      <alignment horizontal="center" vertical="center"/>
    </xf>
    <xf numFmtId="186" fontId="11" fillId="0" borderId="3" xfId="33" applyNumberFormat="1" applyFont="1" applyFill="1" applyBorder="1" applyAlignment="1">
      <alignment horizontal="center" vertical="center"/>
    </xf>
    <xf numFmtId="0" fontId="11" fillId="0" borderId="1" xfId="33" applyFont="1" applyFill="1" applyBorder="1" applyAlignment="1">
      <alignment horizontal="center" vertical="center"/>
    </xf>
    <xf numFmtId="0" fontId="11" fillId="8" borderId="19" xfId="33" applyFont="1" applyFill="1" applyBorder="1" applyAlignment="1">
      <alignment horizontal="center" vertical="center" wrapText="1"/>
    </xf>
    <xf numFmtId="0" fontId="11" fillId="8" borderId="3" xfId="33" applyFont="1" applyFill="1" applyBorder="1" applyAlignment="1">
      <alignment horizontal="center" vertical="center"/>
    </xf>
    <xf numFmtId="0" fontId="107" fillId="19" borderId="1" xfId="33" applyFont="1" applyFill="1" applyBorder="1" applyAlignment="1">
      <alignment vertical="center" wrapText="1"/>
    </xf>
    <xf numFmtId="0" fontId="107" fillId="19" borderId="1" xfId="33" applyFont="1" applyFill="1" applyBorder="1" applyAlignment="1">
      <alignment horizontal="center" vertical="center"/>
    </xf>
    <xf numFmtId="0" fontId="107" fillId="19" borderId="1" xfId="33" applyFont="1" applyFill="1" applyBorder="1"/>
    <xf numFmtId="0" fontId="6" fillId="19" borderId="2" xfId="33" applyFont="1" applyFill="1" applyBorder="1" applyAlignment="1">
      <alignment horizontal="center" vertical="center" wrapText="1"/>
    </xf>
    <xf numFmtId="0" fontId="6" fillId="19" borderId="1" xfId="33" applyFont="1" applyFill="1" applyBorder="1" applyAlignment="1">
      <alignment horizontal="center" vertical="center"/>
    </xf>
    <xf numFmtId="0" fontId="0" fillId="19" borderId="1" xfId="33" applyFont="1" applyFill="1" applyBorder="1" applyAlignment="1">
      <alignment horizontal="center" vertical="center"/>
    </xf>
    <xf numFmtId="0" fontId="0" fillId="19" borderId="1" xfId="33" applyFont="1" applyFill="1" applyBorder="1"/>
    <xf numFmtId="0" fontId="107" fillId="19" borderId="2" xfId="33" applyFont="1" applyFill="1" applyBorder="1" applyAlignment="1">
      <alignment horizontal="center" vertical="center" wrapText="1"/>
    </xf>
    <xf numFmtId="0" fontId="11" fillId="8" borderId="117" xfId="33" applyFont="1" applyFill="1" applyBorder="1" applyAlignment="1">
      <alignment horizontal="center" vertical="center"/>
    </xf>
    <xf numFmtId="0" fontId="11" fillId="8" borderId="3" xfId="33" applyFont="1" applyFill="1" applyBorder="1" applyAlignment="1">
      <alignment horizontal="center" vertical="center" wrapText="1"/>
    </xf>
    <xf numFmtId="0" fontId="107" fillId="19" borderId="16" xfId="33" applyFont="1" applyFill="1" applyBorder="1" applyAlignment="1">
      <alignment horizontal="center" vertical="center" wrapText="1"/>
    </xf>
    <xf numFmtId="0" fontId="107" fillId="16" borderId="1" xfId="33" applyFont="1" applyFill="1" applyBorder="1" applyAlignment="1">
      <alignment horizontal="center" vertical="center"/>
    </xf>
    <xf numFmtId="0" fontId="107" fillId="16" borderId="1" xfId="33" applyFont="1" applyFill="1" applyBorder="1"/>
    <xf numFmtId="186" fontId="11" fillId="8" borderId="110" xfId="33" applyNumberFormat="1" applyFont="1" applyFill="1" applyBorder="1" applyAlignment="1">
      <alignment horizontal="center" vertical="center"/>
    </xf>
    <xf numFmtId="0" fontId="11" fillId="8" borderId="110" xfId="33" applyFont="1" applyFill="1" applyBorder="1" applyAlignment="1">
      <alignment horizontal="center" vertical="center"/>
    </xf>
    <xf numFmtId="0" fontId="11" fillId="8" borderId="111" xfId="33" applyFont="1" applyFill="1" applyBorder="1" applyAlignment="1">
      <alignment horizontal="center" vertical="center"/>
    </xf>
    <xf numFmtId="0" fontId="15" fillId="0" borderId="0" xfId="33" applyFont="1" applyFill="1"/>
    <xf numFmtId="186" fontId="15" fillId="0" borderId="0" xfId="33" applyNumberFormat="1" applyFont="1" applyFill="1"/>
    <xf numFmtId="0" fontId="15" fillId="0" borderId="0" xfId="33" applyFont="1" applyFill="1" applyBorder="1"/>
    <xf numFmtId="186" fontId="15" fillId="0" borderId="0" xfId="33" applyNumberFormat="1" applyFont="1" applyFill="1" applyBorder="1"/>
    <xf numFmtId="0" fontId="6" fillId="0" borderId="0" xfId="33" applyFont="1" applyFill="1"/>
    <xf numFmtId="0" fontId="6" fillId="0" borderId="0" xfId="33" applyFont="1" applyFill="1" applyAlignment="1">
      <alignment horizontal="right" vertical="center"/>
    </xf>
    <xf numFmtId="0" fontId="6" fillId="0" borderId="0" xfId="33" applyFont="1" applyFill="1" applyAlignment="1">
      <alignment horizontal="center" vertical="center"/>
    </xf>
    <xf numFmtId="186" fontId="15" fillId="0" borderId="0" xfId="33" applyNumberFormat="1" applyFont="1" applyFill="1" applyBorder="1" applyAlignment="1">
      <alignment horizontal="center"/>
    </xf>
    <xf numFmtId="0" fontId="6" fillId="0" borderId="1" xfId="33" applyFont="1" applyBorder="1"/>
    <xf numFmtId="0" fontId="6" fillId="0" borderId="1" xfId="33" applyFont="1" applyBorder="1" applyAlignment="1">
      <alignment horizontal="center" vertical="center"/>
    </xf>
    <xf numFmtId="0" fontId="6" fillId="16" borderId="1" xfId="33" applyFont="1" applyFill="1" applyBorder="1" applyAlignment="1">
      <alignment horizontal="center" vertical="center"/>
    </xf>
    <xf numFmtId="0" fontId="6" fillId="16" borderId="1" xfId="33" applyFont="1" applyFill="1" applyBorder="1"/>
    <xf numFmtId="0" fontId="15" fillId="0" borderId="0" xfId="33" applyFont="1" applyFill="1" applyAlignment="1">
      <alignment horizontal="center" vertical="center"/>
    </xf>
    <xf numFmtId="186" fontId="6" fillId="0" borderId="0" xfId="33" applyNumberFormat="1" applyFont="1" applyFill="1" applyAlignment="1">
      <alignment horizontal="center" vertical="center"/>
    </xf>
    <xf numFmtId="0" fontId="6" fillId="0" borderId="0" xfId="33" applyFont="1" applyFill="1" applyAlignment="1">
      <alignment vertical="center"/>
    </xf>
    <xf numFmtId="0" fontId="6" fillId="0" borderId="0" xfId="33" applyFont="1" applyFill="1" applyBorder="1" applyAlignment="1">
      <alignment horizontal="center" vertical="center"/>
    </xf>
    <xf numFmtId="0" fontId="47" fillId="0" borderId="0" xfId="32" applyFont="1" applyAlignment="1">
      <alignment horizontal="center" vertical="center"/>
    </xf>
    <xf numFmtId="0" fontId="47" fillId="0" borderId="0" xfId="32" applyFont="1" applyAlignment="1">
      <alignment horizontal="center"/>
    </xf>
    <xf numFmtId="0" fontId="82" fillId="0" borderId="0" xfId="33" applyFont="1" applyBorder="1" applyAlignment="1">
      <alignment horizontal="center"/>
    </xf>
    <xf numFmtId="0" fontId="0" fillId="0" borderId="4" xfId="33" applyFont="1" applyBorder="1" applyAlignment="1">
      <alignment horizontal="center"/>
    </xf>
    <xf numFmtId="0" fontId="82" fillId="0" borderId="4" xfId="33" applyFont="1" applyBorder="1" applyAlignment="1">
      <alignment horizontal="center"/>
    </xf>
    <xf numFmtId="0" fontId="82" fillId="0" borderId="0" xfId="33" applyFont="1" applyAlignment="1">
      <alignment horizontal="center"/>
    </xf>
    <xf numFmtId="0" fontId="82" fillId="0" borderId="20" xfId="33" applyFont="1" applyBorder="1" applyAlignment="1">
      <alignment horizontal="center"/>
    </xf>
    <xf numFmtId="0" fontId="93" fillId="0" borderId="0" xfId="33" applyFont="1" applyBorder="1" applyAlignment="1">
      <alignment horizontal="center"/>
    </xf>
    <xf numFmtId="0" fontId="0" fillId="0" borderId="0" xfId="38" applyFont="1" applyBorder="1"/>
    <xf numFmtId="0" fontId="0" fillId="0" borderId="0" xfId="38" applyFont="1"/>
    <xf numFmtId="0" fontId="0" fillId="0" borderId="4" xfId="38" applyFont="1" applyBorder="1"/>
    <xf numFmtId="0" fontId="8" fillId="0" borderId="0" xfId="38" applyFont="1"/>
    <xf numFmtId="0" fontId="82" fillId="0" borderId="0" xfId="38" applyFont="1" applyBorder="1" applyAlignment="1">
      <alignment horizontal="center"/>
    </xf>
    <xf numFmtId="0" fontId="82" fillId="0" borderId="0" xfId="38" applyFont="1"/>
    <xf numFmtId="0" fontId="82" fillId="0" borderId="4" xfId="38" applyFont="1" applyBorder="1" applyAlignment="1">
      <alignment horizontal="center"/>
    </xf>
    <xf numFmtId="180" fontId="82" fillId="0" borderId="20" xfId="38" applyNumberFormat="1" applyFont="1" applyBorder="1" applyAlignment="1">
      <alignment horizontal="center"/>
    </xf>
    <xf numFmtId="0" fontId="82" fillId="0" borderId="0" xfId="38" applyFont="1" applyBorder="1" applyAlignment="1">
      <alignment horizontal="left"/>
    </xf>
    <xf numFmtId="0" fontId="82" fillId="0" borderId="0" xfId="38" applyFont="1" applyAlignment="1">
      <alignment horizontal="center"/>
    </xf>
    <xf numFmtId="0" fontId="82" fillId="0" borderId="0" xfId="38" applyFont="1" applyBorder="1" applyAlignment="1"/>
    <xf numFmtId="0" fontId="82" fillId="0" borderId="20" xfId="38" applyFont="1" applyBorder="1" applyAlignment="1">
      <alignment horizontal="center"/>
    </xf>
    <xf numFmtId="0" fontId="82" fillId="0" borderId="1" xfId="38" applyFont="1" applyBorder="1" applyAlignment="1">
      <alignment horizontal="center"/>
    </xf>
    <xf numFmtId="0" fontId="0" fillId="0" borderId="1" xfId="38" applyFont="1" applyBorder="1" applyAlignment="1">
      <alignment horizontal="center"/>
    </xf>
    <xf numFmtId="0" fontId="73" fillId="0" borderId="1" xfId="38" applyNumberFormat="1" applyFont="1" applyBorder="1" applyAlignment="1">
      <alignment horizontal="center"/>
    </xf>
    <xf numFmtId="0" fontId="73" fillId="0" borderId="1" xfId="38" applyFont="1" applyBorder="1" applyAlignment="1">
      <alignment horizontal="center"/>
    </xf>
    <xf numFmtId="0" fontId="0" fillId="3" borderId="0" xfId="38" applyFont="1" applyFill="1" applyAlignment="1">
      <alignment horizontal="center"/>
    </xf>
    <xf numFmtId="0" fontId="93" fillId="0" borderId="1" xfId="38" applyFont="1" applyBorder="1" applyAlignment="1">
      <alignment horizontal="center"/>
    </xf>
    <xf numFmtId="0" fontId="93" fillId="0" borderId="1" xfId="38" applyNumberFormat="1" applyFont="1" applyBorder="1" applyAlignment="1">
      <alignment horizontal="center"/>
    </xf>
    <xf numFmtId="0" fontId="93" fillId="0" borderId="1" xfId="38" applyNumberFormat="1" applyFont="1" applyBorder="1"/>
    <xf numFmtId="0" fontId="73" fillId="0" borderId="1" xfId="38" applyNumberFormat="1" applyFont="1" applyBorder="1"/>
    <xf numFmtId="0" fontId="82" fillId="3" borderId="1" xfId="38" applyNumberFormat="1" applyFont="1" applyFill="1" applyBorder="1"/>
    <xf numFmtId="0" fontId="93" fillId="3" borderId="1" xfId="38" applyFont="1" applyFill="1" applyBorder="1" applyAlignment="1">
      <alignment horizontal="center"/>
    </xf>
    <xf numFmtId="0" fontId="82" fillId="3" borderId="1" xfId="38" applyFont="1" applyFill="1" applyBorder="1" applyAlignment="1">
      <alignment horizontal="center"/>
    </xf>
    <xf numFmtId="0" fontId="73" fillId="3" borderId="1" xfId="38" applyFont="1" applyFill="1" applyBorder="1" applyAlignment="1">
      <alignment horizontal="center"/>
    </xf>
    <xf numFmtId="0" fontId="0" fillId="3" borderId="1" xfId="38" applyFont="1" applyFill="1" applyBorder="1" applyAlignment="1">
      <alignment horizontal="center"/>
    </xf>
    <xf numFmtId="0" fontId="82" fillId="0" borderId="1" xfId="38" applyNumberFormat="1" applyFont="1" applyBorder="1"/>
    <xf numFmtId="0" fontId="8" fillId="0" borderId="1" xfId="38" applyFont="1" applyBorder="1" applyAlignment="1">
      <alignment horizontal="center"/>
    </xf>
    <xf numFmtId="0" fontId="87" fillId="2" borderId="1" xfId="38" applyNumberFormat="1" applyFont="1" applyFill="1" applyBorder="1"/>
    <xf numFmtId="0" fontId="82" fillId="2" borderId="1" xfId="38" applyFont="1" applyFill="1" applyBorder="1" applyAlignment="1">
      <alignment horizontal="center"/>
    </xf>
    <xf numFmtId="0" fontId="0" fillId="2" borderId="1" xfId="38" applyFont="1" applyFill="1" applyBorder="1" applyAlignment="1">
      <alignment horizontal="center"/>
    </xf>
    <xf numFmtId="0" fontId="8" fillId="2" borderId="1" xfId="38" applyFont="1" applyFill="1" applyBorder="1" applyAlignment="1">
      <alignment horizontal="center"/>
    </xf>
    <xf numFmtId="58" fontId="73" fillId="0" borderId="0" xfId="38" applyNumberFormat="1" applyFont="1" applyBorder="1"/>
    <xf numFmtId="0" fontId="94" fillId="0" borderId="0" xfId="38" applyFont="1"/>
    <xf numFmtId="0" fontId="93" fillId="0" borderId="0" xfId="38" applyFont="1"/>
    <xf numFmtId="0" fontId="93" fillId="0" borderId="0" xfId="38" applyFont="1" applyBorder="1" applyAlignment="1">
      <alignment horizontal="center"/>
    </xf>
    <xf numFmtId="0" fontId="73" fillId="0" borderId="0" xfId="38" applyFont="1" applyBorder="1" applyAlignment="1">
      <alignment horizontal="center"/>
    </xf>
    <xf numFmtId="0" fontId="93" fillId="0" borderId="0" xfId="38" applyFont="1" applyBorder="1"/>
    <xf numFmtId="0" fontId="82" fillId="0" borderId="0" xfId="38" applyNumberFormat="1" applyFont="1" applyBorder="1"/>
    <xf numFmtId="0" fontId="82" fillId="0" borderId="0" xfId="38" applyFont="1" applyBorder="1"/>
    <xf numFmtId="58" fontId="75" fillId="0" borderId="0" xfId="38" applyNumberFormat="1" applyFont="1" applyBorder="1"/>
    <xf numFmtId="0" fontId="95" fillId="0" borderId="0" xfId="38" applyFont="1" applyBorder="1" applyAlignment="1">
      <alignment horizontal="center"/>
    </xf>
    <xf numFmtId="0" fontId="75" fillId="0" borderId="0" xfId="38" applyFont="1" applyBorder="1" applyAlignment="1">
      <alignment horizontal="center"/>
    </xf>
    <xf numFmtId="0" fontId="95" fillId="0" borderId="0" xfId="38" applyFont="1" applyBorder="1"/>
    <xf numFmtId="0" fontId="95" fillId="0" borderId="0" xfId="38" applyFont="1"/>
    <xf numFmtId="0" fontId="112" fillId="0" borderId="0" xfId="38" applyFont="1"/>
    <xf numFmtId="0" fontId="8" fillId="0" borderId="0" xfId="33" applyFont="1"/>
    <xf numFmtId="0" fontId="82" fillId="0" borderId="0" xfId="33" applyFont="1"/>
    <xf numFmtId="180" fontId="87" fillId="0" borderId="20" xfId="33" applyNumberFormat="1" applyFont="1" applyBorder="1" applyAlignment="1">
      <alignment horizontal="center"/>
    </xf>
    <xf numFmtId="0" fontId="82" fillId="0" borderId="0" xfId="33" applyFont="1" applyBorder="1" applyAlignment="1">
      <alignment horizontal="left"/>
    </xf>
    <xf numFmtId="0" fontId="82" fillId="0" borderId="0" xfId="33" applyFont="1" applyBorder="1" applyAlignment="1"/>
    <xf numFmtId="0" fontId="82" fillId="0" borderId="4" xfId="33" applyFont="1" applyBorder="1" applyAlignment="1"/>
    <xf numFmtId="0" fontId="82" fillId="0" borderId="1" xfId="33" applyFont="1" applyBorder="1" applyAlignment="1">
      <alignment horizontal="center"/>
    </xf>
    <xf numFmtId="0" fontId="8" fillId="0" borderId="1" xfId="33" applyNumberFormat="1" applyFont="1" applyBorder="1"/>
    <xf numFmtId="0" fontId="8" fillId="0" borderId="1" xfId="33" applyFont="1" applyBorder="1" applyAlignment="1">
      <alignment horizontal="center"/>
    </xf>
    <xf numFmtId="0" fontId="8" fillId="0" borderId="2" xfId="33" applyFont="1" applyFill="1" applyBorder="1" applyAlignment="1">
      <alignment horizontal="center"/>
    </xf>
    <xf numFmtId="0" fontId="82" fillId="0" borderId="1" xfId="33" applyFont="1" applyBorder="1"/>
    <xf numFmtId="187" fontId="8" fillId="0" borderId="1" xfId="33" applyNumberFormat="1" applyFont="1" applyBorder="1"/>
    <xf numFmtId="0" fontId="82" fillId="0" borderId="1" xfId="33" applyNumberFormat="1" applyFont="1" applyBorder="1"/>
    <xf numFmtId="0" fontId="8" fillId="0" borderId="1" xfId="33" applyFont="1" applyBorder="1"/>
    <xf numFmtId="0" fontId="82" fillId="21" borderId="1" xfId="33" applyNumberFormat="1" applyFont="1" applyFill="1" applyBorder="1"/>
    <xf numFmtId="0" fontId="82" fillId="21" borderId="1" xfId="33" applyFont="1" applyFill="1" applyBorder="1" applyAlignment="1">
      <alignment horizontal="center"/>
    </xf>
    <xf numFmtId="0" fontId="8" fillId="21" borderId="1" xfId="33" applyFont="1" applyFill="1" applyBorder="1"/>
    <xf numFmtId="0" fontId="0" fillId="21" borderId="1" xfId="33" applyFont="1" applyFill="1" applyBorder="1" applyAlignment="1">
      <alignment horizontal="center"/>
    </xf>
    <xf numFmtId="0" fontId="113" fillId="2" borderId="1" xfId="33" applyNumberFormat="1" applyFont="1" applyFill="1" applyBorder="1"/>
    <xf numFmtId="0" fontId="82" fillId="2" borderId="1" xfId="33" applyFont="1" applyFill="1" applyBorder="1" applyAlignment="1">
      <alignment horizontal="center"/>
    </xf>
    <xf numFmtId="0" fontId="0" fillId="2" borderId="1" xfId="33" applyFont="1" applyFill="1" applyBorder="1" applyAlignment="1">
      <alignment horizontal="center"/>
    </xf>
    <xf numFmtId="0" fontId="87" fillId="2" borderId="1" xfId="33" applyNumberFormat="1" applyFont="1" applyFill="1" applyBorder="1" applyAlignment="1">
      <alignment wrapText="1"/>
    </xf>
    <xf numFmtId="0" fontId="8" fillId="2" borderId="1" xfId="33" applyFont="1" applyFill="1" applyBorder="1"/>
    <xf numFmtId="0" fontId="112" fillId="0" borderId="0" xfId="33" applyFont="1"/>
    <xf numFmtId="0" fontId="6" fillId="0" borderId="0" xfId="0" applyFont="1" applyAlignment="1">
      <alignment horizontal="center" vertical="center"/>
    </xf>
    <xf numFmtId="0" fontId="6" fillId="0" borderId="0" xfId="0" applyFont="1" applyFill="1" applyBorder="1" applyAlignment="1">
      <alignment horizontal="center" vertical="center"/>
    </xf>
    <xf numFmtId="0" fontId="114" fillId="0" borderId="1" xfId="27" applyFont="1" applyBorder="1" applyAlignment="1">
      <alignment horizontal="center" vertical="center"/>
    </xf>
    <xf numFmtId="0" fontId="45" fillId="2" borderId="4" xfId="4" applyFont="1" applyFill="1" applyBorder="1" applyAlignment="1">
      <alignment horizontal="center" vertical="center"/>
    </xf>
    <xf numFmtId="0" fontId="11" fillId="0" borderId="1" xfId="27" applyFont="1" applyBorder="1" applyAlignment="1">
      <alignment horizontal="center" vertical="center"/>
    </xf>
    <xf numFmtId="186" fontId="11" fillId="9" borderId="1" xfId="0" applyNumberFormat="1" applyFont="1" applyFill="1" applyBorder="1" applyAlignment="1">
      <alignment horizontal="center" vertical="center"/>
    </xf>
    <xf numFmtId="0" fontId="47" fillId="0" borderId="1" xfId="5" applyFont="1" applyBorder="1" applyAlignment="1">
      <alignment horizontal="center" vertical="center"/>
    </xf>
    <xf numFmtId="0" fontId="47" fillId="2" borderId="1" xfId="5" applyFont="1" applyFill="1" applyBorder="1" applyAlignment="1">
      <alignment horizontal="center" vertical="center"/>
    </xf>
    <xf numFmtId="0" fontId="47" fillId="0" borderId="1" xfId="5" applyFont="1" applyFill="1" applyBorder="1" applyAlignment="1">
      <alignment horizontal="center" vertical="center"/>
    </xf>
    <xf numFmtId="0" fontId="47" fillId="0" borderId="1" xfId="3" applyFont="1" applyBorder="1" applyAlignment="1">
      <alignment horizontal="center" vertical="center"/>
    </xf>
    <xf numFmtId="0" fontId="47" fillId="0" borderId="1" xfId="32" applyFont="1" applyBorder="1" applyAlignment="1">
      <alignment horizontal="center" vertical="center"/>
    </xf>
    <xf numFmtId="0" fontId="6" fillId="0" borderId="0" xfId="31" applyFont="1" applyBorder="1" applyAlignment="1">
      <alignment horizontal="center"/>
    </xf>
    <xf numFmtId="0" fontId="10" fillId="0" borderId="0" xfId="31" applyFont="1" applyBorder="1" applyAlignment="1">
      <alignment horizontal="center"/>
    </xf>
    <xf numFmtId="0" fontId="6" fillId="0" borderId="0" xfId="31" applyFont="1" applyAlignment="1">
      <alignment horizontal="center"/>
    </xf>
    <xf numFmtId="0" fontId="6" fillId="0" borderId="0" xfId="29" applyFont="1" applyFill="1" applyAlignment="1">
      <alignment horizontal="center" vertical="center"/>
    </xf>
    <xf numFmtId="0" fontId="6" fillId="0" borderId="0" xfId="29" applyFont="1" applyFill="1" applyAlignment="1">
      <alignment horizontal="right" vertical="center"/>
    </xf>
    <xf numFmtId="0" fontId="6" fillId="0" borderId="6" xfId="29" applyFont="1" applyFill="1" applyBorder="1" applyAlignment="1">
      <alignment horizontal="center" vertical="center"/>
    </xf>
    <xf numFmtId="177" fontId="6" fillId="0" borderId="6" xfId="29" applyNumberFormat="1" applyFont="1" applyFill="1" applyBorder="1" applyAlignment="1">
      <alignment horizontal="center" vertical="center"/>
    </xf>
    <xf numFmtId="0" fontId="6" fillId="0" borderId="0" xfId="29" applyFont="1" applyBorder="1" applyAlignment="1">
      <alignment horizontal="center"/>
    </xf>
    <xf numFmtId="0" fontId="6" fillId="0" borderId="87" xfId="0" applyFont="1" applyFill="1" applyBorder="1" applyAlignment="1">
      <alignment horizontal="center" vertical="center"/>
    </xf>
    <xf numFmtId="0" fontId="6" fillId="0" borderId="51" xfId="0" applyFont="1" applyFill="1" applyBorder="1" applyAlignment="1">
      <alignment horizontal="center" vertical="center"/>
    </xf>
    <xf numFmtId="0" fontId="6" fillId="0" borderId="38"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1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86" xfId="0" applyFont="1" applyFill="1" applyBorder="1" applyAlignment="1">
      <alignment horizontal="center" vertical="center"/>
    </xf>
    <xf numFmtId="0" fontId="6" fillId="0" borderId="88" xfId="0" applyFont="1" applyFill="1" applyBorder="1" applyAlignment="1">
      <alignment horizontal="center" vertical="center"/>
    </xf>
    <xf numFmtId="0" fontId="6" fillId="0" borderId="43"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71" xfId="0" applyFont="1" applyFill="1" applyBorder="1" applyAlignment="1">
      <alignment horizontal="center" vertical="center"/>
    </xf>
    <xf numFmtId="0" fontId="6" fillId="0" borderId="68" xfId="0" applyFont="1" applyFill="1" applyBorder="1" applyAlignment="1">
      <alignment horizontal="center" vertical="center"/>
    </xf>
    <xf numFmtId="0" fontId="11" fillId="0" borderId="6" xfId="0" applyFont="1" applyFill="1" applyBorder="1" applyAlignment="1">
      <alignment horizontal="center" vertical="center"/>
    </xf>
    <xf numFmtId="0" fontId="9" fillId="10" borderId="38" xfId="0" applyFont="1" applyFill="1" applyBorder="1" applyAlignment="1">
      <alignment vertical="center"/>
    </xf>
    <xf numFmtId="0" fontId="22" fillId="10" borderId="38" xfId="0" applyFont="1" applyFill="1" applyBorder="1" applyAlignment="1">
      <alignment vertical="center"/>
    </xf>
    <xf numFmtId="0" fontId="15" fillId="0" borderId="6" xfId="0" applyFont="1" applyBorder="1" applyAlignment="1">
      <alignment horizontal="center" vertical="center"/>
    </xf>
    <xf numFmtId="0" fontId="15" fillId="0" borderId="6" xfId="0" applyFont="1" applyFill="1" applyBorder="1" applyAlignment="1">
      <alignment horizontal="center" vertical="center"/>
    </xf>
    <xf numFmtId="0" fontId="0" fillId="11" borderId="0" xfId="0" applyFill="1" applyBorder="1" applyAlignment="1">
      <alignment horizontal="center" vertical="center"/>
    </xf>
    <xf numFmtId="0" fontId="15" fillId="0" borderId="6" xfId="0" applyFont="1" applyFill="1" applyBorder="1" applyAlignment="1">
      <alignment horizontal="center" vertical="center" wrapText="1"/>
    </xf>
    <xf numFmtId="0" fontId="11" fillId="0" borderId="34" xfId="0" applyFont="1" applyFill="1" applyBorder="1" applyAlignment="1">
      <alignment horizontal="center" vertical="center"/>
    </xf>
    <xf numFmtId="0" fontId="15" fillId="0" borderId="6" xfId="0" applyFont="1" applyFill="1" applyBorder="1" applyAlignment="1">
      <alignment vertical="center"/>
    </xf>
    <xf numFmtId="0" fontId="15" fillId="0" borderId="34" xfId="0" applyFont="1" applyBorder="1" applyAlignment="1">
      <alignment horizontal="center" vertical="center"/>
    </xf>
    <xf numFmtId="0" fontId="0" fillId="10" borderId="34" xfId="0" applyFill="1" applyBorder="1" applyAlignment="1">
      <alignment horizontal="center" vertical="center"/>
    </xf>
    <xf numFmtId="0" fontId="0" fillId="10" borderId="55" xfId="0" applyFill="1" applyBorder="1" applyAlignment="1">
      <alignment horizontal="center" vertical="center"/>
    </xf>
    <xf numFmtId="0" fontId="15" fillId="3" borderId="6" xfId="0" applyFont="1" applyFill="1" applyBorder="1" applyAlignment="1">
      <alignment horizontal="center" vertical="center"/>
    </xf>
    <xf numFmtId="0" fontId="15" fillId="22" borderId="6" xfId="0" applyFont="1" applyFill="1" applyBorder="1" applyAlignment="1">
      <alignment horizontal="center" vertical="center"/>
    </xf>
    <xf numFmtId="0" fontId="34" fillId="0" borderId="1" xfId="0" applyFont="1" applyBorder="1" applyAlignment="1">
      <alignment horizontal="center" vertical="center"/>
    </xf>
    <xf numFmtId="0" fontId="34" fillId="0" borderId="1" xfId="0" applyFont="1" applyFill="1" applyBorder="1" applyAlignment="1">
      <alignment horizontal="center" vertical="center" wrapText="1"/>
    </xf>
    <xf numFmtId="0" fontId="34" fillId="0" borderId="1" xfId="0" applyFont="1" applyBorder="1">
      <alignment vertical="center"/>
    </xf>
    <xf numFmtId="0" fontId="34" fillId="0" borderId="1" xfId="0" applyFont="1" applyFill="1" applyBorder="1" applyAlignment="1">
      <alignment horizontal="center" vertical="center"/>
    </xf>
    <xf numFmtId="0" fontId="57" fillId="0" borderId="1" xfId="0" applyFont="1" applyFill="1" applyBorder="1" applyAlignment="1">
      <alignment horizontal="center" vertical="center" wrapText="1"/>
    </xf>
    <xf numFmtId="0" fontId="15" fillId="0" borderId="1" xfId="39" applyFont="1" applyFill="1" applyBorder="1" applyAlignment="1">
      <alignment horizontal="center" vertical="center" wrapText="1"/>
    </xf>
    <xf numFmtId="0" fontId="34" fillId="2" borderId="1" xfId="0" applyFont="1" applyFill="1" applyBorder="1" applyAlignment="1">
      <alignment horizontal="center" vertical="center"/>
    </xf>
    <xf numFmtId="0" fontId="15" fillId="0" borderId="0" xfId="0" applyFont="1">
      <alignment vertical="center"/>
    </xf>
    <xf numFmtId="0" fontId="15" fillId="0" borderId="1" xfId="0" applyFont="1" applyBorder="1" applyAlignment="1">
      <alignment horizontal="center" vertical="center"/>
    </xf>
    <xf numFmtId="0" fontId="34" fillId="0" borderId="1" xfId="0" applyFont="1" applyBorder="1" applyAlignment="1">
      <alignment horizontal="center" vertical="center" wrapText="1"/>
    </xf>
    <xf numFmtId="0" fontId="34" fillId="0" borderId="0" xfId="0" applyFont="1" applyBorder="1" applyAlignment="1">
      <alignment horizontal="center" vertical="center"/>
    </xf>
    <xf numFmtId="0" fontId="57" fillId="0" borderId="0" xfId="0" applyFont="1" applyFill="1" applyBorder="1" applyAlignment="1">
      <alignment horizontal="center" vertical="center" wrapText="1"/>
    </xf>
    <xf numFmtId="0" fontId="34" fillId="0" borderId="0" xfId="0" applyFont="1" applyBorder="1">
      <alignment vertical="center"/>
    </xf>
    <xf numFmtId="0" fontId="57" fillId="0" borderId="0" xfId="0" applyFont="1" applyFill="1" applyBorder="1" applyAlignment="1">
      <alignment horizontal="center" wrapText="1"/>
    </xf>
    <xf numFmtId="0" fontId="15" fillId="0" borderId="0" xfId="39" applyFont="1" applyFill="1" applyBorder="1" applyAlignment="1">
      <alignment horizontal="center" vertical="center" wrapText="1"/>
    </xf>
    <xf numFmtId="0" fontId="34" fillId="0" borderId="0" xfId="0" applyFont="1" applyFill="1" applyBorder="1" applyAlignment="1">
      <alignment horizontal="center" vertical="center" wrapText="1"/>
    </xf>
    <xf numFmtId="0" fontId="34" fillId="0" borderId="0" xfId="0" applyNumberFormat="1" applyFont="1" applyBorder="1" applyAlignment="1">
      <alignment horizontal="center" vertical="center" wrapText="1"/>
    </xf>
    <xf numFmtId="0" fontId="15" fillId="0" borderId="0" xfId="0" applyFont="1" applyBorder="1">
      <alignment vertical="center"/>
    </xf>
    <xf numFmtId="0" fontId="15" fillId="0" borderId="0" xfId="0" applyFont="1" applyBorder="1" applyAlignment="1">
      <alignment horizontal="center" vertical="center"/>
    </xf>
    <xf numFmtId="0" fontId="15" fillId="0" borderId="0" xfId="0" applyFont="1" applyAlignment="1">
      <alignment horizontal="center" vertical="center"/>
    </xf>
    <xf numFmtId="0" fontId="6" fillId="10" borderId="68" xfId="0" applyFont="1" applyFill="1" applyBorder="1" applyAlignment="1">
      <alignment horizontal="center" vertical="center"/>
    </xf>
    <xf numFmtId="0" fontId="6" fillId="10" borderId="6" xfId="0" applyFont="1" applyFill="1" applyBorder="1" applyAlignment="1">
      <alignment horizontal="center" vertical="center"/>
    </xf>
    <xf numFmtId="179" fontId="34" fillId="0" borderId="1" xfId="0" applyNumberFormat="1" applyFont="1" applyBorder="1" applyAlignment="1">
      <alignment horizontal="center" vertical="center"/>
    </xf>
    <xf numFmtId="0" fontId="11" fillId="0" borderId="49" xfId="0" applyFont="1" applyFill="1" applyBorder="1" applyAlignment="1">
      <alignment horizontal="center" vertical="center"/>
    </xf>
    <xf numFmtId="0" fontId="11" fillId="0" borderId="55" xfId="0" applyFont="1" applyFill="1" applyBorder="1" applyAlignment="1">
      <alignment horizontal="center" vertical="center"/>
    </xf>
    <xf numFmtId="0" fontId="0" fillId="0" borderId="0" xfId="0" applyFill="1" applyBorder="1">
      <alignment vertical="center"/>
    </xf>
    <xf numFmtId="0" fontId="36" fillId="0" borderId="1" xfId="0" applyFont="1" applyBorder="1" applyAlignment="1">
      <alignment horizontal="center" vertical="center"/>
    </xf>
    <xf numFmtId="0" fontId="11" fillId="0" borderId="1" xfId="39" applyFont="1" applyFill="1" applyBorder="1" applyAlignment="1">
      <alignment horizontal="center" vertical="center" wrapText="1"/>
    </xf>
    <xf numFmtId="0" fontId="11" fillId="0" borderId="0" xfId="0" applyFont="1">
      <alignment vertical="center"/>
    </xf>
    <xf numFmtId="0" fontId="22" fillId="10" borderId="73" xfId="0" applyFont="1" applyFill="1" applyBorder="1" applyAlignment="1">
      <alignment horizontal="center" vertical="center"/>
    </xf>
    <xf numFmtId="0" fontId="11" fillId="0" borderId="6" xfId="0" applyFont="1" applyFill="1" applyBorder="1" applyAlignment="1">
      <alignment horizontal="center" vertical="center"/>
    </xf>
    <xf numFmtId="0" fontId="11" fillId="0" borderId="34" xfId="0" applyFont="1" applyFill="1" applyBorder="1" applyAlignment="1">
      <alignment horizontal="center" vertical="center"/>
    </xf>
    <xf numFmtId="0" fontId="11" fillId="0" borderId="69" xfId="0" applyFont="1" applyFill="1" applyBorder="1" applyAlignment="1">
      <alignment horizontal="center" vertical="center"/>
    </xf>
    <xf numFmtId="0" fontId="67" fillId="0" borderId="6" xfId="0" applyFont="1" applyFill="1" applyBorder="1" applyAlignment="1">
      <alignment horizontal="center" vertical="center"/>
    </xf>
    <xf numFmtId="0" fontId="11" fillId="0" borderId="77" xfId="0" applyFont="1" applyFill="1" applyBorder="1" applyAlignment="1">
      <alignment horizontal="center" vertical="center"/>
    </xf>
    <xf numFmtId="177" fontId="11" fillId="0" borderId="6" xfId="0" applyNumberFormat="1" applyFont="1" applyBorder="1" applyAlignment="1">
      <alignment horizontal="center" vertical="center"/>
    </xf>
    <xf numFmtId="177" fontId="11" fillId="0" borderId="6" xfId="0" applyNumberFormat="1" applyFont="1" applyFill="1" applyBorder="1" applyAlignment="1">
      <alignment horizontal="center" vertical="center"/>
    </xf>
    <xf numFmtId="0" fontId="120" fillId="0" borderId="19" xfId="0" applyFont="1" applyBorder="1" applyAlignment="1">
      <alignment horizontal="left" vertical="center"/>
    </xf>
    <xf numFmtId="0" fontId="121" fillId="11" borderId="0" xfId="0" applyFont="1" applyFill="1" applyBorder="1" applyAlignment="1">
      <alignment horizontal="center" vertical="center"/>
    </xf>
    <xf numFmtId="0" fontId="121" fillId="11" borderId="0" xfId="0" applyFont="1" applyFill="1" applyBorder="1">
      <alignment vertical="center"/>
    </xf>
    <xf numFmtId="0" fontId="121" fillId="0" borderId="0" xfId="0" applyFont="1" applyFill="1" applyBorder="1">
      <alignment vertical="center"/>
    </xf>
    <xf numFmtId="0" fontId="121" fillId="0" borderId="6" xfId="0" applyFont="1" applyFill="1" applyBorder="1">
      <alignment vertical="center"/>
    </xf>
    <xf numFmtId="0" fontId="121" fillId="0" borderId="0" xfId="0" applyFont="1" applyBorder="1">
      <alignment vertical="center"/>
    </xf>
    <xf numFmtId="0" fontId="96" fillId="11" borderId="0" xfId="0" applyFont="1" applyFill="1" applyBorder="1" applyAlignment="1">
      <alignment horizontal="center" vertical="center"/>
    </xf>
    <xf numFmtId="0" fontId="121" fillId="0" borderId="71" xfId="0" applyFont="1" applyFill="1" applyBorder="1">
      <alignment vertical="center"/>
    </xf>
    <xf numFmtId="0" fontId="121" fillId="2" borderId="68" xfId="0" applyFont="1" applyFill="1" applyBorder="1">
      <alignment vertical="center"/>
    </xf>
    <xf numFmtId="0" fontId="121" fillId="11" borderId="68" xfId="0" applyFont="1" applyFill="1" applyBorder="1">
      <alignment vertical="center"/>
    </xf>
    <xf numFmtId="0" fontId="121" fillId="11" borderId="6" xfId="0" applyFont="1" applyFill="1" applyBorder="1">
      <alignment vertical="center"/>
    </xf>
    <xf numFmtId="0" fontId="121" fillId="11" borderId="71" xfId="0" applyFont="1" applyFill="1" applyBorder="1">
      <alignment vertical="center"/>
    </xf>
    <xf numFmtId="0" fontId="121" fillId="0" borderId="38" xfId="0" applyFont="1" applyFill="1" applyBorder="1">
      <alignment vertical="center"/>
    </xf>
    <xf numFmtId="0" fontId="121" fillId="0" borderId="9" xfId="0" applyFont="1" applyFill="1" applyBorder="1">
      <alignment vertical="center"/>
    </xf>
    <xf numFmtId="0" fontId="121" fillId="0" borderId="43" xfId="0" applyFont="1" applyFill="1" applyBorder="1">
      <alignment vertical="center"/>
    </xf>
    <xf numFmtId="0" fontId="34" fillId="0" borderId="1" xfId="0" applyFont="1" applyBorder="1" applyAlignment="1">
      <alignment horizontal="center" vertical="center"/>
    </xf>
    <xf numFmtId="0" fontId="54" fillId="6" borderId="4" xfId="26" applyNumberFormat="1" applyFont="1" applyFill="1" applyBorder="1" applyAlignment="1">
      <alignment vertical="center"/>
    </xf>
    <xf numFmtId="0" fontId="34" fillId="0" borderId="1" xfId="0" applyFont="1" applyBorder="1" applyAlignment="1">
      <alignment horizontal="center" vertical="center"/>
    </xf>
    <xf numFmtId="0" fontId="34" fillId="0" borderId="2" xfId="0" applyFont="1" applyFill="1" applyBorder="1" applyAlignment="1">
      <alignment horizontal="center" vertical="center" wrapText="1"/>
    </xf>
    <xf numFmtId="179" fontId="121" fillId="0" borderId="0" xfId="0" applyNumberFormat="1" applyFont="1" applyFill="1" applyBorder="1" applyAlignment="1">
      <alignment horizontal="center" vertical="center"/>
    </xf>
    <xf numFmtId="181" fontId="121" fillId="0" borderId="6" xfId="0" applyNumberFormat="1" applyFont="1" applyFill="1" applyBorder="1" applyAlignment="1">
      <alignment horizontal="center" vertical="center" wrapText="1"/>
    </xf>
    <xf numFmtId="183" fontId="121" fillId="0" borderId="6" xfId="0" applyNumberFormat="1" applyFont="1" applyFill="1" applyBorder="1" applyAlignment="1">
      <alignment horizontal="center" vertical="center" wrapText="1"/>
    </xf>
    <xf numFmtId="176" fontId="121" fillId="0" borderId="6" xfId="0" applyNumberFormat="1" applyFont="1" applyFill="1" applyBorder="1" applyAlignment="1">
      <alignment horizontal="center" vertical="center" wrapText="1"/>
    </xf>
    <xf numFmtId="179" fontId="121" fillId="2" borderId="6" xfId="0" applyNumberFormat="1" applyFont="1" applyFill="1" applyBorder="1" applyAlignment="1">
      <alignment horizontal="center" vertical="center" wrapText="1"/>
    </xf>
    <xf numFmtId="0" fontId="121" fillId="0" borderId="6" xfId="0" applyFont="1" applyFill="1" applyBorder="1" applyAlignment="1">
      <alignment horizontal="center" vertical="center" wrapText="1"/>
    </xf>
    <xf numFmtId="0" fontId="121" fillId="0" borderId="6" xfId="0" applyFont="1" applyFill="1" applyBorder="1" applyAlignment="1">
      <alignment vertical="center" wrapText="1"/>
    </xf>
    <xf numFmtId="0" fontId="119" fillId="0" borderId="0" xfId="0" applyFont="1" applyFill="1" applyBorder="1" applyAlignment="1">
      <alignment horizontal="center" vertical="center" wrapText="1"/>
    </xf>
    <xf numFmtId="0" fontId="127" fillId="11" borderId="0" xfId="0" applyFont="1" applyFill="1" applyBorder="1" applyAlignment="1">
      <alignment horizontal="center" vertical="center"/>
    </xf>
    <xf numFmtId="0" fontId="119" fillId="11" borderId="1" xfId="0" applyFont="1" applyFill="1" applyBorder="1" applyAlignment="1">
      <alignment horizontal="center" vertical="center" wrapText="1"/>
    </xf>
    <xf numFmtId="183" fontId="119" fillId="11" borderId="1" xfId="0" applyNumberFormat="1" applyFont="1" applyFill="1" applyBorder="1" applyAlignment="1">
      <alignment horizontal="center" vertical="center"/>
    </xf>
    <xf numFmtId="0" fontId="119" fillId="11" borderId="1" xfId="0" applyFont="1" applyFill="1" applyBorder="1" applyAlignment="1">
      <alignment horizontal="center" vertical="center"/>
    </xf>
    <xf numFmtId="0" fontId="127" fillId="11" borderId="0" xfId="0" applyFont="1" applyFill="1" applyBorder="1">
      <alignment vertical="center"/>
    </xf>
    <xf numFmtId="0" fontId="127" fillId="0" borderId="0" xfId="0" applyFont="1" applyBorder="1">
      <alignment vertical="center"/>
    </xf>
    <xf numFmtId="0" fontId="129" fillId="11" borderId="0" xfId="0" applyFont="1" applyFill="1" applyAlignment="1">
      <alignment horizontal="center" vertical="center"/>
    </xf>
    <xf numFmtId="0" fontId="127" fillId="11" borderId="0" xfId="0" applyFont="1" applyFill="1" applyAlignment="1">
      <alignment horizontal="center" vertical="center"/>
    </xf>
    <xf numFmtId="0" fontId="127" fillId="11" borderId="39" xfId="0" applyFont="1" applyFill="1" applyBorder="1">
      <alignment vertical="center"/>
    </xf>
    <xf numFmtId="0" fontId="127" fillId="11" borderId="49" xfId="0" applyFont="1" applyFill="1" applyBorder="1" applyAlignment="1">
      <alignment horizontal="center" vertical="center"/>
    </xf>
    <xf numFmtId="0" fontId="127" fillId="11" borderId="44" xfId="0" applyFont="1" applyFill="1" applyBorder="1" applyAlignment="1">
      <alignment horizontal="center" vertical="center"/>
    </xf>
    <xf numFmtId="0" fontId="127" fillId="11" borderId="0" xfId="0" applyFont="1" applyFill="1">
      <alignment vertical="center"/>
    </xf>
    <xf numFmtId="0" fontId="130" fillId="11" borderId="0" xfId="0" applyFont="1" applyFill="1" applyAlignment="1">
      <alignment horizontal="center" vertical="center"/>
    </xf>
    <xf numFmtId="0" fontId="120" fillId="11" borderId="0" xfId="0" applyFont="1" applyFill="1" applyAlignment="1">
      <alignment horizontal="center" vertical="center"/>
    </xf>
    <xf numFmtId="0" fontId="98" fillId="11" borderId="0" xfId="0" applyFont="1" applyFill="1" applyBorder="1">
      <alignment vertical="center"/>
    </xf>
    <xf numFmtId="180" fontId="127" fillId="0" borderId="0" xfId="0" applyNumberFormat="1" applyFont="1" applyFill="1" applyBorder="1" applyAlignment="1">
      <alignment horizontal="center" vertical="center"/>
    </xf>
    <xf numFmtId="0" fontId="131" fillId="0" borderId="0" xfId="0" applyFont="1" applyFill="1" applyBorder="1">
      <alignment vertical="center"/>
    </xf>
    <xf numFmtId="0" fontId="128" fillId="11" borderId="0" xfId="0" applyFont="1" applyFill="1" applyBorder="1">
      <alignment vertical="center"/>
    </xf>
    <xf numFmtId="0" fontId="127" fillId="0" borderId="0" xfId="0" applyFont="1" applyBorder="1" applyAlignment="1">
      <alignment horizontal="center" vertical="center"/>
    </xf>
    <xf numFmtId="0" fontId="121" fillId="0" borderId="6" xfId="0" applyFont="1" applyFill="1" applyBorder="1" applyAlignment="1">
      <alignment horizontal="center" vertical="center" wrapText="1"/>
    </xf>
    <xf numFmtId="179" fontId="121" fillId="0" borderId="6" xfId="0" applyNumberFormat="1" applyFont="1" applyFill="1" applyBorder="1" applyAlignment="1">
      <alignment horizontal="center" vertical="center" wrapText="1"/>
    </xf>
    <xf numFmtId="0" fontId="121" fillId="8" borderId="6" xfId="0" applyFont="1" applyFill="1" applyBorder="1" applyAlignment="1">
      <alignment horizontal="center" vertical="center" wrapText="1"/>
    </xf>
    <xf numFmtId="0" fontId="127" fillId="0" borderId="6" xfId="0" applyFont="1" applyBorder="1" applyAlignment="1">
      <alignment horizontal="center" vertical="center" wrapText="1"/>
    </xf>
    <xf numFmtId="0" fontId="127" fillId="0" borderId="6" xfId="0" applyFont="1" applyBorder="1" applyAlignment="1">
      <alignment vertical="center" wrapText="1"/>
    </xf>
    <xf numFmtId="0" fontId="132" fillId="0" borderId="0" xfId="26" applyFont="1" applyFill="1">
      <alignment vertical="center"/>
    </xf>
    <xf numFmtId="0" fontId="133" fillId="0" borderId="0" xfId="26" applyFont="1" applyFill="1">
      <alignment vertical="center"/>
    </xf>
    <xf numFmtId="0" fontId="133" fillId="2" borderId="0" xfId="26" applyFont="1" applyFill="1">
      <alignment vertical="center"/>
    </xf>
    <xf numFmtId="0" fontId="121" fillId="0" borderId="8" xfId="0" applyFont="1" applyFill="1" applyBorder="1" applyAlignment="1">
      <alignment horizontal="center" vertical="center" wrapText="1"/>
    </xf>
    <xf numFmtId="0" fontId="121" fillId="0" borderId="70" xfId="0" applyFont="1" applyFill="1" applyBorder="1" applyAlignment="1">
      <alignment horizontal="center" vertical="center" wrapText="1"/>
    </xf>
    <xf numFmtId="0" fontId="121" fillId="0" borderId="71" xfId="0" applyFont="1" applyFill="1" applyBorder="1" applyAlignment="1">
      <alignment horizontal="center" vertical="center" wrapText="1"/>
    </xf>
    <xf numFmtId="0" fontId="121" fillId="0" borderId="44" xfId="0" applyFont="1" applyFill="1" applyBorder="1" applyAlignment="1">
      <alignment horizontal="center" vertical="center" wrapText="1"/>
    </xf>
    <xf numFmtId="0" fontId="121" fillId="0" borderId="49" xfId="0" applyFont="1" applyFill="1" applyBorder="1" applyAlignment="1">
      <alignment horizontal="center" vertical="center" wrapText="1"/>
    </xf>
    <xf numFmtId="0" fontId="127" fillId="0" borderId="71" xfId="0" applyFont="1" applyBorder="1" applyAlignment="1">
      <alignment vertical="center" wrapText="1"/>
    </xf>
    <xf numFmtId="0" fontId="127" fillId="0" borderId="71" xfId="0" applyFont="1" applyBorder="1" applyAlignment="1">
      <alignment horizontal="center" vertical="center" wrapText="1"/>
    </xf>
    <xf numFmtId="0" fontId="121" fillId="0" borderId="68" xfId="0" applyFont="1" applyFill="1" applyBorder="1" applyAlignment="1">
      <alignment horizontal="center" vertical="center" wrapText="1"/>
    </xf>
    <xf numFmtId="179" fontId="121" fillId="0" borderId="68" xfId="0" applyNumberFormat="1" applyFont="1" applyFill="1" applyBorder="1" applyAlignment="1">
      <alignment horizontal="center" vertical="center" wrapText="1"/>
    </xf>
    <xf numFmtId="0" fontId="121" fillId="0" borderId="39" xfId="0" applyFont="1" applyFill="1" applyBorder="1" applyAlignment="1">
      <alignment horizontal="center" vertical="center" wrapText="1"/>
    </xf>
    <xf numFmtId="183" fontId="121" fillId="0" borderId="68" xfId="0" applyNumberFormat="1" applyFont="1" applyFill="1" applyBorder="1" applyAlignment="1">
      <alignment horizontal="center" vertical="center" wrapText="1"/>
    </xf>
    <xf numFmtId="0" fontId="121" fillId="0" borderId="39" xfId="0" applyFont="1" applyFill="1" applyBorder="1" applyAlignment="1">
      <alignment vertical="center" wrapText="1"/>
    </xf>
    <xf numFmtId="0" fontId="121" fillId="0" borderId="49" xfId="0" applyFont="1" applyFill="1" applyBorder="1" applyAlignment="1">
      <alignment vertical="center" wrapText="1"/>
    </xf>
    <xf numFmtId="0" fontId="122" fillId="8" borderId="49" xfId="0" applyFont="1" applyFill="1" applyBorder="1" applyAlignment="1">
      <alignment horizontal="center" vertical="center" wrapText="1"/>
    </xf>
    <xf numFmtId="0" fontId="121" fillId="8" borderId="71" xfId="0" applyFont="1" applyFill="1" applyBorder="1" applyAlignment="1">
      <alignment horizontal="center" vertical="center" wrapText="1"/>
    </xf>
    <xf numFmtId="0" fontId="121" fillId="0" borderId="44" xfId="0" applyFont="1" applyFill="1" applyBorder="1" applyAlignment="1">
      <alignment vertical="center" wrapText="1"/>
    </xf>
    <xf numFmtId="0" fontId="127" fillId="0" borderId="49" xfId="0" applyFont="1" applyBorder="1">
      <alignment vertical="center"/>
    </xf>
    <xf numFmtId="0" fontId="121" fillId="0" borderId="49" xfId="0" applyFont="1" applyBorder="1" applyAlignment="1">
      <alignment vertical="center" wrapText="1"/>
    </xf>
    <xf numFmtId="0" fontId="121" fillId="2" borderId="49" xfId="0" applyFont="1" applyFill="1" applyBorder="1" applyAlignment="1">
      <alignment horizontal="center" vertical="center" wrapText="1"/>
    </xf>
    <xf numFmtId="0" fontId="121" fillId="8" borderId="49" xfId="0" applyFont="1" applyFill="1" applyBorder="1" applyAlignment="1">
      <alignment vertical="center" wrapText="1"/>
    </xf>
    <xf numFmtId="0" fontId="121" fillId="0" borderId="44" xfId="0" applyFont="1" applyBorder="1" applyAlignment="1">
      <alignment vertical="center" wrapText="1"/>
    </xf>
    <xf numFmtId="0" fontId="121" fillId="0" borderId="87" xfId="0" applyFont="1" applyFill="1" applyBorder="1" applyAlignment="1">
      <alignment vertical="center" wrapText="1"/>
    </xf>
    <xf numFmtId="0" fontId="121" fillId="0" borderId="87" xfId="0" applyFont="1" applyFill="1" applyBorder="1" applyAlignment="1">
      <alignment horizontal="center" vertical="center" wrapText="1"/>
    </xf>
    <xf numFmtId="0" fontId="121" fillId="0" borderId="8" xfId="0" applyFont="1" applyFill="1" applyBorder="1" applyAlignment="1">
      <alignment vertical="center" wrapText="1"/>
    </xf>
    <xf numFmtId="181" fontId="121" fillId="0" borderId="68" xfId="0" applyNumberFormat="1" applyFont="1" applyFill="1" applyBorder="1" applyAlignment="1">
      <alignment horizontal="center" vertical="center" wrapText="1"/>
    </xf>
    <xf numFmtId="0" fontId="122" fillId="2" borderId="49" xfId="0" applyFont="1" applyFill="1" applyBorder="1" applyAlignment="1">
      <alignment horizontal="center" vertical="center" wrapText="1"/>
    </xf>
    <xf numFmtId="0" fontId="124" fillId="0" borderId="49" xfId="0" applyFont="1" applyFill="1" applyBorder="1" applyAlignment="1">
      <alignment horizontal="center" vertical="center" wrapText="1"/>
    </xf>
    <xf numFmtId="0" fontId="121" fillId="0" borderId="86" xfId="0" applyFont="1" applyFill="1" applyBorder="1" applyAlignment="1">
      <alignment horizontal="center" vertical="center" wrapText="1"/>
    </xf>
    <xf numFmtId="0" fontId="127" fillId="0" borderId="86" xfId="0" applyFont="1" applyBorder="1" applyAlignment="1">
      <alignment vertical="center" wrapText="1"/>
    </xf>
    <xf numFmtId="0" fontId="125" fillId="0" borderId="86" xfId="0" applyFont="1" applyFill="1" applyBorder="1" applyAlignment="1">
      <alignment horizontal="center" vertical="center" wrapText="1"/>
    </xf>
    <xf numFmtId="0" fontId="125" fillId="0" borderId="87" xfId="0" applyFont="1" applyFill="1" applyBorder="1" applyAlignment="1">
      <alignment horizontal="center" vertical="center" wrapText="1"/>
    </xf>
    <xf numFmtId="0" fontId="122" fillId="0" borderId="8" xfId="0" applyFont="1" applyFill="1" applyBorder="1" applyAlignment="1">
      <alignment horizontal="center" vertical="center" wrapText="1"/>
    </xf>
    <xf numFmtId="0" fontId="127" fillId="0" borderId="8" xfId="0" applyFont="1" applyBorder="1" applyAlignment="1">
      <alignment vertical="center" wrapText="1"/>
    </xf>
    <xf numFmtId="0" fontId="122" fillId="8" borderId="8" xfId="0" applyFont="1" applyFill="1" applyBorder="1" applyAlignment="1">
      <alignment horizontal="center" vertical="center" wrapText="1"/>
    </xf>
    <xf numFmtId="0" fontId="121" fillId="0" borderId="86" xfId="0" applyFont="1" applyFill="1" applyBorder="1" applyAlignment="1">
      <alignment vertical="center" wrapText="1"/>
    </xf>
    <xf numFmtId="0" fontId="121" fillId="0" borderId="43" xfId="0" applyFont="1" applyFill="1" applyBorder="1" applyAlignment="1">
      <alignment horizontal="center" vertical="center" wrapText="1"/>
    </xf>
    <xf numFmtId="0" fontId="125" fillId="11" borderId="0" xfId="0" applyFont="1" applyFill="1" applyBorder="1" applyAlignment="1">
      <alignment horizontal="center" vertical="center"/>
    </xf>
    <xf numFmtId="0" fontId="134" fillId="11" borderId="0" xfId="40" applyFont="1" applyFill="1" applyAlignment="1">
      <alignment horizontal="left" vertical="center" wrapText="1"/>
    </xf>
    <xf numFmtId="0" fontId="121" fillId="0" borderId="36" xfId="0" applyFont="1" applyFill="1" applyBorder="1" applyAlignment="1">
      <alignment horizontal="center" vertical="center" wrapText="1"/>
    </xf>
    <xf numFmtId="0" fontId="121" fillId="0" borderId="6" xfId="0" applyFont="1" applyFill="1" applyBorder="1" applyAlignment="1">
      <alignment horizontal="center" vertical="center" wrapText="1"/>
    </xf>
    <xf numFmtId="0" fontId="121" fillId="0" borderId="71" xfId="0" applyFont="1" applyFill="1" applyBorder="1" applyAlignment="1">
      <alignment horizontal="center" vertical="center" wrapText="1"/>
    </xf>
    <xf numFmtId="0" fontId="121" fillId="0" borderId="68" xfId="0" applyFont="1" applyFill="1" applyBorder="1" applyAlignment="1">
      <alignment horizontal="center" vertical="center" wrapText="1"/>
    </xf>
    <xf numFmtId="0" fontId="121" fillId="0" borderId="49" xfId="0" applyFont="1" applyFill="1" applyBorder="1" applyAlignment="1">
      <alignment horizontal="center" vertical="center" wrapText="1"/>
    </xf>
    <xf numFmtId="0" fontId="121" fillId="0" borderId="39" xfId="0" applyFont="1" applyFill="1" applyBorder="1" applyAlignment="1">
      <alignment horizontal="center" vertical="center" wrapText="1"/>
    </xf>
    <xf numFmtId="179" fontId="121" fillId="0" borderId="36" xfId="0" applyNumberFormat="1" applyFont="1" applyFill="1" applyBorder="1" applyAlignment="1">
      <alignment horizontal="center" vertical="center" wrapText="1"/>
    </xf>
    <xf numFmtId="0" fontId="121" fillId="0" borderId="125" xfId="0" applyFont="1" applyFill="1" applyBorder="1" applyAlignment="1">
      <alignment horizontal="center" vertical="center" wrapText="1"/>
    </xf>
    <xf numFmtId="0" fontId="127" fillId="0" borderId="71" xfId="0" applyFont="1" applyBorder="1" applyAlignment="1">
      <alignment horizontal="center" vertical="center"/>
    </xf>
    <xf numFmtId="0" fontId="127" fillId="0" borderId="71" xfId="0" applyFont="1" applyBorder="1">
      <alignment vertical="center"/>
    </xf>
    <xf numFmtId="0" fontId="127" fillId="0" borderId="44" xfId="0" applyFont="1" applyBorder="1">
      <alignment vertical="center"/>
    </xf>
    <xf numFmtId="0" fontId="30" fillId="11" borderId="0" xfId="0" applyFont="1" applyFill="1" applyBorder="1" applyAlignment="1">
      <alignment vertical="center"/>
    </xf>
    <xf numFmtId="0" fontId="30" fillId="11" borderId="0" xfId="0" applyFont="1" applyFill="1" applyBorder="1" applyAlignment="1">
      <alignment horizontal="left" vertical="center"/>
    </xf>
    <xf numFmtId="186" fontId="30" fillId="11" borderId="0" xfId="0" applyNumberFormat="1" applyFont="1" applyFill="1" applyBorder="1" applyAlignment="1">
      <alignment horizontal="left" vertical="center"/>
    </xf>
    <xf numFmtId="186" fontId="30" fillId="11" borderId="0" xfId="0" applyNumberFormat="1" applyFont="1" applyFill="1" applyBorder="1" applyAlignment="1">
      <alignment vertical="center"/>
    </xf>
    <xf numFmtId="186" fontId="30" fillId="11" borderId="0" xfId="0" applyNumberFormat="1" applyFont="1" applyFill="1" applyBorder="1" applyAlignment="1">
      <alignment horizontal="center" vertical="center"/>
    </xf>
    <xf numFmtId="0" fontId="30" fillId="11" borderId="0" xfId="0" applyFont="1" applyFill="1" applyBorder="1" applyAlignment="1">
      <alignment horizontal="center" vertical="center"/>
    </xf>
    <xf numFmtId="0" fontId="58" fillId="11" borderId="1" xfId="0" applyFont="1" applyFill="1" applyBorder="1" applyAlignment="1">
      <alignment vertical="center"/>
    </xf>
    <xf numFmtId="0" fontId="62" fillId="11" borderId="1" xfId="0" applyFont="1" applyFill="1" applyBorder="1" applyAlignment="1">
      <alignment vertical="center"/>
    </xf>
    <xf numFmtId="0" fontId="63" fillId="11" borderId="1" xfId="0" applyFont="1" applyFill="1" applyBorder="1" applyAlignment="1">
      <alignment vertical="center"/>
    </xf>
    <xf numFmtId="0" fontId="116" fillId="11" borderId="1" xfId="0" applyFont="1" applyFill="1" applyBorder="1" applyAlignment="1">
      <alignment vertical="center"/>
    </xf>
    <xf numFmtId="0" fontId="30" fillId="11" borderId="1" xfId="0" applyFont="1" applyFill="1" applyBorder="1" applyAlignment="1">
      <alignment vertical="center"/>
    </xf>
    <xf numFmtId="0" fontId="30" fillId="11" borderId="19" xfId="0" applyFont="1" applyFill="1" applyBorder="1" applyAlignment="1">
      <alignment vertical="center"/>
    </xf>
    <xf numFmtId="0" fontId="30" fillId="11" borderId="1" xfId="0" applyFont="1" applyFill="1" applyBorder="1" applyAlignment="1">
      <alignment horizontal="left" vertical="center"/>
    </xf>
    <xf numFmtId="0" fontId="30" fillId="11" borderId="1" xfId="0" applyFont="1" applyFill="1" applyBorder="1" applyAlignment="1">
      <alignment horizontal="right" vertical="center"/>
    </xf>
    <xf numFmtId="0" fontId="30" fillId="11" borderId="1" xfId="0" applyFont="1" applyFill="1" applyBorder="1" applyAlignment="1">
      <alignment horizontal="center" vertical="center"/>
    </xf>
    <xf numFmtId="186" fontId="30" fillId="11" borderId="1" xfId="0" applyNumberFormat="1" applyFont="1" applyFill="1" applyBorder="1" applyAlignment="1">
      <alignment horizontal="center" vertical="center"/>
    </xf>
    <xf numFmtId="0" fontId="121" fillId="0" borderId="6" xfId="0" applyFont="1" applyFill="1" applyBorder="1" applyAlignment="1">
      <alignment horizontal="center" vertical="center" wrapText="1"/>
    </xf>
    <xf numFmtId="0" fontId="121" fillId="0" borderId="6" xfId="0" applyFont="1" applyFill="1" applyBorder="1" applyAlignment="1">
      <alignment horizontal="center" vertical="center" wrapText="1"/>
    </xf>
    <xf numFmtId="181" fontId="121" fillId="0" borderId="6" xfId="41" applyNumberFormat="1" applyFont="1" applyFill="1" applyBorder="1" applyAlignment="1">
      <alignment horizontal="center" vertical="center" wrapText="1"/>
    </xf>
    <xf numFmtId="0" fontId="121" fillId="0" borderId="6" xfId="41" applyFont="1" applyFill="1" applyBorder="1" applyAlignment="1">
      <alignment horizontal="center" vertical="center" wrapText="1"/>
    </xf>
    <xf numFmtId="0" fontId="121" fillId="0" borderId="6" xfId="41" applyFont="1" applyFill="1" applyBorder="1" applyAlignment="1">
      <alignment vertical="center" wrapText="1"/>
    </xf>
    <xf numFmtId="0" fontId="121" fillId="8" borderId="6" xfId="0" applyFont="1" applyFill="1" applyBorder="1" applyAlignment="1">
      <alignment horizontal="center" vertical="center" wrapText="1"/>
    </xf>
    <xf numFmtId="0" fontId="36" fillId="0" borderId="64" xfId="26" applyFont="1" applyFill="1" applyBorder="1" applyAlignment="1">
      <alignment horizontal="center" vertical="center" wrapText="1"/>
    </xf>
    <xf numFmtId="0" fontId="127" fillId="11" borderId="0" xfId="0" applyFont="1" applyFill="1" applyBorder="1" applyAlignment="1" applyProtection="1">
      <alignment horizontal="center" vertical="center"/>
      <protection locked="0"/>
    </xf>
    <xf numFmtId="0" fontId="36" fillId="3" borderId="64" xfId="26" applyFont="1" applyFill="1" applyBorder="1" applyAlignment="1">
      <alignment horizontal="left" vertical="center" wrapText="1"/>
    </xf>
    <xf numFmtId="0" fontId="6" fillId="0" borderId="0" xfId="0" applyFont="1" applyFill="1" applyBorder="1" applyAlignment="1">
      <alignment horizontal="center" vertical="center"/>
    </xf>
    <xf numFmtId="0" fontId="15" fillId="0" borderId="6" xfId="0" applyFont="1" applyFill="1" applyBorder="1" applyAlignment="1">
      <alignment horizontal="center" vertical="center" wrapText="1"/>
    </xf>
    <xf numFmtId="0" fontId="0" fillId="11" borderId="0" xfId="0" applyFill="1" applyBorder="1" applyAlignment="1">
      <alignment horizontal="center" vertical="center"/>
    </xf>
    <xf numFmtId="0" fontId="15" fillId="0" borderId="6" xfId="0" applyFont="1" applyBorder="1" applyAlignment="1">
      <alignment horizontal="center" vertical="center"/>
    </xf>
    <xf numFmtId="0" fontId="15" fillId="0" borderId="77" xfId="0" applyFont="1" applyBorder="1" applyAlignment="1">
      <alignment horizontal="center" vertical="center"/>
    </xf>
    <xf numFmtId="0" fontId="15" fillId="0" borderId="34" xfId="0" applyFont="1" applyBorder="1" applyAlignment="1">
      <alignment horizontal="center" vertical="center"/>
    </xf>
    <xf numFmtId="0" fontId="0" fillId="10" borderId="121" xfId="0" applyFill="1" applyBorder="1" applyAlignment="1">
      <alignment horizontal="center" vertical="center"/>
    </xf>
    <xf numFmtId="0" fontId="9" fillId="10" borderId="6" xfId="0" applyFont="1" applyFill="1" applyBorder="1" applyAlignment="1">
      <alignment vertical="center"/>
    </xf>
    <xf numFmtId="0" fontId="9" fillId="10" borderId="6" xfId="0" applyFont="1" applyFill="1" applyBorder="1" applyAlignment="1">
      <alignment horizontal="center" vertical="center"/>
    </xf>
    <xf numFmtId="0" fontId="61" fillId="10" borderId="6" xfId="0" applyFont="1" applyFill="1" applyBorder="1" applyAlignment="1">
      <alignment horizontal="center" vertical="center"/>
    </xf>
    <xf numFmtId="0" fontId="36" fillId="3" borderId="64" xfId="26" applyFont="1" applyFill="1" applyBorder="1" applyAlignment="1">
      <alignment horizontal="left" vertical="center"/>
    </xf>
    <xf numFmtId="0" fontId="137" fillId="23" borderId="34" xfId="41" applyBorder="1" applyAlignment="1">
      <alignment horizontal="center" vertical="center"/>
    </xf>
    <xf numFmtId="0" fontId="139" fillId="23" borderId="34" xfId="41" applyFont="1" applyBorder="1" applyAlignment="1">
      <alignment horizontal="center" vertical="center"/>
    </xf>
    <xf numFmtId="0" fontId="121" fillId="0" borderId="6" xfId="41" applyFont="1" applyFill="1" applyBorder="1" applyAlignment="1">
      <alignment horizontal="center" vertical="center" wrapText="1"/>
    </xf>
    <xf numFmtId="0" fontId="36" fillId="0" borderId="64" xfId="26" applyFont="1" applyFill="1" applyBorder="1" applyAlignment="1">
      <alignment horizontal="center" vertical="center" wrapText="1"/>
    </xf>
    <xf numFmtId="0" fontId="36" fillId="0" borderId="64" xfId="26" applyFont="1" applyFill="1" applyBorder="1" applyAlignment="1">
      <alignment horizontal="left" vertical="center" wrapText="1"/>
    </xf>
    <xf numFmtId="0" fontId="121" fillId="0" borderId="68" xfId="0" applyFont="1" applyFill="1" applyBorder="1" applyAlignment="1">
      <alignment horizontal="center" vertical="center" wrapText="1"/>
    </xf>
    <xf numFmtId="0" fontId="3" fillId="0" borderId="0" xfId="42" applyFill="1">
      <alignment vertical="center"/>
    </xf>
    <xf numFmtId="0" fontId="47" fillId="6" borderId="4" xfId="42" applyFont="1" applyFill="1" applyBorder="1" applyAlignment="1">
      <alignment vertical="center"/>
    </xf>
    <xf numFmtId="0" fontId="47" fillId="6" borderId="4" xfId="42" applyNumberFormat="1" applyFont="1" applyFill="1" applyBorder="1" applyAlignment="1">
      <alignment horizontal="center" vertical="center"/>
    </xf>
    <xf numFmtId="0" fontId="36" fillId="0" borderId="64" xfId="42" applyFont="1" applyFill="1" applyBorder="1" applyAlignment="1">
      <alignment horizontal="center" vertical="center" wrapText="1"/>
    </xf>
    <xf numFmtId="0" fontId="36" fillId="2" borderId="64" xfId="42" applyFont="1" applyFill="1" applyBorder="1" applyAlignment="1">
      <alignment horizontal="center" vertical="center" wrapText="1"/>
    </xf>
    <xf numFmtId="0" fontId="36" fillId="0" borderId="0" xfId="42" applyFont="1" applyFill="1" applyBorder="1" applyAlignment="1">
      <alignment horizontal="center" vertical="center" wrapText="1"/>
    </xf>
    <xf numFmtId="0" fontId="36" fillId="0" borderId="64" xfId="42" applyFont="1" applyFill="1" applyBorder="1" applyAlignment="1">
      <alignment horizontal="left" vertical="center" wrapText="1"/>
    </xf>
    <xf numFmtId="0" fontId="36" fillId="3" borderId="64" xfId="42" applyFont="1" applyFill="1" applyBorder="1" applyAlignment="1">
      <alignment horizontal="left" vertical="center" wrapText="1"/>
    </xf>
    <xf numFmtId="0" fontId="36" fillId="0" borderId="64" xfId="42" applyFont="1" applyFill="1" applyBorder="1" applyAlignment="1">
      <alignment horizontal="left" vertical="center"/>
    </xf>
    <xf numFmtId="0" fontId="36" fillId="0" borderId="64" xfId="42" applyFont="1" applyFill="1" applyBorder="1">
      <alignment vertical="center"/>
    </xf>
    <xf numFmtId="0" fontId="58" fillId="0" borderId="64" xfId="42" applyFont="1" applyFill="1" applyBorder="1" applyAlignment="1">
      <alignment horizontal="center" vertical="center" wrapText="1"/>
    </xf>
    <xf numFmtId="0" fontId="36" fillId="0" borderId="127" xfId="42" applyFont="1" applyFill="1" applyBorder="1">
      <alignment vertical="center"/>
    </xf>
    <xf numFmtId="0" fontId="58" fillId="0" borderId="128" xfId="42" applyFont="1" applyFill="1" applyBorder="1" applyAlignment="1">
      <alignment horizontal="center" vertical="center" wrapText="1"/>
    </xf>
    <xf numFmtId="0" fontId="36" fillId="0" borderId="64" xfId="42" applyFont="1" applyFill="1" applyBorder="1" applyAlignment="1">
      <alignment vertical="center" wrapText="1"/>
    </xf>
    <xf numFmtId="0" fontId="47" fillId="0" borderId="64" xfId="42" applyFont="1" applyFill="1" applyBorder="1" applyAlignment="1">
      <alignment horizontal="left" vertical="center" wrapText="1"/>
    </xf>
    <xf numFmtId="0" fontId="47" fillId="0" borderId="64" xfId="42" applyFont="1" applyFill="1" applyBorder="1">
      <alignment vertical="center"/>
    </xf>
    <xf numFmtId="0" fontId="47" fillId="0" borderId="64" xfId="42" applyFont="1" applyFill="1" applyBorder="1" applyAlignment="1">
      <alignment horizontal="center" vertical="center" wrapText="1"/>
    </xf>
    <xf numFmtId="0" fontId="57" fillId="0" borderId="0" xfId="42" applyFont="1" applyFill="1">
      <alignment vertical="center"/>
    </xf>
    <xf numFmtId="0" fontId="36" fillId="0" borderId="0" xfId="42" applyFont="1" applyFill="1" applyBorder="1" applyAlignment="1">
      <alignment vertical="center" wrapText="1"/>
    </xf>
    <xf numFmtId="0" fontId="36" fillId="0" borderId="65" xfId="42" applyFont="1" applyFill="1" applyBorder="1" applyAlignment="1">
      <alignment horizontal="left" vertical="center" wrapText="1"/>
    </xf>
    <xf numFmtId="0" fontId="36" fillId="0" borderId="65" xfId="42" applyFont="1" applyFill="1" applyBorder="1" applyAlignment="1">
      <alignment horizontal="center" vertical="center" wrapText="1"/>
    </xf>
    <xf numFmtId="0" fontId="36" fillId="0" borderId="6" xfId="42" applyFont="1" applyFill="1" applyBorder="1" applyAlignment="1">
      <alignment horizontal="left" vertical="center" wrapText="1"/>
    </xf>
    <xf numFmtId="0" fontId="47" fillId="0" borderId="6" xfId="42" applyFont="1" applyFill="1" applyBorder="1">
      <alignment vertical="center"/>
    </xf>
    <xf numFmtId="0" fontId="36" fillId="0" borderId="6" xfId="42" applyFont="1" applyFill="1" applyBorder="1" applyAlignment="1">
      <alignment horizontal="center" vertical="center" wrapText="1"/>
    </xf>
    <xf numFmtId="0" fontId="36" fillId="0" borderId="0" xfId="42" applyFont="1" applyFill="1" applyBorder="1" applyAlignment="1">
      <alignment horizontal="left" vertical="center" wrapText="1"/>
    </xf>
    <xf numFmtId="0" fontId="3" fillId="0" borderId="6" xfId="42" applyFill="1" applyBorder="1">
      <alignment vertical="center"/>
    </xf>
    <xf numFmtId="0" fontId="3" fillId="2" borderId="6" xfId="42" applyFill="1" applyBorder="1">
      <alignment vertical="center"/>
    </xf>
    <xf numFmtId="0" fontId="3" fillId="0" borderId="6" xfId="42" applyFill="1" applyBorder="1" applyAlignment="1">
      <alignment horizontal="center" vertical="center"/>
    </xf>
    <xf numFmtId="0" fontId="3" fillId="2" borderId="6" xfId="42" applyFont="1" applyFill="1" applyBorder="1">
      <alignment vertical="center"/>
    </xf>
    <xf numFmtId="0" fontId="132" fillId="0" borderId="0" xfId="42" applyFont="1" applyFill="1">
      <alignment vertical="center"/>
    </xf>
    <xf numFmtId="0" fontId="133" fillId="0" borderId="0" xfId="42" applyFont="1" applyFill="1">
      <alignment vertical="center"/>
    </xf>
    <xf numFmtId="0" fontId="133" fillId="2" borderId="0" xfId="42" applyFont="1" applyFill="1">
      <alignment vertical="center"/>
    </xf>
    <xf numFmtId="0" fontId="3" fillId="0" borderId="0" xfId="42" applyFill="1" applyAlignment="1">
      <alignment horizontal="center" vertical="center"/>
    </xf>
    <xf numFmtId="0" fontId="3" fillId="2" borderId="0" xfId="42" applyFill="1">
      <alignment vertical="center"/>
    </xf>
    <xf numFmtId="0" fontId="2" fillId="0" borderId="0" xfId="49" applyFill="1">
      <alignment vertical="center"/>
    </xf>
    <xf numFmtId="0" fontId="47" fillId="6" borderId="4" xfId="49" applyFont="1" applyFill="1" applyBorder="1" applyAlignment="1">
      <alignment vertical="center"/>
    </xf>
    <xf numFmtId="0" fontId="47" fillId="6" borderId="4" xfId="49" applyNumberFormat="1" applyFont="1" applyFill="1" applyBorder="1" applyAlignment="1">
      <alignment horizontal="center" vertical="center"/>
    </xf>
    <xf numFmtId="0" fontId="36" fillId="0" borderId="64" xfId="49" applyFont="1" applyFill="1" applyBorder="1" applyAlignment="1">
      <alignment horizontal="center" vertical="center" wrapText="1"/>
    </xf>
    <xf numFmtId="0" fontId="36" fillId="2" borderId="64" xfId="49" applyFont="1" applyFill="1" applyBorder="1" applyAlignment="1">
      <alignment horizontal="center" vertical="center" wrapText="1"/>
    </xf>
    <xf numFmtId="0" fontId="36" fillId="0" borderId="0" xfId="49" applyFont="1" applyFill="1" applyBorder="1" applyAlignment="1">
      <alignment horizontal="center" vertical="center" wrapText="1"/>
    </xf>
    <xf numFmtId="0" fontId="36" fillId="0" borderId="64" xfId="49" applyFont="1" applyFill="1" applyBorder="1" applyAlignment="1">
      <alignment horizontal="left" vertical="center" wrapText="1"/>
    </xf>
    <xf numFmtId="0" fontId="36" fillId="3" borderId="64" xfId="49" applyFont="1" applyFill="1" applyBorder="1" applyAlignment="1">
      <alignment horizontal="left" vertical="center" wrapText="1"/>
    </xf>
    <xf numFmtId="0" fontId="36" fillId="0" borderId="64" xfId="49" applyFont="1" applyFill="1" applyBorder="1" applyAlignment="1">
      <alignment horizontal="left" vertical="center"/>
    </xf>
    <xf numFmtId="0" fontId="36" fillId="0" borderId="64" xfId="49" applyFont="1" applyFill="1" applyBorder="1">
      <alignment vertical="center"/>
    </xf>
    <xf numFmtId="0" fontId="58" fillId="0" borderId="64" xfId="49" applyFont="1" applyFill="1" applyBorder="1" applyAlignment="1">
      <alignment horizontal="center" vertical="center" wrapText="1"/>
    </xf>
    <xf numFmtId="0" fontId="36" fillId="0" borderId="127" xfId="49" applyFont="1" applyFill="1" applyBorder="1">
      <alignment vertical="center"/>
    </xf>
    <xf numFmtId="0" fontId="58" fillId="0" borderId="128" xfId="49" applyFont="1" applyFill="1" applyBorder="1" applyAlignment="1">
      <alignment horizontal="center" vertical="center" wrapText="1"/>
    </xf>
    <xf numFmtId="0" fontId="36" fillId="0" borderId="64" xfId="49" applyFont="1" applyFill="1" applyBorder="1" applyAlignment="1">
      <alignment vertical="center" wrapText="1"/>
    </xf>
    <xf numFmtId="0" fontId="47" fillId="0" borderId="64" xfId="49" applyFont="1" applyFill="1" applyBorder="1" applyAlignment="1">
      <alignment horizontal="left" vertical="center" wrapText="1"/>
    </xf>
    <xf numFmtId="0" fontId="47" fillId="0" borderId="64" xfId="49" applyFont="1" applyFill="1" applyBorder="1">
      <alignment vertical="center"/>
    </xf>
    <xf numFmtId="0" fontId="47" fillId="0" borderId="64" xfId="49" applyFont="1" applyFill="1" applyBorder="1" applyAlignment="1">
      <alignment horizontal="center" vertical="center" wrapText="1"/>
    </xf>
    <xf numFmtId="0" fontId="57" fillId="0" borderId="0" xfId="49" applyFont="1" applyFill="1">
      <alignment vertical="center"/>
    </xf>
    <xf numFmtId="0" fontId="36" fillId="0" borderId="0" xfId="49" applyFont="1" applyFill="1" applyBorder="1" applyAlignment="1">
      <alignment vertical="center" wrapText="1"/>
    </xf>
    <xf numFmtId="0" fontId="36" fillId="0" borderId="65" xfId="49" applyFont="1" applyFill="1" applyBorder="1" applyAlignment="1">
      <alignment horizontal="left" vertical="center" wrapText="1"/>
    </xf>
    <xf numFmtId="0" fontId="36" fillId="0" borderId="65" xfId="49" applyFont="1" applyFill="1" applyBorder="1" applyAlignment="1">
      <alignment horizontal="center" vertical="center" wrapText="1"/>
    </xf>
    <xf numFmtId="0" fontId="36" fillId="0" borderId="6" xfId="49" applyFont="1" applyFill="1" applyBorder="1" applyAlignment="1">
      <alignment horizontal="left" vertical="center" wrapText="1"/>
    </xf>
    <xf numFmtId="0" fontId="47" fillId="0" borderId="6" xfId="49" applyFont="1" applyFill="1" applyBorder="1">
      <alignment vertical="center"/>
    </xf>
    <xf numFmtId="0" fontId="36" fillId="0" borderId="6" xfId="49" applyFont="1" applyFill="1" applyBorder="1" applyAlignment="1">
      <alignment horizontal="center" vertical="center" wrapText="1"/>
    </xf>
    <xf numFmtId="0" fontId="36" fillId="0" borderId="0" xfId="49" applyFont="1" applyFill="1" applyBorder="1" applyAlignment="1">
      <alignment horizontal="left" vertical="center" wrapText="1"/>
    </xf>
    <xf numFmtId="0" fontId="2" fillId="0" borderId="6" xfId="49" applyFill="1" applyBorder="1">
      <alignment vertical="center"/>
    </xf>
    <xf numFmtId="0" fontId="2" fillId="2" borderId="6" xfId="49" applyFill="1" applyBorder="1">
      <alignment vertical="center"/>
    </xf>
    <xf numFmtId="0" fontId="2" fillId="0" borderId="6" xfId="49" applyFill="1" applyBorder="1" applyAlignment="1">
      <alignment horizontal="center" vertical="center"/>
    </xf>
    <xf numFmtId="0" fontId="2" fillId="2" borderId="6" xfId="49" applyFont="1" applyFill="1" applyBorder="1">
      <alignment vertical="center"/>
    </xf>
    <xf numFmtId="0" fontId="132" fillId="0" borderId="0" xfId="49" applyFont="1" applyFill="1">
      <alignment vertical="center"/>
    </xf>
    <xf numFmtId="0" fontId="133" fillId="0" borderId="0" xfId="49" applyFont="1" applyFill="1">
      <alignment vertical="center"/>
    </xf>
    <xf numFmtId="0" fontId="133" fillId="2" borderId="0" xfId="49" applyFont="1" applyFill="1">
      <alignment vertical="center"/>
    </xf>
    <xf numFmtId="0" fontId="2" fillId="0" borderId="0" xfId="49" applyFill="1" applyAlignment="1">
      <alignment horizontal="center" vertical="center"/>
    </xf>
    <xf numFmtId="0" fontId="2" fillId="2" borderId="0" xfId="49" applyFill="1">
      <alignment vertical="center"/>
    </xf>
    <xf numFmtId="0" fontId="118" fillId="0" borderId="1" xfId="0" applyFont="1" applyBorder="1" applyAlignment="1">
      <alignment horizontal="center" vertical="center"/>
    </xf>
    <xf numFmtId="0" fontId="34" fillId="0" borderId="1" xfId="0" applyFont="1" applyBorder="1" applyAlignment="1">
      <alignment horizontal="center" vertical="center"/>
    </xf>
    <xf numFmtId="182" fontId="36" fillId="0" borderId="1" xfId="0" applyNumberFormat="1" applyFont="1" applyBorder="1" applyAlignment="1">
      <alignment horizontal="center" vertical="center"/>
    </xf>
    <xf numFmtId="0" fontId="34" fillId="2" borderId="1" xfId="0" applyFont="1" applyFill="1" applyBorder="1" applyAlignment="1">
      <alignment horizontal="center" vertical="center" wrapText="1"/>
    </xf>
    <xf numFmtId="0" fontId="34" fillId="0" borderId="1" xfId="0" applyFont="1" applyFill="1" applyBorder="1" applyAlignment="1">
      <alignment horizontal="center" vertical="center" wrapText="1"/>
    </xf>
    <xf numFmtId="0" fontId="34" fillId="0" borderId="1" xfId="0" applyFont="1" applyBorder="1" applyAlignment="1">
      <alignment horizontal="center" vertical="center" wrapText="1"/>
    </xf>
    <xf numFmtId="0" fontId="36" fillId="0" borderId="16" xfId="0" applyFont="1" applyBorder="1" applyAlignment="1">
      <alignment horizontal="center" vertical="center" wrapText="1"/>
    </xf>
    <xf numFmtId="0" fontId="36" fillId="0" borderId="21" xfId="0" applyFont="1" applyBorder="1" applyAlignment="1">
      <alignment horizontal="center" vertical="center" wrapText="1"/>
    </xf>
    <xf numFmtId="0" fontId="63" fillId="11" borderId="3" xfId="0" applyFont="1" applyFill="1" applyBorder="1" applyAlignment="1">
      <alignment horizontal="center" vertical="center"/>
    </xf>
    <xf numFmtId="0" fontId="63" fillId="11" borderId="19" xfId="0" applyFont="1" applyFill="1" applyBorder="1" applyAlignment="1">
      <alignment horizontal="center" vertical="center"/>
    </xf>
    <xf numFmtId="0" fontId="62" fillId="11" borderId="3" xfId="0" applyFont="1" applyFill="1" applyBorder="1" applyAlignment="1">
      <alignment horizontal="center" vertical="center"/>
    </xf>
    <xf numFmtId="0" fontId="62" fillId="11" borderId="19" xfId="0" applyFont="1" applyFill="1" applyBorder="1" applyAlignment="1">
      <alignment horizontal="center" vertical="center"/>
    </xf>
    <xf numFmtId="0" fontId="15" fillId="0" borderId="6" xfId="0" applyFont="1" applyFill="1" applyBorder="1" applyAlignment="1">
      <alignment horizontal="center" vertical="center"/>
    </xf>
    <xf numFmtId="0" fontId="11" fillId="0" borderId="6" xfId="0" applyFont="1" applyBorder="1" applyAlignment="1">
      <alignment horizontal="center" vertical="center"/>
    </xf>
    <xf numFmtId="0" fontId="11" fillId="0" borderId="121" xfId="0" applyFont="1" applyBorder="1" applyAlignment="1">
      <alignment horizontal="center" vertical="center"/>
    </xf>
    <xf numFmtId="0" fontId="11" fillId="0" borderId="10" xfId="0" applyFont="1" applyBorder="1" applyAlignment="1">
      <alignment horizontal="center" vertical="center"/>
    </xf>
    <xf numFmtId="0" fontId="22" fillId="0" borderId="6" xfId="0" applyFont="1" applyBorder="1" applyAlignment="1">
      <alignment horizontal="center" vertical="center"/>
    </xf>
    <xf numFmtId="0" fontId="6" fillId="0" borderId="87" xfId="0" applyFont="1" applyFill="1" applyBorder="1" applyAlignment="1">
      <alignment horizontal="center" vertical="center"/>
    </xf>
    <xf numFmtId="0" fontId="6" fillId="0" borderId="51" xfId="0" applyFont="1" applyFill="1" applyBorder="1" applyAlignment="1">
      <alignment horizontal="center" vertical="center"/>
    </xf>
    <xf numFmtId="0" fontId="6" fillId="0" borderId="38"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18" xfId="0" applyFont="1" applyFill="1" applyBorder="1" applyAlignment="1">
      <alignment horizontal="center" vertical="center"/>
    </xf>
    <xf numFmtId="0" fontId="6" fillId="0" borderId="9" xfId="0" applyFont="1" applyFill="1" applyBorder="1" applyAlignment="1">
      <alignment horizontal="center" vertical="center"/>
    </xf>
    <xf numFmtId="0" fontId="0" fillId="0" borderId="86" xfId="0" applyFill="1" applyBorder="1" applyAlignment="1">
      <alignment horizontal="center" vertical="center"/>
    </xf>
    <xf numFmtId="0" fontId="0" fillId="0" borderId="88" xfId="0" applyFill="1" applyBorder="1" applyAlignment="1">
      <alignment horizontal="center" vertical="center"/>
    </xf>
    <xf numFmtId="0" fontId="0" fillId="0" borderId="92" xfId="0" applyFill="1" applyBorder="1" applyAlignment="1">
      <alignment horizontal="center" vertical="center"/>
    </xf>
    <xf numFmtId="0" fontId="0" fillId="0" borderId="87" xfId="0" applyFill="1" applyBorder="1" applyAlignment="1">
      <alignment horizontal="center" vertical="center"/>
    </xf>
    <xf numFmtId="0" fontId="0" fillId="0" borderId="51" xfId="0" applyFill="1" applyBorder="1" applyAlignment="1">
      <alignment horizontal="center" vertical="center"/>
    </xf>
    <xf numFmtId="0" fontId="0" fillId="0" borderId="91" xfId="0" applyFill="1" applyBorder="1" applyAlignment="1">
      <alignment horizontal="center" vertical="center"/>
    </xf>
    <xf numFmtId="0" fontId="0" fillId="0" borderId="8" xfId="0" applyFill="1" applyBorder="1" applyAlignment="1">
      <alignment horizontal="center" vertical="center"/>
    </xf>
    <xf numFmtId="0" fontId="0" fillId="0" borderId="18" xfId="0" applyFill="1" applyBorder="1" applyAlignment="1">
      <alignment horizontal="center" vertical="center"/>
    </xf>
    <xf numFmtId="0" fontId="0" fillId="0" borderId="90" xfId="0" applyFill="1" applyBorder="1" applyAlignment="1">
      <alignment horizontal="center" vertical="center"/>
    </xf>
    <xf numFmtId="0" fontId="9" fillId="0" borderId="96" xfId="0" applyFont="1" applyFill="1" applyBorder="1" applyAlignment="1">
      <alignment horizontal="center" vertical="center"/>
    </xf>
    <xf numFmtId="0" fontId="9" fillId="0" borderId="98" xfId="0" applyFont="1" applyFill="1" applyBorder="1" applyAlignment="1">
      <alignment horizontal="center" vertical="center"/>
    </xf>
    <xf numFmtId="0" fontId="9" fillId="0" borderId="97" xfId="0" applyFont="1" applyFill="1" applyBorder="1" applyAlignment="1">
      <alignment horizontal="center" vertical="center"/>
    </xf>
    <xf numFmtId="0" fontId="6" fillId="0" borderId="48" xfId="0" applyFont="1" applyFill="1" applyBorder="1" applyAlignment="1">
      <alignment horizontal="center" vertical="center"/>
    </xf>
    <xf numFmtId="0" fontId="6" fillId="0" borderId="82" xfId="0" applyFont="1" applyFill="1" applyBorder="1" applyAlignment="1">
      <alignment horizontal="center" vertical="center"/>
    </xf>
    <xf numFmtId="0" fontId="9" fillId="0" borderId="16" xfId="0" applyNumberFormat="1" applyFont="1" applyBorder="1" applyAlignment="1">
      <alignment horizontal="center" vertical="center"/>
    </xf>
    <xf numFmtId="0" fontId="9" fillId="0" borderId="16" xfId="0" applyFont="1" applyBorder="1" applyAlignment="1">
      <alignment horizontal="center" vertical="center"/>
    </xf>
    <xf numFmtId="185" fontId="0" fillId="2" borderId="87" xfId="0" applyNumberFormat="1" applyFill="1" applyBorder="1" applyAlignment="1">
      <alignment horizontal="center" vertical="center"/>
    </xf>
    <xf numFmtId="185" fontId="0" fillId="2" borderId="51" xfId="0" applyNumberFormat="1" applyFill="1" applyBorder="1" applyAlignment="1">
      <alignment horizontal="center" vertical="center"/>
    </xf>
    <xf numFmtId="185" fontId="0" fillId="2" borderId="91" xfId="0" applyNumberFormat="1" applyFill="1" applyBorder="1" applyAlignment="1">
      <alignment horizontal="center" vertical="center"/>
    </xf>
    <xf numFmtId="0" fontId="20" fillId="0" borderId="0" xfId="0" applyFont="1" applyBorder="1" applyAlignment="1">
      <alignment horizontal="center" vertical="center"/>
    </xf>
    <xf numFmtId="0" fontId="22" fillId="10" borderId="72" xfId="0" applyFont="1" applyFill="1" applyBorder="1" applyAlignment="1">
      <alignment horizontal="center" vertical="center"/>
    </xf>
    <xf numFmtId="0" fontId="22" fillId="10" borderId="73" xfId="0" applyFont="1" applyFill="1" applyBorder="1" applyAlignment="1">
      <alignment horizontal="center" vertical="center"/>
    </xf>
    <xf numFmtId="0" fontId="22" fillId="10" borderId="74" xfId="0" applyFont="1" applyFill="1" applyBorder="1" applyAlignment="1">
      <alignment horizontal="center" vertical="center"/>
    </xf>
    <xf numFmtId="0" fontId="22" fillId="10" borderId="76" xfId="0" applyFont="1" applyFill="1" applyBorder="1" applyAlignment="1">
      <alignment horizontal="center" vertical="center"/>
    </xf>
    <xf numFmtId="0" fontId="9" fillId="10" borderId="50" xfId="0" applyFont="1" applyFill="1" applyBorder="1" applyAlignment="1">
      <alignment horizontal="center" vertical="center"/>
    </xf>
    <xf numFmtId="0" fontId="9" fillId="10" borderId="68" xfId="0" applyFont="1" applyFill="1" applyBorder="1" applyAlignment="1">
      <alignment horizontal="center" vertical="center"/>
    </xf>
    <xf numFmtId="0" fontId="15" fillId="0" borderId="69" xfId="0" applyFont="1" applyBorder="1" applyAlignment="1">
      <alignment horizontal="center" vertical="center"/>
    </xf>
    <xf numFmtId="0" fontId="15" fillId="0" borderId="6" xfId="0" applyFont="1" applyBorder="1" applyAlignment="1">
      <alignment horizontal="center" vertical="center"/>
    </xf>
    <xf numFmtId="0" fontId="11" fillId="0" borderId="0" xfId="0" applyFont="1" applyBorder="1" applyAlignment="1">
      <alignment horizontal="center" vertical="center"/>
    </xf>
    <xf numFmtId="0" fontId="6" fillId="8" borderId="87" xfId="0" applyFont="1" applyFill="1" applyBorder="1" applyAlignment="1">
      <alignment horizontal="center" vertical="center"/>
    </xf>
    <xf numFmtId="0" fontId="0" fillId="0" borderId="38" xfId="0" applyBorder="1">
      <alignment vertical="center"/>
    </xf>
    <xf numFmtId="0" fontId="9" fillId="0" borderId="1" xfId="0" applyFont="1" applyBorder="1" applyAlignment="1">
      <alignment horizontal="center" vertical="center"/>
    </xf>
    <xf numFmtId="0" fontId="9" fillId="0" borderId="1" xfId="0" applyNumberFormat="1" applyFont="1" applyBorder="1" applyAlignment="1">
      <alignment horizontal="center" vertical="center"/>
    </xf>
    <xf numFmtId="0" fontId="15" fillId="0" borderId="77" xfId="0" applyFont="1" applyBorder="1" applyAlignment="1">
      <alignment horizontal="center" vertical="center"/>
    </xf>
    <xf numFmtId="0" fontId="15" fillId="0" borderId="34" xfId="0" applyFont="1" applyBorder="1" applyAlignment="1">
      <alignment horizontal="center" vertical="center"/>
    </xf>
    <xf numFmtId="0" fontId="65" fillId="2" borderId="75" xfId="0" applyFont="1" applyFill="1" applyBorder="1" applyAlignment="1">
      <alignment horizontal="center" vertical="center"/>
    </xf>
    <xf numFmtId="0" fontId="9" fillId="2" borderId="73" xfId="0" applyFont="1" applyFill="1" applyBorder="1" applyAlignment="1">
      <alignment horizontal="center" vertical="center"/>
    </xf>
    <xf numFmtId="0" fontId="9" fillId="2" borderId="76" xfId="0" applyFont="1" applyFill="1" applyBorder="1" applyAlignment="1">
      <alignment horizontal="center" vertical="center"/>
    </xf>
    <xf numFmtId="180" fontId="30" fillId="0" borderId="0" xfId="0" applyNumberFormat="1" applyFont="1" applyBorder="1" applyAlignment="1">
      <alignment horizontal="center" vertical="center"/>
    </xf>
    <xf numFmtId="0" fontId="30" fillId="0" borderId="0" xfId="0" applyFont="1" applyBorder="1" applyAlignment="1">
      <alignment horizontal="center" vertical="center"/>
    </xf>
    <xf numFmtId="0" fontId="139" fillId="23" borderId="8" xfId="41" applyFont="1" applyBorder="1" applyAlignment="1">
      <alignment horizontal="center" vertical="center"/>
    </xf>
    <xf numFmtId="0" fontId="139" fillId="23" borderId="9" xfId="41" applyFont="1" applyBorder="1" applyAlignment="1">
      <alignment horizontal="center" vertical="center"/>
    </xf>
    <xf numFmtId="0" fontId="137" fillId="23" borderId="8" xfId="41" applyBorder="1" applyAlignment="1">
      <alignment horizontal="center" vertical="center"/>
    </xf>
    <xf numFmtId="180" fontId="6" fillId="9" borderId="1" xfId="0" applyNumberFormat="1" applyFont="1" applyFill="1" applyBorder="1" applyAlignment="1">
      <alignment horizontal="center" vertical="center"/>
    </xf>
    <xf numFmtId="180" fontId="0" fillId="9" borderId="1" xfId="0" applyNumberFormat="1" applyFill="1" applyBorder="1" applyAlignment="1">
      <alignment horizontal="center" vertical="center"/>
    </xf>
    <xf numFmtId="0" fontId="6" fillId="9" borderId="1" xfId="0" applyFont="1" applyFill="1" applyBorder="1" applyAlignment="1">
      <alignment horizontal="center" vertical="center"/>
    </xf>
    <xf numFmtId="0" fontId="0" fillId="9" borderId="1" xfId="0" applyFill="1" applyBorder="1" applyAlignment="1">
      <alignment horizontal="center" vertical="center"/>
    </xf>
    <xf numFmtId="0" fontId="15" fillId="0" borderId="8" xfId="0" applyFont="1" applyFill="1" applyBorder="1" applyAlignment="1">
      <alignment horizontal="center" vertical="center"/>
    </xf>
    <xf numFmtId="0" fontId="0" fillId="0" borderId="18" xfId="0" applyFill="1" applyBorder="1">
      <alignment vertical="center"/>
    </xf>
    <xf numFmtId="0" fontId="0" fillId="0" borderId="9" xfId="0" applyFill="1" applyBorder="1">
      <alignment vertical="center"/>
    </xf>
    <xf numFmtId="14" fontId="0" fillId="9" borderId="1" xfId="0" applyNumberFormat="1" applyFill="1" applyBorder="1" applyAlignment="1">
      <alignment horizontal="center" vertical="center"/>
    </xf>
    <xf numFmtId="0" fontId="22" fillId="10" borderId="75" xfId="0" applyFont="1" applyFill="1" applyBorder="1" applyAlignment="1">
      <alignment horizontal="center" vertical="center"/>
    </xf>
    <xf numFmtId="0" fontId="8" fillId="9" borderId="1" xfId="0" applyFont="1" applyFill="1" applyBorder="1" applyAlignment="1">
      <alignment horizontal="center" vertical="center" wrapText="1"/>
    </xf>
    <xf numFmtId="0" fontId="8" fillId="9" borderId="1" xfId="0" applyFont="1" applyFill="1" applyBorder="1" applyAlignment="1">
      <alignment horizontal="center" vertical="center"/>
    </xf>
    <xf numFmtId="0" fontId="22" fillId="10" borderId="122" xfId="0" applyFont="1" applyFill="1" applyBorder="1" applyAlignment="1">
      <alignment horizontal="center" vertical="center"/>
    </xf>
    <xf numFmtId="0" fontId="22" fillId="10" borderId="52" xfId="0" applyFont="1" applyFill="1" applyBorder="1" applyAlignment="1">
      <alignment horizontal="center" vertical="center"/>
    </xf>
    <xf numFmtId="0" fontId="11" fillId="0" borderId="83" xfId="0" applyFont="1" applyBorder="1" applyAlignment="1">
      <alignment horizontal="center" vertical="center"/>
    </xf>
    <xf numFmtId="0" fontId="11" fillId="0" borderId="84" xfId="0" applyFont="1" applyBorder="1" applyAlignment="1">
      <alignment horizontal="center" vertical="center"/>
    </xf>
    <xf numFmtId="0" fontId="15" fillId="0" borderId="18" xfId="0" applyFont="1" applyFill="1" applyBorder="1" applyAlignment="1">
      <alignment horizontal="center" vertical="center"/>
    </xf>
    <xf numFmtId="0" fontId="15" fillId="0" borderId="9" xfId="0" applyFont="1" applyFill="1" applyBorder="1" applyAlignment="1">
      <alignment horizontal="center" vertical="center"/>
    </xf>
    <xf numFmtId="0" fontId="0" fillId="11" borderId="0" xfId="0" applyFill="1" applyBorder="1" applyAlignment="1">
      <alignment horizontal="center" vertical="center"/>
    </xf>
    <xf numFmtId="0" fontId="61" fillId="0" borderId="1" xfId="0" applyFont="1" applyBorder="1" applyAlignment="1">
      <alignment horizontal="center" vertical="center"/>
    </xf>
    <xf numFmtId="14" fontId="6" fillId="0" borderId="68" xfId="0" applyNumberFormat="1" applyFont="1" applyFill="1" applyBorder="1" applyAlignment="1">
      <alignment horizontal="center" vertical="center"/>
    </xf>
    <xf numFmtId="14" fontId="6" fillId="0" borderId="6" xfId="0" applyNumberFormat="1" applyFont="1" applyFill="1" applyBorder="1" applyAlignment="1">
      <alignment horizontal="center" vertical="center"/>
    </xf>
    <xf numFmtId="14" fontId="6" fillId="0" borderId="71" xfId="0" applyNumberFormat="1" applyFont="1" applyFill="1" applyBorder="1" applyAlignment="1">
      <alignment horizontal="center" vertical="center"/>
    </xf>
    <xf numFmtId="0" fontId="61" fillId="0" borderId="96" xfId="0" applyFont="1" applyFill="1" applyBorder="1" applyAlignment="1">
      <alignment horizontal="center" vertical="center"/>
    </xf>
    <xf numFmtId="0" fontId="61" fillId="0" borderId="97" xfId="0" applyFont="1" applyFill="1" applyBorder="1" applyAlignment="1">
      <alignment horizontal="center" vertical="center"/>
    </xf>
    <xf numFmtId="180" fontId="9" fillId="0" borderId="16" xfId="0" applyNumberFormat="1" applyFont="1" applyBorder="1" applyAlignment="1">
      <alignment horizontal="center" vertical="center"/>
    </xf>
    <xf numFmtId="14" fontId="9" fillId="0" borderId="16" xfId="0" applyNumberFormat="1" applyFont="1" applyBorder="1" applyAlignment="1">
      <alignment horizontal="center" vertical="center"/>
    </xf>
    <xf numFmtId="0" fontId="9" fillId="0" borderId="48" xfId="0" applyFont="1" applyFill="1" applyBorder="1" applyAlignment="1">
      <alignment horizontal="center" vertical="center"/>
    </xf>
    <xf numFmtId="0" fontId="0" fillId="0" borderId="51" xfId="0" applyBorder="1">
      <alignment vertical="center"/>
    </xf>
    <xf numFmtId="0" fontId="0" fillId="0" borderId="18" xfId="0" applyBorder="1">
      <alignment vertical="center"/>
    </xf>
    <xf numFmtId="0" fontId="0" fillId="0" borderId="9" xfId="0" applyBorder="1">
      <alignment vertical="center"/>
    </xf>
    <xf numFmtId="14" fontId="9" fillId="0" borderId="1" xfId="0" applyNumberFormat="1" applyFont="1" applyBorder="1" applyAlignment="1">
      <alignment horizontal="center" vertical="center"/>
    </xf>
    <xf numFmtId="0" fontId="13" fillId="0" borderId="0" xfId="0" applyFont="1" applyBorder="1" applyAlignment="1">
      <alignment horizontal="center" vertical="center"/>
    </xf>
    <xf numFmtId="0" fontId="6" fillId="8" borderId="8" xfId="0" applyFont="1" applyFill="1" applyBorder="1" applyAlignment="1">
      <alignment horizontal="center" vertical="center"/>
    </xf>
    <xf numFmtId="0" fontId="6" fillId="8" borderId="9" xfId="0" applyFont="1" applyFill="1" applyBorder="1" applyAlignment="1">
      <alignment horizontal="center" vertical="center"/>
    </xf>
    <xf numFmtId="0" fontId="6" fillId="0" borderId="68" xfId="0" applyFont="1" applyFill="1" applyBorder="1" applyAlignment="1">
      <alignment horizontal="center" vertical="center"/>
    </xf>
    <xf numFmtId="0" fontId="6" fillId="0" borderId="78"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0" fillId="0" borderId="0" xfId="0" applyBorder="1" applyAlignment="1">
      <alignment horizontal="center" vertical="center"/>
    </xf>
    <xf numFmtId="0" fontId="22" fillId="0" borderId="96" xfId="0" applyFont="1" applyFill="1" applyBorder="1" applyAlignment="1">
      <alignment horizontal="center" vertical="center"/>
    </xf>
    <xf numFmtId="0" fontId="22" fillId="0" borderId="97" xfId="0" applyFont="1" applyFill="1" applyBorder="1" applyAlignment="1">
      <alignment horizontal="center" vertical="center"/>
    </xf>
    <xf numFmtId="0" fontId="14" fillId="0" borderId="0" xfId="0" applyFont="1" applyBorder="1" applyAlignment="1">
      <alignment horizontal="center" vertical="center"/>
    </xf>
    <xf numFmtId="0" fontId="15" fillId="0" borderId="68" xfId="0" applyFont="1" applyFill="1" applyBorder="1" applyAlignment="1">
      <alignment horizontal="center" vertical="center" wrapText="1"/>
    </xf>
    <xf numFmtId="0" fontId="15" fillId="0" borderId="6" xfId="0" applyFont="1" applyFill="1" applyBorder="1" applyAlignment="1">
      <alignment horizontal="center" vertical="center" wrapText="1"/>
    </xf>
    <xf numFmtId="0" fontId="15" fillId="0" borderId="71" xfId="0" applyFont="1" applyFill="1" applyBorder="1" applyAlignment="1">
      <alignment horizontal="center" vertical="center" wrapText="1"/>
    </xf>
    <xf numFmtId="0" fontId="6" fillId="0" borderId="68"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14" fontId="6" fillId="0" borderId="68" xfId="0" applyNumberFormat="1" applyFont="1" applyFill="1" applyBorder="1" applyAlignment="1">
      <alignment horizontal="center" vertical="center" wrapText="1"/>
    </xf>
    <xf numFmtId="14" fontId="6" fillId="0" borderId="6" xfId="0" applyNumberFormat="1" applyFont="1" applyFill="1" applyBorder="1" applyAlignment="1">
      <alignment horizontal="center" vertical="center" wrapText="1"/>
    </xf>
    <xf numFmtId="14" fontId="6" fillId="0" borderId="71" xfId="0" applyNumberFormat="1" applyFont="1" applyFill="1" applyBorder="1" applyAlignment="1">
      <alignment horizontal="center" vertical="center" wrapText="1"/>
    </xf>
    <xf numFmtId="0" fontId="6" fillId="0" borderId="86" xfId="0" applyFont="1" applyFill="1" applyBorder="1" applyAlignment="1">
      <alignment horizontal="center" vertical="center"/>
    </xf>
    <xf numFmtId="0" fontId="6" fillId="0" borderId="88" xfId="0" applyFont="1" applyFill="1" applyBorder="1" applyAlignment="1">
      <alignment horizontal="center" vertical="center"/>
    </xf>
    <xf numFmtId="0" fontId="6" fillId="0" borderId="43" xfId="0" applyFont="1" applyFill="1" applyBorder="1" applyAlignment="1">
      <alignment horizontal="center" vertical="center"/>
    </xf>
    <xf numFmtId="185" fontId="0" fillId="0" borderId="83" xfId="0" applyNumberFormat="1" applyFill="1" applyBorder="1" applyAlignment="1">
      <alignment horizontal="center" vertical="center"/>
    </xf>
    <xf numFmtId="185" fontId="0" fillId="0" borderId="85" xfId="0" applyNumberFormat="1" applyFill="1" applyBorder="1" applyAlignment="1">
      <alignment horizontal="center" vertical="center"/>
    </xf>
    <xf numFmtId="185" fontId="0" fillId="0" borderId="101" xfId="0" applyNumberFormat="1" applyFill="1" applyBorder="1" applyAlignment="1">
      <alignment horizontal="center" vertical="center"/>
    </xf>
    <xf numFmtId="14" fontId="11" fillId="0" borderId="68" xfId="0" applyNumberFormat="1" applyFont="1" applyFill="1" applyBorder="1" applyAlignment="1">
      <alignment horizontal="center" vertical="center" wrapText="1"/>
    </xf>
    <xf numFmtId="14" fontId="11" fillId="0" borderId="6" xfId="0" applyNumberFormat="1" applyFont="1" applyFill="1" applyBorder="1" applyAlignment="1">
      <alignment horizontal="center" vertical="center" wrapText="1"/>
    </xf>
    <xf numFmtId="14" fontId="11" fillId="0" borderId="71" xfId="0" applyNumberFormat="1" applyFont="1" applyFill="1" applyBorder="1" applyAlignment="1">
      <alignment horizontal="center" vertical="center" wrapText="1"/>
    </xf>
    <xf numFmtId="0" fontId="6" fillId="8" borderId="86" xfId="0" applyFont="1" applyFill="1" applyBorder="1" applyAlignment="1">
      <alignment horizontal="center" vertical="center"/>
    </xf>
    <xf numFmtId="0" fontId="6" fillId="8" borderId="43" xfId="0" applyFont="1" applyFill="1" applyBorder="1" applyAlignment="1">
      <alignment horizontal="center" vertical="center"/>
    </xf>
    <xf numFmtId="0" fontId="6" fillId="8" borderId="38" xfId="0" applyFont="1" applyFill="1" applyBorder="1" applyAlignment="1">
      <alignment horizontal="center" vertical="center"/>
    </xf>
    <xf numFmtId="0" fontId="68" fillId="0" borderId="4" xfId="0" applyFont="1" applyBorder="1" applyAlignment="1">
      <alignment horizontal="center" vertical="center"/>
    </xf>
    <xf numFmtId="180" fontId="0" fillId="0" borderId="4" xfId="0" applyNumberFormat="1" applyBorder="1" applyAlignment="1">
      <alignment horizontal="center" vertical="center"/>
    </xf>
    <xf numFmtId="0" fontId="6" fillId="0" borderId="0"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0" xfId="0" applyFont="1" applyAlignment="1">
      <alignment horizontal="center" vertical="center"/>
    </xf>
    <xf numFmtId="180" fontId="0" fillId="0" borderId="0" xfId="0" applyNumberFormat="1" applyBorder="1" applyAlignment="1">
      <alignment horizontal="center" vertical="center"/>
    </xf>
    <xf numFmtId="0" fontId="11" fillId="0" borderId="5" xfId="0" applyFont="1" applyFill="1" applyBorder="1" applyAlignment="1">
      <alignment horizontal="center" vertical="center"/>
    </xf>
    <xf numFmtId="0" fontId="11" fillId="0" borderId="30" xfId="0" applyFont="1" applyFill="1" applyBorder="1" applyAlignment="1">
      <alignment horizontal="center" vertical="center"/>
    </xf>
    <xf numFmtId="14" fontId="11" fillId="0" borderId="68" xfId="0" applyNumberFormat="1" applyFont="1" applyFill="1" applyBorder="1" applyAlignment="1">
      <alignment horizontal="center" vertical="center"/>
    </xf>
    <xf numFmtId="14" fontId="11" fillId="0" borderId="6" xfId="0" applyNumberFormat="1" applyFont="1" applyFill="1" applyBorder="1" applyAlignment="1">
      <alignment horizontal="center" vertical="center"/>
    </xf>
    <xf numFmtId="14" fontId="11" fillId="0" borderId="13" xfId="0" applyNumberFormat="1" applyFont="1" applyFill="1" applyBorder="1" applyAlignment="1">
      <alignment horizontal="center" vertical="center"/>
    </xf>
    <xf numFmtId="180" fontId="7" fillId="0" borderId="4" xfId="0" applyNumberFormat="1" applyFont="1" applyBorder="1" applyAlignment="1">
      <alignment horizontal="center" vertical="center"/>
    </xf>
    <xf numFmtId="0" fontId="0" fillId="0" borderId="89" xfId="0" applyFill="1" applyBorder="1" applyAlignment="1">
      <alignment horizontal="center" vertical="center"/>
    </xf>
    <xf numFmtId="0" fontId="0" fillId="0" borderId="93" xfId="0" applyFill="1" applyBorder="1" applyAlignment="1">
      <alignment horizontal="center" vertical="center"/>
    </xf>
    <xf numFmtId="0" fontId="0" fillId="0" borderId="94" xfId="0" applyFill="1" applyBorder="1" applyAlignment="1">
      <alignment horizontal="center" vertical="center"/>
    </xf>
    <xf numFmtId="0" fontId="6" fillId="8" borderId="89" xfId="0" applyFont="1" applyFill="1" applyBorder="1" applyAlignment="1">
      <alignment horizontal="center" vertical="center"/>
    </xf>
    <xf numFmtId="0" fontId="6" fillId="8" borderId="95" xfId="0" applyFont="1" applyFill="1" applyBorder="1" applyAlignment="1">
      <alignment horizontal="center" vertical="center"/>
    </xf>
    <xf numFmtId="186" fontId="11" fillId="11" borderId="0" xfId="0" applyNumberFormat="1" applyFont="1" applyFill="1" applyBorder="1" applyAlignment="1">
      <alignment horizontal="center" vertical="center" wrapText="1"/>
    </xf>
    <xf numFmtId="0" fontId="6" fillId="0" borderId="14" xfId="0" applyFont="1" applyFill="1" applyBorder="1" applyAlignment="1">
      <alignment horizontal="center" vertical="center"/>
    </xf>
    <xf numFmtId="0" fontId="6" fillId="0" borderId="71" xfId="0" applyFont="1" applyFill="1" applyBorder="1" applyAlignment="1">
      <alignment horizontal="center" vertical="center"/>
    </xf>
    <xf numFmtId="0" fontId="6" fillId="0" borderId="81" xfId="0" applyFont="1" applyFill="1" applyBorder="1" applyAlignment="1">
      <alignment horizontal="center" vertical="center"/>
    </xf>
    <xf numFmtId="0" fontId="12" fillId="0" borderId="0" xfId="0" applyFont="1" applyBorder="1" applyAlignment="1">
      <alignment horizontal="center" vertical="center"/>
    </xf>
    <xf numFmtId="0" fontId="121" fillId="0" borderId="6" xfId="0" applyFont="1" applyFill="1" applyBorder="1" applyAlignment="1">
      <alignment horizontal="center" vertical="center" wrapText="1"/>
    </xf>
    <xf numFmtId="0" fontId="121" fillId="0" borderId="8" xfId="41" applyFont="1" applyFill="1" applyBorder="1" applyAlignment="1">
      <alignment horizontal="center" vertical="center" wrapText="1"/>
    </xf>
    <xf numFmtId="0" fontId="121" fillId="0" borderId="18" xfId="41" applyFont="1" applyFill="1" applyBorder="1" applyAlignment="1">
      <alignment horizontal="center" vertical="center" wrapText="1"/>
    </xf>
    <xf numFmtId="0" fontId="121" fillId="0" borderId="9" xfId="41" applyFont="1" applyFill="1" applyBorder="1" applyAlignment="1">
      <alignment horizontal="center" vertical="center" wrapText="1"/>
    </xf>
    <xf numFmtId="0" fontId="121" fillId="0" borderId="6" xfId="0" applyFont="1" applyBorder="1" applyAlignment="1">
      <alignment horizontal="center" vertical="center" wrapText="1"/>
    </xf>
    <xf numFmtId="0" fontId="121" fillId="0" borderId="6" xfId="0" quotePrefix="1" applyFont="1" applyFill="1" applyBorder="1" applyAlignment="1">
      <alignment horizontal="center" vertical="center" wrapText="1"/>
    </xf>
    <xf numFmtId="0" fontId="121" fillId="0" borderId="6" xfId="41" applyFont="1" applyFill="1" applyBorder="1" applyAlignment="1">
      <alignment horizontal="center" vertical="center" wrapText="1"/>
    </xf>
    <xf numFmtId="0" fontId="127" fillId="0" borderId="71" xfId="0" applyFont="1" applyBorder="1" applyAlignment="1">
      <alignment horizontal="center" vertical="center" wrapText="1"/>
    </xf>
    <xf numFmtId="0" fontId="135" fillId="11" borderId="0" xfId="40" applyFont="1" applyFill="1" applyAlignment="1">
      <alignment horizontal="left" vertical="center" wrapText="1"/>
    </xf>
    <xf numFmtId="0" fontId="121" fillId="0" borderId="87" xfId="0" applyFont="1" applyFill="1" applyBorder="1" applyAlignment="1">
      <alignment horizontal="center" vertical="center" wrapText="1"/>
    </xf>
    <xf numFmtId="0" fontId="121" fillId="0" borderId="51" xfId="0" applyFont="1" applyFill="1" applyBorder="1" applyAlignment="1">
      <alignment horizontal="center" vertical="center" wrapText="1"/>
    </xf>
    <xf numFmtId="0" fontId="121" fillId="0" borderId="38" xfId="0" applyFont="1" applyFill="1" applyBorder="1" applyAlignment="1">
      <alignment horizontal="center" vertical="center" wrapText="1"/>
    </xf>
    <xf numFmtId="0" fontId="121" fillId="0" borderId="8" xfId="0" applyFont="1" applyFill="1" applyBorder="1" applyAlignment="1">
      <alignment horizontal="center" vertical="center" wrapText="1"/>
    </xf>
    <xf numFmtId="0" fontId="121" fillId="0" borderId="18" xfId="0" applyFont="1" applyFill="1" applyBorder="1" applyAlignment="1">
      <alignment horizontal="center" vertical="center" wrapText="1"/>
    </xf>
    <xf numFmtId="0" fontId="121" fillId="0" borderId="9" xfId="0" applyFont="1" applyFill="1" applyBorder="1" applyAlignment="1">
      <alignment horizontal="center" vertical="center" wrapText="1"/>
    </xf>
    <xf numFmtId="0" fontId="121" fillId="0" borderId="34" xfId="0" applyFont="1" applyFill="1" applyBorder="1" applyAlignment="1">
      <alignment horizontal="center" vertical="center" wrapText="1"/>
    </xf>
    <xf numFmtId="0" fontId="121" fillId="0" borderId="35" xfId="0" applyFont="1" applyFill="1" applyBorder="1" applyAlignment="1">
      <alignment horizontal="center" vertical="center" wrapText="1"/>
    </xf>
    <xf numFmtId="0" fontId="121" fillId="0" borderId="36" xfId="0" applyFont="1" applyFill="1" applyBorder="1" applyAlignment="1">
      <alignment horizontal="center" vertical="center" wrapText="1"/>
    </xf>
    <xf numFmtId="0" fontId="98" fillId="0" borderId="6" xfId="0" applyFont="1" applyFill="1" applyBorder="1" applyAlignment="1">
      <alignment horizontal="center" vertical="center" wrapText="1"/>
    </xf>
    <xf numFmtId="0" fontId="121" fillId="8" borderId="6" xfId="0" applyFont="1" applyFill="1" applyBorder="1" applyAlignment="1">
      <alignment horizontal="left" vertical="center" wrapText="1"/>
    </xf>
    <xf numFmtId="0" fontId="121" fillId="0" borderId="71" xfId="0" applyFont="1" applyFill="1" applyBorder="1" applyAlignment="1">
      <alignment horizontal="center" vertical="center" wrapText="1"/>
    </xf>
    <xf numFmtId="0" fontId="121" fillId="8" borderId="6" xfId="0" applyFont="1" applyFill="1" applyBorder="1" applyAlignment="1">
      <alignment horizontal="center" vertical="center" textRotation="255" wrapText="1"/>
    </xf>
    <xf numFmtId="0" fontId="121" fillId="8" borderId="71" xfId="0" applyFont="1" applyFill="1" applyBorder="1" applyAlignment="1">
      <alignment horizontal="center" vertical="center" textRotation="255" wrapText="1"/>
    </xf>
    <xf numFmtId="0" fontId="121" fillId="8" borderId="71" xfId="0" applyFont="1" applyFill="1" applyBorder="1" applyAlignment="1">
      <alignment horizontal="left" vertical="center" wrapText="1"/>
    </xf>
    <xf numFmtId="0" fontId="121" fillId="8" borderId="71" xfId="0" applyFont="1" applyFill="1" applyBorder="1" applyAlignment="1">
      <alignment horizontal="center" vertical="center" wrapText="1"/>
    </xf>
    <xf numFmtId="0" fontId="121" fillId="0" borderId="69" xfId="0" applyFont="1" applyFill="1" applyBorder="1" applyAlignment="1">
      <alignment horizontal="center" vertical="center" wrapText="1"/>
    </xf>
    <xf numFmtId="0" fontId="121" fillId="0" borderId="68" xfId="0" applyFont="1" applyFill="1" applyBorder="1" applyAlignment="1">
      <alignment horizontal="center" vertical="center" wrapText="1"/>
    </xf>
    <xf numFmtId="0" fontId="121" fillId="0" borderId="50" xfId="0" applyFont="1" applyFill="1" applyBorder="1" applyAlignment="1">
      <alignment horizontal="center" vertical="center" textRotation="255" wrapText="1"/>
    </xf>
    <xf numFmtId="0" fontId="121" fillId="0" borderId="69" xfId="0" applyFont="1" applyFill="1" applyBorder="1" applyAlignment="1">
      <alignment horizontal="center" vertical="center" textRotation="255" wrapText="1"/>
    </xf>
    <xf numFmtId="0" fontId="121" fillId="0" borderId="70" xfId="0" applyFont="1" applyFill="1" applyBorder="1" applyAlignment="1">
      <alignment horizontal="center" vertical="center" textRotation="255" wrapText="1"/>
    </xf>
    <xf numFmtId="0" fontId="121" fillId="0" borderId="2" xfId="0" applyFont="1" applyFill="1" applyBorder="1" applyAlignment="1">
      <alignment horizontal="center" vertical="center" wrapText="1"/>
    </xf>
    <xf numFmtId="0" fontId="121" fillId="0" borderId="0" xfId="0" applyFont="1" applyFill="1" applyBorder="1" applyAlignment="1">
      <alignment horizontal="center" vertical="center" wrapText="1"/>
    </xf>
    <xf numFmtId="0" fontId="121" fillId="0" borderId="68" xfId="0" quotePrefix="1" applyFont="1" applyFill="1" applyBorder="1" applyAlignment="1">
      <alignment horizontal="center" vertical="center" wrapText="1"/>
    </xf>
    <xf numFmtId="179" fontId="121" fillId="0" borderId="68" xfId="0" applyNumberFormat="1" applyFont="1" applyFill="1" applyBorder="1" applyAlignment="1">
      <alignment horizontal="center" vertical="center" wrapText="1"/>
    </xf>
    <xf numFmtId="179" fontId="121" fillId="0" borderId="6" xfId="0" applyNumberFormat="1" applyFont="1" applyFill="1" applyBorder="1" applyAlignment="1">
      <alignment horizontal="center" vertical="center" wrapText="1"/>
    </xf>
    <xf numFmtId="0" fontId="121" fillId="0" borderId="49" xfId="0" applyFont="1" applyFill="1" applyBorder="1" applyAlignment="1">
      <alignment horizontal="center" vertical="center" wrapText="1"/>
    </xf>
    <xf numFmtId="0" fontId="121" fillId="0" borderId="8" xfId="41" quotePrefix="1" applyFont="1" applyFill="1" applyBorder="1" applyAlignment="1">
      <alignment horizontal="center" vertical="center" wrapText="1"/>
    </xf>
    <xf numFmtId="0" fontId="121" fillId="0" borderId="18" xfId="41" quotePrefix="1" applyFont="1" applyFill="1" applyBorder="1" applyAlignment="1">
      <alignment horizontal="center" vertical="center" wrapText="1"/>
    </xf>
    <xf numFmtId="0" fontId="121" fillId="0" borderId="9" xfId="41" quotePrefix="1" applyFont="1" applyFill="1" applyBorder="1" applyAlignment="1">
      <alignment horizontal="center" vertical="center" wrapText="1"/>
    </xf>
    <xf numFmtId="0" fontId="121" fillId="0" borderId="86" xfId="0" applyFont="1" applyFill="1" applyBorder="1" applyAlignment="1">
      <alignment horizontal="center" vertical="center" wrapText="1"/>
    </xf>
    <xf numFmtId="0" fontId="121" fillId="0" borderId="43" xfId="0" applyFont="1" applyFill="1" applyBorder="1" applyAlignment="1">
      <alignment horizontal="center" vertical="center" wrapText="1"/>
    </xf>
    <xf numFmtId="0" fontId="121" fillId="0" borderId="38" xfId="0" applyFont="1" applyFill="1" applyBorder="1" applyAlignment="1">
      <alignment horizontal="center" vertical="center" textRotation="255" wrapText="1"/>
    </xf>
    <xf numFmtId="0" fontId="121" fillId="0" borderId="9" xfId="0" applyFont="1" applyFill="1" applyBorder="1" applyAlignment="1">
      <alignment horizontal="center" vertical="center" textRotation="255" wrapText="1"/>
    </xf>
    <xf numFmtId="0" fontId="121" fillId="0" borderId="43" xfId="0" applyFont="1" applyFill="1" applyBorder="1" applyAlignment="1">
      <alignment horizontal="center" vertical="center" textRotation="255" wrapText="1"/>
    </xf>
    <xf numFmtId="0" fontId="121" fillId="0" borderId="121" xfId="0" applyFont="1" applyFill="1" applyBorder="1" applyAlignment="1">
      <alignment horizontal="center" vertical="center" wrapText="1"/>
    </xf>
    <xf numFmtId="0" fontId="121" fillId="0" borderId="83" xfId="0" applyFont="1" applyFill="1" applyBorder="1" applyAlignment="1">
      <alignment horizontal="center" vertical="center" wrapText="1"/>
    </xf>
    <xf numFmtId="0" fontId="121" fillId="8" borderId="6" xfId="0" quotePrefix="1" applyFont="1" applyFill="1" applyBorder="1" applyAlignment="1">
      <alignment horizontal="center" vertical="center" wrapText="1"/>
    </xf>
    <xf numFmtId="183" fontId="119" fillId="11" borderId="16" xfId="0" applyNumberFormat="1" applyFont="1" applyFill="1" applyBorder="1" applyAlignment="1">
      <alignment horizontal="center" vertical="center"/>
    </xf>
    <xf numFmtId="183" fontId="119" fillId="11" borderId="21" xfId="0" applyNumberFormat="1" applyFont="1" applyFill="1" applyBorder="1" applyAlignment="1">
      <alignment horizontal="center" vertical="center"/>
    </xf>
    <xf numFmtId="0" fontId="127" fillId="0" borderId="6" xfId="0" applyFont="1" applyBorder="1" applyAlignment="1">
      <alignment horizontal="center" vertical="center" wrapText="1"/>
    </xf>
    <xf numFmtId="0" fontId="121" fillId="2" borderId="6" xfId="0" applyFont="1" applyFill="1" applyBorder="1" applyAlignment="1">
      <alignment horizontal="center" vertical="center" wrapText="1"/>
    </xf>
    <xf numFmtId="0" fontId="121" fillId="8" borderId="6" xfId="0" applyFont="1" applyFill="1" applyBorder="1" applyAlignment="1">
      <alignment horizontal="center" vertical="center" wrapText="1"/>
    </xf>
    <xf numFmtId="0" fontId="121" fillId="11" borderId="0" xfId="0" applyFont="1" applyFill="1" applyBorder="1" applyAlignment="1">
      <alignment horizontal="left" vertical="center"/>
    </xf>
    <xf numFmtId="0" fontId="121" fillId="0" borderId="6" xfId="0" applyFont="1" applyFill="1" applyBorder="1" applyAlignment="1">
      <alignment horizontal="left" vertical="center" wrapText="1"/>
    </xf>
    <xf numFmtId="0" fontId="119" fillId="0" borderId="50" xfId="0" applyFont="1" applyBorder="1" applyAlignment="1">
      <alignment horizontal="center" vertical="center" wrapText="1"/>
    </xf>
    <xf numFmtId="0" fontId="119" fillId="0" borderId="69" xfId="0" applyFont="1" applyBorder="1" applyAlignment="1">
      <alignment horizontal="center" vertical="center" wrapText="1"/>
    </xf>
    <xf numFmtId="0" fontId="119" fillId="0" borderId="70" xfId="0" applyFont="1" applyBorder="1" applyAlignment="1">
      <alignment horizontal="center" vertical="center" wrapText="1"/>
    </xf>
    <xf numFmtId="0" fontId="121" fillId="0" borderId="50" xfId="0" applyFont="1" applyFill="1" applyBorder="1" applyAlignment="1">
      <alignment horizontal="center" vertical="center" wrapText="1"/>
    </xf>
    <xf numFmtId="0" fontId="121" fillId="0" borderId="46" xfId="0" applyFont="1" applyFill="1" applyBorder="1" applyAlignment="1">
      <alignment horizontal="center" vertical="center" wrapText="1"/>
    </xf>
    <xf numFmtId="0" fontId="121" fillId="0" borderId="41" xfId="0" applyFont="1" applyFill="1" applyBorder="1" applyAlignment="1">
      <alignment horizontal="center" vertical="center" wrapText="1"/>
    </xf>
    <xf numFmtId="0" fontId="127" fillId="0" borderId="71" xfId="0" applyFont="1" applyFill="1" applyBorder="1" applyAlignment="1">
      <alignment horizontal="center" vertical="center" wrapText="1"/>
    </xf>
    <xf numFmtId="0" fontId="123" fillId="0" borderId="6" xfId="0" applyFont="1" applyFill="1" applyBorder="1" applyAlignment="1">
      <alignment horizontal="center" vertical="center" wrapText="1"/>
    </xf>
    <xf numFmtId="0" fontId="121" fillId="0" borderId="6" xfId="0" applyFont="1" applyFill="1" applyBorder="1" applyAlignment="1">
      <alignment horizontal="center" vertical="center" textRotation="255" wrapText="1"/>
    </xf>
    <xf numFmtId="0" fontId="121" fillId="0" borderId="6" xfId="0" applyFont="1" applyFill="1" applyBorder="1" applyAlignment="1">
      <alignment vertical="center" textRotation="255" wrapText="1"/>
    </xf>
    <xf numFmtId="0" fontId="126" fillId="0" borderId="0" xfId="0" applyFont="1" applyFill="1" applyBorder="1" applyAlignment="1">
      <alignment horizontal="center" vertical="center" wrapText="1"/>
    </xf>
    <xf numFmtId="0" fontId="127" fillId="0" borderId="71" xfId="0" applyFont="1" applyBorder="1" applyAlignment="1">
      <alignment horizontal="center" vertical="center"/>
    </xf>
    <xf numFmtId="0" fontId="127" fillId="0" borderId="6" xfId="0" applyFont="1" applyBorder="1" applyAlignment="1">
      <alignment vertical="center" wrapText="1"/>
    </xf>
    <xf numFmtId="0" fontId="121" fillId="0" borderId="40" xfId="0" applyFont="1" applyBorder="1" applyAlignment="1">
      <alignment horizontal="center" vertical="center" wrapText="1"/>
    </xf>
    <xf numFmtId="0" fontId="121" fillId="0" borderId="124" xfId="0" applyFont="1" applyBorder="1" applyAlignment="1">
      <alignment horizontal="center" vertical="center" wrapText="1"/>
    </xf>
    <xf numFmtId="0" fontId="121" fillId="0" borderId="45" xfId="0" applyFont="1" applyBorder="1" applyAlignment="1">
      <alignment horizontal="center" vertical="center" wrapText="1"/>
    </xf>
    <xf numFmtId="0" fontId="119" fillId="0" borderId="0" xfId="0" applyFont="1" applyFill="1" applyBorder="1" applyAlignment="1">
      <alignment horizontal="left" vertical="center" wrapText="1"/>
    </xf>
    <xf numFmtId="0" fontId="121" fillId="0" borderId="39" xfId="0" applyFont="1" applyFill="1" applyBorder="1" applyAlignment="1">
      <alignment horizontal="center" vertical="center" wrapText="1"/>
    </xf>
    <xf numFmtId="0" fontId="121" fillId="2" borderId="36" xfId="0" applyFont="1" applyFill="1" applyBorder="1" applyAlignment="1">
      <alignment horizontal="center" vertical="center" wrapText="1"/>
    </xf>
    <xf numFmtId="0" fontId="121" fillId="0" borderId="123" xfId="0" applyFont="1" applyFill="1" applyBorder="1" applyAlignment="1">
      <alignment horizontal="center" vertical="center" wrapText="1"/>
    </xf>
    <xf numFmtId="0" fontId="121" fillId="0" borderId="124" xfId="0" applyFont="1" applyBorder="1" applyAlignment="1">
      <alignment horizontal="center" vertical="center"/>
    </xf>
    <xf numFmtId="0" fontId="121" fillId="0" borderId="45" xfId="0" applyFont="1" applyBorder="1" applyAlignment="1">
      <alignment horizontal="center" vertical="center"/>
    </xf>
    <xf numFmtId="14" fontId="27" fillId="0" borderId="3" xfId="0" applyNumberFormat="1" applyFont="1" applyBorder="1" applyAlignment="1">
      <alignment horizontal="center" vertical="center"/>
    </xf>
    <xf numFmtId="0" fontId="27" fillId="0" borderId="19" xfId="0" applyFont="1" applyBorder="1" applyAlignment="1">
      <alignment horizontal="center" vertical="center"/>
    </xf>
    <xf numFmtId="0" fontId="25" fillId="0" borderId="0" xfId="0" applyFont="1" applyFill="1" applyAlignment="1">
      <alignment horizontal="center" vertical="center"/>
    </xf>
    <xf numFmtId="0" fontId="26" fillId="0" borderId="4" xfId="0" applyFont="1" applyBorder="1" applyAlignment="1">
      <alignment horizontal="right" vertical="center"/>
    </xf>
    <xf numFmtId="0" fontId="26" fillId="0" borderId="4" xfId="0" applyFont="1" applyBorder="1" applyAlignment="1">
      <alignment horizontal="center" vertical="center"/>
    </xf>
    <xf numFmtId="0" fontId="27" fillId="0" borderId="3" xfId="0" applyFont="1" applyBorder="1" applyAlignment="1">
      <alignment horizontal="center" vertical="center"/>
    </xf>
    <xf numFmtId="0" fontId="6" fillId="0" borderId="3" xfId="0" applyFont="1" applyBorder="1" applyAlignment="1">
      <alignment horizontal="center" vertical="center"/>
    </xf>
    <xf numFmtId="0" fontId="6" fillId="0" borderId="19" xfId="0" applyFont="1" applyBorder="1" applyAlignment="1">
      <alignment horizontal="center" vertical="center"/>
    </xf>
    <xf numFmtId="14" fontId="26" fillId="0" borderId="0" xfId="0" applyNumberFormat="1" applyFont="1" applyAlignment="1">
      <alignment horizontal="left" vertical="center"/>
    </xf>
    <xf numFmtId="0" fontId="26" fillId="0" borderId="0" xfId="0" applyFont="1" applyBorder="1" applyAlignment="1">
      <alignment horizontal="right" vertical="center"/>
    </xf>
    <xf numFmtId="0" fontId="41" fillId="0" borderId="48" xfId="3" applyFont="1" applyFill="1" applyBorder="1" applyAlignment="1">
      <alignment horizontal="center" vertical="center"/>
    </xf>
    <xf numFmtId="0" fontId="41" fillId="0" borderId="35" xfId="3" applyFont="1" applyFill="1" applyBorder="1" applyAlignment="1">
      <alignment horizontal="center" vertical="center"/>
    </xf>
    <xf numFmtId="0" fontId="41" fillId="0" borderId="53" xfId="3" applyFont="1" applyFill="1" applyBorder="1" applyAlignment="1">
      <alignment horizontal="center" vertical="center"/>
    </xf>
    <xf numFmtId="0" fontId="36" fillId="0" borderId="57" xfId="2" applyFont="1" applyFill="1" applyBorder="1" applyAlignment="1">
      <alignment horizontal="center" vertical="center"/>
    </xf>
    <xf numFmtId="0" fontId="36" fillId="0" borderId="12" xfId="2" applyFont="1" applyFill="1" applyBorder="1" applyAlignment="1">
      <alignment horizontal="center" vertical="center"/>
    </xf>
    <xf numFmtId="0" fontId="36" fillId="0" borderId="58" xfId="2" applyFont="1" applyFill="1" applyBorder="1" applyAlignment="1">
      <alignment horizontal="center" vertical="center"/>
    </xf>
    <xf numFmtId="0" fontId="11" fillId="0" borderId="27" xfId="3" applyFont="1" applyFill="1" applyBorder="1" applyAlignment="1">
      <alignment horizontal="center" vertical="center" wrapText="1"/>
    </xf>
    <xf numFmtId="0" fontId="11" fillId="0" borderId="59" xfId="3" applyFont="1" applyFill="1" applyBorder="1" applyAlignment="1">
      <alignment horizontal="center" vertical="center" wrapText="1"/>
    </xf>
    <xf numFmtId="0" fontId="11" fillId="0" borderId="60" xfId="3" applyFont="1" applyFill="1" applyBorder="1" applyAlignment="1">
      <alignment horizontal="center" vertical="center" wrapText="1"/>
    </xf>
    <xf numFmtId="0" fontId="41" fillId="0" borderId="28" xfId="3" applyFont="1" applyFill="1" applyBorder="1" applyAlignment="1">
      <alignment horizontal="center" vertical="center"/>
    </xf>
    <xf numFmtId="0" fontId="41" fillId="0" borderId="0" xfId="3" applyFont="1" applyFill="1" applyBorder="1" applyAlignment="1">
      <alignment horizontal="center" vertical="center"/>
    </xf>
    <xf numFmtId="0" fontId="41" fillId="0" borderId="29" xfId="3" applyFont="1" applyFill="1" applyBorder="1" applyAlignment="1">
      <alignment horizontal="center" vertical="center"/>
    </xf>
    <xf numFmtId="0" fontId="36" fillId="0" borderId="52" xfId="2" applyFont="1" applyFill="1" applyBorder="1" applyAlignment="1">
      <alignment horizontal="center" vertical="center" wrapText="1"/>
    </xf>
    <xf numFmtId="0" fontId="36" fillId="0" borderId="11" xfId="2" applyFont="1" applyFill="1" applyBorder="1" applyAlignment="1">
      <alignment horizontal="center" vertical="center" wrapText="1"/>
    </xf>
    <xf numFmtId="0" fontId="36" fillId="0" borderId="54" xfId="2" applyFont="1" applyFill="1" applyBorder="1" applyAlignment="1">
      <alignment horizontal="center" vertical="center" wrapText="1"/>
    </xf>
    <xf numFmtId="178" fontId="34" fillId="0" borderId="52" xfId="2" applyNumberFormat="1" applyFill="1" applyBorder="1" applyAlignment="1">
      <alignment horizontal="center" vertical="center" wrapText="1"/>
    </xf>
    <xf numFmtId="178" fontId="34" fillId="0" borderId="11" xfId="2" applyNumberFormat="1" applyFill="1" applyBorder="1" applyAlignment="1">
      <alignment horizontal="center" vertical="center" wrapText="1"/>
    </xf>
    <xf numFmtId="178" fontId="34" fillId="0" borderId="54" xfId="2" applyNumberFormat="1" applyFill="1" applyBorder="1" applyAlignment="1">
      <alignment horizontal="center" vertical="center" wrapText="1"/>
    </xf>
    <xf numFmtId="0" fontId="36" fillId="0" borderId="32" xfId="2" applyFont="1" applyFill="1" applyBorder="1" applyAlignment="1">
      <alignment horizontal="center" vertical="center"/>
    </xf>
    <xf numFmtId="0" fontId="36" fillId="0" borderId="5" xfId="2" applyFont="1" applyFill="1" applyBorder="1" applyAlignment="1">
      <alignment horizontal="center" vertical="center"/>
    </xf>
    <xf numFmtId="0" fontId="36" fillId="0" borderId="30" xfId="2" applyFont="1" applyFill="1" applyBorder="1" applyAlignment="1">
      <alignment horizontal="center" vertical="center"/>
    </xf>
    <xf numFmtId="0" fontId="11" fillId="0" borderId="31" xfId="3" applyFont="1" applyFill="1" applyBorder="1" applyAlignment="1">
      <alignment horizontal="center" vertical="center" wrapText="1"/>
    </xf>
    <xf numFmtId="0" fontId="11" fillId="0" borderId="6" xfId="3" applyFont="1" applyFill="1" applyBorder="1" applyAlignment="1">
      <alignment horizontal="center" vertical="center" wrapText="1"/>
    </xf>
    <xf numFmtId="0" fontId="11" fillId="0" borderId="13" xfId="3" applyFont="1" applyFill="1" applyBorder="1" applyAlignment="1">
      <alignment horizontal="center" vertical="center" wrapText="1"/>
    </xf>
    <xf numFmtId="0" fontId="0" fillId="0" borderId="35" xfId="0" applyBorder="1">
      <alignment vertical="center"/>
    </xf>
    <xf numFmtId="0" fontId="0" fillId="0" borderId="53" xfId="0" applyBorder="1">
      <alignment vertical="center"/>
    </xf>
    <xf numFmtId="0" fontId="34" fillId="0" borderId="35" xfId="2" applyFill="1" applyBorder="1" applyAlignment="1">
      <alignment horizontal="center" vertical="center"/>
    </xf>
    <xf numFmtId="0" fontId="11" fillId="0" borderId="48" xfId="3" applyFont="1" applyFill="1" applyBorder="1" applyAlignment="1">
      <alignment horizontal="center" vertical="center" wrapText="1"/>
    </xf>
    <xf numFmtId="0" fontId="11" fillId="0" borderId="35" xfId="3" applyFont="1" applyFill="1" applyBorder="1" applyAlignment="1">
      <alignment horizontal="center" vertical="center" wrapText="1"/>
    </xf>
    <xf numFmtId="0" fontId="11" fillId="0" borderId="53" xfId="3" applyFont="1" applyFill="1" applyBorder="1" applyAlignment="1">
      <alignment horizontal="center" vertical="center" wrapText="1"/>
    </xf>
    <xf numFmtId="0" fontId="38" fillId="0" borderId="57" xfId="2" applyFont="1" applyFill="1" applyBorder="1" applyAlignment="1">
      <alignment horizontal="center" vertical="center"/>
    </xf>
    <xf numFmtId="0" fontId="38" fillId="0" borderId="12" xfId="2" applyFont="1" applyFill="1" applyBorder="1" applyAlignment="1">
      <alignment horizontal="center" vertical="center"/>
    </xf>
    <xf numFmtId="0" fontId="38" fillId="0" borderId="58" xfId="2" applyFont="1" applyFill="1" applyBorder="1" applyAlignment="1">
      <alignment horizontal="center" vertical="center"/>
    </xf>
    <xf numFmtId="0" fontId="34" fillId="0" borderId="53" xfId="2" applyFill="1" applyBorder="1" applyAlignment="1">
      <alignment horizontal="center" vertical="center"/>
    </xf>
    <xf numFmtId="0" fontId="41" fillId="0" borderId="48" xfId="3" applyFont="1" applyFill="1" applyBorder="1" applyAlignment="1">
      <alignment horizontal="center" vertical="center" wrapText="1"/>
    </xf>
    <xf numFmtId="0" fontId="41" fillId="0" borderId="35" xfId="3" applyFont="1" applyFill="1" applyBorder="1" applyAlignment="1">
      <alignment horizontal="center" vertical="center" wrapText="1"/>
    </xf>
    <xf numFmtId="0" fontId="41" fillId="0" borderId="53" xfId="3" applyFont="1" applyFill="1" applyBorder="1" applyAlignment="1">
      <alignment horizontal="center" vertical="center" wrapText="1"/>
    </xf>
    <xf numFmtId="0" fontId="41" fillId="0" borderId="57" xfId="3" applyFont="1" applyFill="1" applyBorder="1" applyAlignment="1">
      <alignment horizontal="center" vertical="center"/>
    </xf>
    <xf numFmtId="0" fontId="41" fillId="0" borderId="12" xfId="3" applyFont="1" applyFill="1" applyBorder="1" applyAlignment="1">
      <alignment horizontal="center" vertical="center"/>
    </xf>
    <xf numFmtId="0" fontId="41" fillId="0" borderId="58" xfId="3" applyFont="1" applyFill="1" applyBorder="1" applyAlignment="1">
      <alignment horizontal="center" vertical="center"/>
    </xf>
    <xf numFmtId="0" fontId="41" fillId="0" borderId="48" xfId="2" applyFont="1" applyFill="1" applyBorder="1" applyAlignment="1">
      <alignment horizontal="center" vertical="center"/>
    </xf>
    <xf numFmtId="0" fontId="41" fillId="0" borderId="35" xfId="2" applyFont="1" applyFill="1" applyBorder="1" applyAlignment="1">
      <alignment horizontal="center" vertical="center"/>
    </xf>
    <xf numFmtId="0" fontId="41" fillId="0" borderId="53" xfId="2" applyFont="1" applyFill="1" applyBorder="1" applyAlignment="1">
      <alignment horizontal="center" vertical="center"/>
    </xf>
    <xf numFmtId="0" fontId="35" fillId="0" borderId="0" xfId="2" applyFont="1" applyFill="1" applyBorder="1" applyAlignment="1">
      <alignment horizontal="center" vertical="center"/>
    </xf>
    <xf numFmtId="0" fontId="35" fillId="0" borderId="29" xfId="2" applyFont="1" applyFill="1" applyBorder="1" applyAlignment="1">
      <alignment horizontal="center" vertical="center"/>
    </xf>
    <xf numFmtId="0" fontId="34" fillId="0" borderId="48" xfId="2" applyFill="1" applyBorder="1" applyAlignment="1">
      <alignment horizontal="center" vertical="center"/>
    </xf>
    <xf numFmtId="0" fontId="38" fillId="0" borderId="32" xfId="2" applyFont="1" applyFill="1" applyBorder="1" applyAlignment="1">
      <alignment horizontal="center" vertical="center"/>
    </xf>
    <xf numFmtId="0" fontId="38" fillId="0" borderId="30" xfId="2" applyFont="1" applyFill="1" applyBorder="1" applyAlignment="1">
      <alignment horizontal="center" vertical="center"/>
    </xf>
    <xf numFmtId="0" fontId="38" fillId="0" borderId="31" xfId="2" applyFont="1" applyFill="1" applyBorder="1" applyAlignment="1">
      <alignment horizontal="center" vertical="center" wrapText="1"/>
    </xf>
    <xf numFmtId="0" fontId="38" fillId="0" borderId="13" xfId="2" applyFont="1" applyFill="1" applyBorder="1" applyAlignment="1">
      <alignment horizontal="center" vertical="center" wrapText="1"/>
    </xf>
    <xf numFmtId="0" fontId="41" fillId="0" borderId="32" xfId="3" applyFont="1" applyFill="1" applyBorder="1" applyAlignment="1">
      <alignment horizontal="center" vertical="center"/>
    </xf>
    <xf numFmtId="0" fontId="41" fillId="0" borderId="5" xfId="3" applyFont="1" applyFill="1" applyBorder="1" applyAlignment="1">
      <alignment horizontal="center" vertical="center"/>
    </xf>
    <xf numFmtId="0" fontId="41" fillId="0" borderId="30" xfId="3" applyFont="1" applyFill="1" applyBorder="1" applyAlignment="1">
      <alignment horizontal="center" vertical="center"/>
    </xf>
    <xf numFmtId="0" fontId="41" fillId="0" borderId="31" xfId="3" applyFont="1" applyFill="1" applyBorder="1" applyAlignment="1">
      <alignment horizontal="center" vertical="center" wrapText="1"/>
    </xf>
    <xf numFmtId="0" fontId="41" fillId="0" borderId="6" xfId="3" applyFont="1" applyFill="1" applyBorder="1" applyAlignment="1">
      <alignment horizontal="center" vertical="center" wrapText="1"/>
    </xf>
    <xf numFmtId="0" fontId="41" fillId="0" borderId="13" xfId="3" applyFont="1" applyFill="1" applyBorder="1" applyAlignment="1">
      <alignment horizontal="center" vertical="center" wrapText="1"/>
    </xf>
    <xf numFmtId="0" fontId="38" fillId="0" borderId="41" xfId="2" applyFont="1" applyFill="1" applyBorder="1" applyAlignment="1">
      <alignment horizontal="center" vertical="center" wrapText="1"/>
    </xf>
    <xf numFmtId="0" fontId="38" fillId="0" borderId="46" xfId="2" applyFont="1" applyFill="1" applyBorder="1" applyAlignment="1">
      <alignment horizontal="center" vertical="center" wrapText="1"/>
    </xf>
    <xf numFmtId="0" fontId="38" fillId="0" borderId="42" xfId="2" applyFont="1" applyFill="1" applyBorder="1" applyAlignment="1">
      <alignment horizontal="center" vertical="center" wrapText="1"/>
    </xf>
    <xf numFmtId="0" fontId="38" fillId="0" borderId="47" xfId="2" applyFont="1" applyFill="1" applyBorder="1" applyAlignment="1">
      <alignment horizontal="center" vertical="center" wrapText="1"/>
    </xf>
    <xf numFmtId="0" fontId="36" fillId="0" borderId="0" xfId="2" applyFont="1" applyFill="1" applyAlignment="1">
      <alignment horizontal="center" vertical="center" wrapText="1"/>
    </xf>
    <xf numFmtId="0" fontId="36" fillId="0" borderId="10" xfId="2" applyFont="1" applyFill="1" applyBorder="1" applyAlignment="1">
      <alignment horizontal="center" vertical="center" wrapText="1"/>
    </xf>
    <xf numFmtId="0" fontId="38" fillId="0" borderId="38" xfId="2" applyFont="1" applyFill="1" applyBorder="1" applyAlignment="1">
      <alignment horizontal="center" vertical="center" wrapText="1"/>
    </xf>
    <xf numFmtId="0" fontId="38" fillId="0" borderId="39" xfId="2" applyFont="1" applyFill="1" applyBorder="1" applyAlignment="1">
      <alignment horizontal="center" vertical="center" wrapText="1"/>
    </xf>
    <xf numFmtId="0" fontId="38" fillId="0" borderId="9" xfId="2" applyFont="1" applyFill="1" applyBorder="1" applyAlignment="1">
      <alignment horizontal="center" vertical="center"/>
    </xf>
    <xf numFmtId="0" fontId="38" fillId="0" borderId="6" xfId="2" applyFont="1" applyFill="1" applyBorder="1" applyAlignment="1">
      <alignment horizontal="center" vertical="center"/>
    </xf>
    <xf numFmtId="0" fontId="38" fillId="0" borderId="40" xfId="2" applyFont="1" applyFill="1" applyBorder="1" applyAlignment="1">
      <alignment horizontal="center" vertical="center" wrapText="1"/>
    </xf>
    <xf numFmtId="0" fontId="38" fillId="0" borderId="45" xfId="2" applyFont="1" applyFill="1" applyBorder="1" applyAlignment="1">
      <alignment horizontal="center" vertical="center" wrapText="1"/>
    </xf>
    <xf numFmtId="0" fontId="38" fillId="0" borderId="31" xfId="2" applyFont="1" applyFill="1" applyBorder="1" applyAlignment="1">
      <alignment horizontal="center" vertical="center"/>
    </xf>
    <xf numFmtId="178" fontId="38" fillId="0" borderId="31" xfId="2" applyNumberFormat="1" applyFont="1" applyFill="1" applyBorder="1" applyAlignment="1">
      <alignment horizontal="center" vertical="center" wrapText="1"/>
    </xf>
    <xf numFmtId="178" fontId="38" fillId="0" borderId="13" xfId="2" applyNumberFormat="1" applyFont="1" applyFill="1" applyBorder="1" applyAlignment="1">
      <alignment horizontal="center" vertical="center" wrapText="1"/>
    </xf>
    <xf numFmtId="0" fontId="38" fillId="0" borderId="33" xfId="2" applyFont="1" applyFill="1" applyBorder="1" applyAlignment="1">
      <alignment horizontal="center" vertical="center"/>
    </xf>
    <xf numFmtId="0" fontId="36" fillId="0" borderId="48" xfId="0" applyFont="1" applyBorder="1" applyAlignment="1">
      <alignment horizontal="center" vertical="center"/>
    </xf>
    <xf numFmtId="0" fontId="36" fillId="0" borderId="35" xfId="0" applyFont="1" applyBorder="1" applyAlignment="1">
      <alignment horizontal="center" vertical="center"/>
    </xf>
    <xf numFmtId="0" fontId="54" fillId="6" borderId="22" xfId="26" applyFont="1" applyFill="1" applyBorder="1" applyAlignment="1">
      <alignment horizontal="center" vertical="center"/>
    </xf>
    <xf numFmtId="0" fontId="54" fillId="6" borderId="25" xfId="26" applyFont="1" applyFill="1" applyBorder="1" applyAlignment="1">
      <alignment horizontal="center" vertical="center"/>
    </xf>
    <xf numFmtId="0" fontId="36" fillId="0" borderId="64" xfId="26" applyFont="1" applyFill="1" applyBorder="1" applyAlignment="1">
      <alignment horizontal="center" vertical="center" wrapText="1"/>
    </xf>
    <xf numFmtId="0" fontId="36" fillId="2" borderId="65" xfId="26" applyFont="1" applyFill="1" applyBorder="1" applyAlignment="1">
      <alignment horizontal="center" vertical="center" wrapText="1"/>
    </xf>
    <xf numFmtId="0" fontId="36" fillId="2" borderId="66" xfId="26" applyFont="1" applyFill="1" applyBorder="1" applyAlignment="1">
      <alignment horizontal="center" vertical="center" wrapText="1"/>
    </xf>
    <xf numFmtId="0" fontId="36" fillId="2" borderId="67" xfId="26" applyFont="1" applyFill="1" applyBorder="1" applyAlignment="1">
      <alignment horizontal="center" vertical="center" wrapText="1"/>
    </xf>
    <xf numFmtId="0" fontId="54" fillId="2" borderId="65" xfId="26" applyFont="1" applyFill="1" applyBorder="1" applyAlignment="1">
      <alignment horizontal="center" vertical="center" wrapText="1"/>
    </xf>
    <xf numFmtId="0" fontId="54" fillId="2" borderId="66" xfId="26" applyFont="1" applyFill="1" applyBorder="1" applyAlignment="1">
      <alignment horizontal="center" vertical="center" wrapText="1"/>
    </xf>
    <xf numFmtId="0" fontId="54" fillId="2" borderId="67" xfId="26" applyFont="1" applyFill="1" applyBorder="1" applyAlignment="1">
      <alignment horizontal="center" vertical="center" wrapText="1"/>
    </xf>
    <xf numFmtId="0" fontId="38" fillId="0" borderId="64" xfId="26" applyFont="1" applyFill="1" applyBorder="1" applyAlignment="1">
      <alignment horizontal="left" vertical="center" wrapText="1"/>
    </xf>
    <xf numFmtId="0" fontId="36" fillId="0" borderId="64" xfId="26" applyFont="1" applyFill="1" applyBorder="1" applyAlignment="1">
      <alignment horizontal="left" vertical="center" wrapText="1"/>
    </xf>
    <xf numFmtId="0" fontId="54" fillId="0" borderId="64" xfId="26" applyFont="1" applyFill="1" applyBorder="1" applyAlignment="1">
      <alignment horizontal="center" vertical="center" wrapText="1"/>
    </xf>
    <xf numFmtId="0" fontId="35" fillId="0" borderId="64" xfId="26" applyFont="1" applyFill="1" applyBorder="1" applyAlignment="1">
      <alignment horizontal="left" vertical="center"/>
    </xf>
    <xf numFmtId="0" fontId="36" fillId="0" borderId="65" xfId="26" applyFont="1" applyFill="1" applyBorder="1" applyAlignment="1">
      <alignment horizontal="center" vertical="center" wrapText="1"/>
    </xf>
    <xf numFmtId="49" fontId="36" fillId="0" borderId="64" xfId="26" applyNumberFormat="1" applyFont="1" applyFill="1" applyBorder="1" applyAlignment="1">
      <alignment horizontal="center" vertical="center" wrapText="1"/>
    </xf>
    <xf numFmtId="49" fontId="36" fillId="0" borderId="65" xfId="26" applyNumberFormat="1" applyFont="1" applyFill="1" applyBorder="1" applyAlignment="1">
      <alignment horizontal="center" vertical="center" wrapText="1"/>
    </xf>
    <xf numFmtId="0" fontId="36" fillId="0" borderId="66" xfId="26" applyFont="1" applyFill="1" applyBorder="1" applyAlignment="1">
      <alignment horizontal="center" vertical="center" wrapText="1"/>
    </xf>
    <xf numFmtId="0" fontId="36" fillId="0" borderId="67" xfId="26" applyFont="1" applyFill="1" applyBorder="1" applyAlignment="1">
      <alignment horizontal="center" vertical="center" wrapText="1"/>
    </xf>
    <xf numFmtId="0" fontId="43" fillId="0" borderId="64" xfId="26" applyFont="1" applyFill="1" applyBorder="1" applyAlignment="1">
      <alignment horizontal="center" vertical="center" wrapText="1"/>
    </xf>
    <xf numFmtId="0" fontId="54" fillId="6" borderId="1" xfId="26" applyFont="1" applyFill="1" applyBorder="1" applyAlignment="1">
      <alignment horizontal="center" vertical="center"/>
    </xf>
    <xf numFmtId="180" fontId="54" fillId="6" borderId="1" xfId="26" applyNumberFormat="1" applyFont="1" applyFill="1" applyBorder="1" applyAlignment="1">
      <alignment horizontal="center" vertical="center"/>
    </xf>
    <xf numFmtId="0" fontId="38" fillId="0" borderId="126" xfId="26" applyFont="1" applyFill="1" applyBorder="1" applyAlignment="1">
      <alignment horizontal="left" vertical="center" wrapText="1"/>
    </xf>
    <xf numFmtId="0" fontId="38" fillId="0" borderId="127" xfId="26" applyFont="1" applyFill="1" applyBorder="1" applyAlignment="1">
      <alignment horizontal="left" vertical="center" wrapText="1"/>
    </xf>
    <xf numFmtId="0" fontId="38" fillId="0" borderId="128" xfId="26" applyFont="1" applyFill="1" applyBorder="1" applyAlignment="1">
      <alignment horizontal="left" vertical="center" wrapText="1"/>
    </xf>
    <xf numFmtId="0" fontId="47" fillId="6" borderId="1" xfId="26" applyFont="1" applyFill="1" applyBorder="1" applyAlignment="1">
      <alignment horizontal="center" vertical="center"/>
    </xf>
    <xf numFmtId="182" fontId="54" fillId="6" borderId="1" xfId="26" applyNumberFormat="1" applyFont="1" applyFill="1" applyBorder="1" applyAlignment="1">
      <alignment horizontal="center" vertical="center"/>
    </xf>
    <xf numFmtId="0" fontId="53" fillId="6" borderId="0" xfId="26" applyFont="1" applyFill="1" applyBorder="1" applyAlignment="1">
      <alignment horizontal="center" vertical="center"/>
    </xf>
    <xf numFmtId="0" fontId="54" fillId="6" borderId="0" xfId="26" applyFont="1" applyFill="1" applyBorder="1" applyAlignment="1">
      <alignment horizontal="center" vertical="center"/>
    </xf>
    <xf numFmtId="0" fontId="59" fillId="0" borderId="64" xfId="26" applyFont="1" applyFill="1" applyBorder="1" applyAlignment="1">
      <alignment horizontal="left" vertical="center" wrapText="1"/>
    </xf>
    <xf numFmtId="0" fontId="36" fillId="0" borderId="64" xfId="42" applyFont="1" applyFill="1" applyBorder="1" applyAlignment="1">
      <alignment horizontal="center" vertical="center" wrapText="1"/>
    </xf>
    <xf numFmtId="0" fontId="36" fillId="0" borderId="65" xfId="42" applyFont="1" applyFill="1" applyBorder="1" applyAlignment="1">
      <alignment horizontal="center" vertical="center" wrapText="1"/>
    </xf>
    <xf numFmtId="0" fontId="36" fillId="0" borderId="6" xfId="42" applyFont="1" applyFill="1" applyBorder="1" applyAlignment="1">
      <alignment horizontal="center" vertical="center" wrapText="1"/>
    </xf>
    <xf numFmtId="0" fontId="36" fillId="2" borderId="6" xfId="42" applyFont="1" applyFill="1" applyBorder="1" applyAlignment="1">
      <alignment horizontal="center" vertical="center" wrapText="1"/>
    </xf>
    <xf numFmtId="49" fontId="36" fillId="0" borderId="6" xfId="42" applyNumberFormat="1" applyFont="1" applyFill="1" applyBorder="1" applyAlignment="1">
      <alignment horizontal="center" vertical="center" wrapText="1"/>
    </xf>
    <xf numFmtId="0" fontId="36" fillId="2" borderId="65" xfId="42" applyFont="1" applyFill="1" applyBorder="1" applyAlignment="1">
      <alignment horizontal="center" vertical="center" wrapText="1"/>
    </xf>
    <xf numFmtId="0" fontId="36" fillId="2" borderId="66" xfId="42" applyFont="1" applyFill="1" applyBorder="1" applyAlignment="1">
      <alignment horizontal="center" vertical="center" wrapText="1"/>
    </xf>
    <xf numFmtId="49" fontId="36" fillId="0" borderId="64" xfId="42" applyNumberFormat="1" applyFont="1" applyFill="1" applyBorder="1" applyAlignment="1">
      <alignment horizontal="center" vertical="center" wrapText="1"/>
    </xf>
    <xf numFmtId="49" fontId="36" fillId="0" borderId="65" xfId="42" applyNumberFormat="1" applyFont="1" applyFill="1" applyBorder="1" applyAlignment="1">
      <alignment horizontal="center" vertical="center" wrapText="1"/>
    </xf>
    <xf numFmtId="0" fontId="36" fillId="2" borderId="67" xfId="42" applyFont="1" applyFill="1" applyBorder="1" applyAlignment="1">
      <alignment horizontal="center" vertical="center" wrapText="1"/>
    </xf>
    <xf numFmtId="0" fontId="43" fillId="0" borderId="64" xfId="42" applyFont="1" applyFill="1" applyBorder="1" applyAlignment="1">
      <alignment horizontal="center" vertical="center" wrapText="1"/>
    </xf>
    <xf numFmtId="0" fontId="47" fillId="0" borderId="64" xfId="42" applyFont="1" applyFill="1" applyBorder="1" applyAlignment="1">
      <alignment horizontal="center" vertical="center" wrapText="1"/>
    </xf>
    <xf numFmtId="0" fontId="47" fillId="2" borderId="65" xfId="42" applyFont="1" applyFill="1" applyBorder="1" applyAlignment="1">
      <alignment horizontal="center" vertical="center" wrapText="1"/>
    </xf>
    <xf numFmtId="0" fontId="47" fillId="2" borderId="66" xfId="42" applyFont="1" applyFill="1" applyBorder="1" applyAlignment="1">
      <alignment horizontal="center" vertical="center" wrapText="1"/>
    </xf>
    <xf numFmtId="0" fontId="47" fillId="2" borderId="67" xfId="42" applyFont="1" applyFill="1" applyBorder="1" applyAlignment="1">
      <alignment horizontal="center" vertical="center" wrapText="1"/>
    </xf>
    <xf numFmtId="0" fontId="35" fillId="0" borderId="64" xfId="42" applyFont="1" applyFill="1" applyBorder="1" applyAlignment="1">
      <alignment horizontal="left" vertical="center"/>
    </xf>
    <xf numFmtId="0" fontId="36" fillId="0" borderId="64" xfId="42" applyFont="1" applyFill="1" applyBorder="1" applyAlignment="1">
      <alignment horizontal="left" vertical="center" wrapText="1"/>
    </xf>
    <xf numFmtId="0" fontId="38" fillId="0" borderId="64" xfId="42" applyFont="1" applyFill="1" applyBorder="1" applyAlignment="1">
      <alignment horizontal="left" vertical="center" wrapText="1"/>
    </xf>
    <xf numFmtId="0" fontId="59" fillId="0" borderId="64" xfId="42" applyFont="1" applyFill="1" applyBorder="1" applyAlignment="1">
      <alignment horizontal="left" vertical="center" wrapText="1"/>
    </xf>
    <xf numFmtId="0" fontId="36" fillId="0" borderId="66" xfId="42" applyFont="1" applyFill="1" applyBorder="1" applyAlignment="1">
      <alignment horizontal="center" vertical="center" wrapText="1"/>
    </xf>
    <xf numFmtId="0" fontId="36" fillId="0" borderId="67" xfId="42" applyFont="1" applyFill="1" applyBorder="1" applyAlignment="1">
      <alignment horizontal="center" vertical="center" wrapText="1"/>
    </xf>
    <xf numFmtId="0" fontId="38" fillId="0" borderId="126" xfId="42" applyFont="1" applyFill="1" applyBorder="1" applyAlignment="1">
      <alignment horizontal="left" vertical="center" wrapText="1"/>
    </xf>
    <xf numFmtId="0" fontId="38" fillId="0" borderId="127" xfId="42" applyFont="1" applyFill="1" applyBorder="1" applyAlignment="1">
      <alignment horizontal="left" vertical="center" wrapText="1"/>
    </xf>
    <xf numFmtId="0" fontId="38" fillId="0" borderId="128" xfId="42" applyFont="1" applyFill="1" applyBorder="1" applyAlignment="1">
      <alignment horizontal="left" vertical="center" wrapText="1"/>
    </xf>
    <xf numFmtId="0" fontId="53" fillId="6" borderId="0" xfId="42" applyFont="1" applyFill="1" applyBorder="1" applyAlignment="1">
      <alignment horizontal="center" vertical="center"/>
    </xf>
    <xf numFmtId="0" fontId="47" fillId="6" borderId="0" xfId="42" applyFont="1" applyFill="1" applyBorder="1" applyAlignment="1">
      <alignment horizontal="center" vertical="center"/>
    </xf>
    <xf numFmtId="0" fontId="47" fillId="6" borderId="1" xfId="42" applyFont="1" applyFill="1" applyBorder="1" applyAlignment="1">
      <alignment horizontal="center" vertical="center"/>
    </xf>
    <xf numFmtId="180" fontId="47" fillId="6" borderId="1" xfId="42" applyNumberFormat="1" applyFont="1" applyFill="1" applyBorder="1" applyAlignment="1">
      <alignment horizontal="center" vertical="center"/>
    </xf>
    <xf numFmtId="0" fontId="47" fillId="6" borderId="22" xfId="42" applyFont="1" applyFill="1" applyBorder="1" applyAlignment="1">
      <alignment horizontal="center" vertical="center"/>
    </xf>
    <xf numFmtId="0" fontId="47" fillId="6" borderId="25" xfId="42" applyFont="1" applyFill="1" applyBorder="1" applyAlignment="1">
      <alignment horizontal="center" vertical="center"/>
    </xf>
    <xf numFmtId="182" fontId="47" fillId="6" borderId="1" xfId="42" applyNumberFormat="1" applyFont="1" applyFill="1" applyBorder="1" applyAlignment="1">
      <alignment horizontal="center" vertical="center"/>
    </xf>
    <xf numFmtId="0" fontId="53" fillId="6" borderId="0" xfId="49" applyFont="1" applyFill="1" applyBorder="1" applyAlignment="1">
      <alignment horizontal="center" vertical="center"/>
    </xf>
    <xf numFmtId="0" fontId="47" fillId="6" borderId="0" xfId="49" applyFont="1" applyFill="1" applyBorder="1" applyAlignment="1">
      <alignment horizontal="center" vertical="center"/>
    </xf>
    <xf numFmtId="0" fontId="47" fillId="6" borderId="1" xfId="49" applyFont="1" applyFill="1" applyBorder="1" applyAlignment="1">
      <alignment horizontal="center" vertical="center"/>
    </xf>
    <xf numFmtId="180" fontId="47" fillId="6" borderId="1" xfId="49" applyNumberFormat="1" applyFont="1" applyFill="1" applyBorder="1" applyAlignment="1">
      <alignment horizontal="center" vertical="center"/>
    </xf>
    <xf numFmtId="0" fontId="47" fillId="6" borderId="22" xfId="49" applyFont="1" applyFill="1" applyBorder="1" applyAlignment="1">
      <alignment horizontal="center" vertical="center"/>
    </xf>
    <xf numFmtId="0" fontId="47" fillId="6" borderId="25" xfId="49" applyFont="1" applyFill="1" applyBorder="1" applyAlignment="1">
      <alignment horizontal="center" vertical="center"/>
    </xf>
    <xf numFmtId="182" fontId="47" fillId="6" borderId="1" xfId="49" applyNumberFormat="1" applyFont="1" applyFill="1" applyBorder="1" applyAlignment="1">
      <alignment horizontal="center" vertical="center"/>
    </xf>
    <xf numFmtId="0" fontId="35" fillId="0" borderId="64" xfId="49" applyFont="1" applyFill="1" applyBorder="1" applyAlignment="1">
      <alignment horizontal="left" vertical="center"/>
    </xf>
    <xf numFmtId="0" fontId="38" fillId="0" borderId="126" xfId="49" applyFont="1" applyFill="1" applyBorder="1" applyAlignment="1">
      <alignment horizontal="left" vertical="center" wrapText="1"/>
    </xf>
    <xf numFmtId="0" fontId="38" fillId="0" borderId="127" xfId="49" applyFont="1" applyFill="1" applyBorder="1" applyAlignment="1">
      <alignment horizontal="left" vertical="center" wrapText="1"/>
    </xf>
    <xf numFmtId="0" fontId="38" fillId="0" borderId="128" xfId="49" applyFont="1" applyFill="1" applyBorder="1" applyAlignment="1">
      <alignment horizontal="left" vertical="center" wrapText="1"/>
    </xf>
    <xf numFmtId="0" fontId="36" fillId="0" borderId="65" xfId="49" applyFont="1" applyFill="1" applyBorder="1" applyAlignment="1">
      <alignment horizontal="center" vertical="center" wrapText="1"/>
    </xf>
    <xf numFmtId="0" fontId="36" fillId="0" borderId="66" xfId="49" applyFont="1" applyFill="1" applyBorder="1" applyAlignment="1">
      <alignment horizontal="center" vertical="center" wrapText="1"/>
    </xf>
    <xf numFmtId="0" fontId="36" fillId="0" borderId="67" xfId="49" applyFont="1" applyFill="1" applyBorder="1" applyAlignment="1">
      <alignment horizontal="center" vertical="center" wrapText="1"/>
    </xf>
    <xf numFmtId="0" fontId="36" fillId="2" borderId="65" xfId="49" applyFont="1" applyFill="1" applyBorder="1" applyAlignment="1">
      <alignment horizontal="center" vertical="center" wrapText="1"/>
    </xf>
    <xf numFmtId="0" fontId="36" fillId="2" borderId="66" xfId="49" applyFont="1" applyFill="1" applyBorder="1" applyAlignment="1">
      <alignment horizontal="center" vertical="center" wrapText="1"/>
    </xf>
    <xf numFmtId="0" fontId="36" fillId="2" borderId="67" xfId="49" applyFont="1" applyFill="1" applyBorder="1" applyAlignment="1">
      <alignment horizontal="center" vertical="center" wrapText="1"/>
    </xf>
    <xf numFmtId="0" fontId="36" fillId="0" borderId="64" xfId="49" applyFont="1" applyFill="1" applyBorder="1" applyAlignment="1">
      <alignment horizontal="center" vertical="center" wrapText="1"/>
    </xf>
    <xf numFmtId="0" fontId="36" fillId="0" borderId="64" xfId="49" applyFont="1" applyFill="1" applyBorder="1" applyAlignment="1">
      <alignment horizontal="left" vertical="center" wrapText="1"/>
    </xf>
    <xf numFmtId="0" fontId="59" fillId="0" borderId="64" xfId="49" applyFont="1" applyFill="1" applyBorder="1" applyAlignment="1">
      <alignment horizontal="left" vertical="center" wrapText="1"/>
    </xf>
    <xf numFmtId="0" fontId="38" fillId="0" borderId="64" xfId="49" applyFont="1" applyFill="1" applyBorder="1" applyAlignment="1">
      <alignment horizontal="left" vertical="center" wrapText="1"/>
    </xf>
    <xf numFmtId="0" fontId="47" fillId="0" borderId="64" xfId="49" applyFont="1" applyFill="1" applyBorder="1" applyAlignment="1">
      <alignment horizontal="center" vertical="center" wrapText="1"/>
    </xf>
    <xf numFmtId="0" fontId="47" fillId="2" borderId="65" xfId="49" applyFont="1" applyFill="1" applyBorder="1" applyAlignment="1">
      <alignment horizontal="center" vertical="center" wrapText="1"/>
    </xf>
    <xf numFmtId="0" fontId="47" fillId="2" borderId="66" xfId="49" applyFont="1" applyFill="1" applyBorder="1" applyAlignment="1">
      <alignment horizontal="center" vertical="center" wrapText="1"/>
    </xf>
    <xf numFmtId="0" fontId="47" fillId="2" borderId="67" xfId="49" applyFont="1" applyFill="1" applyBorder="1" applyAlignment="1">
      <alignment horizontal="center" vertical="center" wrapText="1"/>
    </xf>
    <xf numFmtId="0" fontId="43" fillId="0" borderId="64" xfId="49" applyFont="1" applyFill="1" applyBorder="1" applyAlignment="1">
      <alignment horizontal="center" vertical="center" wrapText="1"/>
    </xf>
    <xf numFmtId="49" fontId="36" fillId="0" borderId="64" xfId="49" applyNumberFormat="1" applyFont="1" applyFill="1" applyBorder="1" applyAlignment="1">
      <alignment horizontal="center" vertical="center" wrapText="1"/>
    </xf>
    <xf numFmtId="0" fontId="36" fillId="0" borderId="6" xfId="49" applyFont="1" applyFill="1" applyBorder="1" applyAlignment="1">
      <alignment horizontal="center" vertical="center" wrapText="1"/>
    </xf>
    <xf numFmtId="0" fontId="36" fillId="2" borderId="6" xfId="49" applyFont="1" applyFill="1" applyBorder="1" applyAlignment="1">
      <alignment horizontal="center" vertical="center" wrapText="1"/>
    </xf>
    <xf numFmtId="49" fontId="36" fillId="0" borderId="6" xfId="49" applyNumberFormat="1" applyFont="1" applyFill="1" applyBorder="1" applyAlignment="1">
      <alignment horizontal="center" vertical="center" wrapText="1"/>
    </xf>
    <xf numFmtId="49" fontId="36" fillId="0" borderId="65" xfId="49" applyNumberFormat="1" applyFont="1" applyFill="1" applyBorder="1" applyAlignment="1">
      <alignment horizontal="center" vertical="center" wrapText="1"/>
    </xf>
    <xf numFmtId="0" fontId="45" fillId="0" borderId="4" xfId="4" applyFont="1" applyFill="1" applyBorder="1" applyAlignment="1">
      <alignment horizontal="center" vertical="center"/>
    </xf>
    <xf numFmtId="0" fontId="115" fillId="2" borderId="1" xfId="5" applyFont="1" applyFill="1" applyBorder="1" applyAlignment="1">
      <alignment horizontal="center" vertical="center"/>
    </xf>
    <xf numFmtId="0" fontId="47" fillId="0" borderId="1" xfId="5" applyFont="1" applyBorder="1" applyAlignment="1">
      <alignment horizontal="center" vertical="center"/>
    </xf>
    <xf numFmtId="14" fontId="47" fillId="0" borderId="1" xfId="5" applyNumberFormat="1" applyFont="1" applyBorder="1" applyAlignment="1">
      <alignment horizontal="center" vertical="center"/>
    </xf>
    <xf numFmtId="0" fontId="47" fillId="2" borderId="1" xfId="5" applyFont="1" applyFill="1" applyBorder="1" applyAlignment="1">
      <alignment horizontal="center" vertical="center"/>
    </xf>
    <xf numFmtId="0" fontId="47" fillId="0" borderId="1" xfId="5" applyFont="1" applyFill="1" applyBorder="1" applyAlignment="1">
      <alignment horizontal="center" vertical="center"/>
    </xf>
    <xf numFmtId="0" fontId="47" fillId="0" borderId="1" xfId="3" applyFont="1" applyBorder="1" applyAlignment="1">
      <alignment horizontal="center" vertical="center"/>
    </xf>
    <xf numFmtId="0" fontId="47" fillId="0" borderId="3" xfId="4" applyFont="1" applyBorder="1" applyAlignment="1">
      <alignment horizontal="center"/>
    </xf>
    <xf numFmtId="0" fontId="47" fillId="0" borderId="19" xfId="4" applyFont="1" applyBorder="1" applyAlignment="1">
      <alignment horizontal="center"/>
    </xf>
    <xf numFmtId="0" fontId="47" fillId="0" borderId="1" xfId="32" applyFont="1" applyBorder="1" applyAlignment="1">
      <alignment horizontal="center" vertical="center"/>
    </xf>
    <xf numFmtId="0" fontId="77" fillId="0" borderId="0" xfId="31" applyFont="1" applyAlignment="1">
      <alignment horizontal="right"/>
    </xf>
    <xf numFmtId="0" fontId="13" fillId="0" borderId="0" xfId="31" applyFont="1" applyAlignment="1">
      <alignment horizontal="center"/>
    </xf>
    <xf numFmtId="0" fontId="6" fillId="0" borderId="0" xfId="31" applyFont="1" applyBorder="1" applyAlignment="1">
      <alignment horizontal="center"/>
    </xf>
    <xf numFmtId="0" fontId="6" fillId="0" borderId="4" xfId="31" applyFont="1" applyBorder="1" applyAlignment="1">
      <alignment horizontal="center"/>
    </xf>
    <xf numFmtId="0" fontId="6" fillId="0" borderId="0" xfId="31" applyFont="1" applyAlignment="1">
      <alignment horizontal="center"/>
    </xf>
    <xf numFmtId="0" fontId="6" fillId="0" borderId="8" xfId="31" applyFont="1" applyBorder="1" applyAlignment="1">
      <alignment horizontal="center" vertical="center"/>
    </xf>
    <xf numFmtId="0" fontId="6" fillId="0" borderId="9" xfId="31" applyFont="1" applyBorder="1" applyAlignment="1">
      <alignment horizontal="center" vertical="center"/>
    </xf>
    <xf numFmtId="0" fontId="30" fillId="0" borderId="8" xfId="31" applyFont="1" applyBorder="1" applyAlignment="1">
      <alignment horizontal="center" vertical="center"/>
    </xf>
    <xf numFmtId="0" fontId="30" fillId="0" borderId="90" xfId="31" applyFont="1" applyBorder="1" applyAlignment="1">
      <alignment horizontal="center" vertical="center"/>
    </xf>
    <xf numFmtId="0" fontId="8" fillId="0" borderId="20" xfId="31" applyFont="1" applyBorder="1" applyAlignment="1">
      <alignment horizontal="center"/>
    </xf>
    <xf numFmtId="14" fontId="6" fillId="0" borderId="20" xfId="31" applyNumberFormat="1" applyFont="1" applyBorder="1" applyAlignment="1">
      <alignment horizontal="center"/>
    </xf>
    <xf numFmtId="0" fontId="6" fillId="0" borderId="20" xfId="31" applyFont="1" applyBorder="1" applyAlignment="1">
      <alignment horizontal="center"/>
    </xf>
    <xf numFmtId="0" fontId="79" fillId="0" borderId="4" xfId="31" applyFont="1" applyBorder="1" applyAlignment="1">
      <alignment horizontal="center"/>
    </xf>
    <xf numFmtId="0" fontId="0" fillId="0" borderId="31" xfId="31" applyFont="1" applyBorder="1" applyAlignment="1">
      <alignment horizontal="center" vertical="center"/>
    </xf>
    <xf numFmtId="0" fontId="6" fillId="0" borderId="31" xfId="31" applyFont="1" applyBorder="1" applyAlignment="1">
      <alignment horizontal="center" vertical="center"/>
    </xf>
    <xf numFmtId="0" fontId="78" fillId="0" borderId="99" xfId="31" applyFont="1" applyBorder="1" applyAlignment="1">
      <alignment horizontal="center" vertical="center"/>
    </xf>
    <xf numFmtId="0" fontId="78" fillId="0" borderId="100" xfId="31" applyFont="1" applyBorder="1" applyAlignment="1">
      <alignment horizontal="center" vertical="center"/>
    </xf>
    <xf numFmtId="0" fontId="78" fillId="0" borderId="102" xfId="31" applyFont="1" applyBorder="1" applyAlignment="1">
      <alignment horizontal="center" vertical="center"/>
    </xf>
    <xf numFmtId="0" fontId="6" fillId="0" borderId="90" xfId="31" applyFont="1" applyBorder="1" applyAlignment="1">
      <alignment horizontal="center" vertical="center"/>
    </xf>
    <xf numFmtId="180" fontId="7" fillId="0" borderId="0" xfId="31" applyNumberFormat="1" applyFont="1" applyBorder="1" applyAlignment="1">
      <alignment horizontal="center"/>
    </xf>
    <xf numFmtId="0" fontId="6" fillId="0" borderId="89" xfId="31" applyFont="1" applyBorder="1" applyAlignment="1">
      <alignment horizontal="center" vertical="center"/>
    </xf>
    <xf numFmtId="0" fontId="6" fillId="0" borderId="95" xfId="31" applyFont="1" applyBorder="1" applyAlignment="1">
      <alignment horizontal="center" vertical="center"/>
    </xf>
    <xf numFmtId="0" fontId="6" fillId="0" borderId="94" xfId="31" applyFont="1" applyBorder="1" applyAlignment="1">
      <alignment horizontal="center" vertical="center"/>
    </xf>
    <xf numFmtId="0" fontId="66" fillId="0" borderId="0" xfId="31" applyFont="1" applyBorder="1" applyAlignment="1">
      <alignment horizontal="center"/>
    </xf>
    <xf numFmtId="0" fontId="10" fillId="0" borderId="0" xfId="31" applyFont="1" applyBorder="1" applyAlignment="1">
      <alignment horizontal="center"/>
    </xf>
    <xf numFmtId="0" fontId="6" fillId="8" borderId="0" xfId="31" applyFont="1" applyFill="1" applyBorder="1" applyAlignment="1">
      <alignment horizontal="center"/>
    </xf>
    <xf numFmtId="0" fontId="10" fillId="0" borderId="0" xfId="29" applyFont="1" applyAlignment="1">
      <alignment horizontal="center" vertical="center"/>
    </xf>
    <xf numFmtId="0" fontId="6" fillId="0" borderId="6" xfId="29" applyFont="1" applyFill="1" applyBorder="1" applyAlignment="1">
      <alignment horizontal="center" vertical="center"/>
    </xf>
    <xf numFmtId="180" fontId="7" fillId="0" borderId="6" xfId="29" applyNumberFormat="1" applyFont="1" applyFill="1" applyBorder="1" applyAlignment="1">
      <alignment horizontal="left" vertical="center"/>
    </xf>
    <xf numFmtId="0" fontId="11" fillId="0" borderId="6" xfId="29" applyFont="1" applyFill="1" applyBorder="1" applyAlignment="1">
      <alignment horizontal="center" vertical="center"/>
    </xf>
    <xf numFmtId="0" fontId="6" fillId="0" borderId="0" xfId="29" applyFont="1" applyBorder="1" applyAlignment="1">
      <alignment horizontal="center"/>
    </xf>
    <xf numFmtId="0" fontId="6" fillId="0" borderId="0" xfId="29" applyFont="1" applyAlignment="1">
      <alignment horizontal="center"/>
    </xf>
    <xf numFmtId="0" fontId="8" fillId="0" borderId="0" xfId="29" applyFont="1" applyBorder="1" applyAlignment="1">
      <alignment horizontal="center"/>
    </xf>
    <xf numFmtId="14" fontId="6" fillId="0" borderId="6" xfId="29" applyNumberFormat="1" applyFont="1" applyFill="1" applyBorder="1" applyAlignment="1">
      <alignment horizontal="center" vertical="center"/>
    </xf>
    <xf numFmtId="177" fontId="6" fillId="0" borderId="6" xfId="29" applyNumberFormat="1" applyFont="1" applyFill="1" applyBorder="1" applyAlignment="1">
      <alignment horizontal="center" vertical="center"/>
    </xf>
    <xf numFmtId="0" fontId="6" fillId="0" borderId="6" xfId="29" applyFont="1" applyFill="1" applyBorder="1" applyAlignment="1">
      <alignment horizontal="center" vertical="center" wrapText="1"/>
    </xf>
    <xf numFmtId="179" fontId="6" fillId="0" borderId="6" xfId="29" applyNumberFormat="1" applyFont="1" applyFill="1" applyBorder="1" applyAlignment="1">
      <alignment horizontal="center" vertical="center"/>
    </xf>
    <xf numFmtId="0" fontId="78" fillId="0" borderId="6" xfId="29" applyFont="1" applyFill="1" applyBorder="1" applyAlignment="1">
      <alignment horizontal="center" vertical="center"/>
    </xf>
    <xf numFmtId="0" fontId="6" fillId="0" borderId="34" xfId="29" applyFont="1" applyFill="1" applyBorder="1" applyAlignment="1">
      <alignment horizontal="center" vertical="center" wrapText="1"/>
    </xf>
    <xf numFmtId="0" fontId="6" fillId="0" borderId="35" xfId="29" applyFont="1" applyFill="1" applyBorder="1" applyAlignment="1">
      <alignment horizontal="center" vertical="center" wrapText="1"/>
    </xf>
    <xf numFmtId="0" fontId="6" fillId="0" borderId="36" xfId="29" applyFont="1" applyFill="1" applyBorder="1" applyAlignment="1">
      <alignment horizontal="center" vertical="center" wrapText="1"/>
    </xf>
    <xf numFmtId="0" fontId="78" fillId="0" borderId="6" xfId="29" applyFont="1" applyFill="1" applyBorder="1" applyAlignment="1">
      <alignment horizontal="center" vertical="center" wrapText="1"/>
    </xf>
    <xf numFmtId="0" fontId="6" fillId="0" borderId="8" xfId="29" applyFont="1" applyFill="1" applyBorder="1" applyAlignment="1">
      <alignment horizontal="center" vertical="center"/>
    </xf>
    <xf numFmtId="0" fontId="6" fillId="0" borderId="18" xfId="29" applyFont="1" applyFill="1" applyBorder="1" applyAlignment="1">
      <alignment horizontal="center" vertical="center"/>
    </xf>
    <xf numFmtId="0" fontId="6" fillId="0" borderId="9" xfId="29" applyFont="1" applyFill="1" applyBorder="1" applyAlignment="1">
      <alignment horizontal="center" vertical="center"/>
    </xf>
    <xf numFmtId="0" fontId="6" fillId="0" borderId="0" xfId="29" applyFont="1" applyFill="1" applyAlignment="1">
      <alignment horizontal="center" vertical="center"/>
    </xf>
    <xf numFmtId="180" fontId="6" fillId="0" borderId="4" xfId="29" applyNumberFormat="1" applyFont="1" applyFill="1" applyBorder="1" applyAlignment="1">
      <alignment horizontal="center" vertical="center"/>
    </xf>
    <xf numFmtId="0" fontId="6" fillId="0" borderId="0" xfId="29" applyFont="1" applyFill="1" applyAlignment="1">
      <alignment horizontal="right" vertical="center"/>
    </xf>
    <xf numFmtId="0" fontId="6" fillId="0" borderId="4" xfId="29" applyFont="1" applyFill="1" applyBorder="1" applyAlignment="1">
      <alignment horizontal="center" vertical="center"/>
    </xf>
    <xf numFmtId="0" fontId="102" fillId="0" borderId="1" xfId="34" applyFont="1" applyBorder="1" applyAlignment="1">
      <alignment horizontal="center" vertical="center"/>
    </xf>
    <xf numFmtId="0" fontId="102" fillId="0" borderId="1" xfId="35" applyFont="1" applyBorder="1" applyAlignment="1">
      <alignment horizontal="center" vertical="center"/>
    </xf>
    <xf numFmtId="0" fontId="45" fillId="0" borderId="0" xfId="35" applyFont="1" applyAlignment="1">
      <alignment horizontal="center"/>
    </xf>
    <xf numFmtId="0" fontId="101" fillId="0" borderId="0" xfId="35" applyFont="1" applyAlignment="1">
      <alignment horizontal="center"/>
    </xf>
    <xf numFmtId="14" fontId="102" fillId="0" borderId="1" xfId="34" applyNumberFormat="1" applyFont="1" applyBorder="1" applyAlignment="1">
      <alignment horizontal="center" vertical="center"/>
    </xf>
    <xf numFmtId="0" fontId="82" fillId="0" borderId="0" xfId="33" applyFont="1" applyBorder="1" applyAlignment="1">
      <alignment horizontal="center"/>
    </xf>
    <xf numFmtId="0" fontId="92" fillId="0" borderId="0" xfId="33" applyFont="1" applyBorder="1" applyAlignment="1">
      <alignment horizontal="center"/>
    </xf>
    <xf numFmtId="0" fontId="93" fillId="0" borderId="0" xfId="33" applyFont="1" applyBorder="1" applyAlignment="1">
      <alignment horizontal="center"/>
    </xf>
    <xf numFmtId="180" fontId="83" fillId="0" borderId="0" xfId="33" applyNumberFormat="1" applyFont="1" applyBorder="1" applyAlignment="1">
      <alignment horizontal="center"/>
    </xf>
    <xf numFmtId="0" fontId="87" fillId="0" borderId="8" xfId="33" applyFont="1" applyBorder="1" applyAlignment="1">
      <alignment horizontal="center" vertical="center"/>
    </xf>
    <xf numFmtId="0" fontId="87" fillId="0" borderId="9" xfId="33" applyFont="1" applyBorder="1" applyAlignment="1">
      <alignment horizontal="center" vertical="center"/>
    </xf>
    <xf numFmtId="0" fontId="82" fillId="0" borderId="8" xfId="33" applyFont="1" applyBorder="1" applyAlignment="1">
      <alignment horizontal="center" vertical="center"/>
    </xf>
    <xf numFmtId="0" fontId="82" fillId="0" borderId="90" xfId="33" applyFont="1" applyBorder="1" applyAlignment="1">
      <alignment horizontal="center" vertical="center"/>
    </xf>
    <xf numFmtId="0" fontId="87" fillId="0" borderId="90" xfId="33" applyFont="1" applyBorder="1" applyAlignment="1">
      <alignment horizontal="center" vertical="center"/>
    </xf>
    <xf numFmtId="0" fontId="87" fillId="0" borderId="89" xfId="33" applyFont="1" applyBorder="1" applyAlignment="1">
      <alignment horizontal="right" vertical="center"/>
    </xf>
    <xf numFmtId="0" fontId="87" fillId="0" borderId="93" xfId="33" applyFont="1" applyBorder="1" applyAlignment="1">
      <alignment horizontal="right" vertical="center"/>
    </xf>
    <xf numFmtId="0" fontId="83" fillId="0" borderId="8" xfId="33" applyFont="1" applyBorder="1" applyAlignment="1">
      <alignment horizontal="center" vertical="center"/>
    </xf>
    <xf numFmtId="0" fontId="83" fillId="0" borderId="90" xfId="33" applyFont="1" applyBorder="1" applyAlignment="1">
      <alignment horizontal="center" vertical="center"/>
    </xf>
    <xf numFmtId="0" fontId="91" fillId="0" borderId="8" xfId="33" applyFont="1" applyBorder="1" applyAlignment="1">
      <alignment horizontal="center" vertical="center"/>
    </xf>
    <xf numFmtId="0" fontId="91" fillId="0" borderId="90" xfId="33" applyFont="1" applyBorder="1" applyAlignment="1">
      <alignment horizontal="center" vertical="center"/>
    </xf>
    <xf numFmtId="0" fontId="89" fillId="0" borderId="29" xfId="33" applyFont="1" applyBorder="1" applyAlignment="1">
      <alignment horizontal="center" vertical="center"/>
    </xf>
    <xf numFmtId="0" fontId="0" fillId="0" borderId="31" xfId="33" applyFont="1" applyBorder="1" applyAlignment="1">
      <alignment horizontal="center" vertical="center"/>
    </xf>
    <xf numFmtId="0" fontId="82" fillId="0" borderId="31" xfId="33" applyFont="1" applyBorder="1" applyAlignment="1">
      <alignment horizontal="center" vertical="center"/>
    </xf>
    <xf numFmtId="0" fontId="82" fillId="0" borderId="99" xfId="33" applyFont="1" applyBorder="1" applyAlignment="1">
      <alignment horizontal="center" vertical="center"/>
    </xf>
    <xf numFmtId="0" fontId="90" fillId="0" borderId="103" xfId="33" applyFont="1" applyBorder="1" applyAlignment="1">
      <alignment horizontal="center" vertical="center"/>
    </xf>
    <xf numFmtId="0" fontId="90" fillId="0" borderId="104" xfId="33" applyFont="1" applyBorder="1" applyAlignment="1">
      <alignment horizontal="center" vertical="center"/>
    </xf>
    <xf numFmtId="178" fontId="82" fillId="2" borderId="105" xfId="33" applyNumberFormat="1" applyFont="1" applyFill="1" applyBorder="1" applyAlignment="1">
      <alignment horizontal="center" vertical="center"/>
    </xf>
    <xf numFmtId="178" fontId="82" fillId="2" borderId="0" xfId="33" applyNumberFormat="1" applyFont="1" applyFill="1" applyBorder="1" applyAlignment="1">
      <alignment horizontal="center" vertical="center"/>
    </xf>
    <xf numFmtId="178" fontId="82" fillId="2" borderId="0" xfId="33" applyNumberFormat="1" applyFont="1" applyFill="1" applyAlignment="1">
      <alignment horizontal="center" vertical="center"/>
    </xf>
    <xf numFmtId="178" fontId="87" fillId="0" borderId="8" xfId="33" applyNumberFormat="1" applyFont="1" applyBorder="1" applyAlignment="1">
      <alignment horizontal="center" vertical="center"/>
    </xf>
    <xf numFmtId="0" fontId="82" fillId="0" borderId="83" xfId="33" applyFont="1" applyBorder="1" applyAlignment="1">
      <alignment horizontal="center" vertical="center"/>
    </xf>
    <xf numFmtId="0" fontId="82" fillId="0" borderId="84" xfId="33" applyFont="1" applyBorder="1" applyAlignment="1">
      <alignment horizontal="center" vertical="center"/>
    </xf>
    <xf numFmtId="0" fontId="82" fillId="0" borderId="101" xfId="33" applyFont="1" applyBorder="1" applyAlignment="1">
      <alignment horizontal="center" vertical="center"/>
    </xf>
    <xf numFmtId="0" fontId="84" fillId="0" borderId="0" xfId="33" applyFont="1" applyAlignment="1">
      <alignment horizontal="right"/>
    </xf>
    <xf numFmtId="0" fontId="85" fillId="0" borderId="0" xfId="33" applyFont="1" applyAlignment="1">
      <alignment horizontal="center"/>
    </xf>
    <xf numFmtId="0" fontId="0" fillId="0" borderId="4" xfId="33" applyFont="1" applyBorder="1" applyAlignment="1">
      <alignment horizontal="center"/>
    </xf>
    <xf numFmtId="0" fontId="82" fillId="0" borderId="4" xfId="33" applyFont="1" applyBorder="1" applyAlignment="1">
      <alignment horizontal="center"/>
    </xf>
    <xf numFmtId="0" fontId="82" fillId="0" borderId="0" xfId="33" applyFont="1" applyAlignment="1">
      <alignment horizontal="center"/>
    </xf>
    <xf numFmtId="0" fontId="0" fillId="0" borderId="0" xfId="33" applyFont="1" applyAlignment="1">
      <alignment horizontal="center"/>
    </xf>
    <xf numFmtId="0" fontId="8" fillId="0" borderId="20" xfId="33" applyFont="1" applyBorder="1" applyAlignment="1">
      <alignment horizontal="center"/>
    </xf>
    <xf numFmtId="58" fontId="82" fillId="0" borderId="20" xfId="33" applyNumberFormat="1" applyFont="1" applyBorder="1" applyAlignment="1">
      <alignment horizontal="center"/>
    </xf>
    <xf numFmtId="0" fontId="82" fillId="0" borderId="20" xfId="33" applyFont="1" applyBorder="1" applyAlignment="1">
      <alignment horizontal="center"/>
    </xf>
    <xf numFmtId="0" fontId="0" fillId="0" borderId="20" xfId="33" applyFont="1" applyBorder="1" applyAlignment="1">
      <alignment horizontal="center"/>
    </xf>
    <xf numFmtId="0" fontId="88" fillId="0" borderId="4" xfId="33" applyFont="1" applyBorder="1" applyAlignment="1">
      <alignment horizontal="center"/>
    </xf>
    <xf numFmtId="0" fontId="91" fillId="0" borderId="0" xfId="33" applyFont="1" applyFill="1" applyAlignment="1">
      <alignment horizontal="center" vertical="center"/>
    </xf>
    <xf numFmtId="0" fontId="0" fillId="0" borderId="4" xfId="33" applyFont="1" applyFill="1" applyBorder="1" applyAlignment="1">
      <alignment horizontal="center" vertical="center"/>
    </xf>
    <xf numFmtId="0" fontId="82" fillId="0" borderId="4" xfId="33" applyFont="1" applyFill="1" applyBorder="1" applyAlignment="1">
      <alignment horizontal="center" vertical="center"/>
    </xf>
    <xf numFmtId="180" fontId="82" fillId="0" borderId="4" xfId="33" applyNumberFormat="1" applyFont="1" applyFill="1" applyBorder="1" applyAlignment="1">
      <alignment horizontal="center" vertical="center"/>
    </xf>
    <xf numFmtId="0" fontId="87" fillId="0" borderId="1" xfId="33" applyFont="1" applyFill="1" applyBorder="1" applyAlignment="1">
      <alignment horizontal="center" vertical="center"/>
    </xf>
    <xf numFmtId="0" fontId="87" fillId="0" borderId="108" xfId="33" applyFont="1" applyFill="1" applyBorder="1" applyAlignment="1">
      <alignment horizontal="center" vertical="center"/>
    </xf>
    <xf numFmtId="0" fontId="91" fillId="0" borderId="107" xfId="33" applyFont="1" applyFill="1" applyBorder="1" applyAlignment="1">
      <alignment horizontal="center" vertical="center"/>
    </xf>
    <xf numFmtId="0" fontId="91" fillId="0" borderId="109" xfId="33" applyFont="1" applyFill="1" applyBorder="1" applyAlignment="1">
      <alignment horizontal="center" vertical="center"/>
    </xf>
    <xf numFmtId="0" fontId="91" fillId="0" borderId="1" xfId="33" applyFont="1" applyFill="1" applyBorder="1" applyAlignment="1">
      <alignment horizontal="center" vertical="center"/>
    </xf>
    <xf numFmtId="0" fontId="91" fillId="0" borderId="110" xfId="33" applyFont="1" applyFill="1" applyBorder="1" applyAlignment="1">
      <alignment horizontal="center" vertical="center"/>
    </xf>
    <xf numFmtId="0" fontId="87" fillId="0" borderId="1" xfId="33" applyFont="1" applyFill="1" applyBorder="1" applyAlignment="1">
      <alignment horizontal="center" vertical="center" wrapText="1"/>
    </xf>
    <xf numFmtId="0" fontId="87" fillId="0" borderId="107" xfId="33" applyFont="1" applyFill="1" applyBorder="1" applyAlignment="1">
      <alignment horizontal="center" vertical="center" wrapText="1"/>
    </xf>
    <xf numFmtId="0" fontId="11" fillId="0" borderId="1" xfId="26" applyFont="1" applyFill="1" applyBorder="1" applyAlignment="1">
      <alignment horizontal="center" vertical="center"/>
    </xf>
    <xf numFmtId="0" fontId="82" fillId="0" borderId="104" xfId="33" applyFont="1" applyFill="1" applyBorder="1" applyAlignment="1">
      <alignment horizontal="center" vertical="center"/>
    </xf>
    <xf numFmtId="0" fontId="82" fillId="0" borderId="108" xfId="33" applyFont="1" applyFill="1" applyBorder="1" applyAlignment="1">
      <alignment horizontal="center" vertical="center"/>
    </xf>
    <xf numFmtId="0" fontId="97" fillId="14" borderId="103" xfId="34" applyFont="1" applyFill="1" applyBorder="1" applyAlignment="1">
      <alignment horizontal="center" vertical="center" wrapText="1"/>
    </xf>
    <xf numFmtId="0" fontId="97" fillId="14" borderId="104" xfId="34" applyFont="1" applyFill="1" applyBorder="1" applyAlignment="1">
      <alignment horizontal="center" vertical="center" wrapText="1"/>
    </xf>
    <xf numFmtId="0" fontId="82" fillId="0" borderId="107" xfId="33" applyFont="1" applyFill="1" applyBorder="1" applyAlignment="1">
      <alignment horizontal="center" vertical="center"/>
    </xf>
    <xf numFmtId="0" fontId="82" fillId="0" borderId="1" xfId="33" applyFont="1" applyFill="1" applyBorder="1" applyAlignment="1">
      <alignment horizontal="center" vertical="center"/>
    </xf>
    <xf numFmtId="0" fontId="82" fillId="0" borderId="106" xfId="33" applyFont="1" applyFill="1" applyBorder="1" applyAlignment="1">
      <alignment horizontal="center" vertical="center"/>
    </xf>
    <xf numFmtId="0" fontId="82" fillId="0" borderId="103" xfId="33" applyFont="1" applyFill="1" applyBorder="1" applyAlignment="1">
      <alignment horizontal="center" vertical="center"/>
    </xf>
    <xf numFmtId="186" fontId="82" fillId="0" borderId="103" xfId="33" applyNumberFormat="1" applyFont="1" applyFill="1" applyBorder="1" applyAlignment="1">
      <alignment horizontal="center" vertical="center"/>
    </xf>
    <xf numFmtId="186" fontId="82" fillId="0" borderId="1" xfId="33" applyNumberFormat="1" applyFont="1" applyFill="1" applyBorder="1" applyAlignment="1">
      <alignment horizontal="center" vertical="center"/>
    </xf>
    <xf numFmtId="0" fontId="99" fillId="0" borderId="1" xfId="33" applyFont="1" applyFill="1" applyBorder="1" applyAlignment="1">
      <alignment horizontal="center" vertical="center"/>
    </xf>
    <xf numFmtId="0" fontId="99" fillId="0" borderId="108" xfId="33" applyFont="1" applyFill="1" applyBorder="1" applyAlignment="1">
      <alignment horizontal="center" vertical="center"/>
    </xf>
    <xf numFmtId="0" fontId="68" fillId="0" borderId="0" xfId="33" applyFont="1" applyAlignment="1">
      <alignment horizontal="center" vertical="center"/>
    </xf>
    <xf numFmtId="0" fontId="95" fillId="0" borderId="0" xfId="33" applyFont="1" applyAlignment="1">
      <alignment horizontal="center" vertical="center"/>
    </xf>
    <xf numFmtId="0" fontId="82" fillId="0" borderId="0" xfId="33" applyFont="1" applyFill="1" applyBorder="1" applyAlignment="1">
      <alignment horizontal="center" vertical="center"/>
    </xf>
    <xf numFmtId="0" fontId="45" fillId="0" borderId="0" xfId="32" applyFont="1" applyAlignment="1">
      <alignment horizontal="center"/>
    </xf>
    <xf numFmtId="14" fontId="47" fillId="0" borderId="1" xfId="3" applyNumberFormat="1" applyFont="1" applyBorder="1" applyAlignment="1">
      <alignment horizontal="center" vertical="center"/>
    </xf>
    <xf numFmtId="0" fontId="71" fillId="0" borderId="0" xfId="36" applyFont="1" applyAlignment="1">
      <alignment horizontal="right"/>
    </xf>
    <xf numFmtId="0" fontId="104" fillId="0" borderId="0" xfId="36" applyFont="1" applyAlignment="1">
      <alignment horizontal="center"/>
    </xf>
    <xf numFmtId="0" fontId="6" fillId="0" borderId="0" xfId="36" applyFont="1" applyBorder="1" applyAlignment="1">
      <alignment horizontal="center"/>
    </xf>
    <xf numFmtId="0" fontId="6" fillId="0" borderId="4" xfId="36" applyFont="1" applyBorder="1" applyAlignment="1">
      <alignment horizontal="center"/>
    </xf>
    <xf numFmtId="0" fontId="6" fillId="0" borderId="0" xfId="36" applyFont="1" applyAlignment="1">
      <alignment horizontal="center"/>
    </xf>
    <xf numFmtId="0" fontId="0" fillId="0" borderId="8" xfId="36" applyFont="1" applyBorder="1" applyAlignment="1">
      <alignment horizontal="center" vertical="center"/>
    </xf>
    <xf numFmtId="0" fontId="6" fillId="0" borderId="9" xfId="36" applyFont="1" applyBorder="1" applyAlignment="1">
      <alignment horizontal="center" vertical="center"/>
    </xf>
    <xf numFmtId="0" fontId="6" fillId="0" borderId="8" xfId="36" applyFont="1" applyBorder="1" applyAlignment="1">
      <alignment horizontal="center" vertical="center"/>
    </xf>
    <xf numFmtId="0" fontId="6" fillId="0" borderId="90" xfId="36" applyFont="1" applyBorder="1" applyAlignment="1">
      <alignment horizontal="center" vertical="center"/>
    </xf>
    <xf numFmtId="0" fontId="0" fillId="0" borderId="0" xfId="36" applyFont="1" applyAlignment="1">
      <alignment horizontal="center"/>
    </xf>
    <xf numFmtId="0" fontId="8" fillId="0" borderId="20" xfId="36" applyFont="1" applyBorder="1" applyAlignment="1">
      <alignment horizontal="center"/>
    </xf>
    <xf numFmtId="14" fontId="6" fillId="0" borderId="20" xfId="36" applyNumberFormat="1" applyFont="1" applyBorder="1" applyAlignment="1">
      <alignment horizontal="center"/>
    </xf>
    <xf numFmtId="0" fontId="6" fillId="0" borderId="20" xfId="36" applyFont="1" applyBorder="1" applyAlignment="1">
      <alignment horizontal="center"/>
    </xf>
    <xf numFmtId="0" fontId="0" fillId="0" borderId="20" xfId="36" applyFont="1" applyBorder="1" applyAlignment="1">
      <alignment horizontal="center"/>
    </xf>
    <xf numFmtId="0" fontId="8" fillId="2" borderId="4" xfId="36" applyFont="1" applyFill="1" applyBorder="1" applyAlignment="1">
      <alignment horizontal="center"/>
    </xf>
    <xf numFmtId="0" fontId="104" fillId="0" borderId="29" xfId="36" applyFont="1" applyBorder="1" applyAlignment="1">
      <alignment horizontal="center"/>
    </xf>
    <xf numFmtId="0" fontId="6" fillId="0" borderId="31" xfId="36" applyFont="1" applyBorder="1" applyAlignment="1">
      <alignment horizontal="center" vertical="center"/>
    </xf>
    <xf numFmtId="0" fontId="72" fillId="0" borderId="99" xfId="36" applyFont="1" applyBorder="1" applyAlignment="1">
      <alignment horizontal="center" vertical="center"/>
    </xf>
    <xf numFmtId="0" fontId="72" fillId="0" borderId="100" xfId="36" applyFont="1" applyBorder="1" applyAlignment="1">
      <alignment horizontal="center" vertical="center"/>
    </xf>
    <xf numFmtId="0" fontId="72" fillId="0" borderId="102" xfId="36" applyFont="1" applyBorder="1" applyAlignment="1">
      <alignment horizontal="center" vertical="center"/>
    </xf>
    <xf numFmtId="0" fontId="11" fillId="0" borderId="8" xfId="36" applyFont="1" applyBorder="1" applyAlignment="1">
      <alignment horizontal="center" vertical="center"/>
    </xf>
    <xf numFmtId="0" fontId="11" fillId="0" borderId="9" xfId="36" applyFont="1" applyBorder="1" applyAlignment="1">
      <alignment horizontal="center" vertical="center"/>
    </xf>
    <xf numFmtId="0" fontId="7" fillId="0" borderId="8" xfId="36" applyFont="1" applyBorder="1" applyAlignment="1">
      <alignment horizontal="center" vertical="center"/>
    </xf>
    <xf numFmtId="0" fontId="7" fillId="0" borderId="90" xfId="36" applyFont="1" applyBorder="1" applyAlignment="1">
      <alignment horizontal="center" vertical="center"/>
    </xf>
    <xf numFmtId="0" fontId="10" fillId="0" borderId="0" xfId="36" applyFont="1" applyBorder="1" applyAlignment="1">
      <alignment horizontal="center"/>
    </xf>
    <xf numFmtId="0" fontId="6" fillId="0" borderId="89" xfId="36" applyFont="1" applyBorder="1" applyAlignment="1">
      <alignment horizontal="center" vertical="center"/>
    </xf>
    <xf numFmtId="0" fontId="6" fillId="0" borderId="95" xfId="36" applyFont="1" applyBorder="1" applyAlignment="1">
      <alignment horizontal="center" vertical="center"/>
    </xf>
    <xf numFmtId="0" fontId="6" fillId="0" borderId="94" xfId="36" applyFont="1" applyBorder="1" applyAlignment="1">
      <alignment horizontal="center" vertical="center"/>
    </xf>
    <xf numFmtId="0" fontId="9" fillId="0" borderId="0" xfId="36" applyFont="1" applyBorder="1" applyAlignment="1">
      <alignment horizontal="center" vertical="center"/>
    </xf>
    <xf numFmtId="0" fontId="6" fillId="0" borderId="0" xfId="36" applyFont="1" applyBorder="1" applyAlignment="1">
      <alignment horizontal="center" vertical="center"/>
    </xf>
    <xf numFmtId="0" fontId="66" fillId="0" borderId="0" xfId="36" applyFont="1" applyBorder="1" applyAlignment="1">
      <alignment horizontal="center"/>
    </xf>
    <xf numFmtId="0" fontId="0" fillId="0" borderId="0" xfId="33" applyFont="1" applyFill="1" applyBorder="1" applyAlignment="1">
      <alignment horizontal="center" vertical="center"/>
    </xf>
    <xf numFmtId="0" fontId="6" fillId="0" borderId="0" xfId="33" applyFont="1" applyFill="1" applyBorder="1" applyAlignment="1">
      <alignment horizontal="center" vertical="center"/>
    </xf>
    <xf numFmtId="0" fontId="6" fillId="3" borderId="0" xfId="33" applyFont="1" applyFill="1" applyBorder="1" applyAlignment="1">
      <alignment horizontal="center" vertical="center"/>
    </xf>
    <xf numFmtId="180" fontId="6" fillId="3" borderId="0" xfId="33" applyNumberFormat="1" applyFont="1" applyFill="1" applyBorder="1" applyAlignment="1">
      <alignment horizontal="center" vertical="center"/>
    </xf>
    <xf numFmtId="180" fontId="6" fillId="0" borderId="103" xfId="33" applyNumberFormat="1" applyFont="1" applyFill="1" applyBorder="1" applyAlignment="1">
      <alignment horizontal="center" vertical="center"/>
    </xf>
    <xf numFmtId="0" fontId="6" fillId="0" borderId="103" xfId="33" applyFont="1" applyFill="1" applyBorder="1" applyAlignment="1">
      <alignment horizontal="center" vertical="center"/>
    </xf>
    <xf numFmtId="0" fontId="6" fillId="0" borderId="16" xfId="33" applyFont="1" applyFill="1" applyBorder="1" applyAlignment="1">
      <alignment horizontal="center" vertical="center"/>
    </xf>
    <xf numFmtId="0" fontId="0" fillId="0" borderId="103" xfId="33" applyFont="1" applyFill="1" applyBorder="1" applyAlignment="1">
      <alignment horizontal="center" vertical="center"/>
    </xf>
    <xf numFmtId="0" fontId="6" fillId="0" borderId="104" xfId="33" applyFont="1" applyFill="1" applyBorder="1" applyAlignment="1">
      <alignment horizontal="center" vertical="center"/>
    </xf>
    <xf numFmtId="0" fontId="6" fillId="0" borderId="113" xfId="33" applyFont="1" applyFill="1" applyBorder="1" applyAlignment="1">
      <alignment horizontal="center" vertical="center"/>
    </xf>
    <xf numFmtId="0" fontId="6" fillId="0" borderId="112" xfId="33" applyFont="1" applyFill="1" applyBorder="1" applyAlignment="1">
      <alignment horizontal="center" vertical="center"/>
    </xf>
    <xf numFmtId="180" fontId="6" fillId="0" borderId="16" xfId="33" applyNumberFormat="1" applyFont="1" applyFill="1" applyBorder="1" applyAlignment="1">
      <alignment horizontal="center" vertical="center"/>
    </xf>
    <xf numFmtId="0" fontId="6" fillId="0" borderId="106" xfId="33" applyFont="1" applyFill="1" applyBorder="1" applyAlignment="1">
      <alignment horizontal="center" vertical="center"/>
    </xf>
    <xf numFmtId="0" fontId="11" fillId="8" borderId="107" xfId="33" applyFont="1" applyFill="1" applyBorder="1" applyAlignment="1">
      <alignment horizontal="center" vertical="center" wrapText="1"/>
    </xf>
    <xf numFmtId="0" fontId="11" fillId="8" borderId="1" xfId="33" applyFont="1" applyFill="1" applyBorder="1" applyAlignment="1">
      <alignment horizontal="center" vertical="center"/>
    </xf>
    <xf numFmtId="0" fontId="11" fillId="8" borderId="112" xfId="33" applyFont="1" applyFill="1" applyBorder="1" applyAlignment="1">
      <alignment horizontal="center" vertical="center" wrapText="1"/>
    </xf>
    <xf numFmtId="0" fontId="11" fillId="8" borderId="115" xfId="33" applyFont="1" applyFill="1" applyBorder="1" applyAlignment="1">
      <alignment horizontal="center" vertical="center" wrapText="1"/>
    </xf>
    <xf numFmtId="0" fontId="11" fillId="8" borderId="116" xfId="33" applyFont="1" applyFill="1" applyBorder="1" applyAlignment="1">
      <alignment horizontal="center" vertical="center" wrapText="1"/>
    </xf>
    <xf numFmtId="0" fontId="6" fillId="19" borderId="3" xfId="33" applyFont="1" applyFill="1" applyBorder="1" applyAlignment="1">
      <alignment horizontal="center" vertical="center"/>
    </xf>
    <xf numFmtId="0" fontId="6" fillId="19" borderId="20" xfId="33" applyFont="1" applyFill="1" applyBorder="1" applyAlignment="1">
      <alignment horizontal="center" vertical="center"/>
    </xf>
    <xf numFmtId="0" fontId="6" fillId="19" borderId="19" xfId="33" applyFont="1" applyFill="1" applyBorder="1" applyAlignment="1">
      <alignment horizontal="center" vertical="center"/>
    </xf>
    <xf numFmtId="0" fontId="11" fillId="8" borderId="22" xfId="33" applyFont="1" applyFill="1" applyBorder="1" applyAlignment="1">
      <alignment horizontal="center" vertical="center" wrapText="1"/>
    </xf>
    <xf numFmtId="0" fontId="11" fillId="8" borderId="23" xfId="33" applyFont="1" applyFill="1" applyBorder="1" applyAlignment="1">
      <alignment horizontal="center" vertical="center" wrapText="1"/>
    </xf>
    <xf numFmtId="0" fontId="11" fillId="8" borderId="15" xfId="33" applyFont="1" applyFill="1" applyBorder="1" applyAlignment="1">
      <alignment horizontal="center" vertical="center" wrapText="1"/>
    </xf>
    <xf numFmtId="0" fontId="11" fillId="8" borderId="24" xfId="33" applyFont="1" applyFill="1" applyBorder="1" applyAlignment="1">
      <alignment horizontal="center" vertical="center" wrapText="1"/>
    </xf>
    <xf numFmtId="0" fontId="11" fillId="8" borderId="25" xfId="33" applyFont="1" applyFill="1" applyBorder="1" applyAlignment="1">
      <alignment horizontal="center" vertical="center" wrapText="1"/>
    </xf>
    <xf numFmtId="0" fontId="11" fillId="8" borderId="26" xfId="33" applyFont="1" applyFill="1" applyBorder="1" applyAlignment="1">
      <alignment horizontal="center" vertical="center" wrapText="1"/>
    </xf>
    <xf numFmtId="0" fontId="11" fillId="8" borderId="1" xfId="33" applyFont="1" applyFill="1" applyBorder="1" applyAlignment="1">
      <alignment horizontal="center" vertical="center" wrapText="1"/>
    </xf>
    <xf numFmtId="0" fontId="107" fillId="19" borderId="16" xfId="33" applyFont="1" applyFill="1" applyBorder="1" applyAlignment="1">
      <alignment horizontal="center" vertical="center" wrapText="1"/>
    </xf>
    <xf numFmtId="0" fontId="107" fillId="19" borderId="2" xfId="33" applyFont="1" applyFill="1" applyBorder="1" applyAlignment="1">
      <alignment horizontal="center" vertical="center" wrapText="1"/>
    </xf>
    <xf numFmtId="0" fontId="107" fillId="19" borderId="21" xfId="33" applyFont="1" applyFill="1" applyBorder="1" applyAlignment="1">
      <alignment horizontal="center" vertical="center" wrapText="1"/>
    </xf>
    <xf numFmtId="0" fontId="11" fillId="0" borderId="22" xfId="33" applyFont="1" applyFill="1" applyBorder="1" applyAlignment="1">
      <alignment horizontal="center" vertical="center"/>
    </xf>
    <xf numFmtId="0" fontId="11" fillId="0" borderId="23" xfId="33" applyFont="1" applyFill="1" applyBorder="1" applyAlignment="1">
      <alignment horizontal="center" vertical="center"/>
    </xf>
    <xf numFmtId="0" fontId="11" fillId="0" borderId="15" xfId="33" applyFont="1" applyFill="1" applyBorder="1" applyAlignment="1">
      <alignment horizontal="center" vertical="center"/>
    </xf>
    <xf numFmtId="0" fontId="11" fillId="0" borderId="24" xfId="33" applyFont="1" applyFill="1" applyBorder="1" applyAlignment="1">
      <alignment horizontal="center" vertical="center"/>
    </xf>
    <xf numFmtId="0" fontId="11" fillId="0" borderId="25" xfId="33" applyFont="1" applyFill="1" applyBorder="1" applyAlignment="1">
      <alignment horizontal="center" vertical="center"/>
    </xf>
    <xf numFmtId="0" fontId="11" fillId="0" borderId="26" xfId="33" applyFont="1" applyFill="1" applyBorder="1" applyAlignment="1">
      <alignment horizontal="center" vertical="center"/>
    </xf>
    <xf numFmtId="0" fontId="11" fillId="0" borderId="1" xfId="33" applyFont="1" applyFill="1" applyBorder="1" applyAlignment="1">
      <alignment horizontal="center" vertical="center"/>
    </xf>
    <xf numFmtId="0" fontId="108" fillId="8" borderId="22" xfId="33" applyFont="1" applyFill="1" applyBorder="1" applyAlignment="1">
      <alignment horizontal="center" vertical="center" wrapText="1"/>
    </xf>
    <xf numFmtId="0" fontId="108" fillId="8" borderId="17" xfId="33" applyFont="1" applyFill="1" applyBorder="1" applyAlignment="1">
      <alignment horizontal="center" vertical="center" wrapText="1"/>
    </xf>
    <xf numFmtId="0" fontId="108" fillId="8" borderId="23" xfId="33" applyFont="1" applyFill="1" applyBorder="1" applyAlignment="1">
      <alignment horizontal="center" vertical="center" wrapText="1"/>
    </xf>
    <xf numFmtId="0" fontId="108" fillId="8" borderId="15" xfId="33" applyFont="1" applyFill="1" applyBorder="1" applyAlignment="1">
      <alignment horizontal="center" vertical="center" wrapText="1"/>
    </xf>
    <xf numFmtId="0" fontId="108" fillId="8" borderId="0" xfId="33" applyFont="1" applyFill="1" applyBorder="1" applyAlignment="1">
      <alignment horizontal="center" vertical="center" wrapText="1"/>
    </xf>
    <xf numFmtId="0" fontId="108" fillId="8" borderId="24" xfId="33" applyFont="1" applyFill="1" applyBorder="1" applyAlignment="1">
      <alignment horizontal="center" vertical="center" wrapText="1"/>
    </xf>
    <xf numFmtId="0" fontId="108" fillId="8" borderId="25" xfId="33" applyFont="1" applyFill="1" applyBorder="1" applyAlignment="1">
      <alignment horizontal="center" vertical="center" wrapText="1"/>
    </xf>
    <xf numFmtId="0" fontId="108" fillId="8" borderId="4" xfId="33" applyFont="1" applyFill="1" applyBorder="1" applyAlignment="1">
      <alignment horizontal="center" vertical="center" wrapText="1"/>
    </xf>
    <xf numFmtId="0" fontId="108" fillId="8" borderId="26" xfId="33" applyFont="1" applyFill="1" applyBorder="1" applyAlignment="1">
      <alignment horizontal="center" vertical="center" wrapText="1"/>
    </xf>
    <xf numFmtId="0" fontId="11" fillId="8" borderId="3" xfId="33" applyFont="1" applyFill="1" applyBorder="1" applyAlignment="1">
      <alignment horizontal="center" vertical="center"/>
    </xf>
    <xf numFmtId="0" fontId="11" fillId="8" borderId="19" xfId="33" applyFont="1" applyFill="1" applyBorder="1" applyAlignment="1">
      <alignment horizontal="center" vertical="center"/>
    </xf>
    <xf numFmtId="0" fontId="107" fillId="16" borderId="16" xfId="33" applyFont="1" applyFill="1" applyBorder="1" applyAlignment="1">
      <alignment horizontal="center" vertical="center" wrapText="1"/>
    </xf>
    <xf numFmtId="0" fontId="107" fillId="16" borderId="2" xfId="33" applyFont="1" applyFill="1" applyBorder="1" applyAlignment="1">
      <alignment horizontal="center" vertical="center" wrapText="1"/>
    </xf>
    <xf numFmtId="0" fontId="107" fillId="16" borderId="21" xfId="33" applyFont="1" applyFill="1" applyBorder="1" applyAlignment="1">
      <alignment horizontal="center" vertical="center" wrapText="1"/>
    </xf>
    <xf numFmtId="0" fontId="11" fillId="8" borderId="118" xfId="33" applyFont="1" applyFill="1" applyBorder="1" applyAlignment="1">
      <alignment horizontal="center" vertical="center" wrapText="1"/>
    </xf>
    <xf numFmtId="0" fontId="11" fillId="8" borderId="3" xfId="33" applyFont="1" applyFill="1" applyBorder="1" applyAlignment="1">
      <alignment horizontal="center" vertical="center" wrapText="1"/>
    </xf>
    <xf numFmtId="0" fontId="11" fillId="8" borderId="19" xfId="33" applyFont="1" applyFill="1" applyBorder="1" applyAlignment="1">
      <alignment horizontal="center" vertical="center" wrapText="1"/>
    </xf>
    <xf numFmtId="0" fontId="6" fillId="0" borderId="0" xfId="33" applyFont="1" applyFill="1" applyAlignment="1">
      <alignment horizontal="center" vertical="center"/>
    </xf>
    <xf numFmtId="180" fontId="6" fillId="0" borderId="4" xfId="33" applyNumberFormat="1" applyFont="1" applyFill="1" applyBorder="1" applyAlignment="1">
      <alignment horizontal="center" vertical="center"/>
    </xf>
    <xf numFmtId="0" fontId="6" fillId="0" borderId="0" xfId="33" applyFont="1" applyFill="1" applyAlignment="1">
      <alignment horizontal="right" vertical="center"/>
    </xf>
    <xf numFmtId="0" fontId="6" fillId="0" borderId="4" xfId="33" applyFont="1" applyFill="1" applyBorder="1" applyAlignment="1">
      <alignment horizontal="center" vertical="center"/>
    </xf>
    <xf numFmtId="0" fontId="11" fillId="8" borderId="119" xfId="33" applyFont="1" applyFill="1" applyBorder="1" applyAlignment="1">
      <alignment horizontal="center" vertical="center"/>
    </xf>
    <xf numFmtId="0" fontId="11" fillId="8" borderId="120" xfId="33" applyFont="1" applyFill="1" applyBorder="1" applyAlignment="1">
      <alignment horizontal="center" vertical="center"/>
    </xf>
    <xf numFmtId="0" fontId="11" fillId="8" borderId="110" xfId="33" applyFont="1" applyFill="1" applyBorder="1" applyAlignment="1">
      <alignment horizontal="center" vertical="center"/>
    </xf>
    <xf numFmtId="0" fontId="15" fillId="0" borderId="0" xfId="33" applyFont="1" applyFill="1" applyAlignment="1">
      <alignment horizontal="center" vertical="center"/>
    </xf>
    <xf numFmtId="0" fontId="11" fillId="8" borderId="110" xfId="33" applyFont="1" applyFill="1" applyBorder="1" applyAlignment="1">
      <alignment horizontal="center" vertical="center" wrapText="1"/>
    </xf>
    <xf numFmtId="0" fontId="11" fillId="8" borderId="20" xfId="33" applyFont="1" applyFill="1" applyBorder="1" applyAlignment="1">
      <alignment horizontal="center" vertical="center"/>
    </xf>
    <xf numFmtId="0" fontId="82" fillId="0" borderId="1" xfId="38" applyFont="1" applyBorder="1" applyAlignment="1">
      <alignment horizontal="center"/>
    </xf>
    <xf numFmtId="0" fontId="84" fillId="0" borderId="0" xfId="38" applyFont="1" applyAlignment="1">
      <alignment horizontal="center"/>
    </xf>
    <xf numFmtId="0" fontId="109" fillId="0" borderId="0" xfId="38" applyFont="1" applyAlignment="1">
      <alignment horizontal="center"/>
    </xf>
    <xf numFmtId="0" fontId="110" fillId="0" borderId="0" xfId="38" applyFont="1" applyAlignment="1">
      <alignment horizontal="center"/>
    </xf>
    <xf numFmtId="0" fontId="82" fillId="0" borderId="4" xfId="38" applyFont="1" applyBorder="1" applyAlignment="1">
      <alignment horizontal="center"/>
    </xf>
    <xf numFmtId="0" fontId="8" fillId="0" borderId="4" xfId="38" applyFont="1" applyBorder="1" applyAlignment="1">
      <alignment horizontal="center"/>
    </xf>
    <xf numFmtId="180" fontId="87" fillId="0" borderId="4" xfId="38" applyNumberFormat="1" applyFont="1" applyBorder="1" applyAlignment="1">
      <alignment horizontal="center"/>
    </xf>
    <xf numFmtId="0" fontId="82" fillId="0" borderId="20" xfId="38" applyFont="1" applyBorder="1" applyAlignment="1">
      <alignment horizontal="center"/>
    </xf>
    <xf numFmtId="0" fontId="0" fillId="0" borderId="20" xfId="38" applyFont="1" applyBorder="1" applyAlignment="1">
      <alignment horizontal="center"/>
    </xf>
    <xf numFmtId="0" fontId="82" fillId="2" borderId="1" xfId="38" applyFont="1" applyFill="1" applyBorder="1" applyAlignment="1">
      <alignment horizontal="center"/>
    </xf>
    <xf numFmtId="0" fontId="82" fillId="3" borderId="1" xfId="38" applyFont="1" applyFill="1" applyBorder="1" applyAlignment="1">
      <alignment horizontal="center"/>
    </xf>
    <xf numFmtId="0" fontId="111" fillId="20" borderId="17" xfId="38" applyNumberFormat="1" applyFont="1" applyFill="1" applyBorder="1" applyAlignment="1">
      <alignment horizontal="center"/>
    </xf>
    <xf numFmtId="0" fontId="0" fillId="20" borderId="17" xfId="38" applyNumberFormat="1" applyFont="1" applyFill="1" applyBorder="1" applyAlignment="1">
      <alignment horizontal="center"/>
    </xf>
    <xf numFmtId="0" fontId="0" fillId="20" borderId="0" xfId="38" applyNumberFormat="1" applyFont="1" applyFill="1" applyBorder="1" applyAlignment="1">
      <alignment horizontal="center"/>
    </xf>
    <xf numFmtId="0" fontId="66" fillId="0" borderId="0" xfId="38" applyFont="1" applyBorder="1" applyAlignment="1">
      <alignment horizontal="center"/>
    </xf>
    <xf numFmtId="0" fontId="92" fillId="0" borderId="0" xfId="38" applyFont="1" applyBorder="1" applyAlignment="1">
      <alignment horizontal="center"/>
    </xf>
    <xf numFmtId="0" fontId="93" fillId="0" borderId="0" xfId="38" applyFont="1" applyBorder="1" applyAlignment="1">
      <alignment horizontal="center"/>
    </xf>
    <xf numFmtId="0" fontId="82" fillId="0" borderId="0" xfId="38" applyFont="1" applyBorder="1" applyAlignment="1">
      <alignment horizontal="center"/>
    </xf>
    <xf numFmtId="14" fontId="87" fillId="0" borderId="0" xfId="38" applyNumberFormat="1" applyFont="1" applyBorder="1" applyAlignment="1">
      <alignment horizontal="center"/>
    </xf>
    <xf numFmtId="0" fontId="87" fillId="0" borderId="0" xfId="38" applyFont="1" applyBorder="1" applyAlignment="1">
      <alignment horizontal="center"/>
    </xf>
    <xf numFmtId="0" fontId="84" fillId="0" borderId="0" xfId="33" applyFont="1" applyAlignment="1">
      <alignment horizontal="center"/>
    </xf>
    <xf numFmtId="0" fontId="109" fillId="0" borderId="0" xfId="33" applyFont="1" applyAlignment="1">
      <alignment horizontal="center"/>
    </xf>
    <xf numFmtId="0" fontId="110" fillId="0" borderId="0" xfId="33" applyFont="1" applyAlignment="1">
      <alignment horizontal="center"/>
    </xf>
    <xf numFmtId="0" fontId="8" fillId="0" borderId="4" xfId="33" applyFont="1" applyBorder="1" applyAlignment="1">
      <alignment horizontal="center"/>
    </xf>
    <xf numFmtId="180" fontId="87" fillId="0" borderId="4" xfId="33" applyNumberFormat="1" applyFont="1" applyBorder="1" applyAlignment="1">
      <alignment horizontal="center"/>
    </xf>
    <xf numFmtId="0" fontId="0" fillId="0" borderId="3" xfId="33" applyFont="1" applyBorder="1" applyAlignment="1">
      <alignment horizontal="center"/>
    </xf>
    <xf numFmtId="0" fontId="82" fillId="0" borderId="19" xfId="33" applyFont="1" applyBorder="1" applyAlignment="1">
      <alignment horizontal="center"/>
    </xf>
    <xf numFmtId="0" fontId="87" fillId="0" borderId="20" xfId="33" applyFont="1" applyBorder="1" applyAlignment="1">
      <alignment horizontal="center"/>
    </xf>
    <xf numFmtId="0" fontId="82" fillId="0" borderId="1" xfId="33" applyFont="1" applyBorder="1" applyAlignment="1">
      <alignment horizontal="center"/>
    </xf>
    <xf numFmtId="0" fontId="0" fillId="21" borderId="3" xfId="33" applyFont="1" applyFill="1" applyBorder="1" applyAlignment="1">
      <alignment horizontal="center"/>
    </xf>
    <xf numFmtId="0" fontId="82" fillId="21" borderId="19" xfId="33" applyFont="1" applyFill="1" applyBorder="1" applyAlignment="1">
      <alignment horizontal="center"/>
    </xf>
    <xf numFmtId="0" fontId="82" fillId="21" borderId="3" xfId="33" applyFont="1" applyFill="1" applyBorder="1" applyAlignment="1">
      <alignment horizontal="center"/>
    </xf>
    <xf numFmtId="0" fontId="0" fillId="0" borderId="1" xfId="33" applyFont="1" applyBorder="1" applyAlignment="1">
      <alignment horizontal="center"/>
    </xf>
    <xf numFmtId="0" fontId="8" fillId="0" borderId="1" xfId="33" applyFont="1" applyBorder="1" applyAlignment="1">
      <alignment horizontal="center"/>
    </xf>
    <xf numFmtId="0" fontId="87" fillId="0" borderId="3" xfId="33" applyFont="1" applyBorder="1" applyAlignment="1">
      <alignment horizontal="center"/>
    </xf>
    <xf numFmtId="0" fontId="87" fillId="0" borderId="19" xfId="33" applyFont="1" applyBorder="1" applyAlignment="1">
      <alignment horizontal="center"/>
    </xf>
    <xf numFmtId="0" fontId="36" fillId="0" borderId="16" xfId="0" applyFont="1" applyFill="1" applyBorder="1" applyAlignment="1">
      <alignment horizontal="center" vertical="center" wrapText="1"/>
    </xf>
    <xf numFmtId="0" fontId="36" fillId="0" borderId="21" xfId="0" applyFont="1" applyFill="1" applyBorder="1" applyAlignment="1">
      <alignment horizontal="center" vertical="center" wrapText="1"/>
    </xf>
    <xf numFmtId="0" fontId="36" fillId="0" borderId="22" xfId="0" applyFont="1" applyFill="1" applyBorder="1" applyAlignment="1">
      <alignment horizontal="center" vertical="center" wrapText="1"/>
    </xf>
    <xf numFmtId="0" fontId="36" fillId="0" borderId="17" xfId="0" applyFont="1" applyFill="1" applyBorder="1" applyAlignment="1">
      <alignment horizontal="center" vertical="center" wrapText="1"/>
    </xf>
    <xf numFmtId="0" fontId="36" fillId="0" borderId="23" xfId="0" applyFont="1" applyFill="1" applyBorder="1" applyAlignment="1">
      <alignment horizontal="center" vertical="center" wrapText="1"/>
    </xf>
    <xf numFmtId="0" fontId="36" fillId="0" borderId="25" xfId="0" applyFont="1" applyFill="1" applyBorder="1" applyAlignment="1">
      <alignment horizontal="center" vertical="center" wrapText="1"/>
    </xf>
    <xf numFmtId="0" fontId="36" fillId="0" borderId="4" xfId="0" applyFont="1" applyFill="1" applyBorder="1" applyAlignment="1">
      <alignment horizontal="center" vertical="center" wrapText="1"/>
    </xf>
    <xf numFmtId="0" fontId="36" fillId="0" borderId="26" xfId="0" applyFont="1" applyFill="1" applyBorder="1" applyAlignment="1">
      <alignment horizontal="center" vertical="center" wrapText="1"/>
    </xf>
    <xf numFmtId="0" fontId="54" fillId="0" borderId="1" xfId="0" applyFont="1" applyFill="1" applyBorder="1" applyAlignment="1">
      <alignment horizontal="center" vertical="center"/>
    </xf>
    <xf numFmtId="0" fontId="55" fillId="0" borderId="1" xfId="0" applyFont="1" applyFill="1" applyBorder="1" applyAlignment="1">
      <alignment horizontal="center" vertical="center" wrapText="1"/>
    </xf>
    <xf numFmtId="58" fontId="55" fillId="0" borderId="1" xfId="0" applyNumberFormat="1" applyFont="1" applyFill="1" applyBorder="1" applyAlignment="1">
      <alignment horizontal="center" vertical="center" wrapText="1"/>
    </xf>
    <xf numFmtId="0" fontId="54" fillId="0" borderId="1" xfId="0" applyFont="1" applyFill="1" applyBorder="1" applyAlignment="1">
      <alignment horizontal="center" vertical="center" wrapText="1"/>
    </xf>
    <xf numFmtId="0" fontId="36" fillId="0" borderId="61" xfId="0" applyFont="1" applyFill="1" applyBorder="1" applyAlignment="1">
      <alignment horizontal="center" vertical="center" wrapText="1"/>
    </xf>
    <xf numFmtId="0" fontId="36" fillId="0" borderId="62" xfId="0" applyFont="1" applyFill="1" applyBorder="1" applyAlignment="1">
      <alignment horizontal="center" vertical="center" wrapText="1"/>
    </xf>
    <xf numFmtId="0" fontId="36" fillId="0" borderId="63" xfId="0" applyFont="1" applyFill="1" applyBorder="1" applyAlignment="1">
      <alignment horizontal="center" vertical="center" wrapText="1"/>
    </xf>
    <xf numFmtId="0" fontId="43" fillId="2" borderId="1" xfId="0" applyFont="1" applyFill="1" applyBorder="1" applyAlignment="1">
      <alignment horizontal="center" vertical="center" wrapText="1"/>
    </xf>
    <xf numFmtId="0" fontId="36" fillId="0" borderId="1" xfId="0" applyFont="1" applyFill="1" applyBorder="1" applyAlignment="1">
      <alignment horizontal="center" vertical="center" wrapText="1"/>
    </xf>
    <xf numFmtId="0" fontId="54" fillId="6" borderId="1" xfId="0" applyFont="1" applyFill="1" applyBorder="1" applyAlignment="1">
      <alignment horizontal="center" vertical="center"/>
    </xf>
    <xf numFmtId="182" fontId="54" fillId="6" borderId="1" xfId="0" applyNumberFormat="1" applyFont="1" applyFill="1" applyBorder="1" applyAlignment="1">
      <alignment horizontal="center" vertical="center"/>
    </xf>
    <xf numFmtId="0" fontId="36" fillId="6" borderId="1" xfId="0" applyFont="1" applyFill="1" applyBorder="1" applyAlignment="1">
      <alignment horizontal="center" vertical="center" wrapText="1"/>
    </xf>
    <xf numFmtId="0" fontId="53" fillId="6" borderId="0" xfId="0" applyFont="1" applyFill="1" applyBorder="1" applyAlignment="1">
      <alignment horizontal="center" vertical="center"/>
    </xf>
    <xf numFmtId="0" fontId="54" fillId="6" borderId="0" xfId="0" applyFont="1" applyFill="1" applyBorder="1" applyAlignment="1">
      <alignment horizontal="center" vertical="center"/>
    </xf>
    <xf numFmtId="180" fontId="54" fillId="6" borderId="0" xfId="0" applyNumberFormat="1" applyFont="1" applyFill="1" applyBorder="1" applyAlignment="1">
      <alignment horizontal="center" vertical="center"/>
    </xf>
    <xf numFmtId="180" fontId="54" fillId="6" borderId="1" xfId="0" applyNumberFormat="1" applyFont="1" applyFill="1" applyBorder="1" applyAlignment="1">
      <alignment horizontal="center" vertical="center"/>
    </xf>
    <xf numFmtId="0" fontId="55" fillId="7" borderId="20" xfId="0" applyFont="1" applyFill="1" applyBorder="1" applyAlignment="1">
      <alignment horizontal="left" vertical="center"/>
    </xf>
    <xf numFmtId="0" fontId="55" fillId="7" borderId="19" xfId="0" applyFont="1" applyFill="1" applyBorder="1" applyAlignment="1">
      <alignment horizontal="left" vertical="center"/>
    </xf>
    <xf numFmtId="0" fontId="36" fillId="0" borderId="15" xfId="0" applyFont="1" applyFill="1" applyBorder="1" applyAlignment="1">
      <alignment horizontal="center" vertical="center" wrapText="1"/>
    </xf>
    <xf numFmtId="0" fontId="36" fillId="0" borderId="24" xfId="0" applyFont="1" applyFill="1" applyBorder="1" applyAlignment="1">
      <alignment horizontal="center" vertical="center" wrapText="1"/>
    </xf>
    <xf numFmtId="0" fontId="54" fillId="0" borderId="16" xfId="0" applyFont="1" applyFill="1" applyBorder="1" applyAlignment="1">
      <alignment horizontal="center" vertical="center"/>
    </xf>
    <xf numFmtId="0" fontId="54" fillId="0" borderId="2" xfId="0" applyFont="1" applyFill="1" applyBorder="1" applyAlignment="1">
      <alignment horizontal="center" vertical="center"/>
    </xf>
    <xf numFmtId="0" fontId="36" fillId="0" borderId="64" xfId="0" applyFont="1" applyFill="1" applyBorder="1" applyAlignment="1">
      <alignment horizontal="center" vertical="center" wrapText="1"/>
    </xf>
    <xf numFmtId="0" fontId="36" fillId="0" borderId="2" xfId="0" applyFont="1" applyFill="1" applyBorder="1" applyAlignment="1">
      <alignment horizontal="center" vertical="center" wrapText="1"/>
    </xf>
    <xf numFmtId="0" fontId="36" fillId="0" borderId="65" xfId="0" applyFont="1" applyFill="1" applyBorder="1" applyAlignment="1">
      <alignment horizontal="center" vertical="center" wrapText="1"/>
    </xf>
    <xf numFmtId="0" fontId="36" fillId="0" borderId="66" xfId="0" applyFont="1" applyFill="1" applyBorder="1" applyAlignment="1">
      <alignment horizontal="center" vertical="center" wrapText="1"/>
    </xf>
    <xf numFmtId="0" fontId="36" fillId="0" borderId="67" xfId="0" applyFont="1" applyFill="1" applyBorder="1" applyAlignment="1">
      <alignment horizontal="center" vertical="center" wrapText="1"/>
    </xf>
    <xf numFmtId="0" fontId="54" fillId="0" borderId="16" xfId="0" applyFont="1" applyFill="1" applyBorder="1" applyAlignment="1">
      <alignment horizontal="center" vertical="center" wrapText="1"/>
    </xf>
    <xf numFmtId="0" fontId="54" fillId="0" borderId="2" xfId="0" applyFont="1" applyFill="1" applyBorder="1" applyAlignment="1">
      <alignment horizontal="center" vertical="center" wrapText="1"/>
    </xf>
    <xf numFmtId="0" fontId="54" fillId="0" borderId="21" xfId="0" applyFont="1" applyFill="1" applyBorder="1" applyAlignment="1">
      <alignment horizontal="center" vertical="center" wrapText="1"/>
    </xf>
  </cellXfs>
  <cellStyles count="50">
    <cellStyle name="差" xfId="41" builtinId="27"/>
    <cellStyle name="差_油漆领料单(NEW 2009-3-16)" xfId="6"/>
    <cellStyle name="常规" xfId="0" builtinId="0"/>
    <cellStyle name="常规 10" xfId="33"/>
    <cellStyle name="常规 11" xfId="36"/>
    <cellStyle name="常规 12" xfId="38"/>
    <cellStyle name="常规 13" xfId="43"/>
    <cellStyle name="常规 14" xfId="44"/>
    <cellStyle name="常规 16" xfId="45"/>
    <cellStyle name="常规 17" xfId="46"/>
    <cellStyle name="常规 2" xfId="2"/>
    <cellStyle name="常规 2 2" xfId="3"/>
    <cellStyle name="常规 2 2 2" xfId="7"/>
    <cellStyle name="常规 2 3" xfId="5"/>
    <cellStyle name="常规 2 3 2" xfId="8"/>
    <cellStyle name="常规 2 4" xfId="9"/>
    <cellStyle name="常规 2 4 2" xfId="10"/>
    <cellStyle name="常规 2 4 3" xfId="29"/>
    <cellStyle name="常规 2 4 4" xfId="32"/>
    <cellStyle name="常规 2 4 5" xfId="35"/>
    <cellStyle name="常规 2 5" xfId="30"/>
    <cellStyle name="常规 2 6" xfId="34"/>
    <cellStyle name="常规 21" xfId="40"/>
    <cellStyle name="常规 3" xfId="4"/>
    <cellStyle name="常规 3 2" xfId="11"/>
    <cellStyle name="常规 4" xfId="12"/>
    <cellStyle name="常规 4 2" xfId="13"/>
    <cellStyle name="常规 4 2 2" xfId="14"/>
    <cellStyle name="常规 4 2 2 2" xfId="15"/>
    <cellStyle name="常规 4 2 2 3" xfId="16"/>
    <cellStyle name="常规 4 2 2 3 2" xfId="17"/>
    <cellStyle name="常规 4 2 2 3 2 2" xfId="18"/>
    <cellStyle name="常规 4 2 2 3 3" xfId="19"/>
    <cellStyle name="常规 4 3" xfId="20"/>
    <cellStyle name="常规 4 4" xfId="21"/>
    <cellStyle name="常规 5" xfId="22"/>
    <cellStyle name="常规 6" xfId="23"/>
    <cellStyle name="常规 7" xfId="26"/>
    <cellStyle name="常规 7 2" xfId="28"/>
    <cellStyle name="常规 7 2 2" xfId="47"/>
    <cellStyle name="常规 7 3" xfId="42"/>
    <cellStyle name="常规 7 4" xfId="49"/>
    <cellStyle name="常规 8" xfId="27"/>
    <cellStyle name="常规 9" xfId="31"/>
    <cellStyle name="常规 9 2" xfId="48"/>
    <cellStyle name="常规_6月份不良统计分析_1" xfId="39"/>
    <cellStyle name="常规_norma1" xfId="1"/>
    <cellStyle name="常规_领料单试行标准5.21" xfId="37"/>
    <cellStyle name="好_半成品油漆领料单模板(NEW 2009-4-1)" xfId="24"/>
    <cellStyle name="好_油漆领料单(NEW 2009-3-16)" xfId="25"/>
  </cellStyles>
  <dxfs count="21">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mruColors>
      <color rgb="FF18E6E6"/>
      <color rgb="FFF0F0F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externalLink" Target="externalLinks/externalLink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5.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11</xdr:row>
      <xdr:rowOff>114300</xdr:rowOff>
    </xdr:from>
    <xdr:to>
      <xdr:col>0</xdr:col>
      <xdr:colOff>685800</xdr:colOff>
      <xdr:row>16</xdr:row>
      <xdr:rowOff>58881</xdr:rowOff>
    </xdr:to>
    <xdr:pic>
      <xdr:nvPicPr>
        <xdr:cNvPr id="2" name="图片 10"/>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85725" y="1352550"/>
          <a:ext cx="800100" cy="901562"/>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132789</xdr:colOff>
      <xdr:row>25</xdr:row>
      <xdr:rowOff>129988</xdr:rowOff>
    </xdr:from>
    <xdr:to>
      <xdr:col>0</xdr:col>
      <xdr:colOff>809064</xdr:colOff>
      <xdr:row>29</xdr:row>
      <xdr:rowOff>186629</xdr:rowOff>
    </xdr:to>
    <xdr:pic>
      <xdr:nvPicPr>
        <xdr:cNvPr id="3" name="图片 2"/>
        <xdr:cNvPicPr>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132789" y="3334870"/>
          <a:ext cx="676275" cy="818639"/>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143435</xdr:colOff>
      <xdr:row>44</xdr:row>
      <xdr:rowOff>129428</xdr:rowOff>
    </xdr:from>
    <xdr:to>
      <xdr:col>0</xdr:col>
      <xdr:colOff>753035</xdr:colOff>
      <xdr:row>48</xdr:row>
      <xdr:rowOff>46821</xdr:rowOff>
    </xdr:to>
    <xdr:pic>
      <xdr:nvPicPr>
        <xdr:cNvPr id="4" name="图片 7"/>
        <xdr:cNvPicPr>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143435" y="5609104"/>
          <a:ext cx="609600" cy="679393"/>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175372</xdr:colOff>
      <xdr:row>51</xdr:row>
      <xdr:rowOff>114300</xdr:rowOff>
    </xdr:from>
    <xdr:to>
      <xdr:col>0</xdr:col>
      <xdr:colOff>775447</xdr:colOff>
      <xdr:row>54</xdr:row>
      <xdr:rowOff>164213</xdr:rowOff>
    </xdr:to>
    <xdr:pic>
      <xdr:nvPicPr>
        <xdr:cNvPr id="5" name="图片 8"/>
        <xdr:cNvPicPr>
          <a:picLocks noChangeAspect="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bwMode="auto">
        <a:xfrm>
          <a:off x="175372" y="6781800"/>
          <a:ext cx="600075" cy="621413"/>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152400</xdr:colOff>
      <xdr:row>69</xdr:row>
      <xdr:rowOff>0</xdr:rowOff>
    </xdr:from>
    <xdr:to>
      <xdr:col>0</xdr:col>
      <xdr:colOff>685800</xdr:colOff>
      <xdr:row>72</xdr:row>
      <xdr:rowOff>117419</xdr:rowOff>
    </xdr:to>
    <xdr:pic>
      <xdr:nvPicPr>
        <xdr:cNvPr id="6" name="图片 9"/>
        <xdr:cNvPicPr>
          <a:picLocks noChangeAspect="1"/>
        </xdr:cNvPicPr>
      </xdr:nvPicPr>
      <xdr:blipFill>
        <a:blip xmlns:r="http://schemas.openxmlformats.org/officeDocument/2006/relationships" r:embed="rId5" cstate="print">
          <a:extLst>
            <a:ext uri="{28A0092B-C50C-407E-A947-70E740481C1C}">
              <a14:useLocalDpi xmlns="" xmlns:a14="http://schemas.microsoft.com/office/drawing/2010/main" val="0"/>
            </a:ext>
          </a:extLst>
        </a:blip>
        <a:srcRect/>
        <a:stretch>
          <a:fillRect/>
        </a:stretch>
      </xdr:blipFill>
      <xdr:spPr bwMode="auto">
        <a:xfrm>
          <a:off x="152400" y="11144250"/>
          <a:ext cx="638175" cy="902389"/>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74543</xdr:colOff>
      <xdr:row>93</xdr:row>
      <xdr:rowOff>153642</xdr:rowOff>
    </xdr:from>
    <xdr:to>
      <xdr:col>0</xdr:col>
      <xdr:colOff>688592</xdr:colOff>
      <xdr:row>96</xdr:row>
      <xdr:rowOff>123628</xdr:rowOff>
    </xdr:to>
    <xdr:pic>
      <xdr:nvPicPr>
        <xdr:cNvPr id="7" name="图片 1"/>
        <xdr:cNvPicPr>
          <a:picLocks noChangeAspect="1"/>
        </xdr:cNvPicPr>
      </xdr:nvPicPr>
      <xdr:blipFill>
        <a:blip xmlns:r="http://schemas.openxmlformats.org/officeDocument/2006/relationships" r:embed="rId6" cstate="print">
          <a:extLst>
            <a:ext uri="{28A0092B-C50C-407E-A947-70E740481C1C}">
              <a14:useLocalDpi xmlns="" xmlns:a14="http://schemas.microsoft.com/office/drawing/2010/main" val="0"/>
            </a:ext>
          </a:extLst>
        </a:blip>
        <a:srcRect/>
        <a:stretch>
          <a:fillRect/>
        </a:stretch>
      </xdr:blipFill>
      <xdr:spPr bwMode="auto">
        <a:xfrm>
          <a:off x="74543" y="13774392"/>
          <a:ext cx="880749" cy="754958"/>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159577</xdr:colOff>
      <xdr:row>39</xdr:row>
      <xdr:rowOff>67235</xdr:rowOff>
    </xdr:from>
    <xdr:to>
      <xdr:col>0</xdr:col>
      <xdr:colOff>741829</xdr:colOff>
      <xdr:row>42</xdr:row>
      <xdr:rowOff>82116</xdr:rowOff>
    </xdr:to>
    <xdr:pic>
      <xdr:nvPicPr>
        <xdr:cNvPr id="8" name="Picture 87"/>
        <xdr:cNvPicPr>
          <a:picLocks noChangeAspect="1" noChangeArrowheads="1"/>
        </xdr:cNvPicPr>
      </xdr:nvPicPr>
      <xdr:blipFill>
        <a:blip xmlns:r="http://schemas.openxmlformats.org/officeDocument/2006/relationships" r:embed="rId7" cstate="print">
          <a:extLst>
            <a:ext uri="{28A0092B-C50C-407E-A947-70E740481C1C}">
              <a14:useLocalDpi xmlns="" xmlns:a14="http://schemas.microsoft.com/office/drawing/2010/main" val="0"/>
            </a:ext>
          </a:extLst>
        </a:blip>
        <a:srcRect/>
        <a:stretch>
          <a:fillRect/>
        </a:stretch>
      </xdr:blipFill>
      <xdr:spPr bwMode="auto">
        <a:xfrm>
          <a:off x="159577" y="4863353"/>
          <a:ext cx="582252" cy="586383"/>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1">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57150</xdr:colOff>
      <xdr:row>33</xdr:row>
      <xdr:rowOff>152400</xdr:rowOff>
    </xdr:from>
    <xdr:to>
      <xdr:col>1</xdr:col>
      <xdr:colOff>2485</xdr:colOff>
      <xdr:row>38</xdr:row>
      <xdr:rowOff>95250</xdr:rowOff>
    </xdr:to>
    <xdr:pic>
      <xdr:nvPicPr>
        <xdr:cNvPr id="11" name="图片 1"/>
        <xdr:cNvPicPr>
          <a:picLocks noChangeAspect="1"/>
        </xdr:cNvPicPr>
      </xdr:nvPicPr>
      <xdr:blipFill>
        <a:blip xmlns:r="http://schemas.openxmlformats.org/officeDocument/2006/relationships" r:embed="rId8" cstate="print"/>
        <a:srcRect/>
        <a:stretch>
          <a:fillRect/>
        </a:stretch>
      </xdr:blipFill>
      <xdr:spPr bwMode="auto">
        <a:xfrm>
          <a:off x="57150" y="3076575"/>
          <a:ext cx="952500" cy="895350"/>
        </a:xfrm>
        <a:prstGeom prst="rect">
          <a:avLst/>
        </a:prstGeom>
        <a:noFill/>
        <a:ln w="9525">
          <a:noFill/>
          <a:miter lim="800000"/>
          <a:headEnd/>
          <a:tailEnd/>
        </a:ln>
      </xdr:spPr>
    </xdr:pic>
    <xdr:clientData/>
  </xdr:twoCellAnchor>
  <xdr:twoCellAnchor editAs="oneCell">
    <xdr:from>
      <xdr:col>0</xdr:col>
      <xdr:colOff>66675</xdr:colOff>
      <xdr:row>106</xdr:row>
      <xdr:rowOff>85725</xdr:rowOff>
    </xdr:from>
    <xdr:to>
      <xdr:col>1</xdr:col>
      <xdr:colOff>2485</xdr:colOff>
      <xdr:row>111</xdr:row>
      <xdr:rowOff>38100</xdr:rowOff>
    </xdr:to>
    <xdr:pic>
      <xdr:nvPicPr>
        <xdr:cNvPr id="12" name="Picture 98"/>
        <xdr:cNvPicPr>
          <a:picLocks noChangeAspect="1" noChangeArrowheads="1"/>
        </xdr:cNvPicPr>
      </xdr:nvPicPr>
      <xdr:blipFill>
        <a:blip xmlns:r="http://schemas.openxmlformats.org/officeDocument/2006/relationships" r:embed="rId9" cstate="print"/>
        <a:srcRect/>
        <a:stretch>
          <a:fillRect/>
        </a:stretch>
      </xdr:blipFill>
      <xdr:spPr bwMode="auto">
        <a:xfrm>
          <a:off x="66675" y="5105400"/>
          <a:ext cx="923925" cy="904875"/>
        </a:xfrm>
        <a:prstGeom prst="rect">
          <a:avLst/>
        </a:prstGeom>
        <a:noFill/>
        <a:ln w="1">
          <a:noFill/>
          <a:miter lim="800000"/>
          <a:headEnd/>
          <a:tailEnd/>
        </a:ln>
      </xdr:spPr>
    </xdr:pic>
    <xdr:clientData/>
  </xdr:twoCellAnchor>
  <xdr:twoCellAnchor editAs="oneCell">
    <xdr:from>
      <xdr:col>0</xdr:col>
      <xdr:colOff>152400</xdr:colOff>
      <xdr:row>83</xdr:row>
      <xdr:rowOff>0</xdr:rowOff>
    </xdr:from>
    <xdr:to>
      <xdr:col>0</xdr:col>
      <xdr:colOff>685800</xdr:colOff>
      <xdr:row>86</xdr:row>
      <xdr:rowOff>117419</xdr:rowOff>
    </xdr:to>
    <xdr:pic>
      <xdr:nvPicPr>
        <xdr:cNvPr id="14" name="图片 9"/>
        <xdr:cNvPicPr>
          <a:picLocks noChangeAspect="1"/>
        </xdr:cNvPicPr>
      </xdr:nvPicPr>
      <xdr:blipFill>
        <a:blip xmlns:r="http://schemas.openxmlformats.org/officeDocument/2006/relationships" r:embed="rId5" cstate="print">
          <a:extLst>
            <a:ext uri="{28A0092B-C50C-407E-A947-70E740481C1C}">
              <a14:useLocalDpi xmlns="" xmlns:a14="http://schemas.microsoft.com/office/drawing/2010/main" val="0"/>
            </a:ext>
          </a:extLst>
        </a:blip>
        <a:srcRect/>
        <a:stretch>
          <a:fillRect/>
        </a:stretch>
      </xdr:blipFill>
      <xdr:spPr bwMode="auto">
        <a:xfrm>
          <a:off x="152400" y="13155706"/>
          <a:ext cx="533400" cy="688919"/>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74543</xdr:colOff>
      <xdr:row>100</xdr:row>
      <xdr:rowOff>153642</xdr:rowOff>
    </xdr:from>
    <xdr:to>
      <xdr:col>0</xdr:col>
      <xdr:colOff>688592</xdr:colOff>
      <xdr:row>103</xdr:row>
      <xdr:rowOff>123628</xdr:rowOff>
    </xdr:to>
    <xdr:pic>
      <xdr:nvPicPr>
        <xdr:cNvPr id="15" name="图片 1"/>
        <xdr:cNvPicPr>
          <a:picLocks noChangeAspect="1"/>
        </xdr:cNvPicPr>
      </xdr:nvPicPr>
      <xdr:blipFill>
        <a:blip xmlns:r="http://schemas.openxmlformats.org/officeDocument/2006/relationships" r:embed="rId6" cstate="print">
          <a:extLst>
            <a:ext uri="{28A0092B-C50C-407E-A947-70E740481C1C}">
              <a14:useLocalDpi xmlns="" xmlns:a14="http://schemas.microsoft.com/office/drawing/2010/main" val="0"/>
            </a:ext>
          </a:extLst>
        </a:blip>
        <a:srcRect/>
        <a:stretch>
          <a:fillRect/>
        </a:stretch>
      </xdr:blipFill>
      <xdr:spPr bwMode="auto">
        <a:xfrm>
          <a:off x="74543" y="17881348"/>
          <a:ext cx="614049" cy="541486"/>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
              </a:solidFill>
            </a14:hiddenFill>
          </a:ext>
          <a:ext uri="{91240B29-F687-4F45-9708-019B960494DF}">
            <a14:hiddenLine xmlns="" xmlns:a14="http://schemas.microsoft.com/office/drawing/2010/main" w="9525">
              <a:solidFill>
                <a:srgbClr xmlns:mc="http://schemas.openxmlformats.org/markup-compatibility/2006" val="000000" mc:Ignorable=""/>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46.52\SharedDocs\My%20Videos\yahu\&#20813;&#28422;\2009-11-22%20&#21152;&#21253;&#35013;&#26588;&#20307;&#20998;&#35299;&#27169;&#2649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27249;&#26588;&#27169;&#26495;14-12-16/&#33394;&#35825;&#65288;&#36890;&#29992;&#65289;/2009-11-22%20&#21152;&#21253;&#35013;&#26588;&#20307;&#20998;&#35299;&#27169;&#2649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23454;&#26408;&#26408;&#30382;/&#26588;&#20307;&#21644;&#38376;&#26495;&#27169;&#26495;/&#27833;&#28422;&#26408;&#30382;&#38376;&#26495;&#26032;&#27169;&#29256;20100622/2009-11-22%20&#21152;&#21253;&#35013;&#26588;&#20307;&#20998;&#35299;&#27169;&#2649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6588;&#20307;+&#20813;&#28422;+&#28165;&#27833;&#38376;&#26495;.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gpxyh5356.DYRS-LF/Desktop/tm/M11&#26262;&#30333;&#26588;&#20307;.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12-1&#21253;&#35013;/6&#26376;14&#26085;&#25913;&#26368;&#26032;&#20559;&#24515;&#20214;&#32467;&#26500;-&#26262;&#30333;&#26588;&#2030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柜体1 "/>
      <sheetName val="柜体2"/>
      <sheetName val="柜体3"/>
      <sheetName val="柜体4"/>
      <sheetName val="下料单2"/>
      <sheetName val="铝框线形"/>
      <sheetName val="推拉门"/>
      <sheetName val="外协"/>
      <sheetName val="公式"/>
      <sheetName val="新领料单"/>
      <sheetName val="交接表"/>
      <sheetName val="信息"/>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柜体1 "/>
      <sheetName val="柜体2"/>
      <sheetName val="柜体3"/>
      <sheetName val="柜体4"/>
      <sheetName val="下料单2"/>
      <sheetName val="铝框线形"/>
      <sheetName val="推拉门"/>
      <sheetName val="外协"/>
      <sheetName val="公式"/>
      <sheetName val="新领料单"/>
      <sheetName val="交接表"/>
      <sheetName val="信息"/>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柜体1 "/>
      <sheetName val="柜体2"/>
      <sheetName val="柜体3"/>
      <sheetName val="柜体4"/>
      <sheetName val="下料单2"/>
      <sheetName val="铝框线形"/>
      <sheetName val="推拉门"/>
      <sheetName val="外协"/>
      <sheetName val="公式"/>
      <sheetName val="新领料单"/>
      <sheetName val="交接表"/>
      <sheetName val="信息"/>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柜体转序单"/>
      <sheetName val="下料单"/>
      <sheetName val="铝材玻璃单"/>
      <sheetName val="领料单"/>
      <sheetName val="A6包装"/>
      <sheetName val="速美包装"/>
      <sheetName val="A6免漆转序单"/>
      <sheetName val="A6免漆下料单"/>
      <sheetName val="A6免漆领料单"/>
      <sheetName val="速美免漆转序单"/>
      <sheetName val="速美免漆下料单"/>
      <sheetName val="速美免漆领料单"/>
      <sheetName val="吸塑门板转序单"/>
      <sheetName val="吸塑门板下料单"/>
      <sheetName val="吸塑门板领料单"/>
      <sheetName val="香颂外协"/>
      <sheetName val="托斯卡纳外协"/>
      <sheetName val="炫彩梦幻外协"/>
      <sheetName val="油漆包装"/>
      <sheetName val="清油平板转序单"/>
      <sheetName val="清油平板下料单"/>
      <sheetName val="清油平板领料单"/>
      <sheetName val="清油平板油漆单"/>
      <sheetName val="帕拉迪奥清油转序单"/>
      <sheetName val="帕拉迪奥清油下料单"/>
      <sheetName val="帕拉迪奥清油领料单"/>
      <sheetName val="帕拉迪奥清油油漆单"/>
      <sheetName val="帕拉迪奥清油外协单"/>
      <sheetName val="东南亚转序单"/>
      <sheetName val="东南亚下料单"/>
      <sheetName val="东南亚领料单"/>
    </sheetNames>
    <sheetDataSet>
      <sheetData sheetId="0">
        <row r="3">
          <cell r="B3" t="str">
            <v>简爱</v>
          </cell>
        </row>
      </sheetData>
      <sheetData sheetId="1">
        <row r="2">
          <cell r="P2" t="str">
            <v>版本型录号</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kbtasto@she3#"/>
      <sheetName val="下料单"/>
      <sheetName val="领料单"/>
      <sheetName val="交接表"/>
      <sheetName val="Sheet1"/>
      <sheetName val="橱柜交接表"/>
      <sheetName val="外地"/>
      <sheetName val="本地"/>
      <sheetName val="本地包装"/>
      <sheetName val="外阜包装"/>
    </sheetNames>
    <sheetDataSet>
      <sheetData sheetId="0"/>
      <sheetData sheetId="1">
        <row r="2">
          <cell r="M2" t="str">
            <v>版本型录号</v>
          </cell>
        </row>
      </sheetData>
      <sheetData sheetId="2">
        <row r="4">
          <cell r="M4">
            <v>0</v>
          </cell>
        </row>
      </sheetData>
      <sheetData sheetId="3"/>
      <sheetData sheetId="4"/>
      <sheetData sheetId="5"/>
      <sheetData sheetId="6"/>
      <sheetData sheetId="7"/>
      <sheetData sheetId="8"/>
      <sheetData sheetId="9"/>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kbtasto@she3#"/>
      <sheetName val="下料单"/>
      <sheetName val="领料单"/>
      <sheetName val="本地包装领料单"/>
      <sheetName val="外地包装领料单 "/>
      <sheetName val="交接表"/>
      <sheetName val="半成品领料单"/>
      <sheetName val="橱柜交接表"/>
    </sheetNames>
    <sheetDataSet>
      <sheetData sheetId="0" refreshError="1"/>
      <sheetData sheetId="1" refreshError="1"/>
      <sheetData sheetId="2" refreshError="1">
        <row r="3">
          <cell r="M3">
            <v>40889</v>
          </cell>
        </row>
      </sheetData>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sheetPr codeName="Sheet11"/>
  <dimension ref="A1:E128"/>
  <sheetViews>
    <sheetView showZeros="0" defaultGridColor="0" topLeftCell="F1" colorId="0" workbookViewId="0">
      <selection activeCell="D1" sqref="D1"/>
    </sheetView>
  </sheetViews>
  <sheetFormatPr defaultRowHeight="14.25"/>
  <cols>
    <col min="1" max="1" width="15.25" style="4" hidden="1" customWidth="1"/>
    <col min="2" max="2" width="3.5" style="4" hidden="1" customWidth="1"/>
    <col min="3" max="3" width="10.875" style="5" hidden="1" customWidth="1"/>
    <col min="4" max="4" width="12.75" style="4" hidden="1" customWidth="1"/>
    <col min="5" max="5" width="33.5" style="4" hidden="1" customWidth="1"/>
    <col min="6" max="6" width="8.875" style="4" customWidth="1"/>
    <col min="7" max="16384" width="9" style="4"/>
  </cols>
  <sheetData>
    <row r="1" spans="1:5">
      <c r="A1" s="6"/>
      <c r="B1" s="6"/>
      <c r="C1" s="7"/>
      <c r="D1" s="7"/>
      <c r="E1" s="7"/>
    </row>
    <row r="2" spans="1:5">
      <c r="A2" s="6"/>
      <c r="B2" s="6"/>
      <c r="C2" s="7"/>
      <c r="D2" s="7"/>
      <c r="E2" s="7"/>
    </row>
    <row r="3" spans="1:5">
      <c r="A3" s="6"/>
      <c r="B3" s="6"/>
      <c r="C3" s="7"/>
      <c r="D3" s="7"/>
      <c r="E3" s="7"/>
    </row>
    <row r="4" spans="1:5">
      <c r="A4" s="6"/>
      <c r="B4" s="6"/>
      <c r="C4" s="7"/>
      <c r="D4" s="7"/>
      <c r="E4" s="7"/>
    </row>
    <row r="5" spans="1:5">
      <c r="A5" s="6"/>
      <c r="B5" s="6"/>
      <c r="C5" s="7"/>
      <c r="D5" s="7"/>
      <c r="E5" s="7"/>
    </row>
    <row r="6" spans="1:5">
      <c r="A6" s="6"/>
      <c r="B6" s="6"/>
      <c r="C6" s="7"/>
      <c r="D6" s="7"/>
      <c r="E6" s="7"/>
    </row>
    <row r="7" spans="1:5">
      <c r="A7" s="6"/>
      <c r="B7" s="6"/>
      <c r="C7" s="7"/>
      <c r="D7" s="7"/>
      <c r="E7" s="7"/>
    </row>
    <row r="8" spans="1:5">
      <c r="A8" s="6"/>
      <c r="B8" s="6"/>
      <c r="C8" s="7"/>
      <c r="D8" s="7"/>
      <c r="E8" s="7"/>
    </row>
    <row r="9" spans="1:5">
      <c r="B9" s="6"/>
      <c r="C9" s="7"/>
      <c r="D9" s="7"/>
      <c r="E9" s="7"/>
    </row>
    <row r="10" spans="1:5">
      <c r="B10" s="6"/>
      <c r="C10" s="7"/>
      <c r="D10" s="7"/>
      <c r="E10" s="7"/>
    </row>
    <row r="11" spans="1:5">
      <c r="B11" s="6"/>
      <c r="C11" s="7"/>
      <c r="D11" s="7"/>
      <c r="E11" s="7"/>
    </row>
    <row r="12" spans="1:5">
      <c r="B12" s="6"/>
      <c r="C12" s="7"/>
      <c r="D12" s="7"/>
      <c r="E12" s="7"/>
    </row>
    <row r="13" spans="1:5">
      <c r="B13" s="6"/>
      <c r="C13" s="7"/>
      <c r="D13" s="7"/>
      <c r="E13" s="7"/>
    </row>
    <row r="14" spans="1:5">
      <c r="B14" s="6"/>
      <c r="C14" s="7"/>
      <c r="D14" s="7"/>
      <c r="E14" s="7"/>
    </row>
    <row r="15" spans="1:5">
      <c r="B15" s="6"/>
      <c r="C15" s="7"/>
      <c r="D15" s="7"/>
      <c r="E15" s="7"/>
    </row>
    <row r="16" spans="1:5">
      <c r="B16" s="6"/>
      <c r="C16" s="7"/>
      <c r="D16" s="7"/>
      <c r="E16" s="7"/>
    </row>
    <row r="17" spans="2:5">
      <c r="B17" s="6"/>
      <c r="C17" s="7"/>
      <c r="D17" s="7"/>
      <c r="E17" s="7"/>
    </row>
    <row r="18" spans="2:5">
      <c r="B18" s="6"/>
      <c r="C18" s="7"/>
      <c r="D18" s="7"/>
      <c r="E18" s="7"/>
    </row>
    <row r="19" spans="2:5">
      <c r="B19" s="6"/>
      <c r="C19" s="7"/>
      <c r="D19" s="7"/>
      <c r="E19" s="7"/>
    </row>
    <row r="20" spans="2:5">
      <c r="B20" s="6"/>
      <c r="C20" s="7"/>
      <c r="D20" s="7"/>
      <c r="E20" s="7"/>
    </row>
    <row r="21" spans="2:5">
      <c r="B21" s="6"/>
      <c r="C21" s="7"/>
      <c r="D21" s="7"/>
      <c r="E21" s="7"/>
    </row>
    <row r="22" spans="2:5">
      <c r="B22" s="6"/>
      <c r="C22" s="7"/>
      <c r="D22" s="7"/>
      <c r="E22" s="7"/>
    </row>
    <row r="23" spans="2:5">
      <c r="B23" s="6"/>
      <c r="C23" s="7"/>
      <c r="D23" s="7"/>
      <c r="E23" s="7"/>
    </row>
    <row r="24" spans="2:5">
      <c r="B24" s="6"/>
      <c r="C24" s="7"/>
      <c r="D24" s="7"/>
      <c r="E24" s="7"/>
    </row>
    <row r="25" spans="2:5">
      <c r="B25" s="6"/>
      <c r="C25" s="7"/>
      <c r="D25" s="7"/>
      <c r="E25" s="7"/>
    </row>
    <row r="26" spans="2:5">
      <c r="B26" s="6"/>
      <c r="C26" s="7"/>
      <c r="D26" s="7"/>
      <c r="E26" s="7"/>
    </row>
    <row r="27" spans="2:5">
      <c r="B27" s="6"/>
      <c r="C27" s="7"/>
      <c r="D27" s="7"/>
      <c r="E27" s="7"/>
    </row>
    <row r="28" spans="2:5">
      <c r="B28" s="6"/>
      <c r="C28" s="7"/>
      <c r="D28" s="7"/>
      <c r="E28" s="7"/>
    </row>
    <row r="29" spans="2:5">
      <c r="B29" s="6"/>
      <c r="C29" s="7"/>
      <c r="E29" s="7"/>
    </row>
    <row r="30" spans="2:5">
      <c r="B30" s="6"/>
      <c r="C30" s="7"/>
      <c r="E30" s="7"/>
    </row>
    <row r="31" spans="2:5">
      <c r="B31" s="6"/>
      <c r="C31" s="7"/>
      <c r="E31" s="7"/>
    </row>
    <row r="32" spans="2:5">
      <c r="B32" s="6"/>
      <c r="C32" s="7"/>
      <c r="E32" s="7"/>
    </row>
    <row r="33" spans="2:5">
      <c r="B33" s="6"/>
      <c r="C33" s="7"/>
      <c r="E33" s="7"/>
    </row>
    <row r="34" spans="2:5">
      <c r="B34" s="6"/>
      <c r="C34" s="7"/>
      <c r="E34" s="7"/>
    </row>
    <row r="35" spans="2:5">
      <c r="B35" s="6"/>
      <c r="C35" s="7"/>
      <c r="E35" s="7"/>
    </row>
    <row r="36" spans="2:5">
      <c r="B36" s="6"/>
      <c r="C36" s="7"/>
      <c r="E36" s="7"/>
    </row>
    <row r="37" spans="2:5">
      <c r="B37" s="6"/>
      <c r="C37" s="7"/>
      <c r="E37" s="7"/>
    </row>
    <row r="38" spans="2:5">
      <c r="B38" s="6"/>
      <c r="C38" s="7"/>
      <c r="E38" s="7"/>
    </row>
    <row r="39" spans="2:5">
      <c r="B39" s="6"/>
      <c r="C39" s="7"/>
      <c r="E39" s="7"/>
    </row>
    <row r="40" spans="2:5">
      <c r="B40" s="6"/>
      <c r="C40" s="7"/>
      <c r="E40" s="7"/>
    </row>
    <row r="41" spans="2:5">
      <c r="B41" s="6"/>
      <c r="C41" s="7"/>
      <c r="E41" s="7"/>
    </row>
    <row r="42" spans="2:5">
      <c r="B42" s="6"/>
      <c r="C42" s="7"/>
      <c r="E42" s="7"/>
    </row>
    <row r="43" spans="2:5">
      <c r="B43" s="6"/>
      <c r="C43" s="7"/>
      <c r="E43" s="7"/>
    </row>
    <row r="44" spans="2:5">
      <c r="B44" s="6"/>
      <c r="C44" s="7"/>
      <c r="E44" s="7"/>
    </row>
    <row r="45" spans="2:5">
      <c r="B45" s="6"/>
      <c r="C45" s="7"/>
      <c r="E45" s="7"/>
    </row>
    <row r="46" spans="2:5">
      <c r="B46" s="6"/>
      <c r="C46" s="7"/>
      <c r="E46" s="7"/>
    </row>
    <row r="47" spans="2:5">
      <c r="B47" s="6"/>
      <c r="C47" s="7"/>
      <c r="E47" s="7"/>
    </row>
    <row r="48" spans="2:5">
      <c r="B48" s="6"/>
      <c r="C48" s="7"/>
      <c r="E48" s="7"/>
    </row>
    <row r="49" spans="2:5">
      <c r="B49" s="6"/>
      <c r="C49" s="7"/>
      <c r="E49" s="7"/>
    </row>
    <row r="50" spans="2:5">
      <c r="B50" s="6"/>
      <c r="C50" s="7"/>
      <c r="E50" s="7"/>
    </row>
    <row r="51" spans="2:5">
      <c r="B51" s="6"/>
      <c r="C51" s="7"/>
      <c r="E51" s="7"/>
    </row>
    <row r="52" spans="2:5">
      <c r="B52" s="6"/>
      <c r="C52" s="7"/>
      <c r="E52" s="7"/>
    </row>
    <row r="53" spans="2:5">
      <c r="B53" s="6"/>
      <c r="C53" s="7"/>
      <c r="E53" s="7"/>
    </row>
    <row r="54" spans="2:5">
      <c r="B54" s="6"/>
      <c r="C54" s="7"/>
      <c r="E54" s="7"/>
    </row>
    <row r="55" spans="2:5">
      <c r="B55" s="6"/>
      <c r="C55" s="7"/>
    </row>
    <row r="56" spans="2:5">
      <c r="B56" s="6"/>
      <c r="C56" s="7"/>
    </row>
    <row r="57" spans="2:5">
      <c r="B57" s="6"/>
      <c r="C57" s="7"/>
    </row>
    <row r="58" spans="2:5">
      <c r="B58" s="6"/>
      <c r="C58" s="7"/>
    </row>
    <row r="59" spans="2:5">
      <c r="B59" s="6"/>
      <c r="C59" s="7"/>
    </row>
    <row r="60" spans="2:5">
      <c r="B60" s="6"/>
      <c r="C60" s="7"/>
    </row>
    <row r="61" spans="2:5">
      <c r="B61" s="6"/>
      <c r="C61" s="7"/>
    </row>
    <row r="62" spans="2:5">
      <c r="B62" s="6"/>
      <c r="C62" s="7"/>
    </row>
    <row r="63" spans="2:5">
      <c r="B63" s="6"/>
      <c r="C63" s="7"/>
    </row>
    <row r="64" spans="2:5">
      <c r="B64" s="6"/>
      <c r="C64" s="7"/>
    </row>
    <row r="65" spans="2:3">
      <c r="B65" s="6"/>
      <c r="C65" s="7"/>
    </row>
    <row r="66" spans="2:3">
      <c r="B66" s="6"/>
      <c r="C66" s="7"/>
    </row>
    <row r="67" spans="2:3">
      <c r="B67" s="6"/>
      <c r="C67" s="7"/>
    </row>
    <row r="68" spans="2:3">
      <c r="B68" s="6"/>
      <c r="C68" s="7"/>
    </row>
    <row r="69" spans="2:3">
      <c r="B69" s="6"/>
      <c r="C69" s="7"/>
    </row>
    <row r="70" spans="2:3">
      <c r="B70" s="6"/>
      <c r="C70" s="7"/>
    </row>
    <row r="71" spans="2:3">
      <c r="B71" s="6"/>
      <c r="C71" s="7"/>
    </row>
    <row r="72" spans="2:3">
      <c r="B72" s="6"/>
      <c r="C72" s="7"/>
    </row>
    <row r="73" spans="2:3">
      <c r="B73" s="6"/>
      <c r="C73" s="7"/>
    </row>
    <row r="74" spans="2:3">
      <c r="B74" s="6"/>
      <c r="C74" s="7"/>
    </row>
    <row r="75" spans="2:3">
      <c r="B75" s="6"/>
      <c r="C75" s="7"/>
    </row>
    <row r="76" spans="2:3">
      <c r="B76" s="6"/>
      <c r="C76" s="7"/>
    </row>
    <row r="77" spans="2:3">
      <c r="B77" s="6"/>
      <c r="C77" s="7"/>
    </row>
    <row r="78" spans="2:3">
      <c r="B78" s="6"/>
      <c r="C78" s="7"/>
    </row>
    <row r="79" spans="2:3">
      <c r="B79" s="6"/>
      <c r="C79" s="7"/>
    </row>
    <row r="80" spans="2:3">
      <c r="B80" s="6"/>
      <c r="C80" s="7"/>
    </row>
    <row r="81" spans="2:3">
      <c r="B81" s="6"/>
      <c r="C81" s="7"/>
    </row>
    <row r="82" spans="2:3">
      <c r="B82" s="6"/>
      <c r="C82" s="7"/>
    </row>
    <row r="83" spans="2:3">
      <c r="B83" s="6"/>
      <c r="C83" s="7"/>
    </row>
    <row r="84" spans="2:3">
      <c r="B84" s="5"/>
      <c r="C84" s="7"/>
    </row>
    <row r="85" spans="2:3">
      <c r="B85" s="5"/>
      <c r="C85" s="7"/>
    </row>
    <row r="86" spans="2:3">
      <c r="B86" s="5"/>
      <c r="C86" s="7"/>
    </row>
    <row r="87" spans="2:3">
      <c r="B87" s="5"/>
      <c r="C87" s="7"/>
    </row>
    <row r="88" spans="2:3">
      <c r="B88" s="5"/>
      <c r="C88" s="7"/>
    </row>
    <row r="89" spans="2:3">
      <c r="B89" s="5"/>
      <c r="C89" s="7"/>
    </row>
    <row r="90" spans="2:3">
      <c r="B90" s="5"/>
    </row>
    <row r="91" spans="2:3">
      <c r="B91" s="5"/>
    </row>
    <row r="92" spans="2:3">
      <c r="B92" s="5"/>
    </row>
    <row r="93" spans="2:3">
      <c r="B93" s="5"/>
    </row>
    <row r="94" spans="2:3">
      <c r="B94" s="5"/>
    </row>
    <row r="95" spans="2:3">
      <c r="B95" s="5"/>
    </row>
    <row r="96" spans="2:3">
      <c r="B96" s="5"/>
    </row>
    <row r="97" spans="2:2">
      <c r="B97" s="5"/>
    </row>
    <row r="98" spans="2:2">
      <c r="B98" s="5"/>
    </row>
    <row r="99" spans="2:2">
      <c r="B99" s="5"/>
    </row>
    <row r="100" spans="2:2">
      <c r="B100" s="5"/>
    </row>
    <row r="101" spans="2:2">
      <c r="B101" s="5"/>
    </row>
    <row r="102" spans="2:2">
      <c r="B102" s="5"/>
    </row>
    <row r="103" spans="2:2">
      <c r="B103" s="5"/>
    </row>
    <row r="104" spans="2:2">
      <c r="B104" s="5"/>
    </row>
    <row r="105" spans="2:2">
      <c r="B105" s="5"/>
    </row>
    <row r="106" spans="2:2">
      <c r="B106" s="5"/>
    </row>
    <row r="107" spans="2:2">
      <c r="B107" s="5"/>
    </row>
    <row r="108" spans="2:2">
      <c r="B108" s="5"/>
    </row>
    <row r="109" spans="2:2">
      <c r="B109" s="5"/>
    </row>
    <row r="110" spans="2:2">
      <c r="B110" s="5"/>
    </row>
    <row r="111" spans="2:2">
      <c r="B111" s="5"/>
    </row>
    <row r="112" spans="2:2">
      <c r="B112" s="5"/>
    </row>
    <row r="113" spans="2:2">
      <c r="B113" s="5"/>
    </row>
    <row r="114" spans="2:2">
      <c r="B114" s="5"/>
    </row>
    <row r="115" spans="2:2">
      <c r="B115" s="5"/>
    </row>
    <row r="116" spans="2:2">
      <c r="B116" s="5"/>
    </row>
    <row r="117" spans="2:2">
      <c r="B117" s="5"/>
    </row>
    <row r="118" spans="2:2">
      <c r="B118" s="5"/>
    </row>
    <row r="119" spans="2:2">
      <c r="B119" s="5"/>
    </row>
    <row r="120" spans="2:2">
      <c r="B120" s="5"/>
    </row>
    <row r="121" spans="2:2">
      <c r="B121" s="5"/>
    </row>
    <row r="122" spans="2:2">
      <c r="B122" s="5"/>
    </row>
    <row r="123" spans="2:2">
      <c r="B123" s="5"/>
    </row>
    <row r="124" spans="2:2">
      <c r="B124" s="5"/>
    </row>
    <row r="125" spans="2:2">
      <c r="B125" s="5"/>
    </row>
    <row r="126" spans="2:2">
      <c r="B126" s="5"/>
    </row>
    <row r="127" spans="2:2">
      <c r="B127" s="5"/>
    </row>
    <row r="128" spans="2:2">
      <c r="B128" s="5"/>
    </row>
  </sheetData>
  <phoneticPr fontId="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sheetPr>
    <tabColor rgb="FFFF0000"/>
  </sheetPr>
  <dimension ref="A1:J47"/>
  <sheetViews>
    <sheetView view="pageBreakPreview" zoomScale="115" zoomScaleSheetLayoutView="115" workbookViewId="0">
      <selection activeCell="M10" sqref="M10"/>
    </sheetView>
  </sheetViews>
  <sheetFormatPr defaultRowHeight="13.5"/>
  <cols>
    <col min="1" max="1" width="8.5" style="675" customWidth="1"/>
    <col min="2" max="2" width="10.125" style="687" customWidth="1"/>
    <col min="3" max="3" width="13.875" style="687" customWidth="1"/>
    <col min="4" max="4" width="11.875" style="675" customWidth="1"/>
    <col min="5" max="5" width="5.875" style="675" customWidth="1"/>
    <col min="6" max="6" width="7.75" style="675" customWidth="1"/>
    <col min="7" max="7" width="8.625" style="675" customWidth="1"/>
    <col min="8" max="8" width="9.75" style="675" customWidth="1"/>
    <col min="9" max="9" width="5.75" style="675" customWidth="1"/>
    <col min="10" max="10" width="6" style="675" customWidth="1"/>
    <col min="11" max="16384" width="9" style="675"/>
  </cols>
  <sheetData>
    <row r="1" spans="1:10" ht="27" customHeight="1">
      <c r="A1" s="918" t="s">
        <v>1561</v>
      </c>
      <c r="B1" s="918"/>
      <c r="C1" s="918"/>
      <c r="D1" s="918"/>
      <c r="E1" s="918"/>
      <c r="F1" s="918"/>
      <c r="G1" s="918"/>
      <c r="H1" s="918"/>
      <c r="I1" s="918"/>
      <c r="J1" s="918"/>
    </row>
    <row r="2" spans="1:10" ht="21" customHeight="1">
      <c r="A2" s="676" t="s">
        <v>1562</v>
      </c>
      <c r="B2" s="919" t="str">
        <f>下料单!C2</f>
        <v>杜鹃</v>
      </c>
      <c r="C2" s="919"/>
      <c r="D2" s="668" t="s">
        <v>150</v>
      </c>
      <c r="E2" s="919" t="str">
        <f>下料单!H2</f>
        <v>S400383705</v>
      </c>
      <c r="F2" s="919"/>
      <c r="G2" s="919"/>
      <c r="H2" s="668" t="s">
        <v>1563</v>
      </c>
      <c r="I2" s="920"/>
      <c r="J2" s="920"/>
    </row>
    <row r="3" spans="1:10" ht="21" customHeight="1">
      <c r="A3" s="668" t="s">
        <v>1564</v>
      </c>
      <c r="B3" s="919" t="str">
        <f>下料单!AB2</f>
        <v>左岸都市II</v>
      </c>
      <c r="C3" s="919"/>
      <c r="D3" s="668" t="s">
        <v>1565</v>
      </c>
      <c r="E3" s="919" t="str">
        <f>下料单!C3</f>
        <v>16厚暖白</v>
      </c>
      <c r="F3" s="919"/>
      <c r="G3" s="919"/>
      <c r="H3" s="668" t="s">
        <v>1566</v>
      </c>
      <c r="I3" s="920"/>
      <c r="J3" s="920"/>
    </row>
    <row r="4" spans="1:10" ht="21" customHeight="1">
      <c r="A4" s="668" t="s">
        <v>1567</v>
      </c>
      <c r="B4" s="919" t="str">
        <f>下料单!S2</f>
        <v>西安</v>
      </c>
      <c r="C4" s="919"/>
      <c r="D4" s="677" t="s">
        <v>1568</v>
      </c>
      <c r="E4" s="923">
        <f>下料单!N2</f>
        <v>0</v>
      </c>
      <c r="F4" s="923"/>
      <c r="G4" s="923"/>
      <c r="H4" s="668" t="s">
        <v>1569</v>
      </c>
      <c r="I4" s="920">
        <f>下料单!X2</f>
        <v>0</v>
      </c>
      <c r="J4" s="920"/>
    </row>
    <row r="5" spans="1:10" ht="21" customHeight="1">
      <c r="A5" s="668" t="s">
        <v>1570</v>
      </c>
      <c r="B5" s="668" t="s">
        <v>1571</v>
      </c>
      <c r="C5" s="668" t="s">
        <v>1572</v>
      </c>
      <c r="D5" s="668" t="s">
        <v>1573</v>
      </c>
      <c r="E5" s="668" t="s">
        <v>1574</v>
      </c>
      <c r="F5" s="668" t="s">
        <v>1575</v>
      </c>
      <c r="G5" s="668" t="s">
        <v>1576</v>
      </c>
      <c r="H5" s="720" t="s">
        <v>1621</v>
      </c>
      <c r="I5" s="919" t="s">
        <v>1622</v>
      </c>
      <c r="J5" s="919"/>
    </row>
    <row r="6" spans="1:10" ht="21" customHeight="1">
      <c r="A6" s="668" t="s">
        <v>1577</v>
      </c>
      <c r="B6" s="919">
        <f>下料单!E21</f>
        <v>1</v>
      </c>
      <c r="C6" s="919"/>
      <c r="D6" s="668" t="s">
        <v>1578</v>
      </c>
      <c r="E6" s="919">
        <f>下料单!E33</f>
        <v>0</v>
      </c>
      <c r="F6" s="919"/>
      <c r="G6" s="919"/>
      <c r="H6" s="668" t="s">
        <v>1579</v>
      </c>
      <c r="I6" s="919"/>
      <c r="J6" s="919"/>
    </row>
    <row r="7" spans="1:10" ht="21" customHeight="1">
      <c r="A7" s="668" t="s">
        <v>1580</v>
      </c>
      <c r="B7" s="668" t="s">
        <v>1581</v>
      </c>
      <c r="C7" s="668" t="s">
        <v>1582</v>
      </c>
      <c r="D7" s="668" t="s">
        <v>1583</v>
      </c>
      <c r="E7" s="668" t="s">
        <v>695</v>
      </c>
      <c r="F7" s="668" t="s">
        <v>1563</v>
      </c>
      <c r="G7" s="668" t="s">
        <v>1584</v>
      </c>
      <c r="H7" s="668" t="s">
        <v>1585</v>
      </c>
      <c r="I7" s="668" t="s">
        <v>1586</v>
      </c>
      <c r="J7" s="668" t="s">
        <v>1587</v>
      </c>
    </row>
    <row r="8" spans="1:10" ht="21" customHeight="1">
      <c r="A8" s="668">
        <v>1</v>
      </c>
      <c r="B8" s="921" t="s">
        <v>1588</v>
      </c>
      <c r="C8" s="669" t="s">
        <v>1589</v>
      </c>
      <c r="D8" s="668">
        <f>下料单!Z36</f>
        <v>5</v>
      </c>
      <c r="E8" s="668" t="s">
        <v>1590</v>
      </c>
      <c r="F8" s="668"/>
      <c r="G8" s="668"/>
      <c r="H8" s="668"/>
      <c r="I8" s="668"/>
      <c r="J8" s="670"/>
    </row>
    <row r="9" spans="1:10" ht="21" customHeight="1">
      <c r="A9" s="668">
        <v>2</v>
      </c>
      <c r="B9" s="921"/>
      <c r="C9" s="669" t="s">
        <v>1560</v>
      </c>
      <c r="D9" s="668">
        <f>下料单!Z37</f>
        <v>5</v>
      </c>
      <c r="E9" s="668" t="s">
        <v>1591</v>
      </c>
      <c r="F9" s="668"/>
      <c r="G9" s="668"/>
      <c r="H9" s="668"/>
      <c r="I9" s="668"/>
      <c r="J9" s="670"/>
    </row>
    <row r="10" spans="1:10" ht="21" customHeight="1">
      <c r="A10" s="668">
        <v>3</v>
      </c>
      <c r="B10" s="921"/>
      <c r="C10" s="671" t="s">
        <v>1592</v>
      </c>
      <c r="D10" s="668">
        <f>下料单!Z38</f>
        <v>4</v>
      </c>
      <c r="E10" s="668" t="s">
        <v>1591</v>
      </c>
      <c r="F10" s="668"/>
      <c r="G10" s="668"/>
      <c r="H10" s="668"/>
      <c r="I10" s="668"/>
      <c r="J10" s="670"/>
    </row>
    <row r="11" spans="1:10" ht="21" customHeight="1">
      <c r="A11" s="668">
        <v>4</v>
      </c>
      <c r="B11" s="922" t="s">
        <v>1593</v>
      </c>
      <c r="C11" s="669" t="s">
        <v>1594</v>
      </c>
      <c r="D11" s="668"/>
      <c r="E11" s="668" t="s">
        <v>1591</v>
      </c>
      <c r="F11" s="668"/>
      <c r="G11" s="668"/>
      <c r="H11" s="668"/>
      <c r="I11" s="668"/>
      <c r="J11" s="670"/>
    </row>
    <row r="12" spans="1:10" ht="21" customHeight="1">
      <c r="A12" s="668">
        <v>5</v>
      </c>
      <c r="B12" s="922"/>
      <c r="C12" s="669" t="s">
        <v>1560</v>
      </c>
      <c r="D12" s="668"/>
      <c r="E12" s="668" t="s">
        <v>1591</v>
      </c>
      <c r="F12" s="668"/>
      <c r="G12" s="668"/>
      <c r="H12" s="668"/>
      <c r="I12" s="668"/>
      <c r="J12" s="670"/>
    </row>
    <row r="13" spans="1:10" ht="21" customHeight="1">
      <c r="A13" s="668">
        <v>6</v>
      </c>
      <c r="B13" s="922"/>
      <c r="C13" s="671" t="s">
        <v>1595</v>
      </c>
      <c r="D13" s="668"/>
      <c r="E13" s="668" t="s">
        <v>1591</v>
      </c>
      <c r="F13" s="668"/>
      <c r="G13" s="668"/>
      <c r="H13" s="668"/>
      <c r="I13" s="668"/>
      <c r="J13" s="670"/>
    </row>
    <row r="14" spans="1:10" ht="21" customHeight="1">
      <c r="A14" s="722">
        <v>7</v>
      </c>
      <c r="B14" s="723" t="s">
        <v>1628</v>
      </c>
      <c r="C14" s="671" t="s">
        <v>1629</v>
      </c>
      <c r="D14" s="722"/>
      <c r="E14" s="722" t="s">
        <v>1630</v>
      </c>
      <c r="F14" s="722"/>
      <c r="G14" s="722"/>
      <c r="H14" s="722"/>
      <c r="I14" s="722"/>
      <c r="J14" s="670"/>
    </row>
    <row r="15" spans="1:10" ht="21" customHeight="1">
      <c r="A15" s="722">
        <v>8</v>
      </c>
      <c r="B15" s="922" t="s">
        <v>1596</v>
      </c>
      <c r="C15" s="669" t="s">
        <v>1597</v>
      </c>
      <c r="D15" s="668"/>
      <c r="E15" s="668" t="s">
        <v>1591</v>
      </c>
      <c r="F15" s="668"/>
      <c r="G15" s="668"/>
      <c r="H15" s="668"/>
      <c r="I15" s="668"/>
      <c r="J15" s="670"/>
    </row>
    <row r="16" spans="1:10" ht="21" customHeight="1">
      <c r="A16" s="722">
        <v>9</v>
      </c>
      <c r="B16" s="922"/>
      <c r="C16" s="669" t="s">
        <v>1598</v>
      </c>
      <c r="D16" s="668"/>
      <c r="E16" s="668" t="s">
        <v>1591</v>
      </c>
      <c r="F16" s="668"/>
      <c r="G16" s="668"/>
      <c r="H16" s="668"/>
      <c r="I16" s="668"/>
      <c r="J16" s="670"/>
    </row>
    <row r="17" spans="1:10" ht="21" customHeight="1">
      <c r="A17" s="722">
        <v>10</v>
      </c>
      <c r="B17" s="922" t="s">
        <v>1599</v>
      </c>
      <c r="C17" s="669" t="s">
        <v>1600</v>
      </c>
      <c r="D17" s="668"/>
      <c r="E17" s="668" t="s">
        <v>1591</v>
      </c>
      <c r="F17" s="668"/>
      <c r="G17" s="668"/>
      <c r="H17" s="668"/>
      <c r="I17" s="668"/>
      <c r="J17" s="670"/>
    </row>
    <row r="18" spans="1:10" ht="21" customHeight="1">
      <c r="A18" s="722">
        <v>11</v>
      </c>
      <c r="B18" s="922"/>
      <c r="C18" s="669" t="s">
        <v>1601</v>
      </c>
      <c r="D18" s="668"/>
      <c r="E18" s="668" t="s">
        <v>1591</v>
      </c>
      <c r="F18" s="668"/>
      <c r="G18" s="668"/>
      <c r="H18" s="668"/>
      <c r="I18" s="668"/>
      <c r="J18" s="670"/>
    </row>
    <row r="19" spans="1:10" ht="21" customHeight="1">
      <c r="A19" s="722">
        <v>12</v>
      </c>
      <c r="B19" s="922"/>
      <c r="C19" s="669" t="s">
        <v>1602</v>
      </c>
      <c r="D19" s="668"/>
      <c r="E19" s="668" t="s">
        <v>1591</v>
      </c>
      <c r="F19" s="668"/>
      <c r="G19" s="668"/>
      <c r="H19" s="668"/>
      <c r="I19" s="668"/>
      <c r="J19" s="670"/>
    </row>
    <row r="20" spans="1:10" ht="21" customHeight="1">
      <c r="A20" s="722">
        <v>13</v>
      </c>
      <c r="B20" s="922"/>
      <c r="C20" s="669" t="s">
        <v>1603</v>
      </c>
      <c r="D20" s="668"/>
      <c r="E20" s="668" t="s">
        <v>1591</v>
      </c>
      <c r="F20" s="668"/>
      <c r="G20" s="668"/>
      <c r="H20" s="668"/>
      <c r="I20" s="668"/>
      <c r="J20" s="670"/>
    </row>
    <row r="21" spans="1:10" ht="21" customHeight="1">
      <c r="A21" s="722">
        <v>14</v>
      </c>
      <c r="B21" s="921" t="s">
        <v>1604</v>
      </c>
      <c r="C21" s="669" t="s">
        <v>1605</v>
      </c>
      <c r="D21" s="690">
        <f>下料单!C35</f>
        <v>0.8</v>
      </c>
      <c r="E21" s="668" t="s">
        <v>1606</v>
      </c>
      <c r="F21" s="668"/>
      <c r="G21" s="668"/>
      <c r="H21" s="668"/>
      <c r="I21" s="668"/>
      <c r="J21" s="670"/>
    </row>
    <row r="22" spans="1:10" ht="21" customHeight="1">
      <c r="A22" s="722">
        <v>15</v>
      </c>
      <c r="B22" s="921"/>
      <c r="C22" s="669" t="s">
        <v>1607</v>
      </c>
      <c r="D22" s="668"/>
      <c r="E22" s="668" t="s">
        <v>1608</v>
      </c>
      <c r="F22" s="668"/>
      <c r="G22" s="668"/>
      <c r="H22" s="668"/>
      <c r="I22" s="668"/>
      <c r="J22" s="670"/>
    </row>
    <row r="23" spans="1:10" ht="21" customHeight="1">
      <c r="A23" s="722">
        <v>16</v>
      </c>
      <c r="B23" s="921"/>
      <c r="C23" s="672" t="s">
        <v>1609</v>
      </c>
      <c r="D23" s="668">
        <v>1</v>
      </c>
      <c r="E23" s="668" t="s">
        <v>1610</v>
      </c>
      <c r="F23" s="668"/>
      <c r="G23" s="668"/>
      <c r="H23" s="668"/>
      <c r="I23" s="668"/>
      <c r="J23" s="670"/>
    </row>
    <row r="24" spans="1:10" ht="21" customHeight="1">
      <c r="A24" s="722">
        <v>17</v>
      </c>
      <c r="B24" s="923" t="s">
        <v>1611</v>
      </c>
      <c r="C24" s="673" t="s">
        <v>1612</v>
      </c>
      <c r="D24" s="668"/>
      <c r="E24" s="668" t="s">
        <v>1608</v>
      </c>
      <c r="F24" s="668"/>
      <c r="G24" s="668"/>
      <c r="H24" s="668"/>
      <c r="I24" s="668"/>
      <c r="J24" s="670"/>
    </row>
    <row r="25" spans="1:10" ht="21" customHeight="1">
      <c r="A25" s="722">
        <v>18</v>
      </c>
      <c r="B25" s="923"/>
      <c r="C25" s="673" t="s">
        <v>1613</v>
      </c>
      <c r="D25" s="668"/>
      <c r="E25" s="668" t="s">
        <v>1608</v>
      </c>
      <c r="F25" s="668"/>
      <c r="G25" s="668"/>
      <c r="H25" s="668"/>
      <c r="I25" s="668"/>
      <c r="J25" s="670"/>
    </row>
    <row r="26" spans="1:10" s="696" customFormat="1" ht="20.100000000000001" customHeight="1">
      <c r="A26" s="722">
        <v>19</v>
      </c>
      <c r="B26" s="924" t="s">
        <v>1617</v>
      </c>
      <c r="C26" s="695" t="s">
        <v>1618</v>
      </c>
      <c r="D26" s="694"/>
      <c r="E26" s="694" t="s">
        <v>1619</v>
      </c>
      <c r="F26" s="694"/>
      <c r="G26" s="694"/>
      <c r="H26" s="694"/>
      <c r="I26" s="694"/>
      <c r="J26" s="68"/>
    </row>
    <row r="27" spans="1:10" s="696" customFormat="1" ht="20.100000000000001" customHeight="1">
      <c r="A27" s="722">
        <v>20</v>
      </c>
      <c r="B27" s="925"/>
      <c r="C27" s="695" t="s">
        <v>1620</v>
      </c>
      <c r="D27" s="694"/>
      <c r="E27" s="694" t="s">
        <v>1619</v>
      </c>
      <c r="F27" s="694"/>
      <c r="G27" s="694"/>
      <c r="H27" s="694"/>
      <c r="I27" s="694"/>
      <c r="J27" s="68"/>
    </row>
    <row r="28" spans="1:10" ht="25.5" customHeight="1">
      <c r="A28" s="722">
        <v>21</v>
      </c>
      <c r="B28" s="674" t="s">
        <v>1614</v>
      </c>
      <c r="C28" s="673" t="s">
        <v>1615</v>
      </c>
      <c r="D28" s="668">
        <f>下料单!Z36</f>
        <v>5</v>
      </c>
      <c r="E28" s="668" t="s">
        <v>1591</v>
      </c>
      <c r="F28" s="668"/>
      <c r="G28" s="668"/>
      <c r="H28" s="668"/>
      <c r="I28" s="668"/>
      <c r="J28" s="670"/>
    </row>
    <row r="29" spans="1:10">
      <c r="A29" s="678"/>
      <c r="B29" s="678"/>
      <c r="C29" s="679"/>
      <c r="D29" s="678"/>
      <c r="E29" s="678"/>
      <c r="F29" s="678"/>
      <c r="G29" s="678"/>
      <c r="H29" s="678"/>
      <c r="I29" s="678"/>
      <c r="J29" s="680"/>
    </row>
    <row r="30" spans="1:10">
      <c r="A30" s="678"/>
      <c r="B30" s="678"/>
      <c r="C30" s="681"/>
      <c r="D30" s="678"/>
      <c r="E30" s="678"/>
      <c r="F30" s="678"/>
      <c r="G30" s="678"/>
      <c r="H30" s="678"/>
      <c r="I30" s="678"/>
      <c r="J30" s="680"/>
    </row>
    <row r="31" spans="1:10">
      <c r="A31" s="678"/>
      <c r="B31" s="678"/>
      <c r="C31" s="682"/>
      <c r="D31" s="678"/>
      <c r="E31" s="678"/>
      <c r="F31" s="678"/>
      <c r="G31" s="678"/>
      <c r="H31" s="678"/>
      <c r="I31" s="678"/>
      <c r="J31" s="680"/>
    </row>
    <row r="32" spans="1:10">
      <c r="A32" s="678"/>
      <c r="B32" s="678"/>
      <c r="C32" s="682"/>
      <c r="D32" s="678"/>
      <c r="E32" s="678"/>
      <c r="F32" s="678"/>
      <c r="G32" s="678"/>
      <c r="H32" s="678"/>
      <c r="I32" s="678"/>
      <c r="J32" s="680"/>
    </row>
    <row r="33" spans="1:10">
      <c r="A33" s="678"/>
      <c r="B33" s="678"/>
      <c r="C33" s="678"/>
      <c r="D33" s="678"/>
      <c r="E33" s="678"/>
      <c r="F33" s="678"/>
      <c r="G33" s="678"/>
      <c r="H33" s="678"/>
      <c r="I33" s="678"/>
      <c r="J33" s="680"/>
    </row>
    <row r="34" spans="1:10">
      <c r="A34" s="678"/>
      <c r="B34" s="678"/>
      <c r="C34" s="678"/>
      <c r="D34" s="678"/>
      <c r="E34" s="678"/>
      <c r="F34" s="678"/>
      <c r="G34" s="678"/>
      <c r="H34" s="678"/>
      <c r="I34" s="678"/>
      <c r="J34" s="680"/>
    </row>
    <row r="35" spans="1:10">
      <c r="A35" s="678"/>
      <c r="B35" s="678"/>
      <c r="C35" s="678"/>
      <c r="D35" s="678"/>
      <c r="E35" s="678"/>
      <c r="F35" s="678"/>
      <c r="G35" s="678"/>
      <c r="H35" s="678"/>
      <c r="I35" s="678"/>
      <c r="J35" s="680"/>
    </row>
    <row r="36" spans="1:10">
      <c r="A36" s="678"/>
      <c r="B36" s="678"/>
      <c r="C36" s="678"/>
      <c r="D36" s="678"/>
      <c r="E36" s="678"/>
      <c r="F36" s="678"/>
      <c r="G36" s="678"/>
      <c r="H36" s="678"/>
      <c r="I36" s="678"/>
      <c r="J36" s="680"/>
    </row>
    <row r="37" spans="1:10">
      <c r="A37" s="678"/>
      <c r="B37" s="678"/>
      <c r="C37" s="679"/>
      <c r="D37" s="678"/>
      <c r="E37" s="678"/>
      <c r="F37" s="678"/>
      <c r="G37" s="678"/>
      <c r="H37" s="678"/>
      <c r="I37" s="678"/>
      <c r="J37" s="680"/>
    </row>
    <row r="38" spans="1:10">
      <c r="A38" s="678"/>
      <c r="B38" s="678"/>
      <c r="C38" s="679"/>
      <c r="D38" s="678"/>
      <c r="E38" s="678"/>
      <c r="F38" s="678"/>
      <c r="G38" s="678"/>
      <c r="H38" s="678"/>
      <c r="I38" s="678"/>
      <c r="J38" s="680"/>
    </row>
    <row r="39" spans="1:10" ht="18.75" customHeight="1">
      <c r="A39" s="678"/>
      <c r="B39" s="678"/>
      <c r="C39" s="683"/>
      <c r="D39" s="678"/>
      <c r="E39" s="678"/>
      <c r="F39" s="678"/>
      <c r="G39" s="678"/>
      <c r="H39" s="678"/>
      <c r="I39" s="678"/>
      <c r="J39" s="680"/>
    </row>
    <row r="40" spans="1:10">
      <c r="A40" s="678"/>
      <c r="B40" s="678"/>
      <c r="C40" s="678"/>
      <c r="D40" s="678"/>
      <c r="E40" s="678"/>
      <c r="F40" s="678"/>
      <c r="G40" s="678"/>
      <c r="H40" s="678"/>
      <c r="I40" s="678"/>
      <c r="J40" s="680"/>
    </row>
    <row r="41" spans="1:10">
      <c r="A41" s="678"/>
      <c r="B41" s="678"/>
      <c r="C41" s="678"/>
      <c r="D41" s="678"/>
      <c r="E41" s="678"/>
      <c r="F41" s="678"/>
      <c r="G41" s="678"/>
      <c r="H41" s="678"/>
      <c r="I41" s="678"/>
      <c r="J41" s="680"/>
    </row>
    <row r="42" spans="1:10">
      <c r="A42" s="678"/>
      <c r="B42" s="678"/>
      <c r="C42" s="684"/>
      <c r="D42" s="678"/>
      <c r="E42" s="678"/>
      <c r="F42" s="678"/>
      <c r="G42" s="678"/>
      <c r="H42" s="678"/>
      <c r="I42" s="678"/>
      <c r="J42" s="680"/>
    </row>
    <row r="43" spans="1:10">
      <c r="A43" s="678"/>
      <c r="B43" s="678"/>
      <c r="C43" s="684"/>
      <c r="D43" s="678"/>
      <c r="E43" s="678"/>
      <c r="F43" s="678"/>
      <c r="G43" s="678"/>
      <c r="H43" s="678"/>
      <c r="I43" s="678"/>
      <c r="J43" s="680"/>
    </row>
    <row r="44" spans="1:10">
      <c r="A44" s="678"/>
      <c r="B44" s="678"/>
      <c r="C44" s="678"/>
      <c r="D44" s="678"/>
      <c r="E44" s="678"/>
      <c r="F44" s="678"/>
      <c r="G44" s="678"/>
      <c r="H44" s="678"/>
      <c r="I44" s="678"/>
      <c r="J44" s="680"/>
    </row>
    <row r="45" spans="1:10">
      <c r="A45" s="678"/>
      <c r="B45" s="678"/>
      <c r="C45" s="678"/>
      <c r="D45" s="678"/>
      <c r="E45" s="678"/>
      <c r="F45" s="678"/>
      <c r="G45" s="678"/>
      <c r="H45" s="678"/>
      <c r="I45" s="678"/>
      <c r="J45" s="680"/>
    </row>
    <row r="46" spans="1:10">
      <c r="A46" s="678"/>
      <c r="B46" s="678"/>
      <c r="C46" s="678"/>
      <c r="D46" s="678"/>
      <c r="E46" s="678"/>
      <c r="F46" s="678"/>
      <c r="G46" s="678"/>
      <c r="H46" s="678"/>
      <c r="I46" s="678"/>
      <c r="J46" s="680"/>
    </row>
    <row r="47" spans="1:10">
      <c r="A47" s="685"/>
      <c r="B47" s="686"/>
      <c r="C47" s="686"/>
      <c r="D47" s="685"/>
      <c r="E47" s="685"/>
      <c r="F47" s="685"/>
      <c r="G47" s="685"/>
      <c r="H47" s="685"/>
      <c r="I47" s="685"/>
      <c r="J47" s="685"/>
    </row>
  </sheetData>
  <mergeCells count="21">
    <mergeCell ref="B26:B27"/>
    <mergeCell ref="B17:B20"/>
    <mergeCell ref="B21:B23"/>
    <mergeCell ref="B24:B25"/>
    <mergeCell ref="E6:G6"/>
    <mergeCell ref="I6:J6"/>
    <mergeCell ref="B8:B10"/>
    <mergeCell ref="B11:B13"/>
    <mergeCell ref="B15:B16"/>
    <mergeCell ref="B2:C2"/>
    <mergeCell ref="E4:G4"/>
    <mergeCell ref="I4:J4"/>
    <mergeCell ref="B6:C6"/>
    <mergeCell ref="B4:C4"/>
    <mergeCell ref="I5:J5"/>
    <mergeCell ref="A1:J1"/>
    <mergeCell ref="E2:G2"/>
    <mergeCell ref="I2:J2"/>
    <mergeCell ref="E3:G3"/>
    <mergeCell ref="I3:J3"/>
    <mergeCell ref="B3:C3"/>
  </mergeCells>
  <phoneticPr fontId="46" type="noConversion"/>
  <conditionalFormatting sqref="C18:C19">
    <cfRule type="duplicateValues" dxfId="20" priority="14" stopIfTrue="1"/>
  </conditionalFormatting>
  <conditionalFormatting sqref="C21">
    <cfRule type="duplicateValues" dxfId="19" priority="13" stopIfTrue="1"/>
  </conditionalFormatting>
  <conditionalFormatting sqref="C20 C22">
    <cfRule type="duplicateValues" dxfId="18" priority="12" stopIfTrue="1"/>
  </conditionalFormatting>
  <conditionalFormatting sqref="C20">
    <cfRule type="duplicateValues" dxfId="17" priority="11"/>
  </conditionalFormatting>
  <conditionalFormatting sqref="C13:C17">
    <cfRule type="duplicateValues" dxfId="16" priority="10" stopIfTrue="1"/>
  </conditionalFormatting>
  <conditionalFormatting sqref="C10">
    <cfRule type="duplicateValues" dxfId="15" priority="9" stopIfTrue="1"/>
  </conditionalFormatting>
  <conditionalFormatting sqref="C11">
    <cfRule type="duplicateValues" dxfId="14" priority="8" stopIfTrue="1"/>
  </conditionalFormatting>
  <conditionalFormatting sqref="C12">
    <cfRule type="duplicateValues" dxfId="13" priority="7" stopIfTrue="1"/>
  </conditionalFormatting>
  <conditionalFormatting sqref="C17">
    <cfRule type="duplicateValues" dxfId="12" priority="6" stopIfTrue="1"/>
  </conditionalFormatting>
  <conditionalFormatting sqref="C23">
    <cfRule type="duplicateValues" dxfId="11" priority="5"/>
  </conditionalFormatting>
  <conditionalFormatting sqref="C39">
    <cfRule type="duplicateValues" dxfId="10" priority="4" stopIfTrue="1"/>
  </conditionalFormatting>
  <conditionalFormatting sqref="C13:C14">
    <cfRule type="duplicateValues" dxfId="9" priority="3" stopIfTrue="1"/>
  </conditionalFormatting>
  <conditionalFormatting sqref="C14">
    <cfRule type="duplicateValues" dxfId="8" priority="2" stopIfTrue="1"/>
  </conditionalFormatting>
  <conditionalFormatting sqref="C14">
    <cfRule type="duplicateValues" dxfId="7" priority="1" stopIfTrue="1"/>
  </conditionalFormatting>
  <pageMargins left="0.48" right="0.39370078740157483" top="0.35433070866141736" bottom="0.35433070866141736" header="0.15748031496062992" footer="0.23622047244094491"/>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2">
    <tabColor rgb="FFFF0000"/>
  </sheetPr>
  <dimension ref="A1:AM3105"/>
  <sheetViews>
    <sheetView tabSelected="1" view="pageBreakPreview" zoomScale="96" zoomScaleSheetLayoutView="96" workbookViewId="0">
      <selection activeCell="G39" sqref="G39:H39"/>
    </sheetView>
  </sheetViews>
  <sheetFormatPr defaultRowHeight="14.25"/>
  <cols>
    <col min="1" max="1" width="5.125" style="1" customWidth="1"/>
    <col min="2" max="5" width="5.625" style="1" customWidth="1"/>
    <col min="6" max="6" width="6.125" style="1" customWidth="1"/>
    <col min="7" max="9" width="5.625" style="1" customWidth="1"/>
    <col min="10" max="10" width="6.625" style="1" customWidth="1"/>
    <col min="11" max="12" width="5.625" style="1" customWidth="1"/>
    <col min="13" max="13" width="7.125" style="1" customWidth="1"/>
    <col min="14" max="14" width="7.75" style="1" customWidth="1"/>
    <col min="15" max="15" width="6.125" style="1" customWidth="1"/>
    <col min="16" max="16" width="5.625" style="1" customWidth="1"/>
    <col min="17" max="17" width="5" style="1" customWidth="1"/>
    <col min="18" max="18" width="5.625" style="1" customWidth="1"/>
    <col min="19" max="19" width="6.375" style="1" customWidth="1"/>
    <col min="20" max="20" width="5.625" style="1" customWidth="1"/>
    <col min="21" max="21" width="6.125" style="1" customWidth="1"/>
    <col min="22" max="22" width="6.875" style="1" customWidth="1"/>
    <col min="23" max="25" width="5.625" style="1" customWidth="1"/>
    <col min="26" max="26" width="5.625" style="2" customWidth="1"/>
    <col min="27" max="27" width="5.625" style="140" customWidth="1"/>
    <col min="28" max="28" width="9.625" style="197" customWidth="1"/>
    <col min="29" max="29" width="9.5" style="199" customWidth="1"/>
    <col min="30" max="30" width="9.875" style="199" customWidth="1"/>
    <col min="31" max="31" width="10" style="199" customWidth="1"/>
    <col min="32" max="32" width="8.5" style="199" customWidth="1"/>
    <col min="33" max="33" width="8.5" style="197" customWidth="1"/>
    <col min="34" max="34" width="6.375" style="199" customWidth="1"/>
    <col min="35" max="35" width="5.75" style="199" customWidth="1"/>
    <col min="36" max="36" width="12.625" style="141" customWidth="1"/>
    <col min="37" max="37" width="8.375" style="140" customWidth="1"/>
    <col min="38" max="38" width="24.875" style="141" customWidth="1"/>
    <col min="39" max="39" width="9" style="141"/>
    <col min="40" max="16384" width="9" style="1"/>
  </cols>
  <sheetData>
    <row r="1" spans="1:39" ht="21.95" customHeight="1">
      <c r="A1" s="1047" t="s">
        <v>1541</v>
      </c>
      <c r="B1" s="1047"/>
      <c r="C1" s="1047"/>
      <c r="D1" s="1047"/>
      <c r="E1" s="1047"/>
      <c r="F1" s="1047"/>
      <c r="G1" s="1047"/>
      <c r="H1" s="1047"/>
      <c r="I1" s="1047"/>
      <c r="J1" s="1047"/>
      <c r="K1" s="1047"/>
      <c r="L1" s="1047"/>
      <c r="M1" s="1047"/>
      <c r="N1" s="1047"/>
      <c r="O1" s="1047"/>
      <c r="P1" s="1047"/>
      <c r="Q1" s="1047"/>
      <c r="R1" s="1047"/>
      <c r="S1" s="1047"/>
      <c r="T1" s="1047"/>
      <c r="U1" s="1047"/>
      <c r="V1" s="1047"/>
      <c r="W1" s="1047"/>
      <c r="X1" s="1047"/>
      <c r="Y1" s="1047"/>
      <c r="Z1" s="1047"/>
      <c r="AA1" s="174"/>
      <c r="AB1" s="197" t="s">
        <v>1540</v>
      </c>
      <c r="AC1" s="201"/>
      <c r="AD1" s="197" t="s">
        <v>1539</v>
      </c>
      <c r="AE1" s="197"/>
      <c r="AF1" s="197"/>
      <c r="AH1" s="197"/>
      <c r="AI1" s="197"/>
      <c r="AJ1" s="174"/>
      <c r="AK1" s="174"/>
      <c r="AL1" s="174"/>
    </row>
    <row r="2" spans="1:39" ht="15.95" customHeight="1">
      <c r="A2" s="987" t="s">
        <v>38</v>
      </c>
      <c r="B2" s="987"/>
      <c r="C2" s="986" t="s">
        <v>2152</v>
      </c>
      <c r="D2" s="986"/>
      <c r="E2" s="986"/>
      <c r="F2" s="987" t="s">
        <v>51</v>
      </c>
      <c r="G2" s="987"/>
      <c r="H2" s="993" t="s">
        <v>2153</v>
      </c>
      <c r="I2" s="994"/>
      <c r="J2" s="994"/>
      <c r="K2" s="994"/>
      <c r="L2" s="986" t="s">
        <v>519</v>
      </c>
      <c r="M2" s="986"/>
      <c r="N2" s="986"/>
      <c r="O2" s="986"/>
      <c r="P2" s="986"/>
      <c r="Q2" s="986" t="s">
        <v>93</v>
      </c>
      <c r="R2" s="987"/>
      <c r="S2" s="984" t="s">
        <v>2154</v>
      </c>
      <c r="T2" s="985"/>
      <c r="U2" s="985"/>
      <c r="V2" s="991" t="s">
        <v>1623</v>
      </c>
      <c r="W2" s="991"/>
      <c r="X2" s="984"/>
      <c r="Y2" s="985"/>
      <c r="Z2" s="985"/>
      <c r="AA2" s="155" t="s">
        <v>836</v>
      </c>
      <c r="AB2" s="628" t="s">
        <v>1494</v>
      </c>
      <c r="AC2" s="628" t="str">
        <f>VLOOKUP(AB2,AE36:AF73,2,0)</f>
        <v>免漆</v>
      </c>
      <c r="AD2" s="202" t="s">
        <v>1535</v>
      </c>
      <c r="AE2" s="197" t="s">
        <v>0</v>
      </c>
      <c r="AF2" s="197">
        <f>G2</f>
        <v>0</v>
      </c>
      <c r="AH2" s="197"/>
      <c r="AI2" s="197" t="s">
        <v>1</v>
      </c>
      <c r="AJ2" s="174" t="str">
        <f>Q2</f>
        <v>销售点</v>
      </c>
      <c r="AK2" s="174"/>
      <c r="AL2" s="174"/>
    </row>
    <row r="3" spans="1:39" ht="15.95" customHeight="1">
      <c r="A3" s="961" t="s">
        <v>72</v>
      </c>
      <c r="B3" s="963"/>
      <c r="C3" s="976" t="s">
        <v>2155</v>
      </c>
      <c r="D3" s="977"/>
      <c r="E3" s="978"/>
      <c r="F3" s="961" t="s">
        <v>73</v>
      </c>
      <c r="G3" s="962"/>
      <c r="H3" s="964"/>
      <c r="I3" s="961" t="s">
        <v>141</v>
      </c>
      <c r="J3" s="962"/>
      <c r="K3" s="963"/>
      <c r="L3" s="961" t="s">
        <v>142</v>
      </c>
      <c r="M3" s="962"/>
      <c r="N3" s="963"/>
      <c r="O3" s="961" t="s">
        <v>74</v>
      </c>
      <c r="P3" s="962"/>
      <c r="Q3" s="963"/>
      <c r="R3" s="992" t="s">
        <v>75</v>
      </c>
      <c r="S3" s="962"/>
      <c r="T3" s="964"/>
      <c r="U3" s="961" t="s">
        <v>831</v>
      </c>
      <c r="V3" s="962"/>
      <c r="W3" s="964"/>
      <c r="X3" s="961" t="s">
        <v>2</v>
      </c>
      <c r="Y3" s="962"/>
      <c r="Z3" s="963"/>
      <c r="AA3" s="174" t="s">
        <v>90</v>
      </c>
      <c r="AB3" s="198"/>
      <c r="AC3" s="198" t="s">
        <v>3</v>
      </c>
      <c r="AD3" s="203" t="s">
        <v>1542</v>
      </c>
      <c r="AE3" s="203"/>
      <c r="AF3" s="198" t="s">
        <v>2</v>
      </c>
      <c r="AG3" s="198" t="s">
        <v>840</v>
      </c>
      <c r="AH3" s="204" t="s">
        <v>5</v>
      </c>
      <c r="AI3" s="198" t="s">
        <v>7</v>
      </c>
      <c r="AJ3" s="144"/>
      <c r="AK3" s="144"/>
      <c r="AL3" s="144" t="s">
        <v>10</v>
      </c>
    </row>
    <row r="4" spans="1:39" s="163" customFormat="1" ht="20.100000000000001" customHeight="1">
      <c r="A4" s="129" t="s">
        <v>76</v>
      </c>
      <c r="B4" s="130" t="s">
        <v>77</v>
      </c>
      <c r="C4" s="130" t="s">
        <v>78</v>
      </c>
      <c r="D4" s="130" t="s">
        <v>79</v>
      </c>
      <c r="E4" s="130" t="s">
        <v>80</v>
      </c>
      <c r="F4" s="130" t="s">
        <v>77</v>
      </c>
      <c r="G4" s="130" t="s">
        <v>79</v>
      </c>
      <c r="H4" s="130" t="s">
        <v>81</v>
      </c>
      <c r="I4" s="130" t="s">
        <v>60</v>
      </c>
      <c r="J4" s="130" t="s">
        <v>62</v>
      </c>
      <c r="K4" s="130" t="s">
        <v>36</v>
      </c>
      <c r="L4" s="130" t="s">
        <v>77</v>
      </c>
      <c r="M4" s="130" t="s">
        <v>78</v>
      </c>
      <c r="N4" s="130" t="s">
        <v>81</v>
      </c>
      <c r="O4" s="130" t="s">
        <v>77</v>
      </c>
      <c r="P4" s="130" t="s">
        <v>78</v>
      </c>
      <c r="Q4" s="130" t="s">
        <v>81</v>
      </c>
      <c r="R4" s="130" t="s">
        <v>77</v>
      </c>
      <c r="S4" s="130" t="s">
        <v>78</v>
      </c>
      <c r="T4" s="130" t="s">
        <v>82</v>
      </c>
      <c r="U4" s="130" t="s">
        <v>77</v>
      </c>
      <c r="V4" s="130" t="s">
        <v>78</v>
      </c>
      <c r="W4" s="130" t="s">
        <v>83</v>
      </c>
      <c r="X4" s="130" t="s">
        <v>77</v>
      </c>
      <c r="Y4" s="130" t="s">
        <v>79</v>
      </c>
      <c r="Z4" s="131" t="s">
        <v>81</v>
      </c>
      <c r="AA4" s="143"/>
      <c r="AB4" s="198" t="s">
        <v>11</v>
      </c>
      <c r="AC4" s="198"/>
      <c r="AD4" s="198"/>
      <c r="AE4" s="198"/>
      <c r="AF4" s="198"/>
      <c r="AG4" s="198"/>
      <c r="AH4" s="198"/>
      <c r="AI4" s="198"/>
      <c r="AJ4" s="145" t="s">
        <v>20</v>
      </c>
      <c r="AK4" s="146">
        <f>AC36+AC34</f>
        <v>0.44914112359019642</v>
      </c>
      <c r="AL4" s="144"/>
      <c r="AM4" s="149"/>
    </row>
    <row r="5" spans="1:39" ht="15.95" customHeight="1">
      <c r="A5" s="193">
        <v>1</v>
      </c>
      <c r="B5" s="165">
        <v>800</v>
      </c>
      <c r="C5" s="165">
        <v>560</v>
      </c>
      <c r="D5" s="165">
        <v>650</v>
      </c>
      <c r="E5" s="165">
        <v>1</v>
      </c>
      <c r="F5" s="165">
        <f>C5-1</f>
        <v>559</v>
      </c>
      <c r="G5" s="165">
        <f>D5-1</f>
        <v>649</v>
      </c>
      <c r="H5" s="165">
        <f t="shared" ref="H5:H20" si="0">E5*2</f>
        <v>2</v>
      </c>
      <c r="I5" s="165"/>
      <c r="J5" s="165"/>
      <c r="K5" s="165"/>
      <c r="L5" s="165">
        <f>B5-34</f>
        <v>766</v>
      </c>
      <c r="M5" s="165">
        <v>556</v>
      </c>
      <c r="N5" s="165">
        <f t="shared" ref="N5:N20" si="1">E5</f>
        <v>1</v>
      </c>
      <c r="O5" s="165">
        <f>B5-33</f>
        <v>767</v>
      </c>
      <c r="P5" s="165">
        <v>85</v>
      </c>
      <c r="Q5" s="166">
        <v>1</v>
      </c>
      <c r="R5" s="165"/>
      <c r="S5" s="165"/>
      <c r="T5" s="165"/>
      <c r="U5" s="166"/>
      <c r="V5" s="166"/>
      <c r="W5" s="166"/>
      <c r="X5" s="165"/>
      <c r="Y5" s="165"/>
      <c r="Z5" s="161"/>
      <c r="AA5" s="143">
        <f t="shared" ref="AA5:AA10" si="2">IF(B5&lt;&gt;"",IF(B5&lt;950,4,6),0)*E5</f>
        <v>4</v>
      </c>
      <c r="AB5" s="198">
        <v>1</v>
      </c>
      <c r="AC5" s="198">
        <f>(F5*G5*H5+I5*J5*K5+L5*N5*M5+O5*P5*Q5+R5*S5*T5+U5*V5*W5)/1000000/1.22/2.44/0.91</f>
        <v>0.44914112359019642</v>
      </c>
      <c r="AD5" s="198">
        <f>(((F5+G5)*2+240)*H5+((I5+J5)*2+240)*K5+((L5+M5)*2+240)*N5+(O5*2+240)*Q5+((R5+S5)*2+240)*T5+((U5+V5)*2+240)*W5)/1000</f>
        <v>9.9700000000000006</v>
      </c>
      <c r="AE5" s="198"/>
      <c r="AF5" s="198">
        <f>X5*Y5*Z5/1000000/1.22/2.44/0.75</f>
        <v>0</v>
      </c>
      <c r="AG5" s="198">
        <f t="shared" ref="AG5:AG20" si="3">B5*E5/1000</f>
        <v>0.8</v>
      </c>
      <c r="AH5" s="198"/>
      <c r="AI5" s="198"/>
      <c r="AJ5" s="145" t="s">
        <v>4</v>
      </c>
      <c r="AK5" s="147">
        <f>AD36+AD34</f>
        <v>9.9700000000000006</v>
      </c>
      <c r="AL5" s="144"/>
    </row>
    <row r="6" spans="1:39" ht="15.95" hidden="1" customHeight="1">
      <c r="A6" s="193"/>
      <c r="B6" s="165"/>
      <c r="C6" s="165"/>
      <c r="D6" s="165"/>
      <c r="E6" s="165"/>
      <c r="F6" s="165">
        <f t="shared" ref="F6:G20" si="4">C6-1</f>
        <v>-1</v>
      </c>
      <c r="G6" s="165">
        <f t="shared" si="4"/>
        <v>-1</v>
      </c>
      <c r="H6" s="165">
        <f t="shared" si="0"/>
        <v>0</v>
      </c>
      <c r="I6" s="165"/>
      <c r="J6" s="165"/>
      <c r="K6" s="165"/>
      <c r="L6" s="165">
        <f t="shared" ref="L6:L20" si="5">B6-34</f>
        <v>-34</v>
      </c>
      <c r="M6" s="165">
        <f t="shared" ref="M6:M20" si="6">C6-2</f>
        <v>-2</v>
      </c>
      <c r="N6" s="165">
        <f t="shared" si="1"/>
        <v>0</v>
      </c>
      <c r="O6" s="165">
        <f t="shared" ref="O6:O20" si="7">B6-33</f>
        <v>-33</v>
      </c>
      <c r="P6" s="165">
        <v>85</v>
      </c>
      <c r="Q6" s="166">
        <f t="shared" ref="Q5:Q20" si="8">E6*2</f>
        <v>0</v>
      </c>
      <c r="R6" s="165">
        <f t="shared" ref="R6:R20" si="9">B6-35</f>
        <v>-35</v>
      </c>
      <c r="S6" s="165">
        <f t="shared" ref="S6:S20" si="10">C6-47</f>
        <v>-47</v>
      </c>
      <c r="T6" s="165">
        <f t="shared" ref="T5:T20" si="11">E6</f>
        <v>0</v>
      </c>
      <c r="U6" s="166"/>
      <c r="V6" s="166"/>
      <c r="W6" s="166"/>
      <c r="X6" s="165">
        <f t="shared" ref="X5:X20" si="12">B6-22</f>
        <v>-22</v>
      </c>
      <c r="Y6" s="165">
        <f t="shared" ref="Y5:Y10" si="13">D6-12</f>
        <v>-12</v>
      </c>
      <c r="Z6" s="161">
        <f t="shared" ref="Z5:Z20" si="14">E6</f>
        <v>0</v>
      </c>
      <c r="AA6" s="143">
        <f t="shared" si="2"/>
        <v>0</v>
      </c>
      <c r="AB6" s="198">
        <v>2</v>
      </c>
      <c r="AC6" s="198">
        <f t="shared" ref="AC6:AC20" si="15">(F6*G6*H6+I6*J6*K6+L6*N6*M6+O6*P6*Q6+R6*S6*T6+U6*V6*W6)/1000000/1.22/2.44/0.91</f>
        <v>0</v>
      </c>
      <c r="AD6" s="198">
        <f t="shared" ref="AD6:AD20" si="16">(((F6+G6)*2+240)*H6+((I6+J6)*2+240)*K6+((L6+M6)*2+240)*N6+(O6*2+240)*Q6+((R6+S6)*2+240)*T6+((U6+V6)*2+240)*W6)/1000</f>
        <v>0</v>
      </c>
      <c r="AE6" s="198"/>
      <c r="AF6" s="198">
        <f t="shared" ref="AF6:AF20" si="17">X6*Y6*Z6/1000000/1.22/2.44/0.75</f>
        <v>0</v>
      </c>
      <c r="AG6" s="198">
        <f t="shared" si="3"/>
        <v>0</v>
      </c>
      <c r="AH6" s="198"/>
      <c r="AI6" s="198"/>
      <c r="AJ6" s="145"/>
      <c r="AK6" s="147"/>
      <c r="AL6" s="144"/>
      <c r="AM6" s="141">
        <f t="shared" ref="AM6:AM20" si="18">B6*E6/1000</f>
        <v>0</v>
      </c>
    </row>
    <row r="7" spans="1:39" ht="15.95" hidden="1" customHeight="1">
      <c r="A7" s="193"/>
      <c r="B7" s="165"/>
      <c r="C7" s="165"/>
      <c r="D7" s="165"/>
      <c r="E7" s="165"/>
      <c r="F7" s="165">
        <f t="shared" si="4"/>
        <v>-1</v>
      </c>
      <c r="G7" s="165">
        <f t="shared" si="4"/>
        <v>-1</v>
      </c>
      <c r="H7" s="165">
        <f t="shared" si="0"/>
        <v>0</v>
      </c>
      <c r="I7" s="165"/>
      <c r="J7" s="165"/>
      <c r="K7" s="165"/>
      <c r="L7" s="165">
        <f t="shared" si="5"/>
        <v>-34</v>
      </c>
      <c r="M7" s="165">
        <f t="shared" si="6"/>
        <v>-2</v>
      </c>
      <c r="N7" s="165">
        <f t="shared" si="1"/>
        <v>0</v>
      </c>
      <c r="O7" s="165">
        <f t="shared" si="7"/>
        <v>-33</v>
      </c>
      <c r="P7" s="165">
        <v>85</v>
      </c>
      <c r="Q7" s="166">
        <f t="shared" si="8"/>
        <v>0</v>
      </c>
      <c r="R7" s="165">
        <f t="shared" si="9"/>
        <v>-35</v>
      </c>
      <c r="S7" s="165">
        <f t="shared" si="10"/>
        <v>-47</v>
      </c>
      <c r="T7" s="165">
        <f t="shared" si="11"/>
        <v>0</v>
      </c>
      <c r="U7" s="166"/>
      <c r="V7" s="166"/>
      <c r="W7" s="166"/>
      <c r="X7" s="165">
        <f t="shared" si="12"/>
        <v>-22</v>
      </c>
      <c r="Y7" s="165">
        <f t="shared" si="13"/>
        <v>-12</v>
      </c>
      <c r="Z7" s="161">
        <f t="shared" si="14"/>
        <v>0</v>
      </c>
      <c r="AA7" s="143">
        <f t="shared" si="2"/>
        <v>0</v>
      </c>
      <c r="AB7" s="198">
        <v>3</v>
      </c>
      <c r="AC7" s="198">
        <f t="shared" si="15"/>
        <v>0</v>
      </c>
      <c r="AD7" s="198">
        <f t="shared" si="16"/>
        <v>0</v>
      </c>
      <c r="AE7" s="198"/>
      <c r="AF7" s="198">
        <f t="shared" si="17"/>
        <v>0</v>
      </c>
      <c r="AG7" s="198">
        <f t="shared" si="3"/>
        <v>0</v>
      </c>
      <c r="AH7" s="198"/>
      <c r="AI7" s="198"/>
      <c r="AJ7" s="145" t="s">
        <v>21</v>
      </c>
      <c r="AK7" s="146">
        <f>AE34</f>
        <v>0</v>
      </c>
      <c r="AL7" s="144"/>
      <c r="AM7" s="141">
        <f t="shared" si="18"/>
        <v>0</v>
      </c>
    </row>
    <row r="8" spans="1:39" ht="15.95" hidden="1" customHeight="1">
      <c r="A8" s="193"/>
      <c r="B8" s="165"/>
      <c r="C8" s="165"/>
      <c r="D8" s="165"/>
      <c r="E8" s="165"/>
      <c r="F8" s="165">
        <f t="shared" si="4"/>
        <v>-1</v>
      </c>
      <c r="G8" s="165">
        <f t="shared" si="4"/>
        <v>-1</v>
      </c>
      <c r="H8" s="165">
        <f t="shared" si="0"/>
        <v>0</v>
      </c>
      <c r="I8" s="165"/>
      <c r="J8" s="165"/>
      <c r="K8" s="165"/>
      <c r="L8" s="165">
        <f t="shared" si="5"/>
        <v>-34</v>
      </c>
      <c r="M8" s="165">
        <f t="shared" si="6"/>
        <v>-2</v>
      </c>
      <c r="N8" s="165">
        <f t="shared" si="1"/>
        <v>0</v>
      </c>
      <c r="O8" s="165">
        <f t="shared" si="7"/>
        <v>-33</v>
      </c>
      <c r="P8" s="165">
        <v>85</v>
      </c>
      <c r="Q8" s="166">
        <f t="shared" si="8"/>
        <v>0</v>
      </c>
      <c r="R8" s="165">
        <f t="shared" si="9"/>
        <v>-35</v>
      </c>
      <c r="S8" s="165">
        <f t="shared" si="10"/>
        <v>-47</v>
      </c>
      <c r="T8" s="165">
        <f t="shared" si="11"/>
        <v>0</v>
      </c>
      <c r="U8" s="166"/>
      <c r="V8" s="166"/>
      <c r="W8" s="166"/>
      <c r="X8" s="165">
        <f t="shared" si="12"/>
        <v>-22</v>
      </c>
      <c r="Y8" s="165">
        <f t="shared" si="13"/>
        <v>-12</v>
      </c>
      <c r="Z8" s="161">
        <f t="shared" si="14"/>
        <v>0</v>
      </c>
      <c r="AA8" s="143">
        <f t="shared" si="2"/>
        <v>0</v>
      </c>
      <c r="AB8" s="198">
        <v>4</v>
      </c>
      <c r="AC8" s="198">
        <f t="shared" si="15"/>
        <v>0</v>
      </c>
      <c r="AD8" s="198">
        <f t="shared" si="16"/>
        <v>0</v>
      </c>
      <c r="AE8" s="198"/>
      <c r="AF8" s="198">
        <f t="shared" si="17"/>
        <v>0</v>
      </c>
      <c r="AG8" s="198">
        <f t="shared" si="3"/>
        <v>0</v>
      </c>
      <c r="AH8" s="198"/>
      <c r="AI8" s="198"/>
      <c r="AJ8" s="145"/>
      <c r="AK8" s="146"/>
      <c r="AL8" s="144"/>
      <c r="AM8" s="141">
        <f t="shared" si="18"/>
        <v>0</v>
      </c>
    </row>
    <row r="9" spans="1:39" ht="15.95" hidden="1" customHeight="1">
      <c r="A9" s="193"/>
      <c r="B9" s="165"/>
      <c r="C9" s="165"/>
      <c r="D9" s="165"/>
      <c r="E9" s="165"/>
      <c r="F9" s="165">
        <f t="shared" si="4"/>
        <v>-1</v>
      </c>
      <c r="G9" s="165">
        <f t="shared" si="4"/>
        <v>-1</v>
      </c>
      <c r="H9" s="165">
        <f t="shared" si="0"/>
        <v>0</v>
      </c>
      <c r="I9" s="165"/>
      <c r="J9" s="165"/>
      <c r="K9" s="165"/>
      <c r="L9" s="165">
        <f t="shared" si="5"/>
        <v>-34</v>
      </c>
      <c r="M9" s="165">
        <f t="shared" si="6"/>
        <v>-2</v>
      </c>
      <c r="N9" s="165">
        <f t="shared" si="1"/>
        <v>0</v>
      </c>
      <c r="O9" s="165">
        <f t="shared" si="7"/>
        <v>-33</v>
      </c>
      <c r="P9" s="165">
        <v>85</v>
      </c>
      <c r="Q9" s="166">
        <f t="shared" si="8"/>
        <v>0</v>
      </c>
      <c r="R9" s="165">
        <f t="shared" si="9"/>
        <v>-35</v>
      </c>
      <c r="S9" s="165">
        <f t="shared" si="10"/>
        <v>-47</v>
      </c>
      <c r="T9" s="165">
        <f t="shared" si="11"/>
        <v>0</v>
      </c>
      <c r="U9" s="166"/>
      <c r="V9" s="166"/>
      <c r="W9" s="166"/>
      <c r="X9" s="165">
        <f t="shared" si="12"/>
        <v>-22</v>
      </c>
      <c r="Y9" s="165">
        <f t="shared" si="13"/>
        <v>-12</v>
      </c>
      <c r="Z9" s="161">
        <f t="shared" si="14"/>
        <v>0</v>
      </c>
      <c r="AA9" s="143">
        <f t="shared" si="2"/>
        <v>0</v>
      </c>
      <c r="AB9" s="198">
        <v>5</v>
      </c>
      <c r="AC9" s="198">
        <f t="shared" si="15"/>
        <v>0</v>
      </c>
      <c r="AD9" s="198">
        <f t="shared" si="16"/>
        <v>0</v>
      </c>
      <c r="AE9" s="198"/>
      <c r="AF9" s="198">
        <f t="shared" si="17"/>
        <v>0</v>
      </c>
      <c r="AG9" s="198">
        <f t="shared" si="3"/>
        <v>0</v>
      </c>
      <c r="AH9" s="198"/>
      <c r="AI9" s="198"/>
      <c r="AJ9" s="145" t="s">
        <v>14</v>
      </c>
      <c r="AK9" s="148" t="e">
        <f>#REF!</f>
        <v>#REF!</v>
      </c>
      <c r="AL9" s="144"/>
      <c r="AM9" s="141">
        <f t="shared" si="18"/>
        <v>0</v>
      </c>
    </row>
    <row r="10" spans="1:39" ht="15.95" hidden="1" customHeight="1">
      <c r="A10" s="193"/>
      <c r="B10" s="165"/>
      <c r="C10" s="165"/>
      <c r="D10" s="165"/>
      <c r="E10" s="165"/>
      <c r="F10" s="165">
        <f t="shared" si="4"/>
        <v>-1</v>
      </c>
      <c r="G10" s="165">
        <f t="shared" si="4"/>
        <v>-1</v>
      </c>
      <c r="H10" s="165">
        <f t="shared" si="0"/>
        <v>0</v>
      </c>
      <c r="I10" s="165"/>
      <c r="J10" s="165"/>
      <c r="K10" s="165"/>
      <c r="L10" s="165">
        <f t="shared" si="5"/>
        <v>-34</v>
      </c>
      <c r="M10" s="165">
        <f t="shared" si="6"/>
        <v>-2</v>
      </c>
      <c r="N10" s="165">
        <f t="shared" si="1"/>
        <v>0</v>
      </c>
      <c r="O10" s="165">
        <f t="shared" si="7"/>
        <v>-33</v>
      </c>
      <c r="P10" s="165">
        <v>85</v>
      </c>
      <c r="Q10" s="166">
        <f t="shared" si="8"/>
        <v>0</v>
      </c>
      <c r="R10" s="165">
        <f t="shared" si="9"/>
        <v>-35</v>
      </c>
      <c r="S10" s="165">
        <f t="shared" si="10"/>
        <v>-47</v>
      </c>
      <c r="T10" s="165">
        <f t="shared" si="11"/>
        <v>0</v>
      </c>
      <c r="U10" s="166"/>
      <c r="V10" s="166"/>
      <c r="W10" s="166"/>
      <c r="X10" s="165">
        <f t="shared" si="12"/>
        <v>-22</v>
      </c>
      <c r="Y10" s="165">
        <f t="shared" si="13"/>
        <v>-12</v>
      </c>
      <c r="Z10" s="161">
        <f t="shared" si="14"/>
        <v>0</v>
      </c>
      <c r="AA10" s="143">
        <f t="shared" si="2"/>
        <v>0</v>
      </c>
      <c r="AB10" s="198">
        <v>6</v>
      </c>
      <c r="AC10" s="198">
        <f t="shared" si="15"/>
        <v>0</v>
      </c>
      <c r="AD10" s="198">
        <f t="shared" si="16"/>
        <v>0</v>
      </c>
      <c r="AE10" s="198"/>
      <c r="AF10" s="198">
        <f t="shared" si="17"/>
        <v>0</v>
      </c>
      <c r="AG10" s="198">
        <f t="shared" si="3"/>
        <v>0</v>
      </c>
      <c r="AH10" s="198"/>
      <c r="AI10" s="198"/>
      <c r="AJ10" s="145" t="s">
        <v>16</v>
      </c>
      <c r="AK10" s="144">
        <f>E21*32+E33*16</f>
        <v>32</v>
      </c>
      <c r="AL10" s="144"/>
      <c r="AM10" s="141">
        <f t="shared" si="18"/>
        <v>0</v>
      </c>
    </row>
    <row r="11" spans="1:39" ht="15.95" hidden="1" customHeight="1">
      <c r="A11" s="193"/>
      <c r="B11" s="165"/>
      <c r="C11" s="165"/>
      <c r="D11" s="165"/>
      <c r="E11" s="165"/>
      <c r="F11" s="165">
        <f t="shared" si="4"/>
        <v>-1</v>
      </c>
      <c r="G11" s="165">
        <f t="shared" si="4"/>
        <v>-1</v>
      </c>
      <c r="H11" s="165">
        <f t="shared" si="0"/>
        <v>0</v>
      </c>
      <c r="I11" s="165"/>
      <c r="J11" s="165"/>
      <c r="K11" s="165"/>
      <c r="L11" s="165">
        <f t="shared" si="5"/>
        <v>-34</v>
      </c>
      <c r="M11" s="165">
        <f t="shared" si="6"/>
        <v>-2</v>
      </c>
      <c r="N11" s="165">
        <f t="shared" si="1"/>
        <v>0</v>
      </c>
      <c r="O11" s="165">
        <f t="shared" si="7"/>
        <v>-33</v>
      </c>
      <c r="P11" s="165">
        <v>85</v>
      </c>
      <c r="Q11" s="166">
        <f t="shared" si="8"/>
        <v>0</v>
      </c>
      <c r="R11" s="165">
        <f t="shared" si="9"/>
        <v>-35</v>
      </c>
      <c r="S11" s="165">
        <f t="shared" si="10"/>
        <v>-47</v>
      </c>
      <c r="T11" s="165">
        <f t="shared" si="11"/>
        <v>0</v>
      </c>
      <c r="U11" s="166"/>
      <c r="V11" s="166"/>
      <c r="W11" s="166"/>
      <c r="X11" s="165">
        <f t="shared" si="12"/>
        <v>-22</v>
      </c>
      <c r="Y11" s="165">
        <f>D11-12</f>
        <v>-12</v>
      </c>
      <c r="Z11" s="161">
        <f t="shared" si="14"/>
        <v>0</v>
      </c>
      <c r="AA11" s="143">
        <f t="shared" ref="AA11:AA19" si="19">IF(B11&lt;&gt;"",IF(B11&lt;950,4,6),0)*E11</f>
        <v>0</v>
      </c>
      <c r="AB11" s="198">
        <v>7</v>
      </c>
      <c r="AC11" s="198">
        <f t="shared" si="15"/>
        <v>0</v>
      </c>
      <c r="AD11" s="198">
        <f t="shared" si="16"/>
        <v>0</v>
      </c>
      <c r="AE11" s="198"/>
      <c r="AF11" s="198">
        <f t="shared" si="17"/>
        <v>0</v>
      </c>
      <c r="AG11" s="198">
        <f t="shared" si="3"/>
        <v>0</v>
      </c>
      <c r="AH11" s="198"/>
      <c r="AI11" s="198"/>
      <c r="AJ11" s="145" t="s">
        <v>17</v>
      </c>
      <c r="AK11" s="144">
        <f>E33*4</f>
        <v>0</v>
      </c>
      <c r="AL11" s="144"/>
      <c r="AM11" s="141">
        <f t="shared" si="18"/>
        <v>0</v>
      </c>
    </row>
    <row r="12" spans="1:39" ht="15.95" hidden="1" customHeight="1">
      <c r="A12" s="193"/>
      <c r="B12" s="165"/>
      <c r="C12" s="165"/>
      <c r="D12" s="165"/>
      <c r="E12" s="165"/>
      <c r="F12" s="165">
        <f t="shared" si="4"/>
        <v>-1</v>
      </c>
      <c r="G12" s="165">
        <f t="shared" si="4"/>
        <v>-1</v>
      </c>
      <c r="H12" s="165">
        <f t="shared" si="0"/>
        <v>0</v>
      </c>
      <c r="I12" s="165"/>
      <c r="J12" s="165"/>
      <c r="K12" s="165"/>
      <c r="L12" s="165">
        <f t="shared" si="5"/>
        <v>-34</v>
      </c>
      <c r="M12" s="165">
        <f t="shared" si="6"/>
        <v>-2</v>
      </c>
      <c r="N12" s="165">
        <f t="shared" si="1"/>
        <v>0</v>
      </c>
      <c r="O12" s="165">
        <f t="shared" si="7"/>
        <v>-33</v>
      </c>
      <c r="P12" s="165">
        <v>85</v>
      </c>
      <c r="Q12" s="166">
        <f t="shared" si="8"/>
        <v>0</v>
      </c>
      <c r="R12" s="165">
        <f t="shared" si="9"/>
        <v>-35</v>
      </c>
      <c r="S12" s="165">
        <f t="shared" si="10"/>
        <v>-47</v>
      </c>
      <c r="T12" s="165">
        <f t="shared" si="11"/>
        <v>0</v>
      </c>
      <c r="U12" s="166"/>
      <c r="V12" s="166"/>
      <c r="W12" s="166"/>
      <c r="X12" s="165">
        <f t="shared" si="12"/>
        <v>-22</v>
      </c>
      <c r="Y12" s="165">
        <f t="shared" ref="Y12:Y20" si="20">D12-12</f>
        <v>-12</v>
      </c>
      <c r="Z12" s="161">
        <f t="shared" si="14"/>
        <v>0</v>
      </c>
      <c r="AA12" s="143">
        <f t="shared" si="19"/>
        <v>0</v>
      </c>
      <c r="AB12" s="198">
        <v>8</v>
      </c>
      <c r="AC12" s="198">
        <f t="shared" si="15"/>
        <v>0</v>
      </c>
      <c r="AD12" s="198">
        <f t="shared" si="16"/>
        <v>0</v>
      </c>
      <c r="AE12" s="198"/>
      <c r="AF12" s="198">
        <f t="shared" si="17"/>
        <v>0</v>
      </c>
      <c r="AG12" s="198">
        <f t="shared" si="3"/>
        <v>0</v>
      </c>
      <c r="AH12" s="198"/>
      <c r="AI12" s="198"/>
      <c r="AJ12" s="145" t="s">
        <v>18</v>
      </c>
      <c r="AK12" s="144"/>
      <c r="AL12" s="144"/>
      <c r="AM12" s="141">
        <f t="shared" si="18"/>
        <v>0</v>
      </c>
    </row>
    <row r="13" spans="1:39" ht="15.95" hidden="1" customHeight="1">
      <c r="A13" s="193"/>
      <c r="B13" s="165"/>
      <c r="C13" s="165"/>
      <c r="D13" s="165"/>
      <c r="E13" s="165"/>
      <c r="F13" s="165">
        <f t="shared" si="4"/>
        <v>-1</v>
      </c>
      <c r="G13" s="165">
        <f t="shared" si="4"/>
        <v>-1</v>
      </c>
      <c r="H13" s="165">
        <f t="shared" si="0"/>
        <v>0</v>
      </c>
      <c r="I13" s="165"/>
      <c r="J13" s="165"/>
      <c r="K13" s="165"/>
      <c r="L13" s="165">
        <f t="shared" si="5"/>
        <v>-34</v>
      </c>
      <c r="M13" s="165">
        <f t="shared" si="6"/>
        <v>-2</v>
      </c>
      <c r="N13" s="165">
        <f t="shared" si="1"/>
        <v>0</v>
      </c>
      <c r="O13" s="165">
        <f t="shared" si="7"/>
        <v>-33</v>
      </c>
      <c r="P13" s="165">
        <v>85</v>
      </c>
      <c r="Q13" s="166">
        <f t="shared" si="8"/>
        <v>0</v>
      </c>
      <c r="R13" s="165">
        <f t="shared" si="9"/>
        <v>-35</v>
      </c>
      <c r="S13" s="165">
        <f t="shared" si="10"/>
        <v>-47</v>
      </c>
      <c r="T13" s="165">
        <f t="shared" si="11"/>
        <v>0</v>
      </c>
      <c r="U13" s="166"/>
      <c r="V13" s="166"/>
      <c r="W13" s="166"/>
      <c r="X13" s="165">
        <f t="shared" si="12"/>
        <v>-22</v>
      </c>
      <c r="Y13" s="165">
        <f t="shared" si="20"/>
        <v>-12</v>
      </c>
      <c r="Z13" s="161">
        <f t="shared" si="14"/>
        <v>0</v>
      </c>
      <c r="AA13" s="143">
        <f t="shared" si="19"/>
        <v>0</v>
      </c>
      <c r="AB13" s="198">
        <v>9</v>
      </c>
      <c r="AC13" s="198">
        <f t="shared" si="15"/>
        <v>0</v>
      </c>
      <c r="AD13" s="198">
        <f t="shared" si="16"/>
        <v>0</v>
      </c>
      <c r="AE13" s="198"/>
      <c r="AF13" s="198">
        <f t="shared" si="17"/>
        <v>0</v>
      </c>
      <c r="AG13" s="198">
        <f t="shared" si="3"/>
        <v>0</v>
      </c>
      <c r="AH13" s="198"/>
      <c r="AI13" s="198"/>
      <c r="AJ13" s="145" t="s">
        <v>25</v>
      </c>
      <c r="AK13" s="144"/>
      <c r="AL13" s="144"/>
      <c r="AM13" s="141">
        <f t="shared" si="18"/>
        <v>0</v>
      </c>
    </row>
    <row r="14" spans="1:39" ht="15.95" hidden="1" customHeight="1">
      <c r="A14" s="193"/>
      <c r="B14" s="165"/>
      <c r="C14" s="165"/>
      <c r="D14" s="165"/>
      <c r="E14" s="165"/>
      <c r="F14" s="165">
        <f t="shared" si="4"/>
        <v>-1</v>
      </c>
      <c r="G14" s="165">
        <f t="shared" si="4"/>
        <v>-1</v>
      </c>
      <c r="H14" s="165">
        <f t="shared" si="0"/>
        <v>0</v>
      </c>
      <c r="I14" s="165"/>
      <c r="J14" s="165"/>
      <c r="K14" s="165"/>
      <c r="L14" s="165">
        <f t="shared" si="5"/>
        <v>-34</v>
      </c>
      <c r="M14" s="165">
        <f t="shared" si="6"/>
        <v>-2</v>
      </c>
      <c r="N14" s="165">
        <f t="shared" si="1"/>
        <v>0</v>
      </c>
      <c r="O14" s="165">
        <f t="shared" si="7"/>
        <v>-33</v>
      </c>
      <c r="P14" s="165">
        <v>85</v>
      </c>
      <c r="Q14" s="166">
        <f t="shared" si="8"/>
        <v>0</v>
      </c>
      <c r="R14" s="165">
        <f t="shared" si="9"/>
        <v>-35</v>
      </c>
      <c r="S14" s="165">
        <f t="shared" si="10"/>
        <v>-47</v>
      </c>
      <c r="T14" s="165">
        <f t="shared" si="11"/>
        <v>0</v>
      </c>
      <c r="U14" s="166"/>
      <c r="V14" s="166"/>
      <c r="W14" s="166"/>
      <c r="X14" s="165">
        <f t="shared" si="12"/>
        <v>-22</v>
      </c>
      <c r="Y14" s="165">
        <f t="shared" si="20"/>
        <v>-12</v>
      </c>
      <c r="Z14" s="161">
        <f t="shared" si="14"/>
        <v>0</v>
      </c>
      <c r="AA14" s="143">
        <f t="shared" si="19"/>
        <v>0</v>
      </c>
      <c r="AB14" s="198">
        <v>10</v>
      </c>
      <c r="AC14" s="198">
        <f t="shared" si="15"/>
        <v>0</v>
      </c>
      <c r="AD14" s="198">
        <f t="shared" si="16"/>
        <v>0</v>
      </c>
      <c r="AE14" s="198"/>
      <c r="AF14" s="198">
        <f t="shared" si="17"/>
        <v>0</v>
      </c>
      <c r="AG14" s="198">
        <f t="shared" si="3"/>
        <v>0</v>
      </c>
      <c r="AH14" s="198"/>
      <c r="AI14" s="198"/>
      <c r="AJ14" s="145"/>
      <c r="AK14" s="144"/>
      <c r="AL14" s="144"/>
      <c r="AM14" s="141">
        <f t="shared" si="18"/>
        <v>0</v>
      </c>
    </row>
    <row r="15" spans="1:39" ht="15.95" hidden="1" customHeight="1">
      <c r="A15" s="193"/>
      <c r="B15" s="165"/>
      <c r="C15" s="165"/>
      <c r="D15" s="165"/>
      <c r="E15" s="165"/>
      <c r="F15" s="165">
        <f t="shared" si="4"/>
        <v>-1</v>
      </c>
      <c r="G15" s="165">
        <f t="shared" si="4"/>
        <v>-1</v>
      </c>
      <c r="H15" s="165">
        <f t="shared" si="0"/>
        <v>0</v>
      </c>
      <c r="I15" s="165"/>
      <c r="J15" s="165"/>
      <c r="K15" s="165"/>
      <c r="L15" s="165">
        <f t="shared" si="5"/>
        <v>-34</v>
      </c>
      <c r="M15" s="165">
        <f t="shared" si="6"/>
        <v>-2</v>
      </c>
      <c r="N15" s="165">
        <f t="shared" si="1"/>
        <v>0</v>
      </c>
      <c r="O15" s="165">
        <f t="shared" si="7"/>
        <v>-33</v>
      </c>
      <c r="P15" s="165">
        <v>85</v>
      </c>
      <c r="Q15" s="166">
        <f t="shared" si="8"/>
        <v>0</v>
      </c>
      <c r="R15" s="165">
        <f t="shared" si="9"/>
        <v>-35</v>
      </c>
      <c r="S15" s="165">
        <f t="shared" si="10"/>
        <v>-47</v>
      </c>
      <c r="T15" s="165">
        <f t="shared" si="11"/>
        <v>0</v>
      </c>
      <c r="U15" s="166"/>
      <c r="V15" s="166"/>
      <c r="W15" s="166"/>
      <c r="X15" s="165">
        <f t="shared" si="12"/>
        <v>-22</v>
      </c>
      <c r="Y15" s="165">
        <f t="shared" si="20"/>
        <v>-12</v>
      </c>
      <c r="Z15" s="161">
        <f t="shared" si="14"/>
        <v>0</v>
      </c>
      <c r="AA15" s="143">
        <f t="shared" si="19"/>
        <v>0</v>
      </c>
      <c r="AB15" s="198">
        <v>11</v>
      </c>
      <c r="AC15" s="198">
        <f t="shared" si="15"/>
        <v>0</v>
      </c>
      <c r="AD15" s="198">
        <f t="shared" si="16"/>
        <v>0</v>
      </c>
      <c r="AE15" s="198"/>
      <c r="AF15" s="198">
        <f t="shared" si="17"/>
        <v>0</v>
      </c>
      <c r="AG15" s="198">
        <f t="shared" si="3"/>
        <v>0</v>
      </c>
      <c r="AH15" s="198"/>
      <c r="AI15" s="198"/>
      <c r="AJ15" s="145" t="s">
        <v>26</v>
      </c>
      <c r="AK15" s="144"/>
      <c r="AL15" s="144"/>
      <c r="AM15" s="141">
        <f t="shared" si="18"/>
        <v>0</v>
      </c>
    </row>
    <row r="16" spans="1:39" ht="15.95" hidden="1" customHeight="1">
      <c r="A16" s="193"/>
      <c r="B16" s="165"/>
      <c r="C16" s="165"/>
      <c r="D16" s="165"/>
      <c r="E16" s="165"/>
      <c r="F16" s="165">
        <f t="shared" si="4"/>
        <v>-1</v>
      </c>
      <c r="G16" s="165">
        <f t="shared" si="4"/>
        <v>-1</v>
      </c>
      <c r="H16" s="165">
        <f t="shared" si="0"/>
        <v>0</v>
      </c>
      <c r="I16" s="165"/>
      <c r="J16" s="165"/>
      <c r="K16" s="165"/>
      <c r="L16" s="165">
        <f t="shared" si="5"/>
        <v>-34</v>
      </c>
      <c r="M16" s="165">
        <f t="shared" si="6"/>
        <v>-2</v>
      </c>
      <c r="N16" s="165">
        <f t="shared" si="1"/>
        <v>0</v>
      </c>
      <c r="O16" s="165">
        <f t="shared" si="7"/>
        <v>-33</v>
      </c>
      <c r="P16" s="165">
        <v>85</v>
      </c>
      <c r="Q16" s="166">
        <f t="shared" si="8"/>
        <v>0</v>
      </c>
      <c r="R16" s="165">
        <f t="shared" si="9"/>
        <v>-35</v>
      </c>
      <c r="S16" s="165">
        <f t="shared" si="10"/>
        <v>-47</v>
      </c>
      <c r="T16" s="165">
        <f t="shared" si="11"/>
        <v>0</v>
      </c>
      <c r="U16" s="166"/>
      <c r="V16" s="166"/>
      <c r="W16" s="166"/>
      <c r="X16" s="165">
        <f t="shared" si="12"/>
        <v>-22</v>
      </c>
      <c r="Y16" s="165">
        <f t="shared" si="20"/>
        <v>-12</v>
      </c>
      <c r="Z16" s="161">
        <f t="shared" si="14"/>
        <v>0</v>
      </c>
      <c r="AA16" s="143">
        <f t="shared" si="19"/>
        <v>0</v>
      </c>
      <c r="AB16" s="198">
        <v>12</v>
      </c>
      <c r="AC16" s="198">
        <f t="shared" si="15"/>
        <v>0</v>
      </c>
      <c r="AD16" s="198">
        <f t="shared" si="16"/>
        <v>0</v>
      </c>
      <c r="AE16" s="198"/>
      <c r="AF16" s="198">
        <f t="shared" si="17"/>
        <v>0</v>
      </c>
      <c r="AG16" s="198">
        <f t="shared" si="3"/>
        <v>0</v>
      </c>
      <c r="AH16" s="198"/>
      <c r="AI16" s="198"/>
      <c r="AJ16" s="150"/>
      <c r="AK16" s="144"/>
      <c r="AL16" s="144"/>
      <c r="AM16" s="141">
        <f t="shared" si="18"/>
        <v>0</v>
      </c>
    </row>
    <row r="17" spans="1:39" ht="15.95" hidden="1" customHeight="1">
      <c r="A17" s="193"/>
      <c r="B17" s="165"/>
      <c r="C17" s="165"/>
      <c r="D17" s="165"/>
      <c r="E17" s="165"/>
      <c r="F17" s="165">
        <f t="shared" si="4"/>
        <v>-1</v>
      </c>
      <c r="G17" s="165">
        <f t="shared" si="4"/>
        <v>-1</v>
      </c>
      <c r="H17" s="165">
        <f t="shared" si="0"/>
        <v>0</v>
      </c>
      <c r="I17" s="165"/>
      <c r="J17" s="165"/>
      <c r="K17" s="165"/>
      <c r="L17" s="165">
        <f t="shared" si="5"/>
        <v>-34</v>
      </c>
      <c r="M17" s="165">
        <f t="shared" si="6"/>
        <v>-2</v>
      </c>
      <c r="N17" s="165">
        <f t="shared" si="1"/>
        <v>0</v>
      </c>
      <c r="O17" s="165">
        <f t="shared" si="7"/>
        <v>-33</v>
      </c>
      <c r="P17" s="165">
        <v>85</v>
      </c>
      <c r="Q17" s="166">
        <f t="shared" si="8"/>
        <v>0</v>
      </c>
      <c r="R17" s="165">
        <f t="shared" si="9"/>
        <v>-35</v>
      </c>
      <c r="S17" s="165">
        <f t="shared" si="10"/>
        <v>-47</v>
      </c>
      <c r="T17" s="165">
        <f t="shared" si="11"/>
        <v>0</v>
      </c>
      <c r="U17" s="166"/>
      <c r="V17" s="166"/>
      <c r="W17" s="166"/>
      <c r="X17" s="165">
        <f t="shared" si="12"/>
        <v>-22</v>
      </c>
      <c r="Y17" s="165">
        <f t="shared" si="20"/>
        <v>-12</v>
      </c>
      <c r="Z17" s="161">
        <f t="shared" si="14"/>
        <v>0</v>
      </c>
      <c r="AA17" s="143">
        <f t="shared" si="19"/>
        <v>0</v>
      </c>
      <c r="AB17" s="198">
        <v>13</v>
      </c>
      <c r="AC17" s="198">
        <f t="shared" si="15"/>
        <v>0</v>
      </c>
      <c r="AD17" s="198">
        <f t="shared" si="16"/>
        <v>0</v>
      </c>
      <c r="AE17" s="198"/>
      <c r="AF17" s="198">
        <f t="shared" si="17"/>
        <v>0</v>
      </c>
      <c r="AG17" s="198">
        <f t="shared" si="3"/>
        <v>0</v>
      </c>
      <c r="AH17" s="198"/>
      <c r="AI17" s="198"/>
      <c r="AJ17" s="150" t="s">
        <v>5</v>
      </c>
      <c r="AK17" s="144">
        <f>AH34</f>
        <v>0</v>
      </c>
      <c r="AL17" s="144"/>
      <c r="AM17" s="141">
        <f t="shared" si="18"/>
        <v>0</v>
      </c>
    </row>
    <row r="18" spans="1:39" ht="15.95" hidden="1" customHeight="1">
      <c r="A18" s="193"/>
      <c r="B18" s="165"/>
      <c r="C18" s="165"/>
      <c r="D18" s="165"/>
      <c r="E18" s="165"/>
      <c r="F18" s="165">
        <f t="shared" si="4"/>
        <v>-1</v>
      </c>
      <c r="G18" s="165">
        <f t="shared" si="4"/>
        <v>-1</v>
      </c>
      <c r="H18" s="165">
        <f t="shared" si="0"/>
        <v>0</v>
      </c>
      <c r="I18" s="165"/>
      <c r="J18" s="165"/>
      <c r="K18" s="165"/>
      <c r="L18" s="165">
        <f t="shared" si="5"/>
        <v>-34</v>
      </c>
      <c r="M18" s="165">
        <f t="shared" si="6"/>
        <v>-2</v>
      </c>
      <c r="N18" s="165">
        <f t="shared" si="1"/>
        <v>0</v>
      </c>
      <c r="O18" s="165">
        <f t="shared" si="7"/>
        <v>-33</v>
      </c>
      <c r="P18" s="165">
        <v>85</v>
      </c>
      <c r="Q18" s="166">
        <f t="shared" si="8"/>
        <v>0</v>
      </c>
      <c r="R18" s="165">
        <f t="shared" si="9"/>
        <v>-35</v>
      </c>
      <c r="S18" s="165">
        <f t="shared" si="10"/>
        <v>-47</v>
      </c>
      <c r="T18" s="165">
        <f t="shared" si="11"/>
        <v>0</v>
      </c>
      <c r="U18" s="166"/>
      <c r="V18" s="166"/>
      <c r="W18" s="166"/>
      <c r="X18" s="165">
        <f t="shared" si="12"/>
        <v>-22</v>
      </c>
      <c r="Y18" s="165">
        <f t="shared" si="20"/>
        <v>-12</v>
      </c>
      <c r="Z18" s="161">
        <f t="shared" si="14"/>
        <v>0</v>
      </c>
      <c r="AA18" s="143">
        <f t="shared" si="19"/>
        <v>0</v>
      </c>
      <c r="AB18" s="198">
        <v>14</v>
      </c>
      <c r="AC18" s="198">
        <f t="shared" si="15"/>
        <v>0</v>
      </c>
      <c r="AD18" s="198">
        <f t="shared" si="16"/>
        <v>0</v>
      </c>
      <c r="AE18" s="198"/>
      <c r="AF18" s="198">
        <f t="shared" si="17"/>
        <v>0</v>
      </c>
      <c r="AG18" s="198">
        <f t="shared" si="3"/>
        <v>0</v>
      </c>
      <c r="AH18" s="198"/>
      <c r="AI18" s="198"/>
      <c r="AJ18" s="150"/>
      <c r="AK18" s="144"/>
      <c r="AL18" s="144"/>
      <c r="AM18" s="141">
        <f t="shared" si="18"/>
        <v>0</v>
      </c>
    </row>
    <row r="19" spans="1:39" ht="15.95" hidden="1" customHeight="1">
      <c r="A19" s="194"/>
      <c r="B19" s="165"/>
      <c r="C19" s="165"/>
      <c r="D19" s="165"/>
      <c r="E19" s="165"/>
      <c r="F19" s="165">
        <f t="shared" si="4"/>
        <v>-1</v>
      </c>
      <c r="G19" s="165">
        <f t="shared" si="4"/>
        <v>-1</v>
      </c>
      <c r="H19" s="165">
        <f t="shared" si="0"/>
        <v>0</v>
      </c>
      <c r="I19" s="165"/>
      <c r="J19" s="165"/>
      <c r="K19" s="165"/>
      <c r="L19" s="165">
        <f t="shared" si="5"/>
        <v>-34</v>
      </c>
      <c r="M19" s="165">
        <f t="shared" si="6"/>
        <v>-2</v>
      </c>
      <c r="N19" s="165">
        <f t="shared" si="1"/>
        <v>0</v>
      </c>
      <c r="O19" s="165">
        <f t="shared" si="7"/>
        <v>-33</v>
      </c>
      <c r="P19" s="165">
        <v>85</v>
      </c>
      <c r="Q19" s="166">
        <f t="shared" si="8"/>
        <v>0</v>
      </c>
      <c r="R19" s="165">
        <f t="shared" si="9"/>
        <v>-35</v>
      </c>
      <c r="S19" s="165">
        <f t="shared" si="10"/>
        <v>-47</v>
      </c>
      <c r="T19" s="165">
        <f t="shared" si="11"/>
        <v>0</v>
      </c>
      <c r="U19" s="166"/>
      <c r="V19" s="166"/>
      <c r="W19" s="166"/>
      <c r="X19" s="165">
        <f t="shared" si="12"/>
        <v>-22</v>
      </c>
      <c r="Y19" s="165">
        <f t="shared" si="20"/>
        <v>-12</v>
      </c>
      <c r="Z19" s="161">
        <f t="shared" si="14"/>
        <v>0</v>
      </c>
      <c r="AA19" s="143">
        <f t="shared" si="19"/>
        <v>0</v>
      </c>
      <c r="AB19" s="198">
        <v>15</v>
      </c>
      <c r="AC19" s="198">
        <f t="shared" si="15"/>
        <v>0</v>
      </c>
      <c r="AD19" s="198">
        <f t="shared" si="16"/>
        <v>0</v>
      </c>
      <c r="AE19" s="198"/>
      <c r="AF19" s="198">
        <f t="shared" si="17"/>
        <v>0</v>
      </c>
      <c r="AG19" s="198">
        <f t="shared" si="3"/>
        <v>0</v>
      </c>
      <c r="AH19" s="198"/>
      <c r="AI19" s="198"/>
      <c r="AJ19" s="150"/>
      <c r="AK19" s="144"/>
      <c r="AL19" s="144"/>
      <c r="AM19" s="141">
        <f t="shared" si="18"/>
        <v>0</v>
      </c>
    </row>
    <row r="20" spans="1:39" s="693" customFormat="1" ht="15.95" hidden="1" customHeight="1">
      <c r="A20" s="700"/>
      <c r="B20" s="698"/>
      <c r="C20" s="698"/>
      <c r="D20" s="698"/>
      <c r="E20" s="698"/>
      <c r="F20" s="698">
        <f t="shared" si="4"/>
        <v>-1</v>
      </c>
      <c r="G20" s="698">
        <f t="shared" si="4"/>
        <v>-1</v>
      </c>
      <c r="H20" s="698">
        <f t="shared" si="0"/>
        <v>0</v>
      </c>
      <c r="I20" s="698"/>
      <c r="J20" s="698"/>
      <c r="K20" s="698"/>
      <c r="L20" s="698">
        <f t="shared" si="5"/>
        <v>-34</v>
      </c>
      <c r="M20" s="698">
        <f t="shared" si="6"/>
        <v>-2</v>
      </c>
      <c r="N20" s="698">
        <f t="shared" si="1"/>
        <v>0</v>
      </c>
      <c r="O20" s="698">
        <f t="shared" si="7"/>
        <v>-33</v>
      </c>
      <c r="P20" s="698">
        <v>85</v>
      </c>
      <c r="Q20" s="701">
        <f t="shared" si="8"/>
        <v>0</v>
      </c>
      <c r="R20" s="698">
        <f t="shared" si="9"/>
        <v>-35</v>
      </c>
      <c r="S20" s="698">
        <f t="shared" si="10"/>
        <v>-47</v>
      </c>
      <c r="T20" s="698">
        <f t="shared" si="11"/>
        <v>0</v>
      </c>
      <c r="U20" s="701">
        <f t="shared" ref="U20" si="21">L20</f>
        <v>-34</v>
      </c>
      <c r="V20" s="701">
        <f>C20-25</f>
        <v>-25</v>
      </c>
      <c r="W20" s="701"/>
      <c r="X20" s="698">
        <f t="shared" si="12"/>
        <v>-22</v>
      </c>
      <c r="Y20" s="698">
        <f t="shared" si="20"/>
        <v>-12</v>
      </c>
      <c r="Z20" s="691">
        <f t="shared" si="14"/>
        <v>0</v>
      </c>
      <c r="AA20" s="143">
        <f t="shared" ref="AA20" si="22">IF(B20&lt;&gt;"",IF(B20&lt;950,4,6),0)*E20</f>
        <v>0</v>
      </c>
      <c r="AB20" s="198">
        <v>16</v>
      </c>
      <c r="AC20" s="198">
        <f t="shared" si="15"/>
        <v>0</v>
      </c>
      <c r="AD20" s="198">
        <f t="shared" si="16"/>
        <v>0</v>
      </c>
      <c r="AE20" s="198"/>
      <c r="AF20" s="198">
        <f t="shared" si="17"/>
        <v>0</v>
      </c>
      <c r="AG20" s="198">
        <f t="shared" si="3"/>
        <v>0</v>
      </c>
      <c r="AH20" s="198"/>
      <c r="AI20" s="198"/>
      <c r="AJ20" s="150" t="s">
        <v>7</v>
      </c>
      <c r="AK20" s="147">
        <f>AI34</f>
        <v>0</v>
      </c>
      <c r="AL20" s="144"/>
      <c r="AM20" s="141">
        <f t="shared" si="18"/>
        <v>0</v>
      </c>
    </row>
    <row r="21" spans="1:39" ht="15.95" customHeight="1">
      <c r="A21" s="195" t="s">
        <v>834</v>
      </c>
      <c r="B21" s="167"/>
      <c r="C21" s="167"/>
      <c r="D21" s="167"/>
      <c r="E21" s="167">
        <f>SUM(E4:E20)</f>
        <v>1</v>
      </c>
      <c r="F21" s="167"/>
      <c r="G21" s="167"/>
      <c r="H21" s="167">
        <f>SUM(H5:H20)</f>
        <v>2</v>
      </c>
      <c r="I21" s="167"/>
      <c r="J21" s="167"/>
      <c r="K21" s="167"/>
      <c r="L21" s="167"/>
      <c r="M21" s="167"/>
      <c r="N21" s="167">
        <f>SUM(N5:N20)</f>
        <v>1</v>
      </c>
      <c r="O21" s="167"/>
      <c r="P21" s="167"/>
      <c r="Q21" s="167">
        <f>SUM(Q5:Q20)</f>
        <v>1</v>
      </c>
      <c r="R21" s="167"/>
      <c r="S21" s="167"/>
      <c r="T21" s="167">
        <f>SUM(T4:T20)</f>
        <v>0</v>
      </c>
      <c r="U21" s="167"/>
      <c r="V21" s="167"/>
      <c r="W21" s="167">
        <f>SUM(W5:W20)</f>
        <v>0</v>
      </c>
      <c r="X21" s="167"/>
      <c r="Y21" s="167"/>
      <c r="Z21" s="162">
        <f>SUM(Z5:Z20)</f>
        <v>0</v>
      </c>
      <c r="AA21" s="143"/>
      <c r="AB21" s="200" t="s">
        <v>12</v>
      </c>
      <c r="AC21" s="200">
        <f t="shared" ref="AC21:AG21" si="23">SUM(AC5:AC20)</f>
        <v>0.44914112359019642</v>
      </c>
      <c r="AD21" s="200">
        <f t="shared" si="23"/>
        <v>9.9700000000000006</v>
      </c>
      <c r="AE21" s="200"/>
      <c r="AF21" s="200">
        <f t="shared" si="23"/>
        <v>0</v>
      </c>
      <c r="AG21" s="200">
        <f t="shared" si="23"/>
        <v>0.8</v>
      </c>
      <c r="AH21" s="198"/>
      <c r="AI21" s="198"/>
      <c r="AJ21" s="145" t="s">
        <v>8</v>
      </c>
      <c r="AK21" s="144">
        <f>E21*4</f>
        <v>4</v>
      </c>
      <c r="AL21" s="144"/>
    </row>
    <row r="22" spans="1:39" s="163" customFormat="1" ht="20.100000000000001" hidden="1" customHeight="1">
      <c r="A22" s="129" t="s">
        <v>147</v>
      </c>
      <c r="B22" s="164" t="s">
        <v>60</v>
      </c>
      <c r="C22" s="164" t="s">
        <v>61</v>
      </c>
      <c r="D22" s="164" t="s">
        <v>62</v>
      </c>
      <c r="E22" s="164" t="s">
        <v>63</v>
      </c>
      <c r="F22" s="164" t="s">
        <v>60</v>
      </c>
      <c r="G22" s="164" t="s">
        <v>62</v>
      </c>
      <c r="H22" s="164" t="s">
        <v>64</v>
      </c>
      <c r="I22" s="130" t="s">
        <v>60</v>
      </c>
      <c r="J22" s="132" t="s">
        <v>61</v>
      </c>
      <c r="K22" s="130" t="s">
        <v>36</v>
      </c>
      <c r="L22" s="164" t="s">
        <v>60</v>
      </c>
      <c r="M22" s="164" t="s">
        <v>61</v>
      </c>
      <c r="N22" s="164" t="s">
        <v>64</v>
      </c>
      <c r="O22" s="164" t="s">
        <v>60</v>
      </c>
      <c r="P22" s="164" t="s">
        <v>61</v>
      </c>
      <c r="Q22" s="164" t="s">
        <v>64</v>
      </c>
      <c r="R22" s="164" t="s">
        <v>60</v>
      </c>
      <c r="S22" s="164" t="s">
        <v>61</v>
      </c>
      <c r="T22" s="164" t="s">
        <v>65</v>
      </c>
      <c r="U22" s="164" t="s">
        <v>60</v>
      </c>
      <c r="V22" s="164" t="s">
        <v>61</v>
      </c>
      <c r="W22" s="164" t="s">
        <v>66</v>
      </c>
      <c r="X22" s="164" t="s">
        <v>60</v>
      </c>
      <c r="Y22" s="164" t="s">
        <v>62</v>
      </c>
      <c r="Z22" s="133" t="s">
        <v>64</v>
      </c>
      <c r="AA22" s="143"/>
      <c r="AB22" s="200"/>
      <c r="AC22" s="200"/>
      <c r="AD22" s="200"/>
      <c r="AE22" s="200"/>
      <c r="AF22" s="200"/>
      <c r="AG22" s="200"/>
      <c r="AH22" s="198"/>
      <c r="AI22" s="198"/>
      <c r="AJ22" s="145" t="s">
        <v>9</v>
      </c>
      <c r="AK22" s="144">
        <f>E33*2</f>
        <v>0</v>
      </c>
      <c r="AL22" s="144"/>
      <c r="AM22" s="149"/>
    </row>
    <row r="23" spans="1:39" ht="15.95" hidden="1" customHeight="1">
      <c r="A23" s="193"/>
      <c r="B23" s="165"/>
      <c r="C23" s="165"/>
      <c r="D23" s="165"/>
      <c r="E23" s="165"/>
      <c r="F23" s="165">
        <f t="shared" ref="F23:G32" si="24">C23-1</f>
        <v>-1</v>
      </c>
      <c r="G23" s="165">
        <f t="shared" si="24"/>
        <v>-1</v>
      </c>
      <c r="H23" s="165">
        <f t="shared" ref="H23:H32" si="25">E23*2</f>
        <v>0</v>
      </c>
      <c r="I23" s="165">
        <f>B23-34</f>
        <v>-34</v>
      </c>
      <c r="J23" s="168">
        <f>C23-25</f>
        <v>-25</v>
      </c>
      <c r="K23" s="165">
        <f t="shared" ref="K23:K32" si="26">E23</f>
        <v>0</v>
      </c>
      <c r="L23" s="165">
        <f>B23-34</f>
        <v>-34</v>
      </c>
      <c r="M23" s="703">
        <f>C23-2</f>
        <v>-2</v>
      </c>
      <c r="N23" s="165">
        <f t="shared" ref="N23:N32" si="27">E23</f>
        <v>0</v>
      </c>
      <c r="O23" s="165">
        <f t="shared" ref="O23:O32" si="28">B23-33</f>
        <v>-33</v>
      </c>
      <c r="P23" s="165">
        <v>85</v>
      </c>
      <c r="Q23" s="166">
        <f t="shared" ref="Q23:Q32" si="29">E23*1</f>
        <v>0</v>
      </c>
      <c r="R23" s="165">
        <f>B23-35</f>
        <v>-35</v>
      </c>
      <c r="S23" s="165">
        <f>C23-47</f>
        <v>-47</v>
      </c>
      <c r="T23" s="165">
        <f t="shared" ref="T23:T32" si="30">E23</f>
        <v>0</v>
      </c>
      <c r="U23" s="166"/>
      <c r="V23" s="166"/>
      <c r="W23" s="166"/>
      <c r="X23" s="165">
        <f t="shared" ref="X23:X32" si="31">B23-22</f>
        <v>-22</v>
      </c>
      <c r="Y23" s="165">
        <f t="shared" ref="Y23:Y32" si="32">D23-12</f>
        <v>-12</v>
      </c>
      <c r="Z23" s="161">
        <f t="shared" ref="Z23:Z32" si="33">E23</f>
        <v>0</v>
      </c>
      <c r="AA23" s="143">
        <f t="shared" ref="AA23:AA32" si="34">IF(AND(D23&lt;&gt;"",D23&gt;=1440),IF(B23&lt;950,4,6),0)*E23</f>
        <v>0</v>
      </c>
      <c r="AB23" s="198">
        <v>1</v>
      </c>
      <c r="AC23" s="198">
        <f>(F23*G23*H23+I23*J23*K23+L23*N23*M23+O23*P23*Q23+R23*S23*T23+U23*V23*W23)/1000000/1.22/2.44/0.91</f>
        <v>0</v>
      </c>
      <c r="AD23" s="198">
        <f t="shared" ref="AD23:AD32" si="35">(((F23+G23)*2+240)*H23+((I23+J23)*2+240)*K23+((L23+M23)*2+240)*N23+(O23*2+240)*Q23+((R23+S23)*2+240)*T23+((U23+V23)*2+240)*W23)/1000</f>
        <v>0</v>
      </c>
      <c r="AE23" s="198"/>
      <c r="AF23" s="198">
        <f t="shared" ref="AF23:AF32" si="36">X23*Y23*Z23/1000000/1.22/2.44/0.75</f>
        <v>0</v>
      </c>
      <c r="AG23" s="198">
        <f t="shared" ref="AG23:AG32" si="37">B23*E23/1000</f>
        <v>0</v>
      </c>
      <c r="AH23" s="198"/>
      <c r="AI23" s="198"/>
      <c r="AJ23" s="145" t="s">
        <v>23</v>
      </c>
      <c r="AK23" s="147"/>
      <c r="AL23" s="147"/>
      <c r="AM23" s="141">
        <f>B23*E23/1000</f>
        <v>0</v>
      </c>
    </row>
    <row r="24" spans="1:39" ht="15.95" hidden="1" customHeight="1">
      <c r="A24" s="193"/>
      <c r="B24" s="165"/>
      <c r="C24" s="165"/>
      <c r="D24" s="165"/>
      <c r="E24" s="165"/>
      <c r="F24" s="165">
        <f t="shared" si="24"/>
        <v>-1</v>
      </c>
      <c r="G24" s="165">
        <f t="shared" si="24"/>
        <v>-1</v>
      </c>
      <c r="H24" s="165">
        <f t="shared" si="25"/>
        <v>0</v>
      </c>
      <c r="I24" s="165">
        <f t="shared" ref="I24:I32" si="38">B24-34</f>
        <v>-34</v>
      </c>
      <c r="J24" s="168">
        <f t="shared" ref="J24:J32" si="39">C24-25</f>
        <v>-25</v>
      </c>
      <c r="K24" s="165">
        <f t="shared" si="26"/>
        <v>0</v>
      </c>
      <c r="L24" s="165">
        <f t="shared" ref="L24:L32" si="40">B24-34</f>
        <v>-34</v>
      </c>
      <c r="M24" s="703">
        <f t="shared" ref="M24:M32" si="41">C24-2</f>
        <v>-2</v>
      </c>
      <c r="N24" s="165">
        <f t="shared" si="27"/>
        <v>0</v>
      </c>
      <c r="O24" s="165">
        <f t="shared" si="28"/>
        <v>-33</v>
      </c>
      <c r="P24" s="165">
        <v>85</v>
      </c>
      <c r="Q24" s="166">
        <f t="shared" si="29"/>
        <v>0</v>
      </c>
      <c r="R24" s="165">
        <f t="shared" ref="R24:R32" si="42">B24-35</f>
        <v>-35</v>
      </c>
      <c r="S24" s="165">
        <f t="shared" ref="S24:S32" si="43">C24-47</f>
        <v>-47</v>
      </c>
      <c r="T24" s="165">
        <f t="shared" si="30"/>
        <v>0</v>
      </c>
      <c r="U24" s="166"/>
      <c r="V24" s="166"/>
      <c r="W24" s="166"/>
      <c r="X24" s="165">
        <f t="shared" si="31"/>
        <v>-22</v>
      </c>
      <c r="Y24" s="165">
        <f t="shared" si="32"/>
        <v>-12</v>
      </c>
      <c r="Z24" s="161">
        <f t="shared" si="33"/>
        <v>0</v>
      </c>
      <c r="AA24" s="143">
        <f t="shared" si="34"/>
        <v>0</v>
      </c>
      <c r="AB24" s="198">
        <v>2</v>
      </c>
      <c r="AC24" s="198">
        <f t="shared" ref="AC24:AC32" si="44">(F24*G24*H24+I24*J24*K24+L24*N24*M24+O24*P24*Q24+R24*S24*T24+U24*V24*W24)/1000000/1.22/2.44/0.91</f>
        <v>0</v>
      </c>
      <c r="AD24" s="198">
        <f t="shared" si="35"/>
        <v>0</v>
      </c>
      <c r="AE24" s="198"/>
      <c r="AF24" s="198">
        <f t="shared" si="36"/>
        <v>0</v>
      </c>
      <c r="AG24" s="198">
        <f t="shared" si="37"/>
        <v>0</v>
      </c>
      <c r="AH24" s="198"/>
      <c r="AI24" s="198"/>
      <c r="AJ24" s="145"/>
      <c r="AK24" s="147"/>
      <c r="AL24" s="147"/>
      <c r="AM24" s="141">
        <f t="shared" ref="AM24:AM32" si="45">B24*E24/1000</f>
        <v>0</v>
      </c>
    </row>
    <row r="25" spans="1:39" ht="15.95" hidden="1" customHeight="1">
      <c r="A25" s="193"/>
      <c r="B25" s="165"/>
      <c r="C25" s="165"/>
      <c r="D25" s="165"/>
      <c r="E25" s="165"/>
      <c r="F25" s="165">
        <f t="shared" si="24"/>
        <v>-1</v>
      </c>
      <c r="G25" s="165">
        <f t="shared" si="24"/>
        <v>-1</v>
      </c>
      <c r="H25" s="165">
        <f t="shared" si="25"/>
        <v>0</v>
      </c>
      <c r="I25" s="165">
        <f t="shared" si="38"/>
        <v>-34</v>
      </c>
      <c r="J25" s="168">
        <f t="shared" si="39"/>
        <v>-25</v>
      </c>
      <c r="K25" s="165">
        <f t="shared" si="26"/>
        <v>0</v>
      </c>
      <c r="L25" s="165">
        <f t="shared" si="40"/>
        <v>-34</v>
      </c>
      <c r="M25" s="703">
        <f t="shared" si="41"/>
        <v>-2</v>
      </c>
      <c r="N25" s="165">
        <f t="shared" si="27"/>
        <v>0</v>
      </c>
      <c r="O25" s="165">
        <f t="shared" si="28"/>
        <v>-33</v>
      </c>
      <c r="P25" s="165">
        <v>85</v>
      </c>
      <c r="Q25" s="166">
        <f t="shared" si="29"/>
        <v>0</v>
      </c>
      <c r="R25" s="165">
        <f t="shared" si="42"/>
        <v>-35</v>
      </c>
      <c r="S25" s="165">
        <f t="shared" si="43"/>
        <v>-47</v>
      </c>
      <c r="T25" s="165">
        <f t="shared" si="30"/>
        <v>0</v>
      </c>
      <c r="U25" s="166"/>
      <c r="V25" s="166"/>
      <c r="W25" s="166"/>
      <c r="X25" s="165">
        <f t="shared" si="31"/>
        <v>-22</v>
      </c>
      <c r="Y25" s="165">
        <f t="shared" si="32"/>
        <v>-12</v>
      </c>
      <c r="Z25" s="161">
        <f t="shared" si="33"/>
        <v>0</v>
      </c>
      <c r="AA25" s="143">
        <f t="shared" si="34"/>
        <v>0</v>
      </c>
      <c r="AB25" s="198">
        <v>3</v>
      </c>
      <c r="AC25" s="198">
        <f t="shared" si="44"/>
        <v>0</v>
      </c>
      <c r="AD25" s="198">
        <f t="shared" si="35"/>
        <v>0</v>
      </c>
      <c r="AE25" s="198"/>
      <c r="AF25" s="198">
        <f t="shared" si="36"/>
        <v>0</v>
      </c>
      <c r="AG25" s="198">
        <f t="shared" si="37"/>
        <v>0</v>
      </c>
      <c r="AH25" s="198"/>
      <c r="AI25" s="198"/>
      <c r="AJ25" s="145" t="s">
        <v>15</v>
      </c>
      <c r="AK25" s="144"/>
      <c r="AL25" s="144"/>
      <c r="AM25" s="141">
        <f t="shared" si="45"/>
        <v>0</v>
      </c>
    </row>
    <row r="26" spans="1:39" ht="15.95" hidden="1" customHeight="1">
      <c r="A26" s="193"/>
      <c r="B26" s="165"/>
      <c r="C26" s="165"/>
      <c r="D26" s="165"/>
      <c r="E26" s="165"/>
      <c r="F26" s="165">
        <f t="shared" si="24"/>
        <v>-1</v>
      </c>
      <c r="G26" s="165">
        <f t="shared" si="24"/>
        <v>-1</v>
      </c>
      <c r="H26" s="165">
        <f t="shared" si="25"/>
        <v>0</v>
      </c>
      <c r="I26" s="165">
        <f t="shared" si="38"/>
        <v>-34</v>
      </c>
      <c r="J26" s="168">
        <f t="shared" si="39"/>
        <v>-25</v>
      </c>
      <c r="K26" s="165">
        <f t="shared" si="26"/>
        <v>0</v>
      </c>
      <c r="L26" s="165">
        <f t="shared" si="40"/>
        <v>-34</v>
      </c>
      <c r="M26" s="703">
        <f t="shared" si="41"/>
        <v>-2</v>
      </c>
      <c r="N26" s="165">
        <f t="shared" si="27"/>
        <v>0</v>
      </c>
      <c r="O26" s="165">
        <f t="shared" si="28"/>
        <v>-33</v>
      </c>
      <c r="P26" s="165">
        <v>85</v>
      </c>
      <c r="Q26" s="166">
        <f t="shared" si="29"/>
        <v>0</v>
      </c>
      <c r="R26" s="165">
        <f t="shared" si="42"/>
        <v>-35</v>
      </c>
      <c r="S26" s="165">
        <f t="shared" si="43"/>
        <v>-47</v>
      </c>
      <c r="T26" s="165">
        <f t="shared" si="30"/>
        <v>0</v>
      </c>
      <c r="U26" s="166"/>
      <c r="V26" s="166"/>
      <c r="W26" s="166"/>
      <c r="X26" s="165">
        <f t="shared" si="31"/>
        <v>-22</v>
      </c>
      <c r="Y26" s="165">
        <f t="shared" si="32"/>
        <v>-12</v>
      </c>
      <c r="Z26" s="161">
        <f t="shared" si="33"/>
        <v>0</v>
      </c>
      <c r="AA26" s="143">
        <f t="shared" si="34"/>
        <v>0</v>
      </c>
      <c r="AB26" s="198">
        <v>4</v>
      </c>
      <c r="AC26" s="198">
        <f t="shared" si="44"/>
        <v>0</v>
      </c>
      <c r="AD26" s="198">
        <f t="shared" si="35"/>
        <v>0</v>
      </c>
      <c r="AE26" s="198"/>
      <c r="AF26" s="198">
        <f t="shared" si="36"/>
        <v>0</v>
      </c>
      <c r="AG26" s="198">
        <f t="shared" si="37"/>
        <v>0</v>
      </c>
      <c r="AH26" s="198"/>
      <c r="AI26" s="198"/>
      <c r="AJ26" s="145" t="s">
        <v>24</v>
      </c>
      <c r="AK26" s="144">
        <f>AK22*2</f>
        <v>0</v>
      </c>
      <c r="AL26" s="144" t="s">
        <v>19</v>
      </c>
      <c r="AM26" s="141">
        <f t="shared" si="45"/>
        <v>0</v>
      </c>
    </row>
    <row r="27" spans="1:39" s="693" customFormat="1" ht="15.95" hidden="1" customHeight="1">
      <c r="A27" s="700"/>
      <c r="B27" s="698"/>
      <c r="C27" s="698"/>
      <c r="D27" s="698"/>
      <c r="E27" s="698"/>
      <c r="F27" s="698">
        <f t="shared" si="24"/>
        <v>-1</v>
      </c>
      <c r="G27" s="698">
        <f t="shared" si="24"/>
        <v>-1</v>
      </c>
      <c r="H27" s="698">
        <f t="shared" si="25"/>
        <v>0</v>
      </c>
      <c r="I27" s="698">
        <f t="shared" si="38"/>
        <v>-34</v>
      </c>
      <c r="J27" s="15">
        <f t="shared" si="39"/>
        <v>-25</v>
      </c>
      <c r="K27" s="698">
        <f t="shared" si="26"/>
        <v>0</v>
      </c>
      <c r="L27" s="698">
        <f t="shared" si="40"/>
        <v>-34</v>
      </c>
      <c r="M27" s="704">
        <f t="shared" si="41"/>
        <v>-2</v>
      </c>
      <c r="N27" s="698">
        <f t="shared" si="27"/>
        <v>0</v>
      </c>
      <c r="O27" s="698">
        <f t="shared" si="28"/>
        <v>-33</v>
      </c>
      <c r="P27" s="698">
        <v>85</v>
      </c>
      <c r="Q27" s="701">
        <f t="shared" si="29"/>
        <v>0</v>
      </c>
      <c r="R27" s="698">
        <f t="shared" si="42"/>
        <v>-35</v>
      </c>
      <c r="S27" s="698">
        <f t="shared" si="43"/>
        <v>-47</v>
      </c>
      <c r="T27" s="698">
        <f t="shared" si="30"/>
        <v>0</v>
      </c>
      <c r="U27" s="701"/>
      <c r="V27" s="701"/>
      <c r="W27" s="701"/>
      <c r="X27" s="698">
        <f t="shared" si="31"/>
        <v>-22</v>
      </c>
      <c r="Y27" s="698">
        <f t="shared" si="32"/>
        <v>-12</v>
      </c>
      <c r="Z27" s="691">
        <f t="shared" si="33"/>
        <v>0</v>
      </c>
      <c r="AA27" s="143">
        <f t="shared" si="34"/>
        <v>0</v>
      </c>
      <c r="AB27" s="198">
        <v>5</v>
      </c>
      <c r="AC27" s="198">
        <f t="shared" si="44"/>
        <v>0</v>
      </c>
      <c r="AD27" s="198">
        <f t="shared" si="35"/>
        <v>0</v>
      </c>
      <c r="AE27" s="198"/>
      <c r="AF27" s="198">
        <f t="shared" si="36"/>
        <v>0</v>
      </c>
      <c r="AG27" s="198">
        <f t="shared" si="37"/>
        <v>0</v>
      </c>
      <c r="AH27" s="198"/>
      <c r="AI27" s="198"/>
      <c r="AJ27" s="145" t="s">
        <v>6</v>
      </c>
      <c r="AK27" s="144">
        <f>T33*4</f>
        <v>0</v>
      </c>
      <c r="AL27" s="144" t="s">
        <v>19</v>
      </c>
      <c r="AM27" s="141">
        <f t="shared" si="45"/>
        <v>0</v>
      </c>
    </row>
    <row r="28" spans="1:39" ht="15.95" hidden="1" customHeight="1">
      <c r="A28" s="193"/>
      <c r="B28" s="165"/>
      <c r="C28" s="165"/>
      <c r="D28" s="165"/>
      <c r="E28" s="165"/>
      <c r="F28" s="165">
        <f t="shared" si="24"/>
        <v>-1</v>
      </c>
      <c r="G28" s="165">
        <f t="shared" si="24"/>
        <v>-1</v>
      </c>
      <c r="H28" s="165">
        <f t="shared" si="25"/>
        <v>0</v>
      </c>
      <c r="I28" s="165">
        <f t="shared" si="38"/>
        <v>-34</v>
      </c>
      <c r="J28" s="168">
        <f t="shared" si="39"/>
        <v>-25</v>
      </c>
      <c r="K28" s="165">
        <f t="shared" si="26"/>
        <v>0</v>
      </c>
      <c r="L28" s="165">
        <f t="shared" si="40"/>
        <v>-34</v>
      </c>
      <c r="M28" s="703">
        <f t="shared" si="41"/>
        <v>-2</v>
      </c>
      <c r="N28" s="165">
        <f t="shared" si="27"/>
        <v>0</v>
      </c>
      <c r="O28" s="165">
        <f t="shared" si="28"/>
        <v>-33</v>
      </c>
      <c r="P28" s="165">
        <v>85</v>
      </c>
      <c r="Q28" s="166">
        <f t="shared" si="29"/>
        <v>0</v>
      </c>
      <c r="R28" s="165">
        <f t="shared" si="42"/>
        <v>-35</v>
      </c>
      <c r="S28" s="165">
        <f t="shared" si="43"/>
        <v>-47</v>
      </c>
      <c r="T28" s="165">
        <f t="shared" si="30"/>
        <v>0</v>
      </c>
      <c r="U28" s="166"/>
      <c r="V28" s="166"/>
      <c r="W28" s="166"/>
      <c r="X28" s="165">
        <f t="shared" si="31"/>
        <v>-22</v>
      </c>
      <c r="Y28" s="165">
        <f t="shared" si="32"/>
        <v>-12</v>
      </c>
      <c r="Z28" s="161">
        <f t="shared" si="33"/>
        <v>0</v>
      </c>
      <c r="AA28" s="143">
        <f t="shared" si="34"/>
        <v>0</v>
      </c>
      <c r="AB28" s="198">
        <v>6</v>
      </c>
      <c r="AC28" s="198">
        <f t="shared" si="44"/>
        <v>0</v>
      </c>
      <c r="AD28" s="198">
        <f t="shared" si="35"/>
        <v>0</v>
      </c>
      <c r="AE28" s="198"/>
      <c r="AF28" s="198">
        <f t="shared" si="36"/>
        <v>0</v>
      </c>
      <c r="AG28" s="198">
        <f t="shared" si="37"/>
        <v>0</v>
      </c>
      <c r="AH28" s="198"/>
      <c r="AI28" s="198"/>
      <c r="AJ28" s="145" t="s">
        <v>16</v>
      </c>
      <c r="AK28" s="144">
        <f>E21*2</f>
        <v>2</v>
      </c>
      <c r="AL28" s="144" t="s">
        <v>19</v>
      </c>
      <c r="AM28" s="141">
        <f t="shared" si="45"/>
        <v>0</v>
      </c>
    </row>
    <row r="29" spans="1:39" ht="15.95" hidden="1" customHeight="1">
      <c r="A29" s="193"/>
      <c r="B29" s="165"/>
      <c r="C29" s="165"/>
      <c r="D29" s="165"/>
      <c r="E29" s="165"/>
      <c r="F29" s="165">
        <f t="shared" si="24"/>
        <v>-1</v>
      </c>
      <c r="G29" s="165">
        <f t="shared" si="24"/>
        <v>-1</v>
      </c>
      <c r="H29" s="165">
        <f t="shared" si="25"/>
        <v>0</v>
      </c>
      <c r="I29" s="165">
        <f t="shared" si="38"/>
        <v>-34</v>
      </c>
      <c r="J29" s="168">
        <f t="shared" si="39"/>
        <v>-25</v>
      </c>
      <c r="K29" s="165">
        <f t="shared" si="26"/>
        <v>0</v>
      </c>
      <c r="L29" s="165">
        <f t="shared" si="40"/>
        <v>-34</v>
      </c>
      <c r="M29" s="703">
        <f t="shared" si="41"/>
        <v>-2</v>
      </c>
      <c r="N29" s="165">
        <f t="shared" si="27"/>
        <v>0</v>
      </c>
      <c r="O29" s="165">
        <f t="shared" si="28"/>
        <v>-33</v>
      </c>
      <c r="P29" s="165">
        <v>85</v>
      </c>
      <c r="Q29" s="166">
        <f t="shared" si="29"/>
        <v>0</v>
      </c>
      <c r="R29" s="165">
        <f t="shared" si="42"/>
        <v>-35</v>
      </c>
      <c r="S29" s="165">
        <f t="shared" si="43"/>
        <v>-47</v>
      </c>
      <c r="T29" s="165">
        <f t="shared" si="30"/>
        <v>0</v>
      </c>
      <c r="U29" s="166"/>
      <c r="V29" s="166"/>
      <c r="W29" s="166"/>
      <c r="X29" s="165">
        <f t="shared" si="31"/>
        <v>-22</v>
      </c>
      <c r="Y29" s="165">
        <f t="shared" si="32"/>
        <v>-12</v>
      </c>
      <c r="Z29" s="161">
        <f t="shared" si="33"/>
        <v>0</v>
      </c>
      <c r="AA29" s="143">
        <f t="shared" si="34"/>
        <v>0</v>
      </c>
      <c r="AB29" s="198">
        <v>7</v>
      </c>
      <c r="AC29" s="198">
        <f t="shared" si="44"/>
        <v>0</v>
      </c>
      <c r="AD29" s="198">
        <f t="shared" si="35"/>
        <v>0</v>
      </c>
      <c r="AE29" s="198"/>
      <c r="AF29" s="198">
        <f t="shared" si="36"/>
        <v>0</v>
      </c>
      <c r="AG29" s="198">
        <f t="shared" si="37"/>
        <v>0</v>
      </c>
      <c r="AH29" s="198"/>
      <c r="AI29" s="198"/>
      <c r="AJ29" s="145" t="s">
        <v>17</v>
      </c>
      <c r="AK29" s="144">
        <f>E21*6+E33*4</f>
        <v>6</v>
      </c>
      <c r="AL29" s="144" t="s">
        <v>19</v>
      </c>
      <c r="AM29" s="141">
        <f t="shared" si="45"/>
        <v>0</v>
      </c>
    </row>
    <row r="30" spans="1:39" ht="15.95" hidden="1" customHeight="1">
      <c r="A30" s="193"/>
      <c r="B30" s="165"/>
      <c r="C30" s="165"/>
      <c r="D30" s="165"/>
      <c r="E30" s="165"/>
      <c r="F30" s="165">
        <f t="shared" si="24"/>
        <v>-1</v>
      </c>
      <c r="G30" s="165">
        <f t="shared" si="24"/>
        <v>-1</v>
      </c>
      <c r="H30" s="165">
        <f t="shared" si="25"/>
        <v>0</v>
      </c>
      <c r="I30" s="165">
        <f t="shared" si="38"/>
        <v>-34</v>
      </c>
      <c r="J30" s="168">
        <f t="shared" si="39"/>
        <v>-25</v>
      </c>
      <c r="K30" s="165">
        <f t="shared" si="26"/>
        <v>0</v>
      </c>
      <c r="L30" s="165">
        <f t="shared" si="40"/>
        <v>-34</v>
      </c>
      <c r="M30" s="703">
        <f t="shared" si="41"/>
        <v>-2</v>
      </c>
      <c r="N30" s="165">
        <f t="shared" si="27"/>
        <v>0</v>
      </c>
      <c r="O30" s="165">
        <f t="shared" si="28"/>
        <v>-33</v>
      </c>
      <c r="P30" s="165">
        <v>85</v>
      </c>
      <c r="Q30" s="166">
        <f t="shared" si="29"/>
        <v>0</v>
      </c>
      <c r="R30" s="165">
        <f t="shared" si="42"/>
        <v>-35</v>
      </c>
      <c r="S30" s="165">
        <f t="shared" si="43"/>
        <v>-47</v>
      </c>
      <c r="T30" s="165">
        <f t="shared" si="30"/>
        <v>0</v>
      </c>
      <c r="U30" s="166"/>
      <c r="V30" s="166"/>
      <c r="W30" s="166"/>
      <c r="X30" s="165">
        <f t="shared" si="31"/>
        <v>-22</v>
      </c>
      <c r="Y30" s="165">
        <f t="shared" si="32"/>
        <v>-12</v>
      </c>
      <c r="Z30" s="161">
        <f t="shared" si="33"/>
        <v>0</v>
      </c>
      <c r="AA30" s="143">
        <f t="shared" si="34"/>
        <v>0</v>
      </c>
      <c r="AB30" s="198">
        <v>8</v>
      </c>
      <c r="AC30" s="198">
        <f t="shared" si="44"/>
        <v>0</v>
      </c>
      <c r="AD30" s="198">
        <f t="shared" si="35"/>
        <v>0</v>
      </c>
      <c r="AE30" s="198"/>
      <c r="AF30" s="198">
        <f t="shared" si="36"/>
        <v>0</v>
      </c>
      <c r="AG30" s="198">
        <f t="shared" si="37"/>
        <v>0</v>
      </c>
      <c r="AH30" s="198"/>
      <c r="AI30" s="198"/>
      <c r="AJ30" s="145" t="s">
        <v>22</v>
      </c>
      <c r="AK30" s="144">
        <v>46</v>
      </c>
      <c r="AL30" s="144" t="s">
        <v>19</v>
      </c>
      <c r="AM30" s="141">
        <f t="shared" si="45"/>
        <v>0</v>
      </c>
    </row>
    <row r="31" spans="1:39" ht="15.95" hidden="1" customHeight="1">
      <c r="A31" s="193"/>
      <c r="B31" s="165"/>
      <c r="C31" s="165"/>
      <c r="D31" s="165"/>
      <c r="E31" s="165"/>
      <c r="F31" s="165">
        <f t="shared" si="24"/>
        <v>-1</v>
      </c>
      <c r="G31" s="165">
        <f t="shared" si="24"/>
        <v>-1</v>
      </c>
      <c r="H31" s="165">
        <f>E31*2</f>
        <v>0</v>
      </c>
      <c r="I31" s="165">
        <f t="shared" si="38"/>
        <v>-34</v>
      </c>
      <c r="J31" s="168">
        <f t="shared" si="39"/>
        <v>-25</v>
      </c>
      <c r="K31" s="165">
        <f t="shared" si="26"/>
        <v>0</v>
      </c>
      <c r="L31" s="165">
        <f t="shared" si="40"/>
        <v>-34</v>
      </c>
      <c r="M31" s="703">
        <f t="shared" si="41"/>
        <v>-2</v>
      </c>
      <c r="N31" s="165">
        <f t="shared" si="27"/>
        <v>0</v>
      </c>
      <c r="O31" s="165">
        <f t="shared" si="28"/>
        <v>-33</v>
      </c>
      <c r="P31" s="165">
        <v>85</v>
      </c>
      <c r="Q31" s="166">
        <f t="shared" si="29"/>
        <v>0</v>
      </c>
      <c r="R31" s="165">
        <f t="shared" si="42"/>
        <v>-35</v>
      </c>
      <c r="S31" s="165">
        <f t="shared" si="43"/>
        <v>-47</v>
      </c>
      <c r="T31" s="165">
        <f>E31</f>
        <v>0</v>
      </c>
      <c r="U31" s="166"/>
      <c r="V31" s="166"/>
      <c r="W31" s="166"/>
      <c r="X31" s="165">
        <f t="shared" si="31"/>
        <v>-22</v>
      </c>
      <c r="Y31" s="165">
        <f t="shared" si="32"/>
        <v>-12</v>
      </c>
      <c r="Z31" s="161">
        <f>E31</f>
        <v>0</v>
      </c>
      <c r="AA31" s="143">
        <f t="shared" si="34"/>
        <v>0</v>
      </c>
      <c r="AB31" s="198">
        <v>9</v>
      </c>
      <c r="AC31" s="198">
        <f t="shared" si="44"/>
        <v>0</v>
      </c>
      <c r="AD31" s="198">
        <f t="shared" si="35"/>
        <v>0</v>
      </c>
      <c r="AE31" s="198"/>
      <c r="AF31" s="198">
        <f t="shared" si="36"/>
        <v>0</v>
      </c>
      <c r="AG31" s="198">
        <f t="shared" si="37"/>
        <v>0</v>
      </c>
      <c r="AH31" s="198"/>
      <c r="AI31" s="198"/>
      <c r="AJ31" s="145"/>
      <c r="AK31" s="144"/>
      <c r="AL31" s="144"/>
      <c r="AM31" s="141">
        <f t="shared" si="45"/>
        <v>0</v>
      </c>
    </row>
    <row r="32" spans="1:39" ht="15.95" hidden="1" customHeight="1">
      <c r="A32" s="193"/>
      <c r="B32" s="165"/>
      <c r="C32" s="165"/>
      <c r="D32" s="165"/>
      <c r="E32" s="165"/>
      <c r="F32" s="165">
        <f t="shared" si="24"/>
        <v>-1</v>
      </c>
      <c r="G32" s="165">
        <f t="shared" si="24"/>
        <v>-1</v>
      </c>
      <c r="H32" s="165">
        <f t="shared" si="25"/>
        <v>0</v>
      </c>
      <c r="I32" s="165">
        <f t="shared" si="38"/>
        <v>-34</v>
      </c>
      <c r="J32" s="168">
        <f t="shared" si="39"/>
        <v>-25</v>
      </c>
      <c r="K32" s="165">
        <f t="shared" si="26"/>
        <v>0</v>
      </c>
      <c r="L32" s="165">
        <f t="shared" si="40"/>
        <v>-34</v>
      </c>
      <c r="M32" s="703">
        <f t="shared" si="41"/>
        <v>-2</v>
      </c>
      <c r="N32" s="165">
        <f t="shared" si="27"/>
        <v>0</v>
      </c>
      <c r="O32" s="165">
        <f t="shared" si="28"/>
        <v>-33</v>
      </c>
      <c r="P32" s="165">
        <v>85</v>
      </c>
      <c r="Q32" s="166">
        <f t="shared" si="29"/>
        <v>0</v>
      </c>
      <c r="R32" s="165">
        <f t="shared" si="42"/>
        <v>-35</v>
      </c>
      <c r="S32" s="165">
        <f t="shared" si="43"/>
        <v>-47</v>
      </c>
      <c r="T32" s="165">
        <f t="shared" si="30"/>
        <v>0</v>
      </c>
      <c r="U32" s="166">
        <f t="shared" ref="U32" si="46">L32</f>
        <v>-34</v>
      </c>
      <c r="V32" s="166">
        <f>C32-25</f>
        <v>-25</v>
      </c>
      <c r="W32" s="166"/>
      <c r="X32" s="165">
        <f t="shared" si="31"/>
        <v>-22</v>
      </c>
      <c r="Y32" s="165">
        <f t="shared" si="32"/>
        <v>-12</v>
      </c>
      <c r="Z32" s="161">
        <f t="shared" si="33"/>
        <v>0</v>
      </c>
      <c r="AA32" s="143">
        <f t="shared" si="34"/>
        <v>0</v>
      </c>
      <c r="AB32" s="198">
        <v>10</v>
      </c>
      <c r="AC32" s="198">
        <f t="shared" si="44"/>
        <v>0</v>
      </c>
      <c r="AD32" s="198">
        <f t="shared" si="35"/>
        <v>0</v>
      </c>
      <c r="AE32" s="198"/>
      <c r="AF32" s="198">
        <f t="shared" si="36"/>
        <v>0</v>
      </c>
      <c r="AG32" s="198">
        <f t="shared" si="37"/>
        <v>0</v>
      </c>
      <c r="AH32" s="198"/>
      <c r="AI32" s="198"/>
      <c r="AJ32" s="145"/>
      <c r="AK32" s="144"/>
      <c r="AL32" s="144"/>
      <c r="AM32" s="141">
        <f t="shared" si="45"/>
        <v>0</v>
      </c>
    </row>
    <row r="33" spans="1:39" s="693" customFormat="1" ht="15.95" hidden="1" customHeight="1">
      <c r="A33" s="702" t="s">
        <v>835</v>
      </c>
      <c r="B33" s="699"/>
      <c r="C33" s="699"/>
      <c r="D33" s="699"/>
      <c r="E33" s="699">
        <f>SUM(E23:E32)</f>
        <v>0</v>
      </c>
      <c r="F33" s="699"/>
      <c r="G33" s="699"/>
      <c r="H33" s="699">
        <f>SUM(H23:H32)</f>
        <v>0</v>
      </c>
      <c r="I33" s="699"/>
      <c r="J33" s="699"/>
      <c r="K33" s="699">
        <f>SUM(K23:K32)</f>
        <v>0</v>
      </c>
      <c r="L33" s="699"/>
      <c r="M33" s="699"/>
      <c r="N33" s="699">
        <f>SUM(N23:N32)</f>
        <v>0</v>
      </c>
      <c r="O33" s="699"/>
      <c r="P33" s="699"/>
      <c r="Q33" s="699">
        <f>SUM(Q23:Q32)</f>
        <v>0</v>
      </c>
      <c r="R33" s="699"/>
      <c r="S33" s="699"/>
      <c r="T33" s="699">
        <f>SUM(T22:T32)</f>
        <v>0</v>
      </c>
      <c r="U33" s="699"/>
      <c r="V33" s="699"/>
      <c r="W33" s="699">
        <f>SUM(W23:W32)</f>
        <v>0</v>
      </c>
      <c r="X33" s="699"/>
      <c r="Y33" s="699"/>
      <c r="Z33" s="692">
        <f>SUM(Z23:Z32)</f>
        <v>0</v>
      </c>
      <c r="AA33" s="143"/>
      <c r="AB33" s="198" t="s">
        <v>29</v>
      </c>
      <c r="AC33" s="198">
        <f>SUM(AC23:AC32)</f>
        <v>0</v>
      </c>
      <c r="AD33" s="198">
        <f>SUM(AD23:AD32)</f>
        <v>0</v>
      </c>
      <c r="AE33" s="198"/>
      <c r="AF33" s="198">
        <f>SUM(AF23:AF32)</f>
        <v>0</v>
      </c>
      <c r="AG33" s="198">
        <f>SUM(AG23:AG32)</f>
        <v>0</v>
      </c>
      <c r="AH33" s="198"/>
      <c r="AI33" s="198"/>
      <c r="AJ33" s="145"/>
      <c r="AK33" s="144"/>
      <c r="AL33" s="144"/>
      <c r="AM33" s="141"/>
    </row>
    <row r="34" spans="1:39" ht="15.95" customHeight="1">
      <c r="A34" s="175" t="s">
        <v>67</v>
      </c>
      <c r="B34" s="176"/>
      <c r="C34" s="176"/>
      <c r="D34" s="176"/>
      <c r="E34" s="176">
        <f>E21+E33</f>
        <v>1</v>
      </c>
      <c r="F34" s="176" t="s">
        <v>68</v>
      </c>
      <c r="G34" s="176"/>
      <c r="H34" s="176">
        <f>H21+H33</f>
        <v>2</v>
      </c>
      <c r="I34" s="697" t="s">
        <v>46</v>
      </c>
      <c r="J34" s="176"/>
      <c r="K34" s="176">
        <f>K21+K33</f>
        <v>0</v>
      </c>
      <c r="L34" s="176" t="s">
        <v>69</v>
      </c>
      <c r="M34" s="176"/>
      <c r="N34" s="176">
        <f>N21+N33</f>
        <v>1</v>
      </c>
      <c r="O34" s="176" t="s">
        <v>69</v>
      </c>
      <c r="P34" s="176"/>
      <c r="Q34" s="176">
        <f>Q21+Q33</f>
        <v>1</v>
      </c>
      <c r="R34" s="176" t="s">
        <v>69</v>
      </c>
      <c r="S34" s="176"/>
      <c r="T34" s="176">
        <f>T21+T33</f>
        <v>0</v>
      </c>
      <c r="U34" s="176" t="s">
        <v>69</v>
      </c>
      <c r="V34" s="176"/>
      <c r="W34" s="176">
        <f>W21+W33</f>
        <v>0</v>
      </c>
      <c r="X34" s="176" t="s">
        <v>69</v>
      </c>
      <c r="Y34" s="176"/>
      <c r="Z34" s="177">
        <f>Z21+Z33</f>
        <v>0</v>
      </c>
      <c r="AA34" s="151">
        <f>SUM(AA5:AA33)</f>
        <v>4</v>
      </c>
      <c r="AB34" s="205" t="s">
        <v>13</v>
      </c>
      <c r="AC34" s="200">
        <f>AC21+AC33</f>
        <v>0.44914112359019642</v>
      </c>
      <c r="AD34" s="200">
        <f>AD21+AD33</f>
        <v>9.9700000000000006</v>
      </c>
      <c r="AE34" s="200"/>
      <c r="AF34" s="200">
        <f>AF21+AF33</f>
        <v>0</v>
      </c>
      <c r="AG34" s="200">
        <f>AG21+AG33</f>
        <v>0.8</v>
      </c>
      <c r="AH34" s="198"/>
      <c r="AI34" s="198"/>
      <c r="AJ34" s="145"/>
      <c r="AK34" s="144"/>
      <c r="AL34" s="144"/>
    </row>
    <row r="35" spans="1:39" ht="15.95" customHeight="1">
      <c r="A35" s="175" t="s">
        <v>360</v>
      </c>
      <c r="B35" s="176"/>
      <c r="C35" s="208">
        <f>+AG34</f>
        <v>0.8</v>
      </c>
      <c r="D35" s="176"/>
      <c r="E35" s="176"/>
      <c r="F35" s="697">
        <f>SUM(F37:F45)</f>
        <v>0</v>
      </c>
      <c r="G35" s="697" t="s">
        <v>46</v>
      </c>
      <c r="H35" s="176"/>
      <c r="I35" s="176"/>
      <c r="J35" s="176"/>
      <c r="K35" s="176"/>
      <c r="L35" s="697">
        <f>SUM(L37:L40)+L44+L45</f>
        <v>0</v>
      </c>
      <c r="M35" s="697" t="s">
        <v>46</v>
      </c>
      <c r="N35" s="176"/>
      <c r="O35" s="176"/>
      <c r="P35" s="176"/>
      <c r="Q35" s="176"/>
      <c r="R35" s="697">
        <f>SUM(R37:R45)</f>
        <v>0</v>
      </c>
      <c r="S35" s="697" t="s">
        <v>46</v>
      </c>
      <c r="T35" s="176"/>
      <c r="U35" s="176"/>
      <c r="V35" s="176"/>
      <c r="W35" s="176">
        <f>SUM(W37:W45)</f>
        <v>1</v>
      </c>
      <c r="X35" s="697" t="s">
        <v>46</v>
      </c>
      <c r="Y35" s="176"/>
      <c r="Z35" s="177"/>
      <c r="AA35" s="142"/>
      <c r="AB35" s="206"/>
      <c r="AC35" s="197"/>
      <c r="AD35" s="197"/>
      <c r="AE35" s="197"/>
      <c r="AF35" s="197"/>
      <c r="AH35" s="197"/>
      <c r="AI35" s="197"/>
      <c r="AJ35" s="142"/>
      <c r="AK35" s="174"/>
      <c r="AL35" s="174"/>
    </row>
    <row r="36" spans="1:39" ht="15.95" customHeight="1">
      <c r="A36" s="965" t="s">
        <v>143</v>
      </c>
      <c r="B36" s="966"/>
      <c r="C36" s="966"/>
      <c r="D36" s="178" t="s">
        <v>60</v>
      </c>
      <c r="E36" s="178" t="s">
        <v>61</v>
      </c>
      <c r="F36" s="178" t="s">
        <v>36</v>
      </c>
      <c r="G36" s="966"/>
      <c r="H36" s="966"/>
      <c r="I36" s="966"/>
      <c r="J36" s="178" t="s">
        <v>60</v>
      </c>
      <c r="K36" s="178" t="s">
        <v>61</v>
      </c>
      <c r="L36" s="178" t="s">
        <v>36</v>
      </c>
      <c r="M36" s="995" t="s">
        <v>145</v>
      </c>
      <c r="N36" s="996"/>
      <c r="O36" s="655" t="s">
        <v>1549</v>
      </c>
      <c r="P36" s="178" t="s">
        <v>60</v>
      </c>
      <c r="Q36" s="178" t="s">
        <v>62</v>
      </c>
      <c r="R36" s="169" t="s">
        <v>36</v>
      </c>
      <c r="S36" s="656" t="s">
        <v>145</v>
      </c>
      <c r="T36" s="655" t="s">
        <v>1549</v>
      </c>
      <c r="U36" s="178" t="s">
        <v>804</v>
      </c>
      <c r="V36" s="178" t="s">
        <v>805</v>
      </c>
      <c r="W36" s="169" t="s">
        <v>806</v>
      </c>
      <c r="X36" s="134" t="s">
        <v>146</v>
      </c>
      <c r="Y36" s="688" t="s">
        <v>117</v>
      </c>
      <c r="Z36" s="135">
        <f>H34+K34+N34+Q34+T34+W34+Z34+F35+L35+R35+W35</f>
        <v>5</v>
      </c>
      <c r="AA36" s="174"/>
      <c r="AB36" s="197" t="s">
        <v>28</v>
      </c>
      <c r="AC36" s="197">
        <f>(D37*E37*F37+D38*E38*F38+D39*E39*F39+D40*E40*F40+D43*E43*F43+D44*E44*F44+D45*E45*F45+J37*K37*L37+J38*K38*L38+J39*K39*L39+J40*K40*L40+J41*K41*L41+J42*K42*L42+D41*E41*F41+D42*E42*F42)/1000000/1.22/2.44/0.91</f>
        <v>0</v>
      </c>
      <c r="AD36" s="197">
        <f>((D37+E37)*2+240)*F37/1000+((D38+E38)*2+240)*F38/1000+((D39+E39)*2+240)*F39/1000+((D40+E40)*2+240)*F40/1000+((D43+E43)*2+240)*F43/1000+((D44+E44)*2+240)*F44/1000+((D45+E45)*2+240)*F45/1000+((J37+K37)*2+240)*L37/1000+((J38+K38)*2+240)*L38/1000+((J39+K39)*2+240)*L39/1000+((J40+K40)*2+240)*L40/1000</f>
        <v>0</v>
      </c>
      <c r="AE36" s="625" t="s">
        <v>1494</v>
      </c>
      <c r="AF36" s="624" t="s">
        <v>1493</v>
      </c>
      <c r="AH36" s="201" t="s">
        <v>1535</v>
      </c>
      <c r="AI36" s="197"/>
      <c r="AJ36" s="174"/>
      <c r="AK36" s="174"/>
      <c r="AL36" s="174"/>
    </row>
    <row r="37" spans="1:39" ht="15.95" customHeight="1">
      <c r="A37" s="967"/>
      <c r="B37" s="968"/>
      <c r="C37" s="968"/>
      <c r="D37" s="196"/>
      <c r="E37" s="196"/>
      <c r="F37" s="196"/>
      <c r="G37" s="988"/>
      <c r="H37" s="989"/>
      <c r="I37" s="990"/>
      <c r="J37" s="212"/>
      <c r="K37" s="212"/>
      <c r="L37" s="212"/>
      <c r="M37" s="932"/>
      <c r="N37" s="933"/>
      <c r="O37" s="660"/>
      <c r="P37" s="16"/>
      <c r="Q37" s="16"/>
      <c r="R37" s="16"/>
      <c r="S37" s="654" t="s">
        <v>1548</v>
      </c>
      <c r="T37" s="660">
        <v>16</v>
      </c>
      <c r="U37" s="196">
        <v>49</v>
      </c>
      <c r="V37" s="196">
        <v>649</v>
      </c>
      <c r="W37" s="196">
        <v>1</v>
      </c>
      <c r="X37" s="128" t="s">
        <v>146</v>
      </c>
      <c r="Y37" s="689" t="s">
        <v>118</v>
      </c>
      <c r="Z37" s="136">
        <f>Z36-Z34</f>
        <v>5</v>
      </c>
      <c r="AA37" s="174"/>
      <c r="AB37" s="201" t="s">
        <v>1557</v>
      </c>
      <c r="AC37" s="197">
        <f>(P37*Q37*R37+P38*Q38*R38+P39*Q39*R39+P40*Q40*R40)/1000000/1.22/2.44/0.91</f>
        <v>0</v>
      </c>
      <c r="AD37" s="197">
        <f>((P37+Q37)*2+240)*R37/1000+((P38+Q38)*2+240)*R38/1000+((P39+Q39)*2+240)*R39/1000+((P40+Q40)*2+240)*R40/1000</f>
        <v>0</v>
      </c>
      <c r="AE37" s="627" t="s">
        <v>1495</v>
      </c>
      <c r="AF37" s="624" t="s">
        <v>1493</v>
      </c>
      <c r="AH37" s="201" t="s">
        <v>1536</v>
      </c>
      <c r="AI37" s="197"/>
      <c r="AJ37" s="174"/>
      <c r="AK37" s="174"/>
      <c r="AL37" s="174"/>
    </row>
    <row r="38" spans="1:39" ht="15.95" customHeight="1">
      <c r="A38" s="967"/>
      <c r="B38" s="968"/>
      <c r="C38" s="968"/>
      <c r="D38" s="196"/>
      <c r="E38" s="196"/>
      <c r="F38" s="196"/>
      <c r="G38" s="988"/>
      <c r="H38" s="999"/>
      <c r="I38" s="1000"/>
      <c r="J38" s="212"/>
      <c r="K38" s="212"/>
      <c r="L38" s="212"/>
      <c r="M38" s="997"/>
      <c r="N38" s="998"/>
      <c r="O38" s="660"/>
      <c r="P38" s="16"/>
      <c r="Q38" s="16"/>
      <c r="R38" s="16"/>
      <c r="S38" s="654" t="s">
        <v>1548</v>
      </c>
      <c r="T38" s="660">
        <v>16</v>
      </c>
      <c r="U38" s="196"/>
      <c r="V38" s="196"/>
      <c r="W38" s="196"/>
      <c r="X38" s="128" t="s">
        <v>146</v>
      </c>
      <c r="Y38" s="689" t="s">
        <v>1616</v>
      </c>
      <c r="Z38" s="136">
        <f>Z36-Z34-T34-W35-R35-L35</f>
        <v>4</v>
      </c>
      <c r="AA38" s="174"/>
      <c r="AB38" s="201" t="s">
        <v>1557</v>
      </c>
      <c r="AC38" s="197">
        <f>(U37*V37*W37+U38*V38*W38+U39*V39*W39+U40*V40*W40)/1000000/1.22/2.44/0.91</f>
        <v>1.1739503442002771E-2</v>
      </c>
      <c r="AD38" s="197">
        <f>((U37+V37)*2+240)*W37/1000+((U38+V38)*2+240)*W38/1000+((U39+V39)*2+240)*W39/1000+((U40+V40)*2+240)*W40/1000</f>
        <v>1.6359999999999999</v>
      </c>
      <c r="AE38" s="625" t="s">
        <v>1496</v>
      </c>
      <c r="AF38" s="624" t="s">
        <v>1493</v>
      </c>
      <c r="AH38" s="201" t="s">
        <v>1537</v>
      </c>
      <c r="AI38" s="197"/>
      <c r="AJ38" s="174"/>
      <c r="AK38" s="174"/>
      <c r="AL38" s="174"/>
    </row>
    <row r="39" spans="1:39" ht="15.95" customHeight="1">
      <c r="A39" s="967"/>
      <c r="B39" s="968"/>
      <c r="C39" s="968"/>
      <c r="D39" s="196"/>
      <c r="E39" s="196"/>
      <c r="F39" s="196"/>
      <c r="G39" s="930"/>
      <c r="H39" s="930"/>
      <c r="I39" s="662"/>
      <c r="J39" s="658"/>
      <c r="K39" s="658"/>
      <c r="L39" s="658"/>
      <c r="M39" s="931"/>
      <c r="N39" s="931"/>
      <c r="O39" s="834"/>
      <c r="P39" s="658"/>
      <c r="Q39" s="658"/>
      <c r="R39" s="658"/>
      <c r="S39" s="654" t="s">
        <v>1548</v>
      </c>
      <c r="T39" s="660">
        <v>16</v>
      </c>
      <c r="U39" s="196"/>
      <c r="V39" s="196"/>
      <c r="W39" s="196"/>
      <c r="X39" s="128" t="s">
        <v>146</v>
      </c>
      <c r="Y39" s="128"/>
      <c r="Z39" s="136"/>
      <c r="AA39" s="174"/>
      <c r="AB39" s="197" t="s">
        <v>1773</v>
      </c>
      <c r="AC39" s="197">
        <f>(P41*Q41*R41+P42*Q42*R42+U41*V41*W41+U42*V42*W42)/1000000/1.22/2.44/0.91</f>
        <v>0</v>
      </c>
      <c r="AD39" s="197"/>
      <c r="AE39" s="625" t="s">
        <v>1497</v>
      </c>
      <c r="AF39" s="624" t="s">
        <v>1493</v>
      </c>
      <c r="AH39" s="197"/>
      <c r="AI39" s="197"/>
      <c r="AJ39" s="174"/>
      <c r="AK39" s="174"/>
      <c r="AL39" s="174"/>
    </row>
    <row r="40" spans="1:39" ht="15.95" customHeight="1">
      <c r="A40" s="974"/>
      <c r="B40" s="975"/>
      <c r="C40" s="975"/>
      <c r="D40" s="663"/>
      <c r="E40" s="663"/>
      <c r="F40" s="663"/>
      <c r="G40" s="930"/>
      <c r="H40" s="930"/>
      <c r="I40" s="662"/>
      <c r="J40" s="658"/>
      <c r="K40" s="658"/>
      <c r="L40" s="658"/>
      <c r="M40" s="931"/>
      <c r="N40" s="931"/>
      <c r="O40" s="834"/>
      <c r="P40" s="836"/>
      <c r="Q40" s="836"/>
      <c r="R40" s="836"/>
      <c r="S40" s="661" t="s">
        <v>1548</v>
      </c>
      <c r="T40" s="660">
        <v>16</v>
      </c>
      <c r="U40" s="663"/>
      <c r="V40" s="663"/>
      <c r="W40" s="663"/>
      <c r="X40" s="664"/>
      <c r="Y40" s="664"/>
      <c r="Z40" s="665"/>
      <c r="AA40" s="174"/>
      <c r="AB40" s="207" t="s">
        <v>58</v>
      </c>
      <c r="AC40" s="197">
        <f>SUM(AC34:AC39)*1.2*2.4*0.91</f>
        <v>1.2078759473259875</v>
      </c>
      <c r="AD40" s="197">
        <f>SUM(AD36:AD38)</f>
        <v>1.6359999999999999</v>
      </c>
      <c r="AE40" s="625" t="s">
        <v>1498</v>
      </c>
      <c r="AF40" s="624" t="s">
        <v>1492</v>
      </c>
      <c r="AH40" s="197"/>
      <c r="AI40" s="197"/>
      <c r="AJ40" s="174"/>
      <c r="AK40" s="174"/>
      <c r="AL40" s="174"/>
    </row>
    <row r="41" spans="1:39" ht="15.95" customHeight="1">
      <c r="A41" s="837"/>
      <c r="B41" s="838"/>
      <c r="C41" s="838"/>
      <c r="D41" s="838"/>
      <c r="E41" s="838"/>
      <c r="F41" s="838"/>
      <c r="G41" s="658"/>
      <c r="H41" s="658"/>
      <c r="I41" s="662"/>
      <c r="J41" s="658"/>
      <c r="K41" s="658"/>
      <c r="L41" s="658"/>
      <c r="M41" s="983"/>
      <c r="N41" s="982"/>
      <c r="O41" s="834"/>
      <c r="P41" s="836"/>
      <c r="Q41" s="836"/>
      <c r="R41" s="836"/>
      <c r="S41" s="844" t="s">
        <v>1773</v>
      </c>
      <c r="T41" s="834">
        <v>16</v>
      </c>
      <c r="U41" s="838"/>
      <c r="V41" s="838"/>
      <c r="W41" s="838"/>
      <c r="X41" s="664"/>
      <c r="Y41" s="664"/>
      <c r="Z41" s="839"/>
      <c r="AA41" s="835"/>
      <c r="AB41" s="207"/>
      <c r="AC41" s="197"/>
      <c r="AD41" s="197"/>
      <c r="AE41" s="625"/>
      <c r="AF41" s="833"/>
      <c r="AH41" s="197"/>
      <c r="AI41" s="197"/>
      <c r="AJ41" s="835"/>
      <c r="AK41" s="835"/>
      <c r="AL41" s="835"/>
    </row>
    <row r="42" spans="1:39" ht="15.95" customHeight="1">
      <c r="A42" s="974"/>
      <c r="B42" s="975"/>
      <c r="C42" s="975"/>
      <c r="D42" s="838"/>
      <c r="E42" s="838"/>
      <c r="F42" s="838"/>
      <c r="G42" s="930"/>
      <c r="H42" s="930"/>
      <c r="I42" s="662"/>
      <c r="J42" s="658"/>
      <c r="K42" s="658"/>
      <c r="L42" s="658"/>
      <c r="M42" s="981"/>
      <c r="N42" s="982"/>
      <c r="O42" s="834"/>
      <c r="P42" s="836"/>
      <c r="Q42" s="836"/>
      <c r="R42" s="836"/>
      <c r="S42" s="845" t="s">
        <v>1773</v>
      </c>
      <c r="T42" s="834">
        <v>16</v>
      </c>
      <c r="U42" s="838"/>
      <c r="V42" s="838"/>
      <c r="W42" s="838"/>
      <c r="X42" s="664"/>
      <c r="Y42" s="664"/>
      <c r="Z42" s="839"/>
      <c r="AA42" s="835"/>
      <c r="AB42" s="207"/>
      <c r="AC42" s="197"/>
      <c r="AD42" s="197"/>
      <c r="AE42" s="625"/>
      <c r="AF42" s="833"/>
      <c r="AH42" s="197"/>
      <c r="AI42" s="197"/>
      <c r="AJ42" s="835"/>
      <c r="AK42" s="835"/>
      <c r="AL42" s="835"/>
    </row>
    <row r="43" spans="1:39" ht="15.95" customHeight="1">
      <c r="A43" s="974"/>
      <c r="B43" s="975"/>
      <c r="C43" s="975"/>
      <c r="D43" s="657"/>
      <c r="E43" s="657"/>
      <c r="F43" s="657"/>
      <c r="G43" s="934"/>
      <c r="H43" s="934"/>
      <c r="I43" s="840"/>
      <c r="J43" s="841"/>
      <c r="K43" s="841"/>
      <c r="L43" s="842"/>
      <c r="M43" s="931"/>
      <c r="N43" s="931"/>
      <c r="O43" s="666"/>
      <c r="P43" s="836"/>
      <c r="Q43" s="836"/>
      <c r="R43" s="836"/>
      <c r="S43" s="661" t="s">
        <v>144</v>
      </c>
      <c r="T43" s="666">
        <v>18</v>
      </c>
      <c r="U43" s="657"/>
      <c r="V43" s="657"/>
      <c r="W43" s="657"/>
      <c r="X43" s="128"/>
      <c r="Y43" s="128"/>
      <c r="Z43" s="128"/>
      <c r="AA43" s="659"/>
      <c r="AB43" s="201"/>
      <c r="AC43" s="197"/>
      <c r="AD43" s="197"/>
      <c r="AE43" s="625" t="s">
        <v>1499</v>
      </c>
      <c r="AF43" s="624" t="s">
        <v>1492</v>
      </c>
      <c r="AH43" s="197"/>
      <c r="AI43" s="197"/>
      <c r="AJ43" s="659"/>
      <c r="AK43" s="659"/>
      <c r="AL43" s="659"/>
    </row>
    <row r="44" spans="1:39" ht="15.95" customHeight="1">
      <c r="A44" s="974"/>
      <c r="B44" s="975"/>
      <c r="C44" s="975"/>
      <c r="D44" s="657"/>
      <c r="E44" s="657"/>
      <c r="F44" s="657"/>
      <c r="G44" s="932"/>
      <c r="H44" s="933"/>
      <c r="I44" s="667"/>
      <c r="J44" s="658"/>
      <c r="K44" s="658"/>
      <c r="L44" s="658"/>
      <c r="M44" s="932"/>
      <c r="N44" s="933"/>
      <c r="O44" s="666"/>
      <c r="P44" s="657"/>
      <c r="Q44" s="657"/>
      <c r="R44" s="657"/>
      <c r="S44" s="661" t="s">
        <v>144</v>
      </c>
      <c r="T44" s="666">
        <v>18</v>
      </c>
      <c r="U44" s="657"/>
      <c r="V44" s="657"/>
      <c r="W44" s="657"/>
      <c r="X44" s="128"/>
      <c r="Y44" s="128"/>
      <c r="Z44" s="128"/>
      <c r="AA44" s="659"/>
      <c r="AB44" s="201" t="s">
        <v>1558</v>
      </c>
      <c r="AC44" s="197">
        <f>(P43*Q43*R43+P44*Q44*R44+P45*Q45*R45+U43*V43*W43+U44*V44*W44+U45*V45*W45)/1000000/1.22/2.44/0.91</f>
        <v>0</v>
      </c>
      <c r="AD44" s="197">
        <f>((P43+Q43+120)*2*R43+(P44+Q44+120)*2*R44+(P45+Q45+120)*2*R45+(U43+V43+120)*2*W43+(U44+V44+120)*2*W44+(U45+V45+120)*2*W45)/1000</f>
        <v>0</v>
      </c>
      <c r="AE44" s="625" t="s">
        <v>1500</v>
      </c>
      <c r="AF44" s="624" t="s">
        <v>1492</v>
      </c>
      <c r="AH44" s="197"/>
      <c r="AI44" s="197"/>
      <c r="AJ44" s="659"/>
      <c r="AK44" s="659"/>
      <c r="AL44" s="659"/>
    </row>
    <row r="45" spans="1:39" ht="15.95" customHeight="1">
      <c r="A45" s="968"/>
      <c r="B45" s="968"/>
      <c r="C45" s="968"/>
      <c r="D45" s="657"/>
      <c r="E45" s="657"/>
      <c r="F45" s="657"/>
      <c r="G45" s="932"/>
      <c r="H45" s="933"/>
      <c r="I45" s="667"/>
      <c r="J45" s="658"/>
      <c r="K45" s="658"/>
      <c r="L45" s="658"/>
      <c r="M45" s="931"/>
      <c r="N45" s="931"/>
      <c r="O45" s="666"/>
      <c r="P45" s="657"/>
      <c r="Q45" s="657"/>
      <c r="R45" s="657"/>
      <c r="S45" s="661" t="s">
        <v>144</v>
      </c>
      <c r="T45" s="666">
        <v>18</v>
      </c>
      <c r="U45" s="657"/>
      <c r="V45" s="657"/>
      <c r="W45" s="657"/>
      <c r="X45" s="128"/>
      <c r="Y45" s="128"/>
      <c r="Z45" s="128"/>
      <c r="AA45" s="659"/>
      <c r="AB45" s="207"/>
      <c r="AC45" s="197"/>
      <c r="AD45" s="197"/>
      <c r="AE45" s="625" t="s">
        <v>1501</v>
      </c>
      <c r="AF45" s="624" t="s">
        <v>1492</v>
      </c>
      <c r="AH45" s="197"/>
      <c r="AI45" s="197"/>
      <c r="AJ45" s="659"/>
      <c r="AK45" s="659"/>
      <c r="AL45" s="659"/>
    </row>
    <row r="46" spans="1:39" ht="14.65" customHeight="1">
      <c r="A46" s="960" t="s">
        <v>70</v>
      </c>
      <c r="B46" s="960"/>
      <c r="C46" s="960"/>
      <c r="D46" s="969"/>
      <c r="E46" s="960"/>
      <c r="F46" s="979"/>
      <c r="G46" s="980"/>
      <c r="H46" s="960" t="s">
        <v>71</v>
      </c>
      <c r="I46" s="960"/>
      <c r="J46" s="960"/>
      <c r="K46" s="960"/>
      <c r="L46" s="960"/>
      <c r="M46" s="179"/>
      <c r="N46" s="179"/>
      <c r="O46" s="179"/>
      <c r="P46" s="179"/>
      <c r="Q46" s="179"/>
      <c r="R46" s="179"/>
      <c r="S46" s="179"/>
      <c r="T46" s="179"/>
      <c r="U46" s="179"/>
      <c r="V46" s="179"/>
      <c r="W46" s="179"/>
      <c r="X46" s="179"/>
      <c r="Y46" s="179"/>
      <c r="Z46" s="179"/>
      <c r="AA46" s="174"/>
      <c r="AB46" s="201" t="s">
        <v>1559</v>
      </c>
      <c r="AC46" s="197">
        <f>(J44*K44*L44+J45*K45*L45)/1000000/1.22/2.44/0.91</f>
        <v>0</v>
      </c>
      <c r="AD46" s="197">
        <f>((J44+K44+120)*2*L44+(J45+K45+120)*2*L45)/1000</f>
        <v>0</v>
      </c>
      <c r="AE46" s="625" t="s">
        <v>1502</v>
      </c>
      <c r="AF46" s="623" t="s">
        <v>1491</v>
      </c>
      <c r="AH46" s="197"/>
      <c r="AI46" s="197"/>
      <c r="AJ46" s="174"/>
      <c r="AK46" s="174"/>
      <c r="AL46" s="174"/>
    </row>
    <row r="47" spans="1:39" ht="20.100000000000001" customHeight="1">
      <c r="A47" s="1015" t="s">
        <v>979</v>
      </c>
      <c r="B47" s="1015"/>
      <c r="C47" s="1015"/>
      <c r="D47" s="1015"/>
      <c r="E47" s="1015"/>
      <c r="F47" s="1015"/>
      <c r="G47" s="1015"/>
      <c r="H47" s="1015"/>
      <c r="I47" s="1015"/>
      <c r="J47" s="1015"/>
      <c r="K47" s="1015"/>
      <c r="L47" s="1015"/>
      <c r="M47" s="1015"/>
      <c r="N47" s="1015"/>
      <c r="O47" s="1015"/>
      <c r="P47" s="1015"/>
      <c r="Q47" s="1015"/>
      <c r="R47" s="1015"/>
      <c r="S47" s="1015"/>
      <c r="T47" s="1015"/>
      <c r="U47" s="1015"/>
      <c r="V47" s="1015"/>
      <c r="W47" s="1015"/>
      <c r="X47" s="186"/>
      <c r="Y47" s="186"/>
      <c r="Z47" s="186"/>
      <c r="AA47" s="1001">
        <f>+领料单!C41</f>
        <v>0</v>
      </c>
      <c r="AB47" s="1001"/>
      <c r="AC47" s="197"/>
      <c r="AD47" s="197"/>
      <c r="AE47" s="625" t="s">
        <v>1503</v>
      </c>
      <c r="AF47" s="623" t="s">
        <v>1491</v>
      </c>
      <c r="AH47" s="197"/>
      <c r="AI47" s="197"/>
      <c r="AJ47" s="174"/>
      <c r="AK47" s="174"/>
      <c r="AL47" s="174"/>
    </row>
    <row r="48" spans="1:39" ht="17.100000000000001" customHeight="1">
      <c r="A48" s="972" t="s">
        <v>51</v>
      </c>
      <c r="B48" s="972"/>
      <c r="C48" s="1002" t="str">
        <f>H2</f>
        <v>S400383705</v>
      </c>
      <c r="D48" s="1002"/>
      <c r="E48" s="1002"/>
      <c r="F48" s="1002"/>
      <c r="G48" s="973" t="s">
        <v>42</v>
      </c>
      <c r="H48" s="973"/>
      <c r="I48" s="973"/>
      <c r="J48" s="973" t="str">
        <f>+C2</f>
        <v>杜鹃</v>
      </c>
      <c r="K48" s="973"/>
      <c r="L48" s="973"/>
      <c r="M48" s="972" t="s">
        <v>1624</v>
      </c>
      <c r="N48" s="972"/>
      <c r="O48" s="1014"/>
      <c r="P48" s="972"/>
      <c r="Q48" s="972"/>
      <c r="R48" s="972" t="s">
        <v>30</v>
      </c>
      <c r="S48" s="972"/>
      <c r="T48" s="972"/>
      <c r="U48" s="180"/>
      <c r="V48" s="972" t="s">
        <v>31</v>
      </c>
      <c r="W48" s="972"/>
      <c r="X48" s="186"/>
      <c r="Y48" s="186"/>
      <c r="Z48" s="186"/>
      <c r="AA48" s="1001">
        <f>(D37*F37/1000/2.1/0.85)</f>
        <v>0</v>
      </c>
      <c r="AB48" s="1001"/>
      <c r="AC48" s="197"/>
      <c r="AD48" s="197"/>
      <c r="AE48" s="625" t="s">
        <v>1504</v>
      </c>
      <c r="AF48" s="623" t="s">
        <v>1491</v>
      </c>
      <c r="AH48" s="197"/>
      <c r="AI48" s="197"/>
      <c r="AJ48" s="174"/>
      <c r="AK48" s="174"/>
      <c r="AL48" s="174"/>
    </row>
    <row r="49" spans="1:38" ht="17.100000000000001" customHeight="1" thickBot="1">
      <c r="A49" s="956" t="str">
        <f>Q2</f>
        <v>销售点</v>
      </c>
      <c r="B49" s="956"/>
      <c r="C49" s="955" t="str">
        <f>S2</f>
        <v>西安</v>
      </c>
      <c r="D49" s="955"/>
      <c r="E49" s="955"/>
      <c r="F49" s="955"/>
      <c r="G49" s="955" t="str">
        <f>L2</f>
        <v>版本型录号</v>
      </c>
      <c r="H49" s="955"/>
      <c r="I49" s="955"/>
      <c r="J49" s="956">
        <f>+N2</f>
        <v>0</v>
      </c>
      <c r="K49" s="956"/>
      <c r="L49" s="956"/>
      <c r="M49" s="1009" t="str">
        <f>+V2</f>
        <v>应完成日期：</v>
      </c>
      <c r="N49" s="956"/>
      <c r="O49" s="1008">
        <f>+X2</f>
        <v>0</v>
      </c>
      <c r="P49" s="956"/>
      <c r="Q49" s="956"/>
      <c r="R49" s="956" t="s">
        <v>44</v>
      </c>
      <c r="S49" s="956"/>
      <c r="T49" s="956"/>
      <c r="U49" s="956" t="str">
        <f>+AB2</f>
        <v>左岸都市II</v>
      </c>
      <c r="V49" s="956"/>
      <c r="W49" s="956"/>
      <c r="X49" s="186"/>
      <c r="Y49" s="186"/>
      <c r="Z49" s="186"/>
      <c r="AA49" s="174"/>
      <c r="AB49" s="1064" t="str">
        <f>+B51</f>
        <v>铝制踢脚板</v>
      </c>
      <c r="AC49" s="1064" t="str">
        <f>+P51</f>
        <v>层板铝扣条16mm板用</v>
      </c>
      <c r="AD49" s="1064" t="str">
        <f>+P66</f>
        <v>水灶柜铝
制横梁</v>
      </c>
      <c r="AE49" s="625" t="s">
        <v>1505</v>
      </c>
      <c r="AF49" s="623" t="s">
        <v>1490</v>
      </c>
      <c r="AH49" s="197"/>
      <c r="AI49" s="197"/>
      <c r="AJ49" s="174"/>
      <c r="AK49" s="174"/>
      <c r="AL49" s="174"/>
    </row>
    <row r="50" spans="1:38" ht="17.100000000000001" customHeight="1">
      <c r="A50" s="160" t="s">
        <v>11</v>
      </c>
      <c r="B50" s="1010" t="s">
        <v>33</v>
      </c>
      <c r="C50" s="1010"/>
      <c r="D50" s="950" t="s">
        <v>34</v>
      </c>
      <c r="E50" s="951"/>
      <c r="F50" s="952"/>
      <c r="G50" s="173" t="s">
        <v>27</v>
      </c>
      <c r="H50" s="1023" t="s">
        <v>36</v>
      </c>
      <c r="I50" s="1024"/>
      <c r="J50" s="953" t="s">
        <v>148</v>
      </c>
      <c r="K50" s="953"/>
      <c r="L50" s="953"/>
      <c r="M50" s="953"/>
      <c r="N50" s="954"/>
      <c r="O50" s="158" t="s">
        <v>11</v>
      </c>
      <c r="P50" s="1010" t="s">
        <v>33</v>
      </c>
      <c r="Q50" s="1010"/>
      <c r="R50" s="1006" t="s">
        <v>837</v>
      </c>
      <c r="S50" s="1007"/>
      <c r="T50" s="159" t="s">
        <v>27</v>
      </c>
      <c r="U50" s="159" t="s">
        <v>36</v>
      </c>
      <c r="V50" s="953" t="s">
        <v>37</v>
      </c>
      <c r="W50" s="954"/>
      <c r="X50" s="186"/>
      <c r="Y50" s="186"/>
      <c r="Z50" s="186"/>
      <c r="AA50" s="174"/>
      <c r="AB50" s="1064"/>
      <c r="AC50" s="1064"/>
      <c r="AD50" s="1064"/>
      <c r="AE50" s="625" t="s">
        <v>1506</v>
      </c>
      <c r="AF50" s="623" t="s">
        <v>1490</v>
      </c>
      <c r="AH50" s="197"/>
      <c r="AI50" s="197"/>
      <c r="AJ50" s="174"/>
      <c r="AK50" s="174"/>
      <c r="AL50" s="174"/>
    </row>
    <row r="51" spans="1:38" ht="17.100000000000001" customHeight="1">
      <c r="A51" s="157">
        <v>1</v>
      </c>
      <c r="B51" s="1003" t="s">
        <v>89</v>
      </c>
      <c r="C51" s="1003"/>
      <c r="D51" s="935"/>
      <c r="E51" s="1011"/>
      <c r="F51" s="971"/>
      <c r="G51" s="188" t="s">
        <v>88</v>
      </c>
      <c r="H51" s="970"/>
      <c r="I51" s="971"/>
      <c r="J51" s="957" t="str">
        <f t="shared" ref="J51:J59" si="47">+IF(D51&gt;0,"注意高度见设计师要求、","")</f>
        <v/>
      </c>
      <c r="K51" s="958"/>
      <c r="L51" s="958"/>
      <c r="M51" s="958"/>
      <c r="N51" s="959"/>
      <c r="O51" s="157">
        <v>1</v>
      </c>
      <c r="P51" s="1026" t="s">
        <v>359</v>
      </c>
      <c r="Q51" s="1026"/>
      <c r="R51" s="1020"/>
      <c r="S51" s="1020"/>
      <c r="T51" s="188" t="s">
        <v>32</v>
      </c>
      <c r="U51" s="211" t="str">
        <f>+IF(R51&gt;0,VLOOKUP(R51,$R$5:$T$34,3,0),"")</f>
        <v/>
      </c>
      <c r="V51" s="1018"/>
      <c r="W51" s="1019"/>
      <c r="X51" s="186"/>
      <c r="Y51" s="186"/>
      <c r="Z51" s="186"/>
      <c r="AA51" s="174"/>
      <c r="AB51" s="197" t="str">
        <f>+IF(H51&gt;0,D51*H51,"")</f>
        <v/>
      </c>
      <c r="AC51" s="197" t="str">
        <f>+IF(R51&gt;0,R51*U51,"")</f>
        <v/>
      </c>
      <c r="AD51" s="197">
        <f>+IF(AB66&gt;0,R66*U66,"")</f>
        <v>767</v>
      </c>
      <c r="AE51" s="625" t="s">
        <v>1507</v>
      </c>
      <c r="AF51" s="623" t="s">
        <v>1508</v>
      </c>
      <c r="AH51" s="197"/>
      <c r="AI51" s="197"/>
      <c r="AJ51" s="174"/>
      <c r="AK51" s="174"/>
      <c r="AL51" s="174"/>
    </row>
    <row r="52" spans="1:38" ht="17.100000000000001" customHeight="1">
      <c r="A52" s="190">
        <v>2</v>
      </c>
      <c r="B52" s="1004"/>
      <c r="C52" s="1004"/>
      <c r="D52" s="938"/>
      <c r="E52" s="1012"/>
      <c r="F52" s="1013"/>
      <c r="G52" s="181" t="s">
        <v>88</v>
      </c>
      <c r="H52" s="1016"/>
      <c r="I52" s="1013"/>
      <c r="J52" s="957" t="str">
        <f>J51</f>
        <v/>
      </c>
      <c r="K52" s="958"/>
      <c r="L52" s="958"/>
      <c r="M52" s="958"/>
      <c r="N52" s="959"/>
      <c r="O52" s="190">
        <v>2</v>
      </c>
      <c r="P52" s="1027"/>
      <c r="Q52" s="1027"/>
      <c r="R52" s="1020"/>
      <c r="S52" s="1020"/>
      <c r="T52" s="181" t="s">
        <v>32</v>
      </c>
      <c r="U52" s="210" t="str">
        <f t="shared" ref="U52:U64" si="48">+IF(R52&gt;0,VLOOKUP(R52,$R$5:$T$34,3,0),"")</f>
        <v/>
      </c>
      <c r="V52" s="1020"/>
      <c r="W52" s="1021"/>
      <c r="X52" s="186"/>
      <c r="Y52" s="186"/>
      <c r="Z52" s="186"/>
      <c r="AA52" s="174"/>
      <c r="AB52" s="197" t="str">
        <f t="shared" ref="AB52:AB59" si="49">+IF(H52&gt;0,D52*H52,"")</f>
        <v/>
      </c>
      <c r="AC52" s="197" t="str">
        <f t="shared" ref="AC52:AC64" si="50">+IF(R52&gt;0,R52*U52,"")</f>
        <v/>
      </c>
      <c r="AD52" s="197" t="str">
        <f t="shared" ref="AD52:AD57" si="51">+IF(AB67&gt;0,R67*U67,"")</f>
        <v/>
      </c>
      <c r="AE52" s="625" t="s">
        <v>1509</v>
      </c>
      <c r="AF52" s="623" t="s">
        <v>1508</v>
      </c>
      <c r="AH52" s="197"/>
      <c r="AI52" s="197"/>
      <c r="AJ52" s="174"/>
      <c r="AK52" s="174"/>
      <c r="AL52" s="174"/>
    </row>
    <row r="53" spans="1:38" ht="17.100000000000001" customHeight="1">
      <c r="A53" s="190">
        <v>3</v>
      </c>
      <c r="B53" s="1004"/>
      <c r="C53" s="1004"/>
      <c r="D53" s="938"/>
      <c r="E53" s="939"/>
      <c r="F53" s="940"/>
      <c r="G53" s="181" t="s">
        <v>88</v>
      </c>
      <c r="H53" s="1016"/>
      <c r="I53" s="1013"/>
      <c r="J53" s="957" t="str">
        <f t="shared" ref="J53:J58" si="52">J52</f>
        <v/>
      </c>
      <c r="K53" s="958"/>
      <c r="L53" s="958"/>
      <c r="M53" s="958"/>
      <c r="N53" s="959"/>
      <c r="O53" s="190">
        <v>3</v>
      </c>
      <c r="P53" s="1027"/>
      <c r="Q53" s="1027"/>
      <c r="R53" s="1020"/>
      <c r="S53" s="1020"/>
      <c r="T53" s="181" t="s">
        <v>32</v>
      </c>
      <c r="U53" s="210" t="str">
        <f t="shared" si="48"/>
        <v/>
      </c>
      <c r="V53" s="1020"/>
      <c r="W53" s="1021"/>
      <c r="X53" s="186"/>
      <c r="Y53" s="186"/>
      <c r="Z53" s="186"/>
      <c r="AA53" s="174"/>
      <c r="AB53" s="197" t="str">
        <f t="shared" si="49"/>
        <v/>
      </c>
      <c r="AC53" s="197" t="str">
        <f t="shared" si="50"/>
        <v/>
      </c>
      <c r="AD53" s="197" t="str">
        <f t="shared" si="51"/>
        <v/>
      </c>
      <c r="AE53" s="625" t="s">
        <v>1510</v>
      </c>
      <c r="AF53" s="623" t="s">
        <v>1508</v>
      </c>
      <c r="AH53" s="197"/>
      <c r="AI53" s="197"/>
      <c r="AJ53" s="174"/>
      <c r="AK53" s="174"/>
      <c r="AL53" s="174"/>
    </row>
    <row r="54" spans="1:38" ht="17.100000000000001" customHeight="1">
      <c r="A54" s="190">
        <v>4</v>
      </c>
      <c r="B54" s="1004"/>
      <c r="C54" s="1004"/>
      <c r="D54" s="938"/>
      <c r="E54" s="939"/>
      <c r="F54" s="940"/>
      <c r="G54" s="181" t="s">
        <v>88</v>
      </c>
      <c r="H54" s="1016"/>
      <c r="I54" s="1017"/>
      <c r="J54" s="957" t="str">
        <f t="shared" si="52"/>
        <v/>
      </c>
      <c r="K54" s="958"/>
      <c r="L54" s="958"/>
      <c r="M54" s="958"/>
      <c r="N54" s="959"/>
      <c r="O54" s="190">
        <v>4</v>
      </c>
      <c r="P54" s="1027"/>
      <c r="Q54" s="1027"/>
      <c r="R54" s="938"/>
      <c r="S54" s="940"/>
      <c r="T54" s="181" t="s">
        <v>32</v>
      </c>
      <c r="U54" s="210" t="str">
        <f t="shared" si="48"/>
        <v/>
      </c>
      <c r="V54" s="1020"/>
      <c r="W54" s="1021"/>
      <c r="X54" s="186"/>
      <c r="Y54" s="186"/>
      <c r="Z54" s="186"/>
      <c r="AA54" s="174"/>
      <c r="AB54" s="197" t="str">
        <f t="shared" si="49"/>
        <v/>
      </c>
      <c r="AC54" s="197" t="str">
        <f t="shared" si="50"/>
        <v/>
      </c>
      <c r="AD54" s="197" t="str">
        <f t="shared" si="51"/>
        <v/>
      </c>
      <c r="AE54" s="625" t="s">
        <v>1511</v>
      </c>
      <c r="AF54" s="623" t="s">
        <v>1508</v>
      </c>
      <c r="AH54" s="197"/>
      <c r="AI54" s="197"/>
      <c r="AJ54" s="174"/>
      <c r="AK54" s="174"/>
      <c r="AL54" s="174"/>
    </row>
    <row r="55" spans="1:38" ht="17.100000000000001" customHeight="1">
      <c r="A55" s="190">
        <v>5</v>
      </c>
      <c r="B55" s="1004"/>
      <c r="C55" s="1004"/>
      <c r="D55" s="938"/>
      <c r="E55" s="939"/>
      <c r="F55" s="940"/>
      <c r="G55" s="181" t="s">
        <v>88</v>
      </c>
      <c r="H55" s="1016"/>
      <c r="I55" s="1017"/>
      <c r="J55" s="957" t="str">
        <f t="shared" si="52"/>
        <v/>
      </c>
      <c r="K55" s="958"/>
      <c r="L55" s="958"/>
      <c r="M55" s="958"/>
      <c r="N55" s="959"/>
      <c r="O55" s="190">
        <v>5</v>
      </c>
      <c r="P55" s="1027"/>
      <c r="Q55" s="1027"/>
      <c r="R55" s="938"/>
      <c r="S55" s="940"/>
      <c r="T55" s="181" t="s">
        <v>32</v>
      </c>
      <c r="U55" s="210" t="str">
        <f t="shared" si="48"/>
        <v/>
      </c>
      <c r="V55" s="1020"/>
      <c r="W55" s="1021"/>
      <c r="X55" s="186"/>
      <c r="Y55" s="186"/>
      <c r="Z55" s="186"/>
      <c r="AA55" s="174"/>
      <c r="AB55" s="197" t="str">
        <f t="shared" si="49"/>
        <v/>
      </c>
      <c r="AC55" s="197" t="str">
        <f t="shared" si="50"/>
        <v/>
      </c>
      <c r="AD55" s="197" t="str">
        <f t="shared" si="51"/>
        <v/>
      </c>
      <c r="AE55" s="625" t="s">
        <v>1512</v>
      </c>
      <c r="AF55" s="623" t="s">
        <v>1508</v>
      </c>
      <c r="AH55" s="197"/>
      <c r="AI55" s="197"/>
      <c r="AJ55" s="174"/>
      <c r="AK55" s="174"/>
      <c r="AL55" s="174"/>
    </row>
    <row r="56" spans="1:38" ht="17.100000000000001" customHeight="1">
      <c r="A56" s="190">
        <v>6</v>
      </c>
      <c r="B56" s="1004"/>
      <c r="C56" s="1004"/>
      <c r="D56" s="938"/>
      <c r="E56" s="939"/>
      <c r="F56" s="940"/>
      <c r="G56" s="181" t="s">
        <v>88</v>
      </c>
      <c r="H56" s="1016"/>
      <c r="I56" s="1017"/>
      <c r="J56" s="957" t="str">
        <f t="shared" si="52"/>
        <v/>
      </c>
      <c r="K56" s="958"/>
      <c r="L56" s="958"/>
      <c r="M56" s="958"/>
      <c r="N56" s="959"/>
      <c r="O56" s="190">
        <v>6</v>
      </c>
      <c r="P56" s="1027"/>
      <c r="Q56" s="1027"/>
      <c r="R56" s="938"/>
      <c r="S56" s="940"/>
      <c r="T56" s="181" t="s">
        <v>32</v>
      </c>
      <c r="U56" s="210" t="str">
        <f t="shared" si="48"/>
        <v/>
      </c>
      <c r="V56" s="1020"/>
      <c r="W56" s="1021"/>
      <c r="X56" s="186"/>
      <c r="Y56" s="186"/>
      <c r="Z56" s="186"/>
      <c r="AA56" s="174"/>
      <c r="AB56" s="197" t="str">
        <f t="shared" si="49"/>
        <v/>
      </c>
      <c r="AC56" s="197" t="str">
        <f t="shared" si="50"/>
        <v/>
      </c>
      <c r="AD56" s="197" t="str">
        <f t="shared" si="51"/>
        <v/>
      </c>
      <c r="AE56" s="625" t="s">
        <v>1513</v>
      </c>
      <c r="AF56" s="623" t="s">
        <v>1514</v>
      </c>
      <c r="AH56" s="197"/>
      <c r="AI56" s="197"/>
      <c r="AJ56" s="174"/>
      <c r="AK56" s="174"/>
      <c r="AL56" s="174"/>
    </row>
    <row r="57" spans="1:38" ht="17.100000000000001" customHeight="1">
      <c r="A57" s="190">
        <v>7</v>
      </c>
      <c r="B57" s="1004"/>
      <c r="C57" s="1004"/>
      <c r="D57" s="938"/>
      <c r="E57" s="939"/>
      <c r="F57" s="940"/>
      <c r="G57" s="181" t="s">
        <v>88</v>
      </c>
      <c r="H57" s="1016"/>
      <c r="I57" s="1017"/>
      <c r="J57" s="957" t="str">
        <f t="shared" si="52"/>
        <v/>
      </c>
      <c r="K57" s="958"/>
      <c r="L57" s="958"/>
      <c r="M57" s="958"/>
      <c r="N57" s="959"/>
      <c r="O57" s="190">
        <v>7</v>
      </c>
      <c r="P57" s="1027"/>
      <c r="Q57" s="1027"/>
      <c r="R57" s="938"/>
      <c r="S57" s="940"/>
      <c r="T57" s="181" t="s">
        <v>32</v>
      </c>
      <c r="U57" s="210" t="str">
        <f t="shared" si="48"/>
        <v/>
      </c>
      <c r="V57" s="1020"/>
      <c r="W57" s="1021"/>
      <c r="X57" s="186"/>
      <c r="Y57" s="186"/>
      <c r="Z57" s="186"/>
      <c r="AA57" s="174"/>
      <c r="AB57" s="197" t="str">
        <f t="shared" si="49"/>
        <v/>
      </c>
      <c r="AC57" s="197" t="str">
        <f t="shared" si="50"/>
        <v/>
      </c>
      <c r="AD57" s="197" t="str">
        <f t="shared" si="51"/>
        <v/>
      </c>
      <c r="AE57" s="625" t="s">
        <v>1515</v>
      </c>
      <c r="AF57" s="623" t="s">
        <v>1514</v>
      </c>
      <c r="AH57" s="197"/>
      <c r="AI57" s="197"/>
      <c r="AJ57" s="174"/>
      <c r="AK57" s="174"/>
      <c r="AL57" s="174"/>
    </row>
    <row r="58" spans="1:38" ht="17.100000000000001" customHeight="1">
      <c r="A58" s="190">
        <v>8</v>
      </c>
      <c r="B58" s="1004"/>
      <c r="C58" s="1004"/>
      <c r="D58" s="938"/>
      <c r="E58" s="939"/>
      <c r="F58" s="940"/>
      <c r="G58" s="181" t="s">
        <v>88</v>
      </c>
      <c r="H58" s="1016"/>
      <c r="I58" s="1017"/>
      <c r="J58" s="957" t="str">
        <f t="shared" si="52"/>
        <v/>
      </c>
      <c r="K58" s="958"/>
      <c r="L58" s="958"/>
      <c r="M58" s="958"/>
      <c r="N58" s="959"/>
      <c r="O58" s="190">
        <v>8</v>
      </c>
      <c r="P58" s="1027"/>
      <c r="Q58" s="1027"/>
      <c r="R58" s="938"/>
      <c r="S58" s="940"/>
      <c r="T58" s="181" t="s">
        <v>32</v>
      </c>
      <c r="U58" s="210" t="str">
        <f t="shared" si="48"/>
        <v/>
      </c>
      <c r="V58" s="1020"/>
      <c r="W58" s="1021"/>
      <c r="X58" s="186"/>
      <c r="Y58" s="186"/>
      <c r="Z58" s="186"/>
      <c r="AA58" s="174"/>
      <c r="AB58" s="197" t="str">
        <f t="shared" si="49"/>
        <v/>
      </c>
      <c r="AC58" s="197" t="str">
        <f t="shared" si="50"/>
        <v/>
      </c>
      <c r="AD58" s="197"/>
      <c r="AE58" s="625" t="s">
        <v>1516</v>
      </c>
      <c r="AF58" s="624" t="s">
        <v>1517</v>
      </c>
      <c r="AH58" s="197"/>
      <c r="AI58" s="197"/>
      <c r="AJ58" s="174"/>
      <c r="AK58" s="174"/>
      <c r="AL58" s="174"/>
    </row>
    <row r="59" spans="1:38" ht="17.100000000000001" customHeight="1">
      <c r="A59" s="156">
        <v>9</v>
      </c>
      <c r="B59" s="1005"/>
      <c r="C59" s="1005"/>
      <c r="D59" s="1035"/>
      <c r="E59" s="1036"/>
      <c r="F59" s="1037"/>
      <c r="G59" s="192" t="s">
        <v>88</v>
      </c>
      <c r="H59" s="1044"/>
      <c r="I59" s="1045"/>
      <c r="J59" s="1038" t="str">
        <f t="shared" si="47"/>
        <v/>
      </c>
      <c r="K59" s="1039"/>
      <c r="L59" s="1039"/>
      <c r="M59" s="1039"/>
      <c r="N59" s="1040"/>
      <c r="O59" s="190">
        <v>9</v>
      </c>
      <c r="P59" s="1027"/>
      <c r="Q59" s="1027"/>
      <c r="R59" s="938"/>
      <c r="S59" s="940"/>
      <c r="T59" s="181" t="s">
        <v>32</v>
      </c>
      <c r="U59" s="210" t="str">
        <f t="shared" si="48"/>
        <v/>
      </c>
      <c r="V59" s="1020"/>
      <c r="W59" s="1021"/>
      <c r="X59" s="186"/>
      <c r="Y59" s="186"/>
      <c r="Z59" s="186"/>
      <c r="AA59" s="174"/>
      <c r="AB59" s="197" t="str">
        <f t="shared" si="49"/>
        <v/>
      </c>
      <c r="AC59" s="197" t="str">
        <f t="shared" si="50"/>
        <v/>
      </c>
      <c r="AD59" s="197"/>
      <c r="AE59" s="625" t="s">
        <v>1518</v>
      </c>
      <c r="AF59" s="624" t="s">
        <v>1517</v>
      </c>
      <c r="AH59" s="197"/>
      <c r="AI59" s="197"/>
      <c r="AJ59" s="174"/>
      <c r="AK59" s="174"/>
      <c r="AL59" s="174"/>
    </row>
    <row r="60" spans="1:38" ht="17.100000000000001" customHeight="1">
      <c r="A60" s="157">
        <v>10</v>
      </c>
      <c r="B60" s="1032" t="str">
        <f>+P82</f>
        <v>LC-032铝框门</v>
      </c>
      <c r="C60" s="1032"/>
      <c r="D60" s="642"/>
      <c r="E60" s="643"/>
      <c r="F60" s="644"/>
      <c r="G60" s="653" t="s">
        <v>46</v>
      </c>
      <c r="H60" s="970"/>
      <c r="I60" s="1046"/>
      <c r="J60" s="944"/>
      <c r="K60" s="945"/>
      <c r="L60" s="945"/>
      <c r="M60" s="945"/>
      <c r="N60" s="946"/>
      <c r="O60" s="190">
        <v>10</v>
      </c>
      <c r="P60" s="1027"/>
      <c r="Q60" s="1027"/>
      <c r="R60" s="938"/>
      <c r="S60" s="940"/>
      <c r="T60" s="181" t="s">
        <v>32</v>
      </c>
      <c r="U60" s="210" t="str">
        <f t="shared" si="48"/>
        <v/>
      </c>
      <c r="V60" s="1020"/>
      <c r="W60" s="1021"/>
      <c r="X60" s="186"/>
      <c r="Y60" s="186"/>
      <c r="Z60" s="186"/>
      <c r="AA60" s="174"/>
      <c r="AC60" s="197" t="str">
        <f t="shared" si="50"/>
        <v/>
      </c>
      <c r="AD60" s="197"/>
      <c r="AE60" s="625" t="s">
        <v>1519</v>
      </c>
      <c r="AF60" s="624" t="s">
        <v>1517</v>
      </c>
      <c r="AH60" s="197"/>
      <c r="AI60" s="197"/>
      <c r="AJ60" s="174"/>
      <c r="AK60" s="174"/>
      <c r="AL60" s="174"/>
    </row>
    <row r="61" spans="1:38" ht="17.100000000000001" customHeight="1">
      <c r="A61" s="190">
        <v>11</v>
      </c>
      <c r="B61" s="1033"/>
      <c r="C61" s="1033"/>
      <c r="D61" s="645"/>
      <c r="E61" s="646"/>
      <c r="F61" s="647"/>
      <c r="G61" s="651" t="s">
        <v>46</v>
      </c>
      <c r="H61" s="1016"/>
      <c r="I61" s="1017"/>
      <c r="J61" s="947"/>
      <c r="K61" s="948"/>
      <c r="L61" s="948"/>
      <c r="M61" s="948"/>
      <c r="N61" s="949"/>
      <c r="O61" s="190">
        <v>11</v>
      </c>
      <c r="P61" s="1027"/>
      <c r="Q61" s="1027"/>
      <c r="R61" s="938"/>
      <c r="S61" s="940"/>
      <c r="T61" s="181" t="s">
        <v>32</v>
      </c>
      <c r="U61" s="210" t="str">
        <f t="shared" si="48"/>
        <v/>
      </c>
      <c r="V61" s="1020"/>
      <c r="W61" s="1021"/>
      <c r="X61" s="186"/>
      <c r="Y61" s="186"/>
      <c r="Z61" s="186"/>
      <c r="AA61" s="174"/>
      <c r="AC61" s="197" t="str">
        <f t="shared" si="50"/>
        <v/>
      </c>
      <c r="AD61" s="197"/>
      <c r="AE61" s="625" t="s">
        <v>1520</v>
      </c>
      <c r="AF61" s="624" t="s">
        <v>1517</v>
      </c>
      <c r="AH61" s="197"/>
      <c r="AI61" s="197"/>
      <c r="AJ61" s="174"/>
      <c r="AK61" s="174"/>
      <c r="AL61" s="174"/>
    </row>
    <row r="62" spans="1:38" ht="17.100000000000001" customHeight="1">
      <c r="A62" s="190">
        <v>12</v>
      </c>
      <c r="B62" s="1033"/>
      <c r="C62" s="1033"/>
      <c r="D62" s="645"/>
      <c r="E62" s="646"/>
      <c r="F62" s="647"/>
      <c r="G62" s="651" t="s">
        <v>46</v>
      </c>
      <c r="H62" s="1016"/>
      <c r="I62" s="1017"/>
      <c r="J62" s="947"/>
      <c r="K62" s="948"/>
      <c r="L62" s="948"/>
      <c r="M62" s="948"/>
      <c r="N62" s="949"/>
      <c r="O62" s="190"/>
      <c r="P62" s="1027"/>
      <c r="Q62" s="1027"/>
      <c r="R62" s="938"/>
      <c r="S62" s="940"/>
      <c r="T62" s="181" t="s">
        <v>32</v>
      </c>
      <c r="U62" s="210" t="str">
        <f t="shared" si="48"/>
        <v/>
      </c>
      <c r="V62" s="1020"/>
      <c r="W62" s="1021"/>
      <c r="X62" s="186"/>
      <c r="Y62" s="186"/>
      <c r="Z62" s="186"/>
      <c r="AA62" s="174"/>
      <c r="AC62" s="197" t="str">
        <f t="shared" si="50"/>
        <v/>
      </c>
      <c r="AD62" s="197"/>
      <c r="AE62" s="625" t="s">
        <v>1521</v>
      </c>
      <c r="AF62" s="624" t="s">
        <v>1517</v>
      </c>
      <c r="AH62" s="197"/>
      <c r="AI62" s="197"/>
      <c r="AJ62" s="174"/>
      <c r="AK62" s="174"/>
      <c r="AL62" s="174"/>
    </row>
    <row r="63" spans="1:38" ht="17.100000000000001" customHeight="1">
      <c r="A63" s="156">
        <v>13</v>
      </c>
      <c r="B63" s="1034"/>
      <c r="C63" s="1034"/>
      <c r="D63" s="648"/>
      <c r="E63" s="649"/>
      <c r="F63" s="650"/>
      <c r="G63" s="652" t="s">
        <v>46</v>
      </c>
      <c r="H63" s="1044"/>
      <c r="I63" s="1045"/>
      <c r="J63" s="941"/>
      <c r="K63" s="942"/>
      <c r="L63" s="942"/>
      <c r="M63" s="942"/>
      <c r="N63" s="943"/>
      <c r="O63" s="190">
        <v>12</v>
      </c>
      <c r="P63" s="1027"/>
      <c r="Q63" s="1027"/>
      <c r="R63" s="938"/>
      <c r="S63" s="940"/>
      <c r="T63" s="181" t="s">
        <v>32</v>
      </c>
      <c r="U63" s="210" t="str">
        <f t="shared" si="48"/>
        <v/>
      </c>
      <c r="V63" s="1020"/>
      <c r="W63" s="1021"/>
      <c r="X63" s="186"/>
      <c r="Y63" s="186"/>
      <c r="Z63" s="186"/>
      <c r="AA63" s="174"/>
      <c r="AC63" s="197" t="str">
        <f t="shared" si="50"/>
        <v/>
      </c>
      <c r="AD63" s="197"/>
      <c r="AE63" s="625" t="s">
        <v>1522</v>
      </c>
      <c r="AF63" s="624" t="s">
        <v>1517</v>
      </c>
      <c r="AH63" s="197"/>
      <c r="AI63" s="197"/>
      <c r="AJ63" s="174"/>
      <c r="AK63" s="174"/>
      <c r="AL63" s="174"/>
    </row>
    <row r="64" spans="1:38" ht="17.100000000000001" customHeight="1">
      <c r="A64" s="157">
        <v>14</v>
      </c>
      <c r="B64" s="1041" t="s">
        <v>1546</v>
      </c>
      <c r="C64" s="1041"/>
      <c r="D64" s="645" t="str">
        <f>+IF(D60&lt;&gt;0,D60-$P$84,"")</f>
        <v/>
      </c>
      <c r="E64" s="646" t="str">
        <f>+IF(E60&lt;&gt;0,E60-$P$84,"")</f>
        <v/>
      </c>
      <c r="F64" s="647" t="str">
        <f>+IF(F60&lt;&gt;0,F60,"")</f>
        <v/>
      </c>
      <c r="G64" s="653" t="s">
        <v>46</v>
      </c>
      <c r="H64" s="970"/>
      <c r="I64" s="1046"/>
      <c r="J64" s="944"/>
      <c r="K64" s="945"/>
      <c r="L64" s="945"/>
      <c r="M64" s="945"/>
      <c r="N64" s="946"/>
      <c r="O64" s="190">
        <v>13</v>
      </c>
      <c r="P64" s="1027"/>
      <c r="Q64" s="1027"/>
      <c r="R64" s="938"/>
      <c r="S64" s="940"/>
      <c r="T64" s="181" t="s">
        <v>32</v>
      </c>
      <c r="U64" s="210" t="str">
        <f t="shared" si="48"/>
        <v/>
      </c>
      <c r="V64" s="1020"/>
      <c r="W64" s="1021"/>
      <c r="X64" s="186"/>
      <c r="Y64" s="186"/>
      <c r="Z64" s="186"/>
      <c r="AA64" s="174"/>
      <c r="AC64" s="197" t="str">
        <f t="shared" si="50"/>
        <v/>
      </c>
      <c r="AD64" s="197"/>
      <c r="AE64" s="625" t="s">
        <v>1523</v>
      </c>
      <c r="AF64" s="624" t="s">
        <v>1524</v>
      </c>
      <c r="AH64" s="197"/>
      <c r="AI64" s="197"/>
      <c r="AJ64" s="174"/>
      <c r="AK64" s="174"/>
      <c r="AL64" s="174"/>
    </row>
    <row r="65" spans="1:38" ht="17.100000000000001" customHeight="1">
      <c r="A65" s="190">
        <v>15</v>
      </c>
      <c r="B65" s="1042"/>
      <c r="C65" s="1042"/>
      <c r="D65" s="645" t="str">
        <f t="shared" ref="D65:D67" si="53">+IF(D61&lt;&gt;0,D61-$P$84,"")</f>
        <v/>
      </c>
      <c r="E65" s="646" t="str">
        <f>+IF(E61&lt;&gt;0,E61-$P$84,"")</f>
        <v/>
      </c>
      <c r="F65" s="647" t="str">
        <f>+IF(F61&lt;&gt;0,F61,"")</f>
        <v/>
      </c>
      <c r="G65" s="651" t="s">
        <v>46</v>
      </c>
      <c r="H65" s="1016"/>
      <c r="I65" s="1017"/>
      <c r="J65" s="947"/>
      <c r="K65" s="948"/>
      <c r="L65" s="948"/>
      <c r="M65" s="948"/>
      <c r="N65" s="949"/>
      <c r="O65" s="156">
        <v>14</v>
      </c>
      <c r="P65" s="1028"/>
      <c r="Q65" s="1028"/>
      <c r="R65" s="1035"/>
      <c r="S65" s="1037"/>
      <c r="T65" s="192" t="s">
        <v>32</v>
      </c>
      <c r="U65" s="192"/>
      <c r="V65" s="1066"/>
      <c r="W65" s="1067"/>
      <c r="X65" s="1068"/>
      <c r="Y65" s="1068"/>
      <c r="Z65" s="185"/>
      <c r="AA65" s="155" t="s">
        <v>832</v>
      </c>
      <c r="AB65" s="201" t="s">
        <v>833</v>
      </c>
      <c r="AC65" s="197" t="str">
        <f>+IF(R65&gt;0,R65*U65,"")</f>
        <v/>
      </c>
      <c r="AD65" s="197"/>
      <c r="AE65" s="625" t="s">
        <v>1525</v>
      </c>
      <c r="AF65" s="623" t="s">
        <v>1508</v>
      </c>
      <c r="AH65" s="197"/>
      <c r="AI65" s="197"/>
      <c r="AJ65" s="174"/>
      <c r="AK65" s="174"/>
      <c r="AL65" s="174"/>
    </row>
    <row r="66" spans="1:38" ht="17.100000000000001" customHeight="1">
      <c r="A66" s="190">
        <v>16</v>
      </c>
      <c r="B66" s="1042"/>
      <c r="C66" s="1042"/>
      <c r="D66" s="645" t="str">
        <f t="shared" si="53"/>
        <v/>
      </c>
      <c r="E66" s="646" t="str">
        <f>+IF(E62&lt;&gt;0,E62-$P$84,"")</f>
        <v/>
      </c>
      <c r="F66" s="647" t="str">
        <f>+IF(F62&lt;&gt;0,F62,"")</f>
        <v/>
      </c>
      <c r="G66" s="651" t="s">
        <v>46</v>
      </c>
      <c r="H66" s="1016"/>
      <c r="I66" s="1017"/>
      <c r="J66" s="947"/>
      <c r="K66" s="948"/>
      <c r="L66" s="948"/>
      <c r="M66" s="948"/>
      <c r="N66" s="949"/>
      <c r="O66" s="157">
        <v>15</v>
      </c>
      <c r="P66" s="1029" t="s">
        <v>45</v>
      </c>
      <c r="Q66" s="1029"/>
      <c r="R66" s="935">
        <f t="shared" ref="R66:R72" si="54">IF(AA66&gt;0,AA66-33,"")</f>
        <v>767</v>
      </c>
      <c r="S66" s="937"/>
      <c r="T66" s="188" t="s">
        <v>32</v>
      </c>
      <c r="U66" s="188">
        <f t="shared" ref="U66:U72" si="55">+IF(AB66&gt;0,AB66,"")</f>
        <v>1</v>
      </c>
      <c r="V66" s="1018"/>
      <c r="W66" s="1019"/>
      <c r="X66" s="1025"/>
      <c r="Y66" s="1025"/>
      <c r="Z66" s="187"/>
      <c r="AA66" s="153">
        <v>800</v>
      </c>
      <c r="AB66" s="209">
        <v>1</v>
      </c>
      <c r="AC66" s="197"/>
      <c r="AD66" s="197"/>
      <c r="AE66" s="625" t="s">
        <v>1526</v>
      </c>
      <c r="AF66" s="624" t="s">
        <v>1517</v>
      </c>
      <c r="AH66" s="197"/>
      <c r="AI66" s="197"/>
      <c r="AJ66" s="174"/>
      <c r="AK66" s="174"/>
      <c r="AL66" s="174"/>
    </row>
    <row r="67" spans="1:38" ht="17.100000000000001" customHeight="1">
      <c r="A67" s="156">
        <v>17</v>
      </c>
      <c r="B67" s="1043"/>
      <c r="C67" s="1043"/>
      <c r="D67" s="645" t="str">
        <f t="shared" si="53"/>
        <v/>
      </c>
      <c r="E67" s="646" t="str">
        <f>+IF(E63&lt;&gt;0,E63-$P$84,"")</f>
        <v/>
      </c>
      <c r="F67" s="647" t="str">
        <f>+IF(F63&lt;&gt;0,F63,"")</f>
        <v/>
      </c>
      <c r="G67" s="652" t="s">
        <v>46</v>
      </c>
      <c r="H67" s="1044"/>
      <c r="I67" s="1045"/>
      <c r="J67" s="941"/>
      <c r="K67" s="942"/>
      <c r="L67" s="942"/>
      <c r="M67" s="942"/>
      <c r="N67" s="943"/>
      <c r="O67" s="190">
        <v>16</v>
      </c>
      <c r="P67" s="1030"/>
      <c r="Q67" s="1030"/>
      <c r="R67" s="938" t="str">
        <f t="shared" si="54"/>
        <v/>
      </c>
      <c r="S67" s="940"/>
      <c r="T67" s="181" t="s">
        <v>32</v>
      </c>
      <c r="U67" s="181" t="str">
        <f t="shared" si="55"/>
        <v/>
      </c>
      <c r="V67" s="1020"/>
      <c r="W67" s="1021"/>
      <c r="X67" s="1022"/>
      <c r="Y67" s="1022"/>
      <c r="Z67" s="186"/>
      <c r="AA67" s="153"/>
      <c r="AB67" s="209"/>
      <c r="AC67" s="197"/>
      <c r="AD67" s="197"/>
      <c r="AE67" s="625" t="s">
        <v>1527</v>
      </c>
      <c r="AF67" s="624" t="s">
        <v>1517</v>
      </c>
      <c r="AH67" s="197"/>
      <c r="AI67" s="197"/>
      <c r="AJ67" s="174"/>
      <c r="AK67" s="174"/>
      <c r="AL67" s="174"/>
    </row>
    <row r="68" spans="1:38" ht="17.100000000000001" customHeight="1">
      <c r="A68" s="157">
        <v>18</v>
      </c>
      <c r="B68" s="1055" t="s">
        <v>52</v>
      </c>
      <c r="C68" s="1055"/>
      <c r="D68" s="935"/>
      <c r="E68" s="936"/>
      <c r="F68" s="937"/>
      <c r="G68" s="188" t="s">
        <v>46</v>
      </c>
      <c r="H68" s="970"/>
      <c r="I68" s="1046"/>
      <c r="J68" s="944"/>
      <c r="K68" s="945"/>
      <c r="L68" s="945"/>
      <c r="M68" s="945"/>
      <c r="N68" s="946"/>
      <c r="O68" s="190">
        <v>17</v>
      </c>
      <c r="P68" s="1030"/>
      <c r="Q68" s="1030"/>
      <c r="R68" s="938" t="str">
        <f t="shared" si="54"/>
        <v/>
      </c>
      <c r="S68" s="940"/>
      <c r="T68" s="181" t="s">
        <v>32</v>
      </c>
      <c r="U68" s="181" t="str">
        <f t="shared" si="55"/>
        <v/>
      </c>
      <c r="V68" s="1020"/>
      <c r="W68" s="1021"/>
      <c r="X68" s="1022"/>
      <c r="Y68" s="1022"/>
      <c r="Z68" s="186"/>
      <c r="AA68" s="153"/>
      <c r="AB68" s="209"/>
      <c r="AC68" s="197"/>
      <c r="AD68" s="197"/>
      <c r="AE68" s="625" t="s">
        <v>1528</v>
      </c>
      <c r="AF68" s="624" t="s">
        <v>1524</v>
      </c>
      <c r="AH68" s="197"/>
      <c r="AI68" s="197"/>
      <c r="AJ68" s="174"/>
      <c r="AK68" s="174"/>
      <c r="AL68" s="174"/>
    </row>
    <row r="69" spans="1:38" ht="17.100000000000001" customHeight="1">
      <c r="A69" s="190">
        <v>19</v>
      </c>
      <c r="B69" s="1056"/>
      <c r="C69" s="1056"/>
      <c r="D69" s="938"/>
      <c r="E69" s="939"/>
      <c r="F69" s="940"/>
      <c r="G69" s="181" t="s">
        <v>46</v>
      </c>
      <c r="H69" s="1016"/>
      <c r="I69" s="1017"/>
      <c r="J69" s="947"/>
      <c r="K69" s="948"/>
      <c r="L69" s="948"/>
      <c r="M69" s="948"/>
      <c r="N69" s="949"/>
      <c r="O69" s="190">
        <v>18</v>
      </c>
      <c r="P69" s="1030"/>
      <c r="Q69" s="1030"/>
      <c r="R69" s="1020" t="str">
        <f t="shared" si="54"/>
        <v/>
      </c>
      <c r="S69" s="1020"/>
      <c r="T69" s="181" t="s">
        <v>32</v>
      </c>
      <c r="U69" s="181" t="str">
        <f t="shared" si="55"/>
        <v/>
      </c>
      <c r="V69" s="1020"/>
      <c r="W69" s="1021"/>
      <c r="X69" s="1022"/>
      <c r="Y69" s="1022"/>
      <c r="Z69" s="186"/>
      <c r="AA69" s="153"/>
      <c r="AB69" s="209"/>
      <c r="AC69" s="197"/>
      <c r="AD69" s="197"/>
      <c r="AE69" s="625" t="s">
        <v>1529</v>
      </c>
      <c r="AF69" s="623" t="s">
        <v>1530</v>
      </c>
      <c r="AH69" s="197"/>
      <c r="AI69" s="197"/>
      <c r="AJ69" s="174"/>
      <c r="AK69" s="174"/>
      <c r="AL69" s="174"/>
    </row>
    <row r="70" spans="1:38" ht="17.100000000000001" customHeight="1">
      <c r="A70" s="190">
        <v>20</v>
      </c>
      <c r="B70" s="1056"/>
      <c r="C70" s="1056"/>
      <c r="D70" s="938"/>
      <c r="E70" s="939"/>
      <c r="F70" s="940"/>
      <c r="G70" s="181" t="s">
        <v>46</v>
      </c>
      <c r="H70" s="1016"/>
      <c r="I70" s="1017"/>
      <c r="J70" s="947"/>
      <c r="K70" s="948"/>
      <c r="L70" s="948"/>
      <c r="M70" s="948"/>
      <c r="N70" s="949"/>
      <c r="O70" s="1053">
        <v>19</v>
      </c>
      <c r="P70" s="1030"/>
      <c r="Q70" s="1030"/>
      <c r="R70" s="1020" t="str">
        <f t="shared" si="54"/>
        <v/>
      </c>
      <c r="S70" s="1020"/>
      <c r="T70" s="181" t="s">
        <v>32</v>
      </c>
      <c r="U70" s="181" t="str">
        <f t="shared" si="55"/>
        <v/>
      </c>
      <c r="V70" s="1020"/>
      <c r="W70" s="1021"/>
      <c r="X70" s="1022"/>
      <c r="Y70" s="1022"/>
      <c r="Z70" s="186"/>
      <c r="AA70" s="153"/>
      <c r="AB70" s="209"/>
      <c r="AC70" s="197"/>
      <c r="AD70" s="197"/>
      <c r="AE70" s="625" t="s">
        <v>1531</v>
      </c>
      <c r="AF70" s="623" t="s">
        <v>1530</v>
      </c>
      <c r="AH70" s="197"/>
      <c r="AI70" s="197"/>
      <c r="AJ70" s="174"/>
      <c r="AK70" s="174"/>
      <c r="AL70" s="174"/>
    </row>
    <row r="71" spans="1:38" ht="17.100000000000001" customHeight="1">
      <c r="A71" s="190">
        <v>21</v>
      </c>
      <c r="B71" s="1056"/>
      <c r="C71" s="1056"/>
      <c r="D71" s="182"/>
      <c r="E71" s="183"/>
      <c r="F71" s="184"/>
      <c r="G71" s="181" t="s">
        <v>46</v>
      </c>
      <c r="H71" s="1016"/>
      <c r="I71" s="1017"/>
      <c r="J71" s="947"/>
      <c r="K71" s="948"/>
      <c r="L71" s="948"/>
      <c r="M71" s="948"/>
      <c r="N71" s="949"/>
      <c r="O71" s="1053"/>
      <c r="P71" s="1030"/>
      <c r="Q71" s="1030"/>
      <c r="R71" s="1020" t="str">
        <f t="shared" si="54"/>
        <v/>
      </c>
      <c r="S71" s="1020"/>
      <c r="T71" s="181" t="s">
        <v>32</v>
      </c>
      <c r="U71" s="181" t="str">
        <f t="shared" si="55"/>
        <v/>
      </c>
      <c r="V71" s="1020"/>
      <c r="W71" s="1021"/>
      <c r="X71" s="1022"/>
      <c r="Y71" s="1022"/>
      <c r="Z71" s="186"/>
      <c r="AA71" s="153"/>
      <c r="AB71" s="209"/>
      <c r="AC71" s="197"/>
      <c r="AD71" s="197"/>
      <c r="AE71" s="625" t="s">
        <v>1532</v>
      </c>
      <c r="AF71" s="623" t="s">
        <v>1530</v>
      </c>
      <c r="AH71" s="197"/>
      <c r="AI71" s="197"/>
      <c r="AJ71" s="174"/>
      <c r="AK71" s="174"/>
      <c r="AL71" s="174"/>
    </row>
    <row r="72" spans="1:38" ht="17.100000000000001" customHeight="1" thickBot="1">
      <c r="A72" s="191">
        <v>22</v>
      </c>
      <c r="B72" s="1057"/>
      <c r="C72" s="1057"/>
      <c r="D72" s="170"/>
      <c r="E72" s="171"/>
      <c r="F72" s="172"/>
      <c r="G72" s="189" t="s">
        <v>46</v>
      </c>
      <c r="H72" s="1062"/>
      <c r="I72" s="1063"/>
      <c r="J72" s="1059"/>
      <c r="K72" s="1060"/>
      <c r="L72" s="1060"/>
      <c r="M72" s="1060"/>
      <c r="N72" s="1061"/>
      <c r="O72" s="1054"/>
      <c r="P72" s="1031"/>
      <c r="Q72" s="1031"/>
      <c r="R72" s="1050" t="str">
        <f t="shared" si="54"/>
        <v/>
      </c>
      <c r="S72" s="1050"/>
      <c r="T72" s="189" t="s">
        <v>32</v>
      </c>
      <c r="U72" s="189" t="str">
        <f t="shared" si="55"/>
        <v/>
      </c>
      <c r="V72" s="1050"/>
      <c r="W72" s="1065"/>
      <c r="X72" s="1022"/>
      <c r="Y72" s="1022"/>
      <c r="Z72" s="186"/>
      <c r="AA72" s="153"/>
      <c r="AB72" s="209"/>
      <c r="AC72" s="197"/>
      <c r="AD72" s="197"/>
      <c r="AE72" s="625" t="s">
        <v>1533</v>
      </c>
      <c r="AF72" s="623" t="s">
        <v>1508</v>
      </c>
      <c r="AH72" s="197"/>
      <c r="AI72" s="197"/>
      <c r="AJ72" s="174"/>
      <c r="AK72" s="174"/>
      <c r="AL72" s="174"/>
    </row>
    <row r="73" spans="1:38" ht="17.100000000000001" customHeight="1">
      <c r="A73" s="1022"/>
      <c r="B73" s="1022"/>
      <c r="L73" s="1022"/>
      <c r="M73" s="1022"/>
      <c r="P73" s="1022"/>
      <c r="Q73" s="1022"/>
      <c r="U73" s="2"/>
      <c r="AE73" s="625" t="s">
        <v>1534</v>
      </c>
      <c r="AF73" s="623" t="s">
        <v>1508</v>
      </c>
    </row>
    <row r="74" spans="1:38" ht="17.100000000000001" customHeight="1">
      <c r="E74" s="1051" t="s">
        <v>47</v>
      </c>
      <c r="F74" s="1051"/>
      <c r="G74" s="969"/>
      <c r="H74" s="960"/>
      <c r="I74" s="29"/>
      <c r="J74" s="29"/>
      <c r="K74" s="29"/>
      <c r="L74" s="12"/>
      <c r="M74" s="9"/>
      <c r="N74" s="10"/>
      <c r="O74" s="9"/>
      <c r="P74" s="1051" t="s">
        <v>48</v>
      </c>
      <c r="Q74" s="1051"/>
      <c r="R74" s="1048"/>
      <c r="S74" s="1048"/>
      <c r="T74" s="1048"/>
      <c r="U74" s="2"/>
      <c r="AA74" s="154"/>
    </row>
    <row r="75" spans="1:38" ht="17.100000000000001" customHeight="1">
      <c r="A75" s="1022"/>
      <c r="B75" s="1022"/>
      <c r="E75" s="1051"/>
      <c r="F75" s="1051"/>
      <c r="G75" s="1049"/>
      <c r="H75" s="1049"/>
      <c r="I75" s="11"/>
      <c r="J75" s="11"/>
      <c r="K75" s="11"/>
      <c r="L75" s="8"/>
      <c r="M75" s="9"/>
      <c r="N75" s="10"/>
      <c r="O75" s="9"/>
      <c r="P75" s="1051"/>
      <c r="Q75" s="1051"/>
      <c r="R75" s="1052"/>
      <c r="S75" s="1052"/>
      <c r="T75" s="1052"/>
    </row>
    <row r="76" spans="1:38" ht="17.100000000000001" customHeight="1">
      <c r="A76" s="1022"/>
      <c r="B76" s="1022"/>
      <c r="E76" s="1051" t="s">
        <v>49</v>
      </c>
      <c r="F76" s="1051"/>
      <c r="G76" s="1058"/>
      <c r="H76" s="1058"/>
      <c r="I76" s="1058"/>
      <c r="J76" s="1058"/>
      <c r="K76" s="1058"/>
      <c r="L76" s="1058"/>
      <c r="P76" s="1051" t="s">
        <v>50</v>
      </c>
      <c r="Q76" s="1051"/>
      <c r="R76" s="13"/>
      <c r="S76" s="13"/>
      <c r="T76" s="14"/>
    </row>
    <row r="77" spans="1:38" s="141" customFormat="1">
      <c r="Z77" s="140"/>
      <c r="AA77" s="140"/>
      <c r="AB77" s="197"/>
      <c r="AC77" s="199"/>
      <c r="AD77" s="199"/>
      <c r="AE77" s="199"/>
      <c r="AF77" s="199"/>
      <c r="AG77" s="197"/>
      <c r="AH77" s="199"/>
      <c r="AI77" s="199"/>
      <c r="AK77" s="140"/>
    </row>
    <row r="78" spans="1:38" s="808" customFormat="1" ht="10.5">
      <c r="P78" s="809"/>
      <c r="Q78" s="809"/>
      <c r="R78" s="809"/>
      <c r="S78" s="809"/>
      <c r="T78" s="809"/>
      <c r="U78" s="809"/>
      <c r="V78" s="809"/>
      <c r="W78" s="809"/>
      <c r="X78" s="809"/>
      <c r="Y78" s="809"/>
      <c r="Z78" s="809"/>
      <c r="AA78" s="809"/>
      <c r="AB78" s="810"/>
      <c r="AC78" s="811"/>
      <c r="AD78" s="811"/>
      <c r="AE78" s="811"/>
      <c r="AF78" s="811"/>
      <c r="AG78" s="812"/>
      <c r="AH78" s="811"/>
      <c r="AI78" s="811"/>
      <c r="AK78" s="813"/>
    </row>
    <row r="79" spans="1:38" s="808" customFormat="1" ht="18" customHeight="1">
      <c r="A79" s="814" t="str">
        <f>IF($C$3="","",VLOOKUP($C$3,$C$80:$K$91,1,FALSE))</f>
        <v>16厚暖白</v>
      </c>
      <c r="B79" s="815"/>
      <c r="C79" s="816" t="s">
        <v>818</v>
      </c>
      <c r="D79" s="816" t="s">
        <v>807</v>
      </c>
      <c r="E79" s="816" t="s">
        <v>808</v>
      </c>
      <c r="F79" s="926" t="s">
        <v>819</v>
      </c>
      <c r="G79" s="927"/>
      <c r="H79" s="816" t="s">
        <v>821</v>
      </c>
      <c r="I79" s="816" t="s">
        <v>823</v>
      </c>
      <c r="J79" s="816" t="s">
        <v>824</v>
      </c>
      <c r="K79" s="816" t="s">
        <v>839</v>
      </c>
      <c r="L79" s="816" t="s">
        <v>841</v>
      </c>
      <c r="M79" s="816" t="s">
        <v>1550</v>
      </c>
      <c r="N79" s="817" t="s">
        <v>1551</v>
      </c>
      <c r="O79" s="818"/>
      <c r="P79" s="818"/>
      <c r="Q79" s="818"/>
      <c r="R79" s="818" t="s">
        <v>845</v>
      </c>
      <c r="S79" s="818"/>
      <c r="T79" s="818"/>
      <c r="U79" s="818"/>
      <c r="V79" s="818" t="s">
        <v>846</v>
      </c>
      <c r="W79" s="818"/>
      <c r="X79" s="818" t="s">
        <v>847</v>
      </c>
      <c r="Y79" s="818"/>
      <c r="Z79" s="818"/>
      <c r="AA79" s="818"/>
      <c r="AB79" s="818" t="s">
        <v>848</v>
      </c>
      <c r="AC79" s="811"/>
      <c r="AD79" s="811" t="s">
        <v>849</v>
      </c>
      <c r="AE79" s="811"/>
      <c r="AF79" s="811"/>
      <c r="AG79" s="812"/>
      <c r="AH79" s="811"/>
      <c r="AI79" s="811"/>
      <c r="AK79" s="813"/>
    </row>
    <row r="80" spans="1:38" s="808" customFormat="1" ht="18" customHeight="1">
      <c r="A80" s="152" t="str">
        <f>IF($C$3="","",VLOOKUP($C$3,$C$80:$K$91,2,FALSE))</f>
        <v>暖白双贴三聚氰胺E0级刨花板</v>
      </c>
      <c r="B80" s="139" t="s">
        <v>820</v>
      </c>
      <c r="C80" s="137"/>
      <c r="D80" s="137"/>
      <c r="E80" s="137"/>
      <c r="F80" s="138"/>
      <c r="G80" s="138"/>
      <c r="H80" s="138"/>
      <c r="I80" s="138"/>
      <c r="J80" s="139"/>
      <c r="K80" s="139"/>
      <c r="L80" s="139"/>
      <c r="M80" s="818"/>
      <c r="N80" s="818"/>
      <c r="O80" s="819"/>
      <c r="P80" s="818"/>
      <c r="Q80" s="818"/>
      <c r="R80" s="818" t="s">
        <v>845</v>
      </c>
      <c r="S80" s="818"/>
      <c r="T80" s="818"/>
      <c r="U80" s="818"/>
      <c r="V80" s="818"/>
      <c r="W80" s="818"/>
      <c r="X80" s="818"/>
      <c r="Y80" s="818"/>
      <c r="Z80" s="818"/>
      <c r="AA80" s="818"/>
      <c r="AB80" s="818"/>
      <c r="AC80" s="811"/>
      <c r="AD80" s="811">
        <f>+(D60+E60)*2*F60/1000/0.85</f>
        <v>0</v>
      </c>
      <c r="AE80" s="811"/>
      <c r="AF80" s="811"/>
      <c r="AG80" s="812"/>
      <c r="AH80" s="811"/>
      <c r="AI80" s="811"/>
      <c r="AK80" s="813"/>
    </row>
    <row r="81" spans="1:37" s="808" customFormat="1" ht="18" customHeight="1">
      <c r="A81" s="152" t="str">
        <f>IF($C$3="","",VLOOKUP($C$3,$C$80:$K$91,3,FALSE))</f>
        <v>暖白双贴三聚氰胺E1级中密度板</v>
      </c>
      <c r="B81" s="139" t="s">
        <v>820</v>
      </c>
      <c r="C81" s="139" t="s">
        <v>814</v>
      </c>
      <c r="D81" s="139" t="s">
        <v>521</v>
      </c>
      <c r="E81" s="139" t="s">
        <v>522</v>
      </c>
      <c r="F81" s="928" t="s">
        <v>1552</v>
      </c>
      <c r="G81" s="929"/>
      <c r="H81" s="139" t="s">
        <v>822</v>
      </c>
      <c r="I81" s="139" t="s">
        <v>825</v>
      </c>
      <c r="J81" s="139" t="s">
        <v>825</v>
      </c>
      <c r="K81" s="139" t="s">
        <v>825</v>
      </c>
      <c r="L81" s="139">
        <f>+$AC$40/1.2/2.4/0.91</f>
        <v>0.46088062703219917</v>
      </c>
      <c r="M81" s="818"/>
      <c r="N81" s="818"/>
      <c r="O81" s="819" t="str">
        <f>+R79</f>
        <v>玻璃及厚度</v>
      </c>
      <c r="P81" s="820" t="str">
        <f>VLOOKUP(B64,R81:AB84,1,FALSE)</f>
        <v>透明玻璃5A</v>
      </c>
      <c r="Q81" s="820"/>
      <c r="R81" s="820" t="s">
        <v>1765</v>
      </c>
      <c r="S81" s="820"/>
      <c r="T81" s="820"/>
      <c r="U81" s="820"/>
      <c r="V81" s="820" t="s">
        <v>1625</v>
      </c>
      <c r="W81" s="820"/>
      <c r="X81" s="820" t="s">
        <v>1627</v>
      </c>
      <c r="Y81" s="820"/>
      <c r="Z81" s="820"/>
      <c r="AA81" s="820"/>
      <c r="AB81" s="821">
        <v>4</v>
      </c>
      <c r="AC81" s="811"/>
      <c r="AD81" s="811">
        <f>+(D61+E61)*2*F61/1000/0.85</f>
        <v>0</v>
      </c>
      <c r="AE81" s="811"/>
      <c r="AF81" s="811"/>
      <c r="AG81" s="812"/>
      <c r="AH81" s="811"/>
      <c r="AI81" s="811"/>
      <c r="AK81" s="813"/>
    </row>
    <row r="82" spans="1:37" s="808" customFormat="1" ht="18" customHeight="1">
      <c r="A82" s="152" t="str">
        <f>IF($C$3="","",VLOOKUP($C$3,$C$80:$N$91,4,FALSE))</f>
        <v>暖白PVC封边条</v>
      </c>
      <c r="B82" s="139" t="s">
        <v>820</v>
      </c>
      <c r="C82" s="139"/>
      <c r="D82" s="139"/>
      <c r="E82" s="139"/>
      <c r="F82" s="139"/>
      <c r="G82" s="139"/>
      <c r="H82" s="139"/>
      <c r="I82" s="139"/>
      <c r="J82" s="139"/>
      <c r="K82" s="139"/>
      <c r="L82" s="139"/>
      <c r="M82" s="818"/>
      <c r="N82" s="818"/>
      <c r="O82" s="819" t="str">
        <f>+V79</f>
        <v>铝框型号</v>
      </c>
      <c r="P82" s="820" t="str">
        <f>VLOOKUP(B64,R81:AB84,5,FALSE)</f>
        <v>LC-032铝框门</v>
      </c>
      <c r="Q82" s="820"/>
      <c r="R82" s="820" t="s">
        <v>1766</v>
      </c>
      <c r="S82" s="820"/>
      <c r="T82" s="820"/>
      <c r="U82" s="820"/>
      <c r="V82" s="820" t="s">
        <v>842</v>
      </c>
      <c r="W82" s="820"/>
      <c r="X82" s="820" t="s">
        <v>1627</v>
      </c>
      <c r="Y82" s="820"/>
      <c r="Z82" s="820"/>
      <c r="AA82" s="820"/>
      <c r="AB82" s="821">
        <v>4</v>
      </c>
      <c r="AC82" s="811"/>
      <c r="AD82" s="811">
        <f>+(D62+E62)*2*F62/1000/0.85</f>
        <v>0</v>
      </c>
      <c r="AE82" s="811"/>
      <c r="AF82" s="811"/>
      <c r="AG82" s="812"/>
      <c r="AH82" s="811"/>
      <c r="AI82" s="811"/>
      <c r="AK82" s="813"/>
    </row>
    <row r="83" spans="1:37" s="808" customFormat="1" ht="18" customHeight="1">
      <c r="A83" s="152"/>
      <c r="B83" s="139" t="s">
        <v>820</v>
      </c>
      <c r="C83" s="139" t="s">
        <v>815</v>
      </c>
      <c r="D83" s="139" t="s">
        <v>809</v>
      </c>
      <c r="E83" s="139" t="s">
        <v>810</v>
      </c>
      <c r="F83" s="928" t="s">
        <v>1553</v>
      </c>
      <c r="G83" s="929"/>
      <c r="H83" s="139" t="s">
        <v>395</v>
      </c>
      <c r="I83" s="139" t="s">
        <v>828</v>
      </c>
      <c r="J83" s="139" t="s">
        <v>829</v>
      </c>
      <c r="K83" s="139" t="s">
        <v>830</v>
      </c>
      <c r="L83" s="139">
        <f>+$AC$40/1.2/2.4/0.85</f>
        <v>0.49341337717564859</v>
      </c>
      <c r="M83" s="818"/>
      <c r="N83" s="818"/>
      <c r="O83" s="819" t="str">
        <f>+X79</f>
        <v>铝材型号</v>
      </c>
      <c r="P83" s="820" t="str">
        <f>VLOOKUP(B64,R81:AB84,7,FALSE)</f>
        <v>（氧化铝JF299）3.5米/支</v>
      </c>
      <c r="Q83" s="820"/>
      <c r="R83" s="820" t="s">
        <v>1767</v>
      </c>
      <c r="S83" s="820"/>
      <c r="T83" s="820"/>
      <c r="U83" s="820"/>
      <c r="V83" s="820" t="s">
        <v>843</v>
      </c>
      <c r="W83" s="820"/>
      <c r="X83" s="820" t="s">
        <v>1626</v>
      </c>
      <c r="Y83" s="820"/>
      <c r="Z83" s="820"/>
      <c r="AA83" s="820"/>
      <c r="AB83" s="821">
        <v>5</v>
      </c>
      <c r="AC83" s="811"/>
      <c r="AD83" s="811">
        <f>+(D63+E63)*2*F63/1000/0.85</f>
        <v>0</v>
      </c>
      <c r="AE83" s="811"/>
      <c r="AF83" s="811"/>
      <c r="AG83" s="812"/>
      <c r="AH83" s="811"/>
      <c r="AI83" s="811"/>
      <c r="AK83" s="813"/>
    </row>
    <row r="84" spans="1:37" s="808" customFormat="1" ht="18" customHeight="1">
      <c r="A84" s="152" t="str">
        <f>IF($C$3="","",VLOOKUP($C$3,$C$80:$K$91,6,FALSE))</f>
        <v>瓷白</v>
      </c>
      <c r="B84" s="139" t="s">
        <v>820</v>
      </c>
      <c r="C84" s="139"/>
      <c r="D84" s="139"/>
      <c r="E84" s="139"/>
      <c r="F84" s="139"/>
      <c r="G84" s="139"/>
      <c r="H84" s="139"/>
      <c r="I84" s="139"/>
      <c r="J84" s="139"/>
      <c r="K84" s="139"/>
      <c r="L84" s="139"/>
      <c r="M84" s="818"/>
      <c r="N84" s="818"/>
      <c r="O84" s="819" t="str">
        <f>+AB79</f>
        <v>减尺</v>
      </c>
      <c r="P84" s="820">
        <f>VLOOKUP(B64,R81:AB84,11,FALSE)</f>
        <v>4</v>
      </c>
      <c r="Q84" s="820"/>
      <c r="R84" s="820" t="s">
        <v>844</v>
      </c>
      <c r="S84" s="820"/>
      <c r="T84" s="820"/>
      <c r="U84" s="820"/>
      <c r="V84" s="820" t="s">
        <v>843</v>
      </c>
      <c r="W84" s="820"/>
      <c r="X84" s="820" t="s">
        <v>1626</v>
      </c>
      <c r="Y84" s="820"/>
      <c r="Z84" s="820"/>
      <c r="AA84" s="820"/>
      <c r="AB84" s="821">
        <v>5</v>
      </c>
      <c r="AC84" s="811"/>
      <c r="AD84" s="811"/>
      <c r="AE84" s="811"/>
      <c r="AF84" s="811"/>
      <c r="AG84" s="812"/>
      <c r="AH84" s="811"/>
      <c r="AI84" s="811"/>
      <c r="AK84" s="813"/>
    </row>
    <row r="85" spans="1:37" s="808" customFormat="1" ht="18" customHeight="1">
      <c r="A85" s="152" t="str">
        <f>IF($C$3="","",VLOOKUP($C$3,$C$80:$K$91,7,FALSE))</f>
        <v>白色</v>
      </c>
      <c r="B85" s="139" t="s">
        <v>820</v>
      </c>
      <c r="C85" s="139" t="s">
        <v>816</v>
      </c>
      <c r="D85" s="139" t="s">
        <v>811</v>
      </c>
      <c r="E85" s="139" t="s">
        <v>1769</v>
      </c>
      <c r="F85" s="928" t="s">
        <v>1554</v>
      </c>
      <c r="G85" s="929"/>
      <c r="H85" s="139" t="s">
        <v>822</v>
      </c>
      <c r="I85" s="139" t="s">
        <v>825</v>
      </c>
      <c r="J85" s="139" t="s">
        <v>826</v>
      </c>
      <c r="K85" s="139" t="s">
        <v>826</v>
      </c>
      <c r="L85" s="139">
        <f>+$AC$40/1.2/2.4/0.91</f>
        <v>0.46088062703219917</v>
      </c>
      <c r="M85" s="818"/>
      <c r="N85" s="818"/>
      <c r="O85" s="819"/>
      <c r="P85" s="818"/>
      <c r="Q85" s="818"/>
      <c r="R85" s="818"/>
      <c r="S85" s="818"/>
      <c r="T85" s="818"/>
      <c r="U85" s="818"/>
      <c r="V85" s="818"/>
      <c r="W85" s="818"/>
      <c r="X85" s="818"/>
      <c r="Y85" s="818"/>
      <c r="Z85" s="822"/>
      <c r="AA85" s="822"/>
      <c r="AB85" s="823"/>
      <c r="AC85" s="811"/>
      <c r="AD85" s="811"/>
      <c r="AE85" s="811"/>
      <c r="AF85" s="811"/>
      <c r="AG85" s="812"/>
      <c r="AH85" s="811"/>
      <c r="AI85" s="811"/>
      <c r="AK85" s="813"/>
    </row>
    <row r="86" spans="1:37" s="808" customFormat="1" ht="18" customHeight="1">
      <c r="A86" s="152" t="str">
        <f>IF($C$3="","",VLOOKUP($C$3,$C$80:$K$91,8,FALSE))</f>
        <v>白色</v>
      </c>
      <c r="B86" s="139" t="s">
        <v>820</v>
      </c>
      <c r="C86" s="139"/>
      <c r="D86" s="139"/>
      <c r="E86" s="139"/>
      <c r="F86" s="139"/>
      <c r="G86" s="139"/>
      <c r="H86" s="139"/>
      <c r="I86" s="139"/>
      <c r="J86" s="139"/>
      <c r="K86" s="139"/>
      <c r="L86" s="139"/>
      <c r="M86" s="818"/>
      <c r="N86" s="818"/>
      <c r="Z86" s="813"/>
      <c r="AA86" s="813"/>
      <c r="AB86" s="812"/>
      <c r="AC86" s="811"/>
      <c r="AD86" s="811"/>
      <c r="AE86" s="811"/>
      <c r="AF86" s="811"/>
      <c r="AG86" s="812"/>
      <c r="AH86" s="811"/>
      <c r="AI86" s="811"/>
      <c r="AK86" s="813"/>
    </row>
    <row r="87" spans="1:37" s="808" customFormat="1" ht="18" customHeight="1">
      <c r="A87" s="152" t="str">
        <f>IF($C$3="","",VLOOKUP($C$3,$C$80:$K$91,9,FALSE))</f>
        <v>白色</v>
      </c>
      <c r="B87" s="139" t="s">
        <v>820</v>
      </c>
      <c r="C87" s="139" t="s">
        <v>817</v>
      </c>
      <c r="D87" s="139" t="s">
        <v>812</v>
      </c>
      <c r="E87" s="139" t="s">
        <v>813</v>
      </c>
      <c r="F87" s="928" t="s">
        <v>1555</v>
      </c>
      <c r="G87" s="929"/>
      <c r="H87" s="139" t="s">
        <v>395</v>
      </c>
      <c r="I87" s="139" t="s">
        <v>827</v>
      </c>
      <c r="J87" s="139" t="s">
        <v>830</v>
      </c>
      <c r="K87" s="139" t="s">
        <v>830</v>
      </c>
      <c r="L87" s="139">
        <f>+$AC$40/1.83/2.4/0.85</f>
        <v>0.32354975552501541</v>
      </c>
      <c r="M87" s="818"/>
      <c r="N87" s="818"/>
      <c r="Z87" s="813"/>
      <c r="AA87" s="813"/>
      <c r="AB87" s="812"/>
      <c r="AC87" s="811"/>
      <c r="AD87" s="811"/>
      <c r="AE87" s="811"/>
      <c r="AF87" s="811"/>
      <c r="AG87" s="812"/>
      <c r="AH87" s="811"/>
      <c r="AI87" s="811"/>
      <c r="AK87" s="813"/>
    </row>
    <row r="88" spans="1:37" s="808" customFormat="1" ht="18" customHeight="1">
      <c r="A88" s="152">
        <f>IF($C$3="","",VLOOKUP($C$3,$C$80:$L$91,10,FALSE))</f>
        <v>0.46088062703219917</v>
      </c>
      <c r="B88" s="139" t="s">
        <v>820</v>
      </c>
      <c r="C88" s="139"/>
      <c r="D88" s="139"/>
      <c r="E88" s="139"/>
      <c r="F88" s="139"/>
      <c r="G88" s="139"/>
      <c r="H88" s="139"/>
      <c r="I88" s="139"/>
      <c r="J88" s="139"/>
      <c r="K88" s="139"/>
      <c r="L88" s="139"/>
      <c r="M88" s="818"/>
      <c r="N88" s="818"/>
      <c r="Z88" s="813"/>
      <c r="AA88" s="813"/>
      <c r="AB88" s="812"/>
      <c r="AC88" s="811"/>
      <c r="AD88" s="811"/>
      <c r="AE88" s="811"/>
      <c r="AF88" s="811"/>
      <c r="AG88" s="812"/>
      <c r="AH88" s="811"/>
      <c r="AI88" s="811"/>
      <c r="AK88" s="813"/>
    </row>
    <row r="89" spans="1:37" s="808" customFormat="1" ht="18" customHeight="1">
      <c r="A89" s="814"/>
      <c r="B89" s="139"/>
      <c r="C89" s="139" t="s">
        <v>1543</v>
      </c>
      <c r="D89" s="139" t="s">
        <v>1544</v>
      </c>
      <c r="E89" s="139" t="s">
        <v>1545</v>
      </c>
      <c r="F89" s="928" t="s">
        <v>1556</v>
      </c>
      <c r="G89" s="929"/>
      <c r="H89" s="139" t="s">
        <v>395</v>
      </c>
      <c r="I89" s="139" t="s">
        <v>825</v>
      </c>
      <c r="J89" s="139" t="s">
        <v>1547</v>
      </c>
      <c r="K89" s="139" t="s">
        <v>1547</v>
      </c>
      <c r="L89" s="139">
        <f>+$AC$40/1.2/2.4/0.85</f>
        <v>0.49341337717564859</v>
      </c>
      <c r="M89" s="818"/>
      <c r="N89" s="818"/>
      <c r="Z89" s="813"/>
      <c r="AA89" s="813"/>
      <c r="AB89" s="812"/>
      <c r="AC89" s="811"/>
      <c r="AD89" s="811"/>
      <c r="AE89" s="811"/>
      <c r="AF89" s="811"/>
      <c r="AG89" s="812"/>
      <c r="AH89" s="811"/>
      <c r="AI89" s="811"/>
      <c r="AK89" s="813"/>
    </row>
    <row r="90" spans="1:37" s="808" customFormat="1" ht="18" customHeight="1">
      <c r="A90" s="818"/>
      <c r="B90" s="818"/>
      <c r="C90" s="139"/>
      <c r="D90" s="139"/>
      <c r="E90" s="139"/>
      <c r="F90" s="139"/>
      <c r="G90" s="139"/>
      <c r="H90" s="139"/>
      <c r="I90" s="139"/>
      <c r="J90" s="139"/>
      <c r="K90" s="139"/>
      <c r="L90" s="139"/>
      <c r="M90" s="818"/>
      <c r="N90" s="818"/>
      <c r="Z90" s="813"/>
      <c r="AA90" s="813"/>
      <c r="AB90" s="812"/>
      <c r="AC90" s="811"/>
      <c r="AD90" s="811"/>
      <c r="AE90" s="811"/>
      <c r="AF90" s="811"/>
      <c r="AG90" s="812"/>
      <c r="AH90" s="811"/>
      <c r="AI90" s="811"/>
      <c r="AK90" s="813"/>
    </row>
    <row r="91" spans="1:37" s="141" customFormat="1">
      <c r="Z91" s="140"/>
      <c r="AA91" s="140"/>
      <c r="AB91" s="197"/>
      <c r="AC91" s="199"/>
      <c r="AD91" s="199"/>
      <c r="AE91" s="199"/>
      <c r="AF91" s="199"/>
      <c r="AG91" s="197"/>
      <c r="AH91" s="199"/>
      <c r="AI91" s="199"/>
      <c r="AK91" s="140"/>
    </row>
    <row r="92" spans="1:37" s="141" customFormat="1">
      <c r="Z92" s="140"/>
      <c r="AA92" s="140"/>
      <c r="AB92" s="197"/>
      <c r="AC92" s="199"/>
      <c r="AD92" s="199"/>
      <c r="AE92" s="199"/>
      <c r="AF92" s="199"/>
      <c r="AG92" s="197"/>
      <c r="AH92" s="199"/>
      <c r="AI92" s="199"/>
      <c r="AK92" s="140"/>
    </row>
    <row r="93" spans="1:37" s="141" customFormat="1">
      <c r="Z93" s="140"/>
      <c r="AA93" s="140"/>
      <c r="AB93" s="197"/>
      <c r="AC93" s="199"/>
      <c r="AD93" s="199"/>
      <c r="AE93" s="199"/>
      <c r="AF93" s="199"/>
      <c r="AG93" s="197"/>
      <c r="AH93" s="199"/>
      <c r="AI93" s="199"/>
      <c r="AK93" s="140"/>
    </row>
    <row r="94" spans="1:37" s="141" customFormat="1">
      <c r="Z94" s="140"/>
      <c r="AA94" s="140"/>
      <c r="AB94" s="197"/>
      <c r="AC94" s="199"/>
      <c r="AD94" s="199"/>
      <c r="AE94" s="199"/>
      <c r="AF94" s="199"/>
      <c r="AG94" s="197"/>
      <c r="AH94" s="199"/>
      <c r="AI94" s="199"/>
      <c r="AK94" s="140"/>
    </row>
    <row r="95" spans="1:37" s="141" customFormat="1">
      <c r="Z95" s="140"/>
      <c r="AA95" s="140"/>
      <c r="AB95" s="197"/>
      <c r="AC95" s="199"/>
      <c r="AD95" s="199"/>
      <c r="AE95" s="199"/>
      <c r="AF95" s="199"/>
      <c r="AG95" s="197"/>
      <c r="AH95" s="199"/>
      <c r="AI95" s="199"/>
      <c r="AK95" s="140"/>
    </row>
    <row r="96" spans="1:37" s="141" customFormat="1">
      <c r="Z96" s="140"/>
      <c r="AA96" s="140"/>
      <c r="AB96" s="197"/>
      <c r="AC96" s="199"/>
      <c r="AD96" s="199"/>
      <c r="AE96" s="199"/>
      <c r="AF96" s="199"/>
      <c r="AG96" s="197"/>
      <c r="AH96" s="199"/>
      <c r="AI96" s="199"/>
      <c r="AK96" s="140"/>
    </row>
    <row r="97" spans="26:37" s="141" customFormat="1">
      <c r="Z97" s="140"/>
      <c r="AA97" s="140"/>
      <c r="AB97" s="197"/>
      <c r="AC97" s="199"/>
      <c r="AD97" s="199"/>
      <c r="AE97" s="199"/>
      <c r="AF97" s="199"/>
      <c r="AG97" s="197"/>
      <c r="AH97" s="199"/>
      <c r="AI97" s="199"/>
      <c r="AK97" s="140"/>
    </row>
    <row r="98" spans="26:37" s="141" customFormat="1">
      <c r="Z98" s="140"/>
      <c r="AA98" s="140"/>
      <c r="AB98" s="197"/>
      <c r="AC98" s="199"/>
      <c r="AD98" s="199"/>
      <c r="AE98" s="199"/>
      <c r="AF98" s="199"/>
      <c r="AG98" s="197"/>
      <c r="AH98" s="199"/>
      <c r="AI98" s="199"/>
      <c r="AK98" s="140"/>
    </row>
    <row r="99" spans="26:37" s="141" customFormat="1">
      <c r="Z99" s="140"/>
      <c r="AA99" s="140"/>
      <c r="AB99" s="197"/>
      <c r="AC99" s="199"/>
      <c r="AD99" s="199"/>
      <c r="AE99" s="199"/>
      <c r="AF99" s="199"/>
      <c r="AG99" s="197"/>
      <c r="AH99" s="199"/>
      <c r="AI99" s="199"/>
      <c r="AK99" s="140"/>
    </row>
    <row r="100" spans="26:37" s="141" customFormat="1">
      <c r="Z100" s="140"/>
      <c r="AA100" s="140"/>
      <c r="AB100" s="197"/>
      <c r="AC100" s="199"/>
      <c r="AD100" s="199"/>
      <c r="AE100" s="199"/>
      <c r="AF100" s="199"/>
      <c r="AG100" s="197"/>
      <c r="AH100" s="199"/>
      <c r="AI100" s="199"/>
      <c r="AK100" s="140"/>
    </row>
    <row r="101" spans="26:37" s="141" customFormat="1">
      <c r="Z101" s="140"/>
      <c r="AA101" s="140"/>
      <c r="AB101" s="197"/>
      <c r="AC101" s="199"/>
      <c r="AD101" s="199"/>
      <c r="AE101" s="199"/>
      <c r="AF101" s="199"/>
      <c r="AG101" s="197"/>
      <c r="AH101" s="199"/>
      <c r="AI101" s="199"/>
      <c r="AK101" s="140"/>
    </row>
    <row r="102" spans="26:37" s="141" customFormat="1">
      <c r="Z102" s="140"/>
      <c r="AA102" s="140"/>
      <c r="AB102" s="197"/>
      <c r="AC102" s="199"/>
      <c r="AD102" s="199"/>
      <c r="AE102" s="199"/>
      <c r="AF102" s="199"/>
      <c r="AG102" s="197"/>
      <c r="AH102" s="199"/>
      <c r="AI102" s="199"/>
      <c r="AK102" s="140"/>
    </row>
    <row r="103" spans="26:37" s="141" customFormat="1">
      <c r="Z103" s="140"/>
      <c r="AA103" s="140"/>
      <c r="AB103" s="197"/>
      <c r="AC103" s="199"/>
      <c r="AD103" s="199"/>
      <c r="AE103" s="199"/>
      <c r="AF103" s="199"/>
      <c r="AG103" s="197"/>
      <c r="AH103" s="199"/>
      <c r="AI103" s="199"/>
      <c r="AK103" s="140"/>
    </row>
    <row r="104" spans="26:37" s="141" customFormat="1">
      <c r="Z104" s="140"/>
      <c r="AA104" s="140"/>
      <c r="AB104" s="197"/>
      <c r="AC104" s="199"/>
      <c r="AD104" s="199"/>
      <c r="AE104" s="199"/>
      <c r="AF104" s="199"/>
      <c r="AG104" s="197"/>
      <c r="AH104" s="199"/>
      <c r="AI104" s="199"/>
      <c r="AK104" s="140"/>
    </row>
    <row r="105" spans="26:37" s="141" customFormat="1">
      <c r="Z105" s="140"/>
      <c r="AA105" s="140"/>
      <c r="AB105" s="197"/>
      <c r="AC105" s="199"/>
      <c r="AD105" s="199"/>
      <c r="AE105" s="199"/>
      <c r="AF105" s="199"/>
      <c r="AG105" s="197"/>
      <c r="AH105" s="199"/>
      <c r="AI105" s="199"/>
      <c r="AK105" s="140"/>
    </row>
    <row r="106" spans="26:37" s="141" customFormat="1">
      <c r="Z106" s="140"/>
      <c r="AA106" s="140"/>
      <c r="AB106" s="197"/>
      <c r="AC106" s="199"/>
      <c r="AD106" s="199"/>
      <c r="AE106" s="199"/>
      <c r="AF106" s="199"/>
      <c r="AG106" s="197"/>
      <c r="AH106" s="199"/>
      <c r="AI106" s="199"/>
      <c r="AK106" s="140"/>
    </row>
    <row r="107" spans="26:37" s="141" customFormat="1">
      <c r="Z107" s="140"/>
      <c r="AA107" s="140"/>
      <c r="AB107" s="197"/>
      <c r="AC107" s="199"/>
      <c r="AD107" s="199"/>
      <c r="AE107" s="199"/>
      <c r="AF107" s="199"/>
      <c r="AG107" s="197"/>
      <c r="AH107" s="199"/>
      <c r="AI107" s="199"/>
      <c r="AK107" s="140"/>
    </row>
    <row r="108" spans="26:37" s="141" customFormat="1">
      <c r="Z108" s="140"/>
      <c r="AA108" s="140"/>
      <c r="AB108" s="197"/>
      <c r="AC108" s="199"/>
      <c r="AD108" s="199"/>
      <c r="AE108" s="199"/>
      <c r="AF108" s="199"/>
      <c r="AG108" s="197"/>
      <c r="AH108" s="199"/>
      <c r="AI108" s="199"/>
      <c r="AK108" s="140"/>
    </row>
    <row r="109" spans="26:37" s="141" customFormat="1">
      <c r="Z109" s="140"/>
      <c r="AA109" s="140"/>
      <c r="AB109" s="197"/>
      <c r="AC109" s="199"/>
      <c r="AD109" s="199"/>
      <c r="AE109" s="199"/>
      <c r="AF109" s="199"/>
      <c r="AG109" s="197"/>
      <c r="AH109" s="199"/>
      <c r="AI109" s="199"/>
      <c r="AK109" s="140"/>
    </row>
    <row r="110" spans="26:37" s="141" customFormat="1">
      <c r="Z110" s="140"/>
      <c r="AA110" s="140"/>
      <c r="AB110" s="197"/>
      <c r="AC110" s="199"/>
      <c r="AD110" s="199"/>
      <c r="AE110" s="199"/>
      <c r="AF110" s="199"/>
      <c r="AG110" s="197"/>
      <c r="AH110" s="199"/>
      <c r="AI110" s="199"/>
      <c r="AK110" s="140"/>
    </row>
    <row r="111" spans="26:37" s="141" customFormat="1">
      <c r="Z111" s="140"/>
      <c r="AA111" s="140"/>
      <c r="AB111" s="197"/>
      <c r="AC111" s="199"/>
      <c r="AD111" s="199"/>
      <c r="AE111" s="199"/>
      <c r="AF111" s="199"/>
      <c r="AG111" s="197"/>
      <c r="AH111" s="199"/>
      <c r="AI111" s="199"/>
      <c r="AK111" s="140"/>
    </row>
    <row r="112" spans="26:37" s="141" customFormat="1">
      <c r="Z112" s="140"/>
      <c r="AA112" s="140"/>
      <c r="AB112" s="197"/>
      <c r="AC112" s="199"/>
      <c r="AD112" s="199"/>
      <c r="AE112" s="199"/>
      <c r="AF112" s="199"/>
      <c r="AG112" s="197"/>
      <c r="AH112" s="199"/>
      <c r="AI112" s="199"/>
      <c r="AK112" s="140"/>
    </row>
    <row r="113" spans="26:37" s="141" customFormat="1">
      <c r="Z113" s="140"/>
      <c r="AA113" s="140"/>
      <c r="AB113" s="197"/>
      <c r="AC113" s="199"/>
      <c r="AD113" s="199"/>
      <c r="AE113" s="199"/>
      <c r="AF113" s="199"/>
      <c r="AG113" s="197"/>
      <c r="AH113" s="199"/>
      <c r="AI113" s="199"/>
      <c r="AK113" s="140"/>
    </row>
    <row r="114" spans="26:37" s="141" customFormat="1">
      <c r="Z114" s="140"/>
      <c r="AA114" s="140"/>
      <c r="AB114" s="197"/>
      <c r="AC114" s="199"/>
      <c r="AD114" s="199"/>
      <c r="AE114" s="199"/>
      <c r="AF114" s="199"/>
      <c r="AG114" s="197"/>
      <c r="AH114" s="199"/>
      <c r="AI114" s="199"/>
      <c r="AK114" s="140"/>
    </row>
    <row r="115" spans="26:37" s="141" customFormat="1">
      <c r="Z115" s="140"/>
      <c r="AA115" s="140"/>
      <c r="AB115" s="197"/>
      <c r="AC115" s="199"/>
      <c r="AD115" s="199"/>
      <c r="AE115" s="199"/>
      <c r="AF115" s="199"/>
      <c r="AG115" s="197"/>
      <c r="AH115" s="199"/>
      <c r="AI115" s="199"/>
      <c r="AK115" s="140"/>
    </row>
    <row r="116" spans="26:37" s="141" customFormat="1">
      <c r="Z116" s="140"/>
      <c r="AA116" s="140"/>
      <c r="AB116" s="197"/>
      <c r="AC116" s="199"/>
      <c r="AD116" s="199"/>
      <c r="AE116" s="199"/>
      <c r="AF116" s="199"/>
      <c r="AG116" s="197"/>
      <c r="AH116" s="199"/>
      <c r="AI116" s="199"/>
      <c r="AK116" s="140"/>
    </row>
    <row r="117" spans="26:37" s="141" customFormat="1">
      <c r="Z117" s="140"/>
      <c r="AA117" s="140"/>
      <c r="AB117" s="197"/>
      <c r="AC117" s="199"/>
      <c r="AD117" s="199"/>
      <c r="AE117" s="199"/>
      <c r="AF117" s="199"/>
      <c r="AG117" s="197"/>
      <c r="AH117" s="199"/>
      <c r="AI117" s="199"/>
      <c r="AK117" s="140"/>
    </row>
    <row r="118" spans="26:37" s="141" customFormat="1">
      <c r="Z118" s="140"/>
      <c r="AA118" s="140"/>
      <c r="AB118" s="197"/>
      <c r="AC118" s="199"/>
      <c r="AD118" s="199"/>
      <c r="AE118" s="199"/>
      <c r="AF118" s="199"/>
      <c r="AG118" s="197"/>
      <c r="AH118" s="199"/>
      <c r="AI118" s="199"/>
      <c r="AK118" s="140"/>
    </row>
    <row r="119" spans="26:37" s="141" customFormat="1">
      <c r="Z119" s="140"/>
      <c r="AA119" s="140"/>
      <c r="AB119" s="197"/>
      <c r="AC119" s="199"/>
      <c r="AD119" s="199"/>
      <c r="AE119" s="199"/>
      <c r="AF119" s="199"/>
      <c r="AG119" s="197"/>
      <c r="AH119" s="199"/>
      <c r="AI119" s="199"/>
      <c r="AK119" s="140"/>
    </row>
    <row r="120" spans="26:37" s="141" customFormat="1">
      <c r="Z120" s="140"/>
      <c r="AA120" s="140"/>
      <c r="AB120" s="197"/>
      <c r="AC120" s="199"/>
      <c r="AD120" s="199"/>
      <c r="AE120" s="199"/>
      <c r="AF120" s="199"/>
      <c r="AG120" s="197"/>
      <c r="AH120" s="199"/>
      <c r="AI120" s="199"/>
      <c r="AK120" s="140"/>
    </row>
    <row r="121" spans="26:37" s="141" customFormat="1">
      <c r="Z121" s="140"/>
      <c r="AA121" s="140"/>
      <c r="AB121" s="197"/>
      <c r="AC121" s="199"/>
      <c r="AD121" s="199"/>
      <c r="AE121" s="199"/>
      <c r="AF121" s="199"/>
      <c r="AG121" s="197"/>
      <c r="AH121" s="199"/>
      <c r="AI121" s="199"/>
      <c r="AK121" s="140"/>
    </row>
    <row r="122" spans="26:37" s="141" customFormat="1">
      <c r="Z122" s="140"/>
      <c r="AA122" s="140"/>
      <c r="AB122" s="197"/>
      <c r="AC122" s="199"/>
      <c r="AD122" s="199"/>
      <c r="AE122" s="199"/>
      <c r="AF122" s="199"/>
      <c r="AG122" s="197"/>
      <c r="AH122" s="199"/>
      <c r="AI122" s="199"/>
      <c r="AK122" s="140"/>
    </row>
    <row r="123" spans="26:37" s="141" customFormat="1">
      <c r="Z123" s="140"/>
      <c r="AA123" s="140"/>
      <c r="AB123" s="197"/>
      <c r="AC123" s="199"/>
      <c r="AD123" s="199"/>
      <c r="AE123" s="199"/>
      <c r="AF123" s="199"/>
      <c r="AG123" s="197"/>
      <c r="AH123" s="199"/>
      <c r="AI123" s="199"/>
      <c r="AK123" s="140"/>
    </row>
    <row r="124" spans="26:37" s="141" customFormat="1">
      <c r="Z124" s="140"/>
      <c r="AA124" s="140"/>
      <c r="AB124" s="197"/>
      <c r="AC124" s="199"/>
      <c r="AD124" s="199"/>
      <c r="AE124" s="199"/>
      <c r="AF124" s="199"/>
      <c r="AG124" s="197"/>
      <c r="AH124" s="199"/>
      <c r="AI124" s="199"/>
      <c r="AK124" s="140"/>
    </row>
    <row r="125" spans="26:37" s="141" customFormat="1">
      <c r="Z125" s="140"/>
      <c r="AA125" s="140"/>
      <c r="AB125" s="197"/>
      <c r="AC125" s="199"/>
      <c r="AD125" s="199"/>
      <c r="AE125" s="199"/>
      <c r="AF125" s="199"/>
      <c r="AG125" s="197"/>
      <c r="AH125" s="199"/>
      <c r="AI125" s="199"/>
      <c r="AK125" s="140"/>
    </row>
    <row r="126" spans="26:37" s="141" customFormat="1">
      <c r="Z126" s="140"/>
      <c r="AA126" s="140"/>
      <c r="AB126" s="197"/>
      <c r="AC126" s="199"/>
      <c r="AD126" s="199"/>
      <c r="AE126" s="199"/>
      <c r="AF126" s="199"/>
      <c r="AG126" s="197"/>
      <c r="AH126" s="199"/>
      <c r="AI126" s="199"/>
      <c r="AK126" s="140"/>
    </row>
    <row r="127" spans="26:37" s="141" customFormat="1">
      <c r="Z127" s="140"/>
      <c r="AA127" s="140"/>
      <c r="AB127" s="197"/>
      <c r="AC127" s="199"/>
      <c r="AD127" s="199"/>
      <c r="AE127" s="199"/>
      <c r="AF127" s="199"/>
      <c r="AG127" s="197"/>
      <c r="AH127" s="199"/>
      <c r="AI127" s="199"/>
      <c r="AK127" s="140"/>
    </row>
    <row r="128" spans="26:37" s="141" customFormat="1">
      <c r="Z128" s="140"/>
      <c r="AA128" s="140"/>
      <c r="AB128" s="197"/>
      <c r="AC128" s="199"/>
      <c r="AD128" s="199"/>
      <c r="AE128" s="199"/>
      <c r="AF128" s="199"/>
      <c r="AG128" s="197"/>
      <c r="AH128" s="199"/>
      <c r="AI128" s="199"/>
      <c r="AK128" s="140"/>
    </row>
    <row r="129" spans="26:37" s="141" customFormat="1">
      <c r="Z129" s="140"/>
      <c r="AA129" s="140"/>
      <c r="AB129" s="197"/>
      <c r="AC129" s="199"/>
      <c r="AD129" s="199"/>
      <c r="AE129" s="199"/>
      <c r="AF129" s="199"/>
      <c r="AG129" s="197"/>
      <c r="AH129" s="199"/>
      <c r="AI129" s="199"/>
      <c r="AK129" s="140"/>
    </row>
    <row r="130" spans="26:37" s="141" customFormat="1">
      <c r="Z130" s="140"/>
      <c r="AA130" s="140"/>
      <c r="AB130" s="197"/>
      <c r="AC130" s="199"/>
      <c r="AD130" s="199"/>
      <c r="AE130" s="199"/>
      <c r="AF130" s="199"/>
      <c r="AG130" s="197"/>
      <c r="AH130" s="199"/>
      <c r="AI130" s="199"/>
      <c r="AK130" s="140"/>
    </row>
    <row r="131" spans="26:37" s="141" customFormat="1">
      <c r="Z131" s="140"/>
      <c r="AA131" s="140"/>
      <c r="AB131" s="197"/>
      <c r="AC131" s="199"/>
      <c r="AD131" s="199"/>
      <c r="AE131" s="199"/>
      <c r="AF131" s="199"/>
      <c r="AG131" s="197"/>
      <c r="AH131" s="199"/>
      <c r="AI131" s="199"/>
      <c r="AK131" s="140"/>
    </row>
    <row r="132" spans="26:37" s="141" customFormat="1">
      <c r="Z132" s="140"/>
      <c r="AA132" s="140"/>
      <c r="AB132" s="197"/>
      <c r="AC132" s="199"/>
      <c r="AD132" s="199"/>
      <c r="AE132" s="199"/>
      <c r="AF132" s="199"/>
      <c r="AG132" s="197"/>
      <c r="AH132" s="199"/>
      <c r="AI132" s="199"/>
      <c r="AK132" s="140"/>
    </row>
    <row r="133" spans="26:37" s="141" customFormat="1">
      <c r="Z133" s="140"/>
      <c r="AA133" s="140"/>
      <c r="AB133" s="197"/>
      <c r="AC133" s="199"/>
      <c r="AD133" s="199"/>
      <c r="AE133" s="199"/>
      <c r="AF133" s="199"/>
      <c r="AG133" s="197"/>
      <c r="AH133" s="199"/>
      <c r="AI133" s="199"/>
      <c r="AK133" s="140"/>
    </row>
    <row r="134" spans="26:37" s="141" customFormat="1">
      <c r="Z134" s="140"/>
      <c r="AA134" s="140"/>
      <c r="AB134" s="197"/>
      <c r="AC134" s="199"/>
      <c r="AD134" s="199"/>
      <c r="AE134" s="199"/>
      <c r="AF134" s="199"/>
      <c r="AG134" s="197"/>
      <c r="AH134" s="199"/>
      <c r="AI134" s="199"/>
      <c r="AK134" s="140"/>
    </row>
    <row r="135" spans="26:37" s="141" customFormat="1">
      <c r="Z135" s="140"/>
      <c r="AA135" s="140"/>
      <c r="AB135" s="197"/>
      <c r="AC135" s="199"/>
      <c r="AD135" s="199"/>
      <c r="AE135" s="199"/>
      <c r="AF135" s="199"/>
      <c r="AG135" s="197"/>
      <c r="AH135" s="199"/>
      <c r="AI135" s="199"/>
      <c r="AK135" s="140"/>
    </row>
    <row r="136" spans="26:37" s="141" customFormat="1">
      <c r="Z136" s="140"/>
      <c r="AA136" s="140"/>
      <c r="AB136" s="197"/>
      <c r="AC136" s="199"/>
      <c r="AD136" s="199"/>
      <c r="AE136" s="199"/>
      <c r="AF136" s="199"/>
      <c r="AG136" s="197"/>
      <c r="AH136" s="199"/>
      <c r="AI136" s="199"/>
      <c r="AK136" s="140"/>
    </row>
    <row r="137" spans="26:37" s="141" customFormat="1">
      <c r="Z137" s="140"/>
      <c r="AA137" s="140"/>
      <c r="AB137" s="197"/>
      <c r="AC137" s="199"/>
      <c r="AD137" s="199"/>
      <c r="AE137" s="199"/>
      <c r="AF137" s="199"/>
      <c r="AG137" s="197"/>
      <c r="AH137" s="199"/>
      <c r="AI137" s="199"/>
      <c r="AK137" s="140"/>
    </row>
    <row r="138" spans="26:37" s="141" customFormat="1">
      <c r="Z138" s="140"/>
      <c r="AA138" s="140"/>
      <c r="AB138" s="197"/>
      <c r="AC138" s="199"/>
      <c r="AD138" s="199"/>
      <c r="AE138" s="199"/>
      <c r="AF138" s="199"/>
      <c r="AG138" s="197"/>
      <c r="AH138" s="199"/>
      <c r="AI138" s="199"/>
      <c r="AK138" s="140"/>
    </row>
    <row r="139" spans="26:37" s="141" customFormat="1">
      <c r="Z139" s="140"/>
      <c r="AA139" s="140"/>
      <c r="AB139" s="197"/>
      <c r="AC139" s="199"/>
      <c r="AD139" s="199"/>
      <c r="AE139" s="199"/>
      <c r="AF139" s="199"/>
      <c r="AG139" s="197"/>
      <c r="AH139" s="199"/>
      <c r="AI139" s="199"/>
      <c r="AK139" s="140"/>
    </row>
    <row r="140" spans="26:37" s="141" customFormat="1">
      <c r="Z140" s="140"/>
      <c r="AA140" s="140"/>
      <c r="AB140" s="197"/>
      <c r="AC140" s="199"/>
      <c r="AD140" s="199"/>
      <c r="AE140" s="199"/>
      <c r="AF140" s="199"/>
      <c r="AG140" s="197"/>
      <c r="AH140" s="199"/>
      <c r="AI140" s="199"/>
      <c r="AK140" s="140"/>
    </row>
    <row r="141" spans="26:37" s="141" customFormat="1">
      <c r="Z141" s="140"/>
      <c r="AA141" s="140"/>
      <c r="AB141" s="197"/>
      <c r="AC141" s="199"/>
      <c r="AD141" s="199"/>
      <c r="AE141" s="199"/>
      <c r="AF141" s="199"/>
      <c r="AG141" s="197"/>
      <c r="AH141" s="199"/>
      <c r="AI141" s="199"/>
      <c r="AK141" s="140"/>
    </row>
    <row r="142" spans="26:37" s="141" customFormat="1">
      <c r="Z142" s="140"/>
      <c r="AA142" s="140"/>
      <c r="AB142" s="197"/>
      <c r="AC142" s="199"/>
      <c r="AD142" s="199"/>
      <c r="AE142" s="199"/>
      <c r="AF142" s="199"/>
      <c r="AG142" s="197"/>
      <c r="AH142" s="199"/>
      <c r="AI142" s="199"/>
      <c r="AK142" s="140"/>
    </row>
    <row r="143" spans="26:37" s="141" customFormat="1">
      <c r="Z143" s="140"/>
      <c r="AA143" s="140"/>
      <c r="AB143" s="197"/>
      <c r="AC143" s="199"/>
      <c r="AD143" s="199"/>
      <c r="AE143" s="199"/>
      <c r="AF143" s="199"/>
      <c r="AG143" s="197"/>
      <c r="AH143" s="199"/>
      <c r="AI143" s="199"/>
      <c r="AK143" s="140"/>
    </row>
    <row r="144" spans="26:37" s="141" customFormat="1">
      <c r="Z144" s="140"/>
      <c r="AA144" s="140"/>
      <c r="AB144" s="197"/>
      <c r="AC144" s="199"/>
      <c r="AD144" s="199"/>
      <c r="AE144" s="199"/>
      <c r="AF144" s="199"/>
      <c r="AG144" s="197"/>
      <c r="AH144" s="199"/>
      <c r="AI144" s="199"/>
      <c r="AK144" s="140"/>
    </row>
    <row r="145" spans="26:37" s="141" customFormat="1">
      <c r="Z145" s="140"/>
      <c r="AA145" s="140"/>
      <c r="AB145" s="197"/>
      <c r="AC145" s="199"/>
      <c r="AD145" s="199"/>
      <c r="AE145" s="199"/>
      <c r="AF145" s="199"/>
      <c r="AG145" s="197"/>
      <c r="AH145" s="199"/>
      <c r="AI145" s="199"/>
      <c r="AK145" s="140"/>
    </row>
    <row r="146" spans="26:37" s="141" customFormat="1">
      <c r="Z146" s="140"/>
      <c r="AA146" s="140"/>
      <c r="AB146" s="197"/>
      <c r="AC146" s="199"/>
      <c r="AD146" s="199"/>
      <c r="AE146" s="199"/>
      <c r="AF146" s="199"/>
      <c r="AG146" s="197"/>
      <c r="AH146" s="199"/>
      <c r="AI146" s="199"/>
      <c r="AK146" s="140"/>
    </row>
    <row r="147" spans="26:37" s="141" customFormat="1">
      <c r="Z147" s="140"/>
      <c r="AA147" s="140"/>
      <c r="AB147" s="197"/>
      <c r="AC147" s="199"/>
      <c r="AD147" s="199"/>
      <c r="AE147" s="199"/>
      <c r="AF147" s="199"/>
      <c r="AG147" s="197"/>
      <c r="AH147" s="199"/>
      <c r="AI147" s="199"/>
      <c r="AK147" s="140"/>
    </row>
    <row r="148" spans="26:37" s="141" customFormat="1">
      <c r="Z148" s="140"/>
      <c r="AA148" s="140"/>
      <c r="AB148" s="197"/>
      <c r="AC148" s="199"/>
      <c r="AD148" s="199"/>
      <c r="AE148" s="199"/>
      <c r="AF148" s="199"/>
      <c r="AG148" s="197"/>
      <c r="AH148" s="199"/>
      <c r="AI148" s="199"/>
      <c r="AK148" s="140"/>
    </row>
    <row r="149" spans="26:37" s="141" customFormat="1">
      <c r="Z149" s="140"/>
      <c r="AA149" s="140"/>
      <c r="AB149" s="197"/>
      <c r="AC149" s="199"/>
      <c r="AD149" s="199"/>
      <c r="AE149" s="199"/>
      <c r="AF149" s="199"/>
      <c r="AG149" s="197"/>
      <c r="AH149" s="199"/>
      <c r="AI149" s="199"/>
      <c r="AK149" s="140"/>
    </row>
    <row r="150" spans="26:37" s="141" customFormat="1">
      <c r="Z150" s="140"/>
      <c r="AA150" s="140"/>
      <c r="AB150" s="197"/>
      <c r="AC150" s="199"/>
      <c r="AD150" s="199"/>
      <c r="AE150" s="199"/>
      <c r="AF150" s="199"/>
      <c r="AG150" s="197"/>
      <c r="AH150" s="199"/>
      <c r="AI150" s="199"/>
      <c r="AK150" s="140"/>
    </row>
    <row r="151" spans="26:37" s="141" customFormat="1">
      <c r="Z151" s="140"/>
      <c r="AA151" s="140"/>
      <c r="AB151" s="197"/>
      <c r="AC151" s="199"/>
      <c r="AD151" s="199"/>
      <c r="AE151" s="199"/>
      <c r="AF151" s="199"/>
      <c r="AG151" s="197"/>
      <c r="AH151" s="199"/>
      <c r="AI151" s="199"/>
      <c r="AK151" s="140"/>
    </row>
    <row r="152" spans="26:37" s="141" customFormat="1">
      <c r="Z152" s="140"/>
      <c r="AA152" s="140"/>
      <c r="AB152" s="197"/>
      <c r="AC152" s="199"/>
      <c r="AD152" s="199"/>
      <c r="AE152" s="199"/>
      <c r="AF152" s="199"/>
      <c r="AG152" s="197"/>
      <c r="AH152" s="199"/>
      <c r="AI152" s="199"/>
      <c r="AK152" s="140"/>
    </row>
    <row r="153" spans="26:37" s="141" customFormat="1">
      <c r="Z153" s="140"/>
      <c r="AA153" s="140"/>
      <c r="AB153" s="197"/>
      <c r="AC153" s="199"/>
      <c r="AD153" s="199"/>
      <c r="AE153" s="199"/>
      <c r="AF153" s="199"/>
      <c r="AG153" s="197"/>
      <c r="AH153" s="199"/>
      <c r="AI153" s="199"/>
      <c r="AK153" s="140"/>
    </row>
    <row r="154" spans="26:37" s="141" customFormat="1">
      <c r="Z154" s="140"/>
      <c r="AA154" s="140"/>
      <c r="AB154" s="197"/>
      <c r="AC154" s="199"/>
      <c r="AD154" s="199"/>
      <c r="AE154" s="199"/>
      <c r="AF154" s="199"/>
      <c r="AG154" s="197"/>
      <c r="AH154" s="199"/>
      <c r="AI154" s="199"/>
      <c r="AK154" s="140"/>
    </row>
    <row r="155" spans="26:37" s="141" customFormat="1">
      <c r="Z155" s="140"/>
      <c r="AA155" s="140"/>
      <c r="AB155" s="197"/>
      <c r="AC155" s="199"/>
      <c r="AD155" s="199"/>
      <c r="AE155" s="199"/>
      <c r="AF155" s="199"/>
      <c r="AG155" s="197"/>
      <c r="AH155" s="199"/>
      <c r="AI155" s="199"/>
      <c r="AK155" s="140"/>
    </row>
    <row r="156" spans="26:37" s="141" customFormat="1">
      <c r="Z156" s="140"/>
      <c r="AA156" s="140"/>
      <c r="AB156" s="197"/>
      <c r="AC156" s="199"/>
      <c r="AD156" s="199"/>
      <c r="AE156" s="199"/>
      <c r="AF156" s="199"/>
      <c r="AG156" s="197"/>
      <c r="AH156" s="199"/>
      <c r="AI156" s="199"/>
      <c r="AK156" s="140"/>
    </row>
    <row r="157" spans="26:37" s="141" customFormat="1">
      <c r="Z157" s="140"/>
      <c r="AA157" s="140"/>
      <c r="AB157" s="197"/>
      <c r="AC157" s="199"/>
      <c r="AD157" s="199"/>
      <c r="AE157" s="199"/>
      <c r="AF157" s="199"/>
      <c r="AG157" s="197"/>
      <c r="AH157" s="199"/>
      <c r="AI157" s="199"/>
      <c r="AK157" s="140"/>
    </row>
    <row r="158" spans="26:37" s="141" customFormat="1">
      <c r="Z158" s="140"/>
      <c r="AA158" s="140"/>
      <c r="AB158" s="197"/>
      <c r="AC158" s="199"/>
      <c r="AD158" s="199"/>
      <c r="AE158" s="199"/>
      <c r="AF158" s="199"/>
      <c r="AG158" s="197"/>
      <c r="AH158" s="199"/>
      <c r="AI158" s="199"/>
      <c r="AK158" s="140"/>
    </row>
    <row r="159" spans="26:37" s="141" customFormat="1">
      <c r="Z159" s="140"/>
      <c r="AA159" s="140"/>
      <c r="AB159" s="197"/>
      <c r="AC159" s="199"/>
      <c r="AD159" s="199"/>
      <c r="AE159" s="199"/>
      <c r="AF159" s="199"/>
      <c r="AG159" s="197"/>
      <c r="AH159" s="199"/>
      <c r="AI159" s="199"/>
      <c r="AK159" s="140"/>
    </row>
    <row r="160" spans="26:37" s="141" customFormat="1">
      <c r="Z160" s="140"/>
      <c r="AA160" s="140"/>
      <c r="AB160" s="197"/>
      <c r="AC160" s="199"/>
      <c r="AD160" s="199"/>
      <c r="AE160" s="199"/>
      <c r="AF160" s="199"/>
      <c r="AG160" s="197"/>
      <c r="AH160" s="199"/>
      <c r="AI160" s="199"/>
      <c r="AK160" s="140"/>
    </row>
    <row r="161" spans="26:37" s="141" customFormat="1">
      <c r="Z161" s="140"/>
      <c r="AA161" s="140"/>
      <c r="AB161" s="197"/>
      <c r="AC161" s="199"/>
      <c r="AD161" s="199"/>
      <c r="AE161" s="199"/>
      <c r="AF161" s="199"/>
      <c r="AG161" s="197"/>
      <c r="AH161" s="199"/>
      <c r="AI161" s="199"/>
      <c r="AK161" s="140"/>
    </row>
    <row r="162" spans="26:37" s="141" customFormat="1">
      <c r="Z162" s="140"/>
      <c r="AA162" s="140"/>
      <c r="AB162" s="197"/>
      <c r="AC162" s="199"/>
      <c r="AD162" s="199"/>
      <c r="AE162" s="199"/>
      <c r="AF162" s="199"/>
      <c r="AG162" s="197"/>
      <c r="AH162" s="199"/>
      <c r="AI162" s="199"/>
      <c r="AK162" s="140"/>
    </row>
    <row r="163" spans="26:37" s="141" customFormat="1">
      <c r="Z163" s="140"/>
      <c r="AA163" s="140"/>
      <c r="AB163" s="197"/>
      <c r="AC163" s="199"/>
      <c r="AD163" s="199"/>
      <c r="AE163" s="199"/>
      <c r="AF163" s="199"/>
      <c r="AG163" s="197"/>
      <c r="AH163" s="199"/>
      <c r="AI163" s="199"/>
      <c r="AK163" s="140"/>
    </row>
    <row r="164" spans="26:37" s="141" customFormat="1">
      <c r="Z164" s="140"/>
      <c r="AA164" s="140"/>
      <c r="AB164" s="197"/>
      <c r="AC164" s="199"/>
      <c r="AD164" s="199"/>
      <c r="AE164" s="199"/>
      <c r="AF164" s="199"/>
      <c r="AG164" s="197"/>
      <c r="AH164" s="199"/>
      <c r="AI164" s="199"/>
      <c r="AK164" s="140"/>
    </row>
    <row r="165" spans="26:37" s="141" customFormat="1">
      <c r="Z165" s="140"/>
      <c r="AA165" s="140"/>
      <c r="AB165" s="197"/>
      <c r="AC165" s="199"/>
      <c r="AD165" s="199"/>
      <c r="AE165" s="199"/>
      <c r="AF165" s="199"/>
      <c r="AG165" s="197"/>
      <c r="AH165" s="199"/>
      <c r="AI165" s="199"/>
      <c r="AK165" s="140"/>
    </row>
    <row r="166" spans="26:37" s="141" customFormat="1">
      <c r="Z166" s="140"/>
      <c r="AA166" s="140"/>
      <c r="AB166" s="197"/>
      <c r="AC166" s="199"/>
      <c r="AD166" s="199"/>
      <c r="AE166" s="199"/>
      <c r="AF166" s="199"/>
      <c r="AG166" s="197"/>
      <c r="AH166" s="199"/>
      <c r="AI166" s="199"/>
      <c r="AK166" s="140"/>
    </row>
    <row r="167" spans="26:37" s="141" customFormat="1">
      <c r="Z167" s="140"/>
      <c r="AA167" s="140"/>
      <c r="AB167" s="197"/>
      <c r="AC167" s="199"/>
      <c r="AD167" s="199"/>
      <c r="AE167" s="199"/>
      <c r="AF167" s="199"/>
      <c r="AG167" s="197"/>
      <c r="AH167" s="199"/>
      <c r="AI167" s="199"/>
      <c r="AK167" s="140"/>
    </row>
    <row r="168" spans="26:37" s="141" customFormat="1">
      <c r="Z168" s="140"/>
      <c r="AA168" s="140"/>
      <c r="AB168" s="197"/>
      <c r="AC168" s="199"/>
      <c r="AD168" s="199"/>
      <c r="AE168" s="199"/>
      <c r="AF168" s="199"/>
      <c r="AG168" s="197"/>
      <c r="AH168" s="199"/>
      <c r="AI168" s="199"/>
      <c r="AK168" s="140"/>
    </row>
    <row r="169" spans="26:37" s="141" customFormat="1">
      <c r="Z169" s="140"/>
      <c r="AA169" s="140"/>
      <c r="AB169" s="197"/>
      <c r="AC169" s="199"/>
      <c r="AD169" s="199"/>
      <c r="AE169" s="199"/>
      <c r="AF169" s="199"/>
      <c r="AG169" s="197"/>
      <c r="AH169" s="199"/>
      <c r="AI169" s="199"/>
      <c r="AK169" s="140"/>
    </row>
    <row r="170" spans="26:37" s="141" customFormat="1">
      <c r="Z170" s="140"/>
      <c r="AA170" s="140"/>
      <c r="AB170" s="197"/>
      <c r="AC170" s="199"/>
      <c r="AD170" s="199"/>
      <c r="AE170" s="199"/>
      <c r="AF170" s="199"/>
      <c r="AG170" s="197"/>
      <c r="AH170" s="199"/>
      <c r="AI170" s="199"/>
      <c r="AK170" s="140"/>
    </row>
    <row r="171" spans="26:37" s="141" customFormat="1">
      <c r="Z171" s="140"/>
      <c r="AA171" s="140"/>
      <c r="AB171" s="197"/>
      <c r="AC171" s="199"/>
      <c r="AD171" s="199"/>
      <c r="AE171" s="199"/>
      <c r="AF171" s="199"/>
      <c r="AG171" s="197"/>
      <c r="AH171" s="199"/>
      <c r="AI171" s="199"/>
      <c r="AK171" s="140"/>
    </row>
    <row r="172" spans="26:37" s="141" customFormat="1">
      <c r="Z172" s="140"/>
      <c r="AA172" s="140"/>
      <c r="AB172" s="197"/>
      <c r="AC172" s="199"/>
      <c r="AD172" s="199"/>
      <c r="AE172" s="199"/>
      <c r="AF172" s="199"/>
      <c r="AG172" s="197"/>
      <c r="AH172" s="199"/>
      <c r="AI172" s="199"/>
      <c r="AK172" s="140"/>
    </row>
    <row r="173" spans="26:37" s="141" customFormat="1">
      <c r="Z173" s="140"/>
      <c r="AA173" s="140"/>
      <c r="AB173" s="197"/>
      <c r="AC173" s="199"/>
      <c r="AD173" s="199"/>
      <c r="AE173" s="199"/>
      <c r="AF173" s="199"/>
      <c r="AG173" s="197"/>
      <c r="AH173" s="199"/>
      <c r="AI173" s="199"/>
      <c r="AK173" s="140"/>
    </row>
    <row r="174" spans="26:37" s="141" customFormat="1">
      <c r="Z174" s="140"/>
      <c r="AA174" s="140"/>
      <c r="AB174" s="197"/>
      <c r="AC174" s="199"/>
      <c r="AD174" s="199"/>
      <c r="AE174" s="199"/>
      <c r="AF174" s="199"/>
      <c r="AG174" s="197"/>
      <c r="AH174" s="199"/>
      <c r="AI174" s="199"/>
      <c r="AK174" s="140"/>
    </row>
    <row r="175" spans="26:37" s="141" customFormat="1">
      <c r="Z175" s="140"/>
      <c r="AA175" s="140"/>
      <c r="AB175" s="197"/>
      <c r="AC175" s="199"/>
      <c r="AD175" s="199"/>
      <c r="AE175" s="199"/>
      <c r="AF175" s="199"/>
      <c r="AG175" s="197"/>
      <c r="AH175" s="199"/>
      <c r="AI175" s="199"/>
      <c r="AK175" s="140"/>
    </row>
    <row r="176" spans="26:37" s="141" customFormat="1">
      <c r="Z176" s="140"/>
      <c r="AA176" s="140"/>
      <c r="AB176" s="197"/>
      <c r="AC176" s="199"/>
      <c r="AD176" s="199"/>
      <c r="AE176" s="199"/>
      <c r="AF176" s="199"/>
      <c r="AG176" s="197"/>
      <c r="AH176" s="199"/>
      <c r="AI176" s="199"/>
      <c r="AK176" s="140"/>
    </row>
    <row r="177" spans="26:37" s="141" customFormat="1">
      <c r="Z177" s="140"/>
      <c r="AA177" s="140"/>
      <c r="AB177" s="197"/>
      <c r="AC177" s="199"/>
      <c r="AD177" s="199"/>
      <c r="AE177" s="199"/>
      <c r="AF177" s="199"/>
      <c r="AG177" s="197"/>
      <c r="AH177" s="199"/>
      <c r="AI177" s="199"/>
      <c r="AK177" s="140"/>
    </row>
    <row r="178" spans="26:37" s="141" customFormat="1">
      <c r="Z178" s="140"/>
      <c r="AA178" s="140"/>
      <c r="AB178" s="197"/>
      <c r="AC178" s="199"/>
      <c r="AD178" s="199"/>
      <c r="AE178" s="199"/>
      <c r="AF178" s="199"/>
      <c r="AG178" s="197"/>
      <c r="AH178" s="199"/>
      <c r="AI178" s="199"/>
      <c r="AK178" s="140"/>
    </row>
    <row r="179" spans="26:37" s="141" customFormat="1">
      <c r="Z179" s="140"/>
      <c r="AA179" s="140"/>
      <c r="AB179" s="197"/>
      <c r="AC179" s="199"/>
      <c r="AD179" s="199"/>
      <c r="AE179" s="199"/>
      <c r="AF179" s="199"/>
      <c r="AG179" s="197"/>
      <c r="AH179" s="199"/>
      <c r="AI179" s="199"/>
      <c r="AK179" s="140"/>
    </row>
    <row r="180" spans="26:37" s="141" customFormat="1">
      <c r="Z180" s="140"/>
      <c r="AA180" s="140"/>
      <c r="AB180" s="197"/>
      <c r="AC180" s="199"/>
      <c r="AD180" s="199"/>
      <c r="AE180" s="199"/>
      <c r="AF180" s="199"/>
      <c r="AG180" s="197"/>
      <c r="AH180" s="199"/>
      <c r="AI180" s="199"/>
      <c r="AK180" s="140"/>
    </row>
    <row r="181" spans="26:37" s="141" customFormat="1">
      <c r="Z181" s="140"/>
      <c r="AA181" s="140"/>
      <c r="AB181" s="197"/>
      <c r="AC181" s="199"/>
      <c r="AD181" s="199"/>
      <c r="AE181" s="199"/>
      <c r="AF181" s="199"/>
      <c r="AG181" s="197"/>
      <c r="AH181" s="199"/>
      <c r="AI181" s="199"/>
      <c r="AK181" s="140"/>
    </row>
    <row r="182" spans="26:37" s="141" customFormat="1">
      <c r="Z182" s="140"/>
      <c r="AA182" s="140"/>
      <c r="AB182" s="197"/>
      <c r="AC182" s="199"/>
      <c r="AD182" s="199"/>
      <c r="AE182" s="199"/>
      <c r="AF182" s="199"/>
      <c r="AG182" s="197"/>
      <c r="AH182" s="199"/>
      <c r="AI182" s="199"/>
      <c r="AK182" s="140"/>
    </row>
    <row r="183" spans="26:37" s="141" customFormat="1">
      <c r="Z183" s="140"/>
      <c r="AA183" s="140"/>
      <c r="AB183" s="197"/>
      <c r="AC183" s="199"/>
      <c r="AD183" s="199"/>
      <c r="AE183" s="199"/>
      <c r="AF183" s="199"/>
      <c r="AG183" s="197"/>
      <c r="AH183" s="199"/>
      <c r="AI183" s="199"/>
      <c r="AK183" s="140"/>
    </row>
    <row r="184" spans="26:37" s="141" customFormat="1">
      <c r="Z184" s="140"/>
      <c r="AA184" s="140"/>
      <c r="AB184" s="197"/>
      <c r="AC184" s="199"/>
      <c r="AD184" s="199"/>
      <c r="AE184" s="199"/>
      <c r="AF184" s="199"/>
      <c r="AG184" s="197"/>
      <c r="AH184" s="199"/>
      <c r="AI184" s="199"/>
      <c r="AK184" s="140"/>
    </row>
    <row r="185" spans="26:37" s="141" customFormat="1">
      <c r="Z185" s="140"/>
      <c r="AA185" s="140"/>
      <c r="AB185" s="197"/>
      <c r="AC185" s="199"/>
      <c r="AD185" s="199"/>
      <c r="AE185" s="199"/>
      <c r="AF185" s="199"/>
      <c r="AG185" s="197"/>
      <c r="AH185" s="199"/>
      <c r="AI185" s="199"/>
      <c r="AK185" s="140"/>
    </row>
    <row r="186" spans="26:37" s="141" customFormat="1">
      <c r="Z186" s="140"/>
      <c r="AA186" s="140"/>
      <c r="AB186" s="197"/>
      <c r="AC186" s="199"/>
      <c r="AD186" s="199"/>
      <c r="AE186" s="199"/>
      <c r="AF186" s="199"/>
      <c r="AG186" s="197"/>
      <c r="AH186" s="199"/>
      <c r="AI186" s="199"/>
      <c r="AK186" s="140"/>
    </row>
    <row r="187" spans="26:37" s="141" customFormat="1">
      <c r="Z187" s="140"/>
      <c r="AA187" s="140"/>
      <c r="AB187" s="197"/>
      <c r="AC187" s="199"/>
      <c r="AD187" s="199"/>
      <c r="AE187" s="199"/>
      <c r="AF187" s="199"/>
      <c r="AG187" s="197"/>
      <c r="AH187" s="199"/>
      <c r="AI187" s="199"/>
      <c r="AK187" s="140"/>
    </row>
    <row r="188" spans="26:37" s="141" customFormat="1">
      <c r="Z188" s="140"/>
      <c r="AA188" s="140"/>
      <c r="AB188" s="197"/>
      <c r="AC188" s="199"/>
      <c r="AD188" s="199"/>
      <c r="AE188" s="199"/>
      <c r="AF188" s="199"/>
      <c r="AG188" s="197"/>
      <c r="AH188" s="199"/>
      <c r="AI188" s="199"/>
      <c r="AK188" s="140"/>
    </row>
    <row r="189" spans="26:37" s="141" customFormat="1">
      <c r="Z189" s="140"/>
      <c r="AA189" s="140"/>
      <c r="AB189" s="197"/>
      <c r="AC189" s="199"/>
      <c r="AD189" s="199"/>
      <c r="AE189" s="199"/>
      <c r="AF189" s="199"/>
      <c r="AG189" s="197"/>
      <c r="AH189" s="199"/>
      <c r="AI189" s="199"/>
      <c r="AK189" s="140"/>
    </row>
    <row r="190" spans="26:37" s="141" customFormat="1">
      <c r="Z190" s="140"/>
      <c r="AA190" s="140"/>
      <c r="AB190" s="197"/>
      <c r="AC190" s="199"/>
      <c r="AD190" s="199"/>
      <c r="AE190" s="199"/>
      <c r="AF190" s="199"/>
      <c r="AG190" s="197"/>
      <c r="AH190" s="199"/>
      <c r="AI190" s="199"/>
      <c r="AK190" s="140"/>
    </row>
    <row r="191" spans="26:37" s="141" customFormat="1">
      <c r="Z191" s="140"/>
      <c r="AA191" s="140"/>
      <c r="AB191" s="197"/>
      <c r="AC191" s="199"/>
      <c r="AD191" s="199"/>
      <c r="AE191" s="199"/>
      <c r="AF191" s="199"/>
      <c r="AG191" s="197"/>
      <c r="AH191" s="199"/>
      <c r="AI191" s="199"/>
      <c r="AK191" s="140"/>
    </row>
    <row r="192" spans="26:37" s="141" customFormat="1">
      <c r="Z192" s="140"/>
      <c r="AA192" s="140"/>
      <c r="AB192" s="197"/>
      <c r="AC192" s="199"/>
      <c r="AD192" s="199"/>
      <c r="AE192" s="199"/>
      <c r="AF192" s="199"/>
      <c r="AG192" s="197"/>
      <c r="AH192" s="199"/>
      <c r="AI192" s="199"/>
      <c r="AK192" s="140"/>
    </row>
    <row r="193" spans="1:37" s="141" customFormat="1">
      <c r="Z193" s="140"/>
      <c r="AA193" s="140"/>
      <c r="AB193" s="197"/>
      <c r="AC193" s="199"/>
      <c r="AD193" s="199"/>
      <c r="AE193" s="199"/>
      <c r="AF193" s="199"/>
      <c r="AG193" s="197"/>
      <c r="AH193" s="199"/>
      <c r="AI193" s="199"/>
      <c r="AK193" s="140"/>
    </row>
    <row r="194" spans="1:37" s="141" customFormat="1">
      <c r="Z194" s="140"/>
      <c r="AA194" s="140"/>
      <c r="AB194" s="197"/>
      <c r="AC194" s="199"/>
      <c r="AD194" s="199"/>
      <c r="AE194" s="199"/>
      <c r="AF194" s="199"/>
      <c r="AG194" s="197"/>
      <c r="AH194" s="199"/>
      <c r="AI194" s="199"/>
      <c r="AK194" s="140"/>
    </row>
    <row r="195" spans="1:37" s="141" customFormat="1">
      <c r="Z195" s="140"/>
      <c r="AA195" s="140"/>
      <c r="AB195" s="197"/>
      <c r="AC195" s="199"/>
      <c r="AD195" s="199"/>
      <c r="AE195" s="199"/>
      <c r="AF195" s="199"/>
      <c r="AG195" s="197"/>
      <c r="AH195" s="199"/>
      <c r="AI195" s="199"/>
      <c r="AK195" s="140"/>
    </row>
    <row r="196" spans="1:37" s="141" customFormat="1">
      <c r="Z196" s="140"/>
      <c r="AA196" s="140"/>
      <c r="AB196" s="197"/>
      <c r="AC196" s="199"/>
      <c r="AD196" s="199"/>
      <c r="AE196" s="199"/>
      <c r="AF196" s="199"/>
      <c r="AG196" s="197"/>
      <c r="AH196" s="199"/>
      <c r="AI196" s="199"/>
      <c r="AK196" s="140"/>
    </row>
    <row r="197" spans="1:37" s="141" customFormat="1">
      <c r="Z197" s="140"/>
      <c r="AA197" s="140"/>
      <c r="AB197" s="197"/>
      <c r="AC197" s="199"/>
      <c r="AD197" s="199"/>
      <c r="AE197" s="199"/>
      <c r="AF197" s="199"/>
      <c r="AG197" s="197"/>
      <c r="AH197" s="199"/>
      <c r="AI197" s="199"/>
      <c r="AK197" s="140"/>
    </row>
    <row r="198" spans="1:37" s="141" customFormat="1">
      <c r="Z198" s="140"/>
      <c r="AA198" s="140"/>
      <c r="AB198" s="197"/>
      <c r="AC198" s="199"/>
      <c r="AD198" s="199"/>
      <c r="AE198" s="199"/>
      <c r="AF198" s="199"/>
      <c r="AG198" s="197"/>
      <c r="AH198" s="199"/>
      <c r="AI198" s="199"/>
      <c r="AK198" s="140"/>
    </row>
    <row r="199" spans="1:37" s="141" customFormat="1">
      <c r="Z199" s="140"/>
      <c r="AA199" s="140"/>
      <c r="AB199" s="197"/>
      <c r="AC199" s="199"/>
      <c r="AD199" s="199"/>
      <c r="AE199" s="199"/>
      <c r="AF199" s="199"/>
      <c r="AG199" s="197"/>
      <c r="AH199" s="199"/>
      <c r="AI199" s="199"/>
      <c r="AK199" s="140"/>
    </row>
    <row r="200" spans="1:37" s="141" customFormat="1">
      <c r="Z200" s="140"/>
      <c r="AA200" s="140"/>
      <c r="AB200" s="197"/>
      <c r="AC200" s="199"/>
      <c r="AD200" s="199"/>
      <c r="AE200" s="199"/>
      <c r="AF200" s="199"/>
      <c r="AG200" s="197"/>
      <c r="AH200" s="199"/>
      <c r="AI200" s="199"/>
      <c r="AK200" s="140"/>
    </row>
    <row r="201" spans="1:37" s="141" customFormat="1">
      <c r="Z201" s="140"/>
      <c r="AA201" s="140"/>
      <c r="AB201" s="197"/>
      <c r="AC201" s="199"/>
      <c r="AD201" s="199"/>
      <c r="AE201" s="199"/>
      <c r="AF201" s="199"/>
      <c r="AG201" s="197"/>
      <c r="AH201" s="199"/>
      <c r="AI201" s="199"/>
      <c r="AK201" s="140"/>
    </row>
    <row r="202" spans="1:37" s="141" customFormat="1">
      <c r="Z202" s="140"/>
      <c r="AA202" s="140"/>
      <c r="AB202" s="197"/>
      <c r="AC202" s="199"/>
      <c r="AD202" s="199"/>
      <c r="AE202" s="199"/>
      <c r="AF202" s="199"/>
      <c r="AG202" s="197"/>
      <c r="AH202" s="199"/>
      <c r="AI202" s="199"/>
      <c r="AK202" s="140"/>
    </row>
    <row r="203" spans="1:37" s="141" customFormat="1">
      <c r="Z203" s="140"/>
      <c r="AA203" s="140"/>
      <c r="AB203" s="197"/>
      <c r="AC203" s="199"/>
      <c r="AD203" s="199"/>
      <c r="AE203" s="199"/>
      <c r="AF203" s="199"/>
      <c r="AG203" s="197"/>
      <c r="AH203" s="199"/>
      <c r="AI203" s="199"/>
      <c r="AK203" s="140"/>
    </row>
    <row r="204" spans="1:37" s="141" customFormat="1">
      <c r="Z204" s="140"/>
      <c r="AA204" s="140"/>
      <c r="AB204" s="197"/>
      <c r="AC204" s="199"/>
      <c r="AD204" s="199"/>
      <c r="AE204" s="199"/>
      <c r="AF204" s="199"/>
      <c r="AG204" s="197"/>
      <c r="AH204" s="199"/>
      <c r="AI204" s="199"/>
      <c r="AK204" s="140"/>
    </row>
    <row r="205" spans="1:37" s="141" customFormat="1">
      <c r="A205" s="141">
        <v>100</v>
      </c>
      <c r="Z205" s="140"/>
      <c r="AA205" s="140"/>
      <c r="AB205" s="197"/>
      <c r="AC205" s="199"/>
      <c r="AD205" s="199"/>
      <c r="AE205" s="199"/>
      <c r="AF205" s="199"/>
      <c r="AG205" s="197"/>
      <c r="AH205" s="199"/>
      <c r="AI205" s="199"/>
      <c r="AK205" s="140"/>
    </row>
    <row r="206" spans="1:37" s="141" customFormat="1">
      <c r="A206" s="141">
        <v>101</v>
      </c>
      <c r="Z206" s="140"/>
      <c r="AA206" s="140"/>
      <c r="AB206" s="197"/>
      <c r="AC206" s="199"/>
      <c r="AD206" s="199"/>
      <c r="AE206" s="199"/>
      <c r="AF206" s="199"/>
      <c r="AG206" s="197"/>
      <c r="AH206" s="199"/>
      <c r="AI206" s="199"/>
      <c r="AK206" s="140"/>
    </row>
    <row r="207" spans="1:37" s="141" customFormat="1">
      <c r="A207" s="141">
        <v>102</v>
      </c>
      <c r="Z207" s="140"/>
      <c r="AA207" s="140"/>
      <c r="AB207" s="197"/>
      <c r="AC207" s="199"/>
      <c r="AD207" s="199"/>
      <c r="AE207" s="199"/>
      <c r="AF207" s="199"/>
      <c r="AG207" s="197"/>
      <c r="AH207" s="199"/>
      <c r="AI207" s="199"/>
      <c r="AK207" s="140"/>
    </row>
    <row r="208" spans="1:37" s="141" customFormat="1">
      <c r="A208" s="141">
        <v>103</v>
      </c>
      <c r="Z208" s="140"/>
      <c r="AA208" s="140"/>
      <c r="AB208" s="197"/>
      <c r="AC208" s="199"/>
      <c r="AD208" s="199"/>
      <c r="AE208" s="199"/>
      <c r="AF208" s="199"/>
      <c r="AG208" s="197"/>
      <c r="AH208" s="199"/>
      <c r="AI208" s="199"/>
      <c r="AK208" s="140"/>
    </row>
    <row r="209" spans="1:37" s="141" customFormat="1">
      <c r="A209" s="141">
        <v>104</v>
      </c>
      <c r="Z209" s="140"/>
      <c r="AA209" s="140"/>
      <c r="AB209" s="197"/>
      <c r="AC209" s="199"/>
      <c r="AD209" s="199"/>
      <c r="AE209" s="199"/>
      <c r="AF209" s="199"/>
      <c r="AG209" s="197"/>
      <c r="AH209" s="199"/>
      <c r="AI209" s="199"/>
      <c r="AK209" s="140"/>
    </row>
    <row r="210" spans="1:37" s="141" customFormat="1">
      <c r="A210" s="141">
        <v>105</v>
      </c>
      <c r="Z210" s="140"/>
      <c r="AA210" s="140"/>
      <c r="AB210" s="197"/>
      <c r="AC210" s="199"/>
      <c r="AD210" s="199"/>
      <c r="AE210" s="199"/>
      <c r="AF210" s="199"/>
      <c r="AG210" s="197"/>
      <c r="AH210" s="199"/>
      <c r="AI210" s="199"/>
      <c r="AK210" s="140"/>
    </row>
    <row r="211" spans="1:37" s="141" customFormat="1">
      <c r="A211" s="141">
        <v>106</v>
      </c>
      <c r="Z211" s="140"/>
      <c r="AA211" s="140"/>
      <c r="AB211" s="197"/>
      <c r="AC211" s="199"/>
      <c r="AD211" s="199"/>
      <c r="AE211" s="199"/>
      <c r="AF211" s="199"/>
      <c r="AG211" s="197"/>
      <c r="AH211" s="199"/>
      <c r="AI211" s="199"/>
      <c r="AK211" s="140"/>
    </row>
    <row r="212" spans="1:37" s="141" customFormat="1">
      <c r="A212" s="141">
        <v>107</v>
      </c>
      <c r="Z212" s="140"/>
      <c r="AA212" s="140"/>
      <c r="AB212" s="197"/>
      <c r="AC212" s="199"/>
      <c r="AD212" s="199"/>
      <c r="AE212" s="199"/>
      <c r="AF212" s="199"/>
      <c r="AG212" s="197"/>
      <c r="AH212" s="199"/>
      <c r="AI212" s="199"/>
      <c r="AK212" s="140"/>
    </row>
    <row r="213" spans="1:37" s="141" customFormat="1">
      <c r="A213" s="141">
        <v>108</v>
      </c>
      <c r="Z213" s="140"/>
      <c r="AA213" s="140"/>
      <c r="AB213" s="197"/>
      <c r="AC213" s="199"/>
      <c r="AD213" s="199"/>
      <c r="AE213" s="199"/>
      <c r="AF213" s="199"/>
      <c r="AG213" s="197"/>
      <c r="AH213" s="199"/>
      <c r="AI213" s="199"/>
      <c r="AK213" s="140"/>
    </row>
    <row r="214" spans="1:37" s="141" customFormat="1">
      <c r="A214" s="141">
        <v>109</v>
      </c>
      <c r="Z214" s="140"/>
      <c r="AA214" s="140"/>
      <c r="AB214" s="197"/>
      <c r="AC214" s="199"/>
      <c r="AD214" s="199"/>
      <c r="AE214" s="199"/>
      <c r="AF214" s="199"/>
      <c r="AG214" s="197"/>
      <c r="AH214" s="199"/>
      <c r="AI214" s="199"/>
      <c r="AK214" s="140"/>
    </row>
    <row r="215" spans="1:37" s="141" customFormat="1">
      <c r="A215" s="141">
        <v>110</v>
      </c>
      <c r="Z215" s="140"/>
      <c r="AA215" s="140"/>
      <c r="AB215" s="197"/>
      <c r="AC215" s="199"/>
      <c r="AD215" s="199"/>
      <c r="AE215" s="199"/>
      <c r="AF215" s="199"/>
      <c r="AG215" s="197"/>
      <c r="AH215" s="199"/>
      <c r="AI215" s="199"/>
      <c r="AK215" s="140"/>
    </row>
    <row r="216" spans="1:37" s="141" customFormat="1">
      <c r="A216" s="141">
        <v>111</v>
      </c>
      <c r="Z216" s="140"/>
      <c r="AA216" s="140"/>
      <c r="AB216" s="197"/>
      <c r="AC216" s="199"/>
      <c r="AD216" s="199"/>
      <c r="AE216" s="199"/>
      <c r="AF216" s="199"/>
      <c r="AG216" s="197"/>
      <c r="AH216" s="199"/>
      <c r="AI216" s="199"/>
      <c r="AK216" s="140"/>
    </row>
    <row r="217" spans="1:37" s="141" customFormat="1">
      <c r="A217" s="141">
        <v>112</v>
      </c>
      <c r="Z217" s="140"/>
      <c r="AA217" s="140"/>
      <c r="AB217" s="197"/>
      <c r="AC217" s="199"/>
      <c r="AD217" s="199"/>
      <c r="AE217" s="199"/>
      <c r="AF217" s="199"/>
      <c r="AG217" s="197"/>
      <c r="AH217" s="199"/>
      <c r="AI217" s="199"/>
      <c r="AK217" s="140"/>
    </row>
    <row r="218" spans="1:37" s="141" customFormat="1">
      <c r="A218" s="141">
        <v>113</v>
      </c>
      <c r="Z218" s="140"/>
      <c r="AA218" s="140"/>
      <c r="AB218" s="197"/>
      <c r="AC218" s="199"/>
      <c r="AD218" s="199"/>
      <c r="AE218" s="199"/>
      <c r="AF218" s="199"/>
      <c r="AG218" s="197"/>
      <c r="AH218" s="199"/>
      <c r="AI218" s="199"/>
      <c r="AK218" s="140"/>
    </row>
    <row r="219" spans="1:37" s="141" customFormat="1">
      <c r="A219" s="141">
        <v>114</v>
      </c>
      <c r="Z219" s="140"/>
      <c r="AA219" s="140"/>
      <c r="AB219" s="197"/>
      <c r="AC219" s="199"/>
      <c r="AD219" s="199"/>
      <c r="AE219" s="199"/>
      <c r="AF219" s="199"/>
      <c r="AG219" s="197"/>
      <c r="AH219" s="199"/>
      <c r="AI219" s="199"/>
      <c r="AK219" s="140"/>
    </row>
    <row r="220" spans="1:37" s="141" customFormat="1">
      <c r="A220" s="141">
        <v>115</v>
      </c>
      <c r="Z220" s="140"/>
      <c r="AA220" s="140"/>
      <c r="AB220" s="197"/>
      <c r="AC220" s="199"/>
      <c r="AD220" s="199"/>
      <c r="AE220" s="199"/>
      <c r="AF220" s="199"/>
      <c r="AG220" s="197"/>
      <c r="AH220" s="199"/>
      <c r="AI220" s="199"/>
      <c r="AK220" s="140"/>
    </row>
    <row r="221" spans="1:37" s="141" customFormat="1">
      <c r="A221" s="141">
        <v>116</v>
      </c>
      <c r="Z221" s="140"/>
      <c r="AA221" s="140"/>
      <c r="AB221" s="197"/>
      <c r="AC221" s="199"/>
      <c r="AD221" s="199"/>
      <c r="AE221" s="199"/>
      <c r="AF221" s="199"/>
      <c r="AG221" s="197"/>
      <c r="AH221" s="199"/>
      <c r="AI221" s="199"/>
      <c r="AK221" s="140"/>
    </row>
    <row r="222" spans="1:37" s="141" customFormat="1">
      <c r="A222" s="141">
        <v>117</v>
      </c>
      <c r="Z222" s="140"/>
      <c r="AA222" s="140"/>
      <c r="AB222" s="197"/>
      <c r="AC222" s="199"/>
      <c r="AD222" s="199"/>
      <c r="AE222" s="199"/>
      <c r="AF222" s="199"/>
      <c r="AG222" s="197"/>
      <c r="AH222" s="199"/>
      <c r="AI222" s="199"/>
      <c r="AK222" s="140"/>
    </row>
    <row r="223" spans="1:37" s="141" customFormat="1">
      <c r="A223" s="141">
        <v>118</v>
      </c>
      <c r="Z223" s="140"/>
      <c r="AA223" s="140"/>
      <c r="AB223" s="197"/>
      <c r="AC223" s="199"/>
      <c r="AD223" s="199"/>
      <c r="AE223" s="199"/>
      <c r="AF223" s="199"/>
      <c r="AG223" s="197"/>
      <c r="AH223" s="199"/>
      <c r="AI223" s="199"/>
      <c r="AK223" s="140"/>
    </row>
    <row r="224" spans="1:37" s="141" customFormat="1">
      <c r="A224" s="141">
        <v>119</v>
      </c>
      <c r="Z224" s="140"/>
      <c r="AA224" s="140"/>
      <c r="AB224" s="197"/>
      <c r="AC224" s="199"/>
      <c r="AD224" s="199"/>
      <c r="AE224" s="199"/>
      <c r="AF224" s="199"/>
      <c r="AG224" s="197"/>
      <c r="AH224" s="199"/>
      <c r="AI224" s="199"/>
      <c r="AK224" s="140"/>
    </row>
    <row r="225" spans="1:37" s="141" customFormat="1">
      <c r="A225" s="141">
        <v>120</v>
      </c>
      <c r="Z225" s="140"/>
      <c r="AA225" s="140"/>
      <c r="AB225" s="197"/>
      <c r="AC225" s="199"/>
      <c r="AD225" s="199"/>
      <c r="AE225" s="199"/>
      <c r="AF225" s="199"/>
      <c r="AG225" s="197"/>
      <c r="AH225" s="199"/>
      <c r="AI225" s="199"/>
      <c r="AK225" s="140"/>
    </row>
    <row r="226" spans="1:37" s="141" customFormat="1">
      <c r="A226" s="141">
        <v>121</v>
      </c>
      <c r="Z226" s="140"/>
      <c r="AA226" s="140"/>
      <c r="AB226" s="197"/>
      <c r="AC226" s="199"/>
      <c r="AD226" s="199"/>
      <c r="AE226" s="199"/>
      <c r="AF226" s="199"/>
      <c r="AG226" s="197"/>
      <c r="AH226" s="199"/>
      <c r="AI226" s="199"/>
      <c r="AK226" s="140"/>
    </row>
    <row r="227" spans="1:37" s="141" customFormat="1">
      <c r="A227" s="141">
        <v>122</v>
      </c>
      <c r="Z227" s="140"/>
      <c r="AA227" s="140"/>
      <c r="AB227" s="197"/>
      <c r="AC227" s="199"/>
      <c r="AD227" s="199"/>
      <c r="AE227" s="199"/>
      <c r="AF227" s="199"/>
      <c r="AG227" s="197"/>
      <c r="AH227" s="199"/>
      <c r="AI227" s="199"/>
      <c r="AK227" s="140"/>
    </row>
    <row r="228" spans="1:37" s="141" customFormat="1">
      <c r="A228" s="141">
        <v>123</v>
      </c>
      <c r="Z228" s="140"/>
      <c r="AA228" s="140"/>
      <c r="AB228" s="197"/>
      <c r="AC228" s="199"/>
      <c r="AD228" s="199"/>
      <c r="AE228" s="199"/>
      <c r="AF228" s="199"/>
      <c r="AG228" s="197"/>
      <c r="AH228" s="199"/>
      <c r="AI228" s="199"/>
      <c r="AK228" s="140"/>
    </row>
    <row r="229" spans="1:37" s="141" customFormat="1">
      <c r="A229" s="141">
        <v>124</v>
      </c>
      <c r="Z229" s="140"/>
      <c r="AA229" s="140"/>
      <c r="AB229" s="197"/>
      <c r="AC229" s="199"/>
      <c r="AD229" s="199"/>
      <c r="AE229" s="199"/>
      <c r="AF229" s="199"/>
      <c r="AG229" s="197"/>
      <c r="AH229" s="199"/>
      <c r="AI229" s="199"/>
      <c r="AK229" s="140"/>
    </row>
    <row r="230" spans="1:37" s="141" customFormat="1">
      <c r="A230" s="141">
        <v>125</v>
      </c>
      <c r="Z230" s="140"/>
      <c r="AA230" s="140"/>
      <c r="AB230" s="197"/>
      <c r="AC230" s="199"/>
      <c r="AD230" s="199"/>
      <c r="AE230" s="199"/>
      <c r="AF230" s="199"/>
      <c r="AG230" s="197"/>
      <c r="AH230" s="199"/>
      <c r="AI230" s="199"/>
      <c r="AK230" s="140"/>
    </row>
    <row r="231" spans="1:37" s="141" customFormat="1">
      <c r="A231" s="141">
        <v>126</v>
      </c>
      <c r="Z231" s="140"/>
      <c r="AA231" s="140"/>
      <c r="AB231" s="197"/>
      <c r="AC231" s="199"/>
      <c r="AD231" s="199"/>
      <c r="AE231" s="199"/>
      <c r="AF231" s="199"/>
      <c r="AG231" s="197"/>
      <c r="AH231" s="199"/>
      <c r="AI231" s="199"/>
      <c r="AK231" s="140"/>
    </row>
    <row r="232" spans="1:37" s="141" customFormat="1">
      <c r="A232" s="141">
        <v>127</v>
      </c>
      <c r="Z232" s="140"/>
      <c r="AA232" s="140"/>
      <c r="AB232" s="197"/>
      <c r="AC232" s="199"/>
      <c r="AD232" s="199"/>
      <c r="AE232" s="199"/>
      <c r="AF232" s="199"/>
      <c r="AG232" s="197"/>
      <c r="AH232" s="199"/>
      <c r="AI232" s="199"/>
      <c r="AK232" s="140"/>
    </row>
    <row r="233" spans="1:37" s="141" customFormat="1">
      <c r="A233" s="141">
        <v>128</v>
      </c>
      <c r="Z233" s="140"/>
      <c r="AA233" s="140"/>
      <c r="AB233" s="197"/>
      <c r="AC233" s="199"/>
      <c r="AD233" s="199"/>
      <c r="AE233" s="199"/>
      <c r="AF233" s="199"/>
      <c r="AG233" s="197"/>
      <c r="AH233" s="199"/>
      <c r="AI233" s="199"/>
      <c r="AK233" s="140"/>
    </row>
    <row r="234" spans="1:37" s="141" customFormat="1">
      <c r="A234" s="141">
        <v>129</v>
      </c>
      <c r="Z234" s="140"/>
      <c r="AA234" s="140"/>
      <c r="AB234" s="197"/>
      <c r="AC234" s="199"/>
      <c r="AD234" s="199"/>
      <c r="AE234" s="199"/>
      <c r="AF234" s="199"/>
      <c r="AG234" s="197"/>
      <c r="AH234" s="199"/>
      <c r="AI234" s="199"/>
      <c r="AK234" s="140"/>
    </row>
    <row r="235" spans="1:37" s="141" customFormat="1">
      <c r="A235" s="141">
        <v>130</v>
      </c>
      <c r="Z235" s="140"/>
      <c r="AA235" s="140"/>
      <c r="AB235" s="197"/>
      <c r="AC235" s="199"/>
      <c r="AD235" s="199"/>
      <c r="AE235" s="199"/>
      <c r="AF235" s="199"/>
      <c r="AG235" s="197"/>
      <c r="AH235" s="199"/>
      <c r="AI235" s="199"/>
      <c r="AK235" s="140"/>
    </row>
    <row r="236" spans="1:37" s="141" customFormat="1">
      <c r="A236" s="141">
        <v>131</v>
      </c>
      <c r="Z236" s="140"/>
      <c r="AA236" s="140"/>
      <c r="AB236" s="197"/>
      <c r="AC236" s="199"/>
      <c r="AD236" s="199"/>
      <c r="AE236" s="199"/>
      <c r="AF236" s="199"/>
      <c r="AG236" s="197"/>
      <c r="AH236" s="199"/>
      <c r="AI236" s="199"/>
      <c r="AK236" s="140"/>
    </row>
    <row r="237" spans="1:37" s="141" customFormat="1">
      <c r="A237" s="141">
        <v>132</v>
      </c>
      <c r="Z237" s="140"/>
      <c r="AA237" s="140"/>
      <c r="AB237" s="197"/>
      <c r="AC237" s="199"/>
      <c r="AD237" s="199"/>
      <c r="AE237" s="199"/>
      <c r="AF237" s="199"/>
      <c r="AG237" s="197"/>
      <c r="AH237" s="199"/>
      <c r="AI237" s="199"/>
      <c r="AK237" s="140"/>
    </row>
    <row r="238" spans="1:37" s="141" customFormat="1">
      <c r="A238" s="141">
        <v>133</v>
      </c>
      <c r="Z238" s="140"/>
      <c r="AA238" s="140"/>
      <c r="AB238" s="197"/>
      <c r="AC238" s="199"/>
      <c r="AD238" s="199"/>
      <c r="AE238" s="199"/>
      <c r="AF238" s="199"/>
      <c r="AG238" s="197"/>
      <c r="AH238" s="199"/>
      <c r="AI238" s="199"/>
      <c r="AK238" s="140"/>
    </row>
    <row r="239" spans="1:37" s="141" customFormat="1">
      <c r="A239" s="141">
        <v>134</v>
      </c>
      <c r="Z239" s="140"/>
      <c r="AA239" s="140"/>
      <c r="AB239" s="197"/>
      <c r="AC239" s="199"/>
      <c r="AD239" s="199"/>
      <c r="AE239" s="199"/>
      <c r="AF239" s="199"/>
      <c r="AG239" s="197"/>
      <c r="AH239" s="199"/>
      <c r="AI239" s="199"/>
      <c r="AK239" s="140"/>
    </row>
    <row r="240" spans="1:37" s="141" customFormat="1">
      <c r="A240" s="141">
        <v>135</v>
      </c>
      <c r="Z240" s="140"/>
      <c r="AA240" s="140"/>
      <c r="AB240" s="197"/>
      <c r="AC240" s="199"/>
      <c r="AD240" s="199"/>
      <c r="AE240" s="199"/>
      <c r="AF240" s="199"/>
      <c r="AG240" s="197"/>
      <c r="AH240" s="199"/>
      <c r="AI240" s="199"/>
      <c r="AK240" s="140"/>
    </row>
    <row r="241" spans="1:37" s="141" customFormat="1">
      <c r="A241" s="141">
        <v>136</v>
      </c>
      <c r="Z241" s="140"/>
      <c r="AA241" s="140"/>
      <c r="AB241" s="197"/>
      <c r="AC241" s="199"/>
      <c r="AD241" s="199"/>
      <c r="AE241" s="199"/>
      <c r="AF241" s="199"/>
      <c r="AG241" s="197"/>
      <c r="AH241" s="199"/>
      <c r="AI241" s="199"/>
      <c r="AK241" s="140"/>
    </row>
    <row r="242" spans="1:37" s="141" customFormat="1">
      <c r="A242" s="141">
        <v>137</v>
      </c>
      <c r="Z242" s="140"/>
      <c r="AA242" s="140"/>
      <c r="AB242" s="197"/>
      <c r="AC242" s="199"/>
      <c r="AD242" s="199"/>
      <c r="AE242" s="199"/>
      <c r="AF242" s="199"/>
      <c r="AG242" s="197"/>
      <c r="AH242" s="199"/>
      <c r="AI242" s="199"/>
      <c r="AK242" s="140"/>
    </row>
    <row r="243" spans="1:37" s="141" customFormat="1">
      <c r="A243" s="141">
        <v>138</v>
      </c>
      <c r="Z243" s="140"/>
      <c r="AA243" s="140"/>
      <c r="AB243" s="197"/>
      <c r="AC243" s="199"/>
      <c r="AD243" s="199"/>
      <c r="AE243" s="199"/>
      <c r="AF243" s="199"/>
      <c r="AG243" s="197"/>
      <c r="AH243" s="199"/>
      <c r="AI243" s="199"/>
      <c r="AK243" s="140"/>
    </row>
    <row r="244" spans="1:37" s="141" customFormat="1">
      <c r="A244" s="141">
        <v>139</v>
      </c>
      <c r="Z244" s="140"/>
      <c r="AA244" s="140"/>
      <c r="AB244" s="197"/>
      <c r="AC244" s="199"/>
      <c r="AD244" s="199"/>
      <c r="AE244" s="199"/>
      <c r="AF244" s="199"/>
      <c r="AG244" s="197"/>
      <c r="AH244" s="199"/>
      <c r="AI244" s="199"/>
      <c r="AK244" s="140"/>
    </row>
    <row r="245" spans="1:37" s="141" customFormat="1">
      <c r="A245" s="141">
        <v>140</v>
      </c>
      <c r="Z245" s="140"/>
      <c r="AA245" s="140"/>
      <c r="AB245" s="197"/>
      <c r="AC245" s="199"/>
      <c r="AD245" s="199"/>
      <c r="AE245" s="199"/>
      <c r="AF245" s="199"/>
      <c r="AG245" s="197"/>
      <c r="AH245" s="199"/>
      <c r="AI245" s="199"/>
      <c r="AK245" s="140"/>
    </row>
    <row r="246" spans="1:37" s="141" customFormat="1">
      <c r="A246" s="141">
        <v>141</v>
      </c>
      <c r="Z246" s="140"/>
      <c r="AA246" s="140"/>
      <c r="AB246" s="197"/>
      <c r="AC246" s="199"/>
      <c r="AD246" s="199"/>
      <c r="AE246" s="199"/>
      <c r="AF246" s="199"/>
      <c r="AG246" s="197"/>
      <c r="AH246" s="199"/>
      <c r="AI246" s="199"/>
      <c r="AK246" s="140"/>
    </row>
    <row r="247" spans="1:37" s="141" customFormat="1">
      <c r="A247" s="141">
        <v>142</v>
      </c>
      <c r="Z247" s="140"/>
      <c r="AA247" s="140"/>
      <c r="AB247" s="197"/>
      <c r="AC247" s="199"/>
      <c r="AD247" s="199"/>
      <c r="AE247" s="199"/>
      <c r="AF247" s="199"/>
      <c r="AG247" s="197"/>
      <c r="AH247" s="199"/>
      <c r="AI247" s="199"/>
      <c r="AK247" s="140"/>
    </row>
    <row r="248" spans="1:37" s="141" customFormat="1">
      <c r="A248" s="141">
        <v>143</v>
      </c>
      <c r="Z248" s="140"/>
      <c r="AA248" s="140"/>
      <c r="AB248" s="197"/>
      <c r="AC248" s="199"/>
      <c r="AD248" s="199"/>
      <c r="AE248" s="199"/>
      <c r="AF248" s="199"/>
      <c r="AG248" s="197"/>
      <c r="AH248" s="199"/>
      <c r="AI248" s="199"/>
      <c r="AK248" s="140"/>
    </row>
    <row r="249" spans="1:37" s="141" customFormat="1">
      <c r="A249" s="141">
        <v>144</v>
      </c>
      <c r="Z249" s="140"/>
      <c r="AA249" s="140"/>
      <c r="AB249" s="197"/>
      <c r="AC249" s="199"/>
      <c r="AD249" s="199"/>
      <c r="AE249" s="199"/>
      <c r="AF249" s="199"/>
      <c r="AG249" s="197"/>
      <c r="AH249" s="199"/>
      <c r="AI249" s="199"/>
      <c r="AK249" s="140"/>
    </row>
    <row r="250" spans="1:37" s="141" customFormat="1">
      <c r="A250" s="141">
        <v>145</v>
      </c>
      <c r="Z250" s="140"/>
      <c r="AA250" s="140"/>
      <c r="AB250" s="197"/>
      <c r="AC250" s="199"/>
      <c r="AD250" s="199"/>
      <c r="AE250" s="199"/>
      <c r="AF250" s="199"/>
      <c r="AG250" s="197"/>
      <c r="AH250" s="199"/>
      <c r="AI250" s="199"/>
      <c r="AK250" s="140"/>
    </row>
    <row r="251" spans="1:37" s="141" customFormat="1">
      <c r="A251" s="141">
        <v>146</v>
      </c>
      <c r="Z251" s="140"/>
      <c r="AA251" s="140"/>
      <c r="AB251" s="197"/>
      <c r="AC251" s="199"/>
      <c r="AD251" s="199"/>
      <c r="AE251" s="199"/>
      <c r="AF251" s="199"/>
      <c r="AG251" s="197"/>
      <c r="AH251" s="199"/>
      <c r="AI251" s="199"/>
      <c r="AK251" s="140"/>
    </row>
    <row r="252" spans="1:37" s="141" customFormat="1">
      <c r="A252" s="141">
        <v>147</v>
      </c>
      <c r="Z252" s="140"/>
      <c r="AA252" s="140"/>
      <c r="AB252" s="197"/>
      <c r="AC252" s="199"/>
      <c r="AD252" s="199"/>
      <c r="AE252" s="199"/>
      <c r="AF252" s="199"/>
      <c r="AG252" s="197"/>
      <c r="AH252" s="199"/>
      <c r="AI252" s="199"/>
      <c r="AK252" s="140"/>
    </row>
    <row r="253" spans="1:37" s="141" customFormat="1">
      <c r="A253" s="141">
        <v>148</v>
      </c>
      <c r="Z253" s="140"/>
      <c r="AA253" s="140"/>
      <c r="AB253" s="197"/>
      <c r="AC253" s="199"/>
      <c r="AD253" s="199"/>
      <c r="AE253" s="199"/>
      <c r="AF253" s="199"/>
      <c r="AG253" s="197"/>
      <c r="AH253" s="199"/>
      <c r="AI253" s="199"/>
      <c r="AK253" s="140"/>
    </row>
    <row r="254" spans="1:37" s="141" customFormat="1">
      <c r="A254" s="141">
        <v>149</v>
      </c>
      <c r="Z254" s="140"/>
      <c r="AA254" s="140"/>
      <c r="AB254" s="197"/>
      <c r="AC254" s="199"/>
      <c r="AD254" s="199"/>
      <c r="AE254" s="199"/>
      <c r="AF254" s="199"/>
      <c r="AG254" s="197"/>
      <c r="AH254" s="199"/>
      <c r="AI254" s="199"/>
      <c r="AK254" s="140"/>
    </row>
    <row r="255" spans="1:37" s="141" customFormat="1">
      <c r="A255" s="141">
        <v>150</v>
      </c>
      <c r="Z255" s="140"/>
      <c r="AA255" s="140"/>
      <c r="AB255" s="197"/>
      <c r="AC255" s="199"/>
      <c r="AD255" s="199"/>
      <c r="AE255" s="199"/>
      <c r="AF255" s="199"/>
      <c r="AG255" s="197"/>
      <c r="AH255" s="199"/>
      <c r="AI255" s="199"/>
      <c r="AK255" s="140"/>
    </row>
    <row r="256" spans="1:37" s="141" customFormat="1">
      <c r="A256" s="141">
        <v>151</v>
      </c>
      <c r="Z256" s="140"/>
      <c r="AA256" s="140"/>
      <c r="AB256" s="197"/>
      <c r="AC256" s="199"/>
      <c r="AD256" s="199"/>
      <c r="AE256" s="199"/>
      <c r="AF256" s="199"/>
      <c r="AG256" s="197"/>
      <c r="AH256" s="199"/>
      <c r="AI256" s="199"/>
      <c r="AK256" s="140"/>
    </row>
    <row r="257" spans="1:37" s="141" customFormat="1">
      <c r="A257" s="141">
        <v>152</v>
      </c>
      <c r="Z257" s="140"/>
      <c r="AA257" s="140"/>
      <c r="AB257" s="197"/>
      <c r="AC257" s="199"/>
      <c r="AD257" s="199"/>
      <c r="AE257" s="199"/>
      <c r="AF257" s="199"/>
      <c r="AG257" s="197"/>
      <c r="AH257" s="199"/>
      <c r="AI257" s="199"/>
      <c r="AK257" s="140"/>
    </row>
    <row r="258" spans="1:37" s="141" customFormat="1">
      <c r="A258" s="141">
        <v>153</v>
      </c>
      <c r="Z258" s="140"/>
      <c r="AA258" s="140"/>
      <c r="AB258" s="197"/>
      <c r="AC258" s="199"/>
      <c r="AD258" s="199"/>
      <c r="AE258" s="199"/>
      <c r="AF258" s="199"/>
      <c r="AG258" s="197"/>
      <c r="AH258" s="199"/>
      <c r="AI258" s="199"/>
      <c r="AK258" s="140"/>
    </row>
    <row r="259" spans="1:37" s="141" customFormat="1">
      <c r="A259" s="141">
        <v>154</v>
      </c>
      <c r="Z259" s="140"/>
      <c r="AA259" s="140"/>
      <c r="AB259" s="197"/>
      <c r="AC259" s="199"/>
      <c r="AD259" s="199"/>
      <c r="AE259" s="199"/>
      <c r="AF259" s="199"/>
      <c r="AG259" s="197"/>
      <c r="AH259" s="199"/>
      <c r="AI259" s="199"/>
      <c r="AK259" s="140"/>
    </row>
    <row r="260" spans="1:37" s="141" customFormat="1">
      <c r="A260" s="141">
        <v>155</v>
      </c>
      <c r="Z260" s="140"/>
      <c r="AA260" s="140"/>
      <c r="AB260" s="197"/>
      <c r="AC260" s="199"/>
      <c r="AD260" s="199"/>
      <c r="AE260" s="199"/>
      <c r="AF260" s="199"/>
      <c r="AG260" s="197"/>
      <c r="AH260" s="199"/>
      <c r="AI260" s="199"/>
      <c r="AK260" s="140"/>
    </row>
    <row r="261" spans="1:37" s="141" customFormat="1">
      <c r="A261" s="141">
        <v>156</v>
      </c>
      <c r="Z261" s="140"/>
      <c r="AA261" s="140"/>
      <c r="AB261" s="197"/>
      <c r="AC261" s="199"/>
      <c r="AD261" s="199"/>
      <c r="AE261" s="199"/>
      <c r="AF261" s="199"/>
      <c r="AG261" s="197"/>
      <c r="AH261" s="199"/>
      <c r="AI261" s="199"/>
      <c r="AK261" s="140"/>
    </row>
    <row r="262" spans="1:37" s="141" customFormat="1">
      <c r="A262" s="141">
        <v>157</v>
      </c>
      <c r="Z262" s="140"/>
      <c r="AA262" s="140"/>
      <c r="AB262" s="197"/>
      <c r="AC262" s="199"/>
      <c r="AD262" s="199"/>
      <c r="AE262" s="199"/>
      <c r="AF262" s="199"/>
      <c r="AG262" s="197"/>
      <c r="AH262" s="199"/>
      <c r="AI262" s="199"/>
      <c r="AK262" s="140"/>
    </row>
    <row r="263" spans="1:37" s="141" customFormat="1">
      <c r="A263" s="141">
        <v>158</v>
      </c>
      <c r="Z263" s="140"/>
      <c r="AA263" s="140"/>
      <c r="AB263" s="197"/>
      <c r="AC263" s="199"/>
      <c r="AD263" s="199"/>
      <c r="AE263" s="199"/>
      <c r="AF263" s="199"/>
      <c r="AG263" s="197"/>
      <c r="AH263" s="199"/>
      <c r="AI263" s="199"/>
      <c r="AK263" s="140"/>
    </row>
    <row r="264" spans="1:37" s="141" customFormat="1">
      <c r="A264" s="141">
        <v>159</v>
      </c>
      <c r="Z264" s="140"/>
      <c r="AA264" s="140"/>
      <c r="AB264" s="197"/>
      <c r="AC264" s="199"/>
      <c r="AD264" s="199"/>
      <c r="AE264" s="199"/>
      <c r="AF264" s="199"/>
      <c r="AG264" s="197"/>
      <c r="AH264" s="199"/>
      <c r="AI264" s="199"/>
      <c r="AK264" s="140"/>
    </row>
    <row r="265" spans="1:37" s="141" customFormat="1">
      <c r="A265" s="141">
        <v>160</v>
      </c>
      <c r="Z265" s="140"/>
      <c r="AA265" s="140"/>
      <c r="AB265" s="197"/>
      <c r="AC265" s="199"/>
      <c r="AD265" s="199"/>
      <c r="AE265" s="199"/>
      <c r="AF265" s="199"/>
      <c r="AG265" s="197"/>
      <c r="AH265" s="199"/>
      <c r="AI265" s="199"/>
      <c r="AK265" s="140"/>
    </row>
    <row r="266" spans="1:37" s="141" customFormat="1">
      <c r="A266" s="141">
        <v>161</v>
      </c>
      <c r="Z266" s="140"/>
      <c r="AA266" s="140"/>
      <c r="AB266" s="197"/>
      <c r="AC266" s="199"/>
      <c r="AD266" s="199"/>
      <c r="AE266" s="199"/>
      <c r="AF266" s="199"/>
      <c r="AG266" s="197"/>
      <c r="AH266" s="199"/>
      <c r="AI266" s="199"/>
      <c r="AK266" s="140"/>
    </row>
    <row r="267" spans="1:37" s="141" customFormat="1">
      <c r="A267" s="141">
        <v>162</v>
      </c>
      <c r="Z267" s="140"/>
      <c r="AA267" s="140"/>
      <c r="AB267" s="197"/>
      <c r="AC267" s="199"/>
      <c r="AD267" s="199"/>
      <c r="AE267" s="199"/>
      <c r="AF267" s="199"/>
      <c r="AG267" s="197"/>
      <c r="AH267" s="199"/>
      <c r="AI267" s="199"/>
      <c r="AK267" s="140"/>
    </row>
    <row r="268" spans="1:37" s="141" customFormat="1">
      <c r="A268" s="141">
        <v>163</v>
      </c>
      <c r="Z268" s="140"/>
      <c r="AA268" s="140"/>
      <c r="AB268" s="197"/>
      <c r="AC268" s="199"/>
      <c r="AD268" s="199"/>
      <c r="AE268" s="199"/>
      <c r="AF268" s="199"/>
      <c r="AG268" s="197"/>
      <c r="AH268" s="199"/>
      <c r="AI268" s="199"/>
      <c r="AK268" s="140"/>
    </row>
    <row r="269" spans="1:37" s="141" customFormat="1">
      <c r="A269" s="141">
        <v>164</v>
      </c>
      <c r="Z269" s="140"/>
      <c r="AA269" s="140"/>
      <c r="AB269" s="197"/>
      <c r="AC269" s="199"/>
      <c r="AD269" s="199"/>
      <c r="AE269" s="199"/>
      <c r="AF269" s="199"/>
      <c r="AG269" s="197"/>
      <c r="AH269" s="199"/>
      <c r="AI269" s="199"/>
      <c r="AK269" s="140"/>
    </row>
    <row r="270" spans="1:37" s="141" customFormat="1">
      <c r="A270" s="141">
        <v>165</v>
      </c>
      <c r="Z270" s="140"/>
      <c r="AA270" s="140"/>
      <c r="AB270" s="197"/>
      <c r="AC270" s="199"/>
      <c r="AD270" s="199"/>
      <c r="AE270" s="199"/>
      <c r="AF270" s="199"/>
      <c r="AG270" s="197"/>
      <c r="AH270" s="199"/>
      <c r="AI270" s="199"/>
      <c r="AK270" s="140"/>
    </row>
    <row r="271" spans="1:37" s="141" customFormat="1">
      <c r="A271" s="141">
        <v>166</v>
      </c>
      <c r="Z271" s="140"/>
      <c r="AA271" s="140"/>
      <c r="AB271" s="197"/>
      <c r="AC271" s="199"/>
      <c r="AD271" s="199"/>
      <c r="AE271" s="199"/>
      <c r="AF271" s="199"/>
      <c r="AG271" s="197"/>
      <c r="AH271" s="199"/>
      <c r="AI271" s="199"/>
      <c r="AK271" s="140"/>
    </row>
    <row r="272" spans="1:37" s="141" customFormat="1">
      <c r="A272" s="141">
        <v>167</v>
      </c>
      <c r="Z272" s="140"/>
      <c r="AA272" s="140"/>
      <c r="AB272" s="197"/>
      <c r="AC272" s="199"/>
      <c r="AD272" s="199"/>
      <c r="AE272" s="199"/>
      <c r="AF272" s="199"/>
      <c r="AG272" s="197"/>
      <c r="AH272" s="199"/>
      <c r="AI272" s="199"/>
      <c r="AK272" s="140"/>
    </row>
    <row r="273" spans="1:37" s="141" customFormat="1">
      <c r="A273" s="141">
        <v>168</v>
      </c>
      <c r="Z273" s="140"/>
      <c r="AA273" s="140"/>
      <c r="AB273" s="197"/>
      <c r="AC273" s="199"/>
      <c r="AD273" s="199"/>
      <c r="AE273" s="199"/>
      <c r="AF273" s="199"/>
      <c r="AG273" s="197"/>
      <c r="AH273" s="199"/>
      <c r="AI273" s="199"/>
      <c r="AK273" s="140"/>
    </row>
    <row r="274" spans="1:37" s="141" customFormat="1">
      <c r="A274" s="141">
        <v>169</v>
      </c>
      <c r="Z274" s="140"/>
      <c r="AA274" s="140"/>
      <c r="AB274" s="197"/>
      <c r="AC274" s="199"/>
      <c r="AD274" s="199"/>
      <c r="AE274" s="199"/>
      <c r="AF274" s="199"/>
      <c r="AG274" s="197"/>
      <c r="AH274" s="199"/>
      <c r="AI274" s="199"/>
      <c r="AK274" s="140"/>
    </row>
    <row r="275" spans="1:37" s="141" customFormat="1">
      <c r="A275" s="141">
        <v>170</v>
      </c>
      <c r="Z275" s="140"/>
      <c r="AA275" s="140"/>
      <c r="AB275" s="197"/>
      <c r="AC275" s="199"/>
      <c r="AD275" s="199"/>
      <c r="AE275" s="199"/>
      <c r="AF275" s="199"/>
      <c r="AG275" s="197"/>
      <c r="AH275" s="199"/>
      <c r="AI275" s="199"/>
      <c r="AK275" s="140"/>
    </row>
    <row r="276" spans="1:37" s="141" customFormat="1">
      <c r="A276" s="141">
        <v>171</v>
      </c>
      <c r="Z276" s="140"/>
      <c r="AA276" s="140"/>
      <c r="AB276" s="197"/>
      <c r="AC276" s="199"/>
      <c r="AD276" s="199"/>
      <c r="AE276" s="199"/>
      <c r="AF276" s="199"/>
      <c r="AG276" s="197"/>
      <c r="AH276" s="199"/>
      <c r="AI276" s="199"/>
      <c r="AK276" s="140"/>
    </row>
    <row r="277" spans="1:37" s="141" customFormat="1">
      <c r="A277" s="141">
        <v>172</v>
      </c>
      <c r="Z277" s="140"/>
      <c r="AA277" s="140"/>
      <c r="AB277" s="197"/>
      <c r="AC277" s="199"/>
      <c r="AD277" s="199"/>
      <c r="AE277" s="199"/>
      <c r="AF277" s="199"/>
      <c r="AG277" s="197"/>
      <c r="AH277" s="199"/>
      <c r="AI277" s="199"/>
      <c r="AK277" s="140"/>
    </row>
    <row r="278" spans="1:37" s="141" customFormat="1">
      <c r="A278" s="141">
        <v>173</v>
      </c>
      <c r="Z278" s="140"/>
      <c r="AA278" s="140"/>
      <c r="AB278" s="197"/>
      <c r="AC278" s="199"/>
      <c r="AD278" s="199"/>
      <c r="AE278" s="199"/>
      <c r="AF278" s="199"/>
      <c r="AG278" s="197"/>
      <c r="AH278" s="199"/>
      <c r="AI278" s="199"/>
      <c r="AK278" s="140"/>
    </row>
    <row r="279" spans="1:37" s="141" customFormat="1">
      <c r="A279" s="141">
        <v>174</v>
      </c>
      <c r="Z279" s="140"/>
      <c r="AA279" s="140"/>
      <c r="AB279" s="197"/>
      <c r="AC279" s="199"/>
      <c r="AD279" s="199"/>
      <c r="AE279" s="199"/>
      <c r="AF279" s="199"/>
      <c r="AG279" s="197"/>
      <c r="AH279" s="199"/>
      <c r="AI279" s="199"/>
      <c r="AK279" s="140"/>
    </row>
    <row r="280" spans="1:37" s="141" customFormat="1">
      <c r="A280" s="141">
        <v>175</v>
      </c>
      <c r="Z280" s="140"/>
      <c r="AA280" s="140"/>
      <c r="AB280" s="197"/>
      <c r="AC280" s="199"/>
      <c r="AD280" s="199"/>
      <c r="AE280" s="199"/>
      <c r="AF280" s="199"/>
      <c r="AG280" s="197"/>
      <c r="AH280" s="199"/>
      <c r="AI280" s="199"/>
      <c r="AK280" s="140"/>
    </row>
    <row r="281" spans="1:37" s="141" customFormat="1">
      <c r="A281" s="141">
        <v>176</v>
      </c>
      <c r="Z281" s="140"/>
      <c r="AA281" s="140"/>
      <c r="AB281" s="197"/>
      <c r="AC281" s="199"/>
      <c r="AD281" s="199"/>
      <c r="AE281" s="199"/>
      <c r="AF281" s="199"/>
      <c r="AG281" s="197"/>
      <c r="AH281" s="199"/>
      <c r="AI281" s="199"/>
      <c r="AK281" s="140"/>
    </row>
    <row r="282" spans="1:37" s="141" customFormat="1">
      <c r="A282" s="141">
        <v>177</v>
      </c>
      <c r="Z282" s="140"/>
      <c r="AA282" s="140"/>
      <c r="AB282" s="197"/>
      <c r="AC282" s="199"/>
      <c r="AD282" s="199"/>
      <c r="AE282" s="199"/>
      <c r="AF282" s="199"/>
      <c r="AG282" s="197"/>
      <c r="AH282" s="199"/>
      <c r="AI282" s="199"/>
      <c r="AK282" s="140"/>
    </row>
    <row r="283" spans="1:37" s="141" customFormat="1">
      <c r="A283" s="141">
        <v>178</v>
      </c>
      <c r="Z283" s="140"/>
      <c r="AA283" s="140"/>
      <c r="AB283" s="197"/>
      <c r="AC283" s="199"/>
      <c r="AD283" s="199"/>
      <c r="AE283" s="199"/>
      <c r="AF283" s="199"/>
      <c r="AG283" s="197"/>
      <c r="AH283" s="199"/>
      <c r="AI283" s="199"/>
      <c r="AK283" s="140"/>
    </row>
    <row r="284" spans="1:37" s="141" customFormat="1">
      <c r="A284" s="141">
        <v>179</v>
      </c>
      <c r="Z284" s="140"/>
      <c r="AA284" s="140"/>
      <c r="AB284" s="197"/>
      <c r="AC284" s="199"/>
      <c r="AD284" s="199"/>
      <c r="AE284" s="199"/>
      <c r="AF284" s="199"/>
      <c r="AG284" s="197"/>
      <c r="AH284" s="199"/>
      <c r="AI284" s="199"/>
      <c r="AK284" s="140"/>
    </row>
    <row r="285" spans="1:37" s="141" customFormat="1">
      <c r="A285" s="141">
        <v>180</v>
      </c>
      <c r="Z285" s="140"/>
      <c r="AA285" s="140"/>
      <c r="AB285" s="197"/>
      <c r="AC285" s="199"/>
      <c r="AD285" s="199"/>
      <c r="AE285" s="199"/>
      <c r="AF285" s="199"/>
      <c r="AG285" s="197"/>
      <c r="AH285" s="199"/>
      <c r="AI285" s="199"/>
      <c r="AK285" s="140"/>
    </row>
    <row r="286" spans="1:37" s="141" customFormat="1">
      <c r="A286" s="141">
        <v>181</v>
      </c>
      <c r="Z286" s="140"/>
      <c r="AA286" s="140"/>
      <c r="AB286" s="197"/>
      <c r="AC286" s="199"/>
      <c r="AD286" s="199"/>
      <c r="AE286" s="199"/>
      <c r="AF286" s="199"/>
      <c r="AG286" s="197"/>
      <c r="AH286" s="199"/>
      <c r="AI286" s="199"/>
      <c r="AK286" s="140"/>
    </row>
    <row r="287" spans="1:37" s="141" customFormat="1">
      <c r="A287" s="141">
        <v>182</v>
      </c>
      <c r="Z287" s="140"/>
      <c r="AA287" s="140"/>
      <c r="AB287" s="197"/>
      <c r="AC287" s="199"/>
      <c r="AD287" s="199"/>
      <c r="AE287" s="199"/>
      <c r="AF287" s="199"/>
      <c r="AG287" s="197"/>
      <c r="AH287" s="199"/>
      <c r="AI287" s="199"/>
      <c r="AK287" s="140"/>
    </row>
    <row r="288" spans="1:37" s="141" customFormat="1">
      <c r="A288" s="141">
        <v>183</v>
      </c>
      <c r="Z288" s="140"/>
      <c r="AA288" s="140"/>
      <c r="AB288" s="197"/>
      <c r="AC288" s="199"/>
      <c r="AD288" s="199"/>
      <c r="AE288" s="199"/>
      <c r="AF288" s="199"/>
      <c r="AG288" s="197"/>
      <c r="AH288" s="199"/>
      <c r="AI288" s="199"/>
      <c r="AK288" s="140"/>
    </row>
    <row r="289" spans="1:37" s="141" customFormat="1">
      <c r="A289" s="141">
        <v>184</v>
      </c>
      <c r="Z289" s="140"/>
      <c r="AA289" s="140"/>
      <c r="AB289" s="197"/>
      <c r="AC289" s="199"/>
      <c r="AD289" s="199"/>
      <c r="AE289" s="199"/>
      <c r="AF289" s="199"/>
      <c r="AG289" s="197"/>
      <c r="AH289" s="199"/>
      <c r="AI289" s="199"/>
      <c r="AK289" s="140"/>
    </row>
    <row r="290" spans="1:37" s="141" customFormat="1">
      <c r="A290" s="141">
        <v>185</v>
      </c>
      <c r="Z290" s="140"/>
      <c r="AA290" s="140"/>
      <c r="AB290" s="197"/>
      <c r="AC290" s="199"/>
      <c r="AD290" s="199"/>
      <c r="AE290" s="199"/>
      <c r="AF290" s="199"/>
      <c r="AG290" s="197"/>
      <c r="AH290" s="199"/>
      <c r="AI290" s="199"/>
      <c r="AK290" s="140"/>
    </row>
    <row r="291" spans="1:37" s="141" customFormat="1">
      <c r="A291" s="141">
        <v>186</v>
      </c>
      <c r="Z291" s="140"/>
      <c r="AA291" s="140"/>
      <c r="AB291" s="197"/>
      <c r="AC291" s="199"/>
      <c r="AD291" s="199"/>
      <c r="AE291" s="199"/>
      <c r="AF291" s="199"/>
      <c r="AG291" s="197"/>
      <c r="AH291" s="199"/>
      <c r="AI291" s="199"/>
      <c r="AK291" s="140"/>
    </row>
    <row r="292" spans="1:37" s="141" customFormat="1">
      <c r="A292" s="141">
        <v>187</v>
      </c>
      <c r="Z292" s="140"/>
      <c r="AA292" s="140"/>
      <c r="AB292" s="197"/>
      <c r="AC292" s="199"/>
      <c r="AD292" s="199"/>
      <c r="AE292" s="199"/>
      <c r="AF292" s="199"/>
      <c r="AG292" s="197"/>
      <c r="AH292" s="199"/>
      <c r="AI292" s="199"/>
      <c r="AK292" s="140"/>
    </row>
    <row r="293" spans="1:37" s="141" customFormat="1">
      <c r="A293" s="141">
        <v>188</v>
      </c>
      <c r="Z293" s="140"/>
      <c r="AA293" s="140"/>
      <c r="AB293" s="197"/>
      <c r="AC293" s="199"/>
      <c r="AD293" s="199"/>
      <c r="AE293" s="199"/>
      <c r="AF293" s="199"/>
      <c r="AG293" s="197"/>
      <c r="AH293" s="199"/>
      <c r="AI293" s="199"/>
      <c r="AK293" s="140"/>
    </row>
    <row r="294" spans="1:37" s="141" customFormat="1">
      <c r="A294" s="141">
        <v>189</v>
      </c>
      <c r="Z294" s="140"/>
      <c r="AA294" s="140"/>
      <c r="AB294" s="197"/>
      <c r="AC294" s="199"/>
      <c r="AD294" s="199"/>
      <c r="AE294" s="199"/>
      <c r="AF294" s="199"/>
      <c r="AG294" s="197"/>
      <c r="AH294" s="199"/>
      <c r="AI294" s="199"/>
      <c r="AK294" s="140"/>
    </row>
    <row r="295" spans="1:37" s="141" customFormat="1">
      <c r="A295" s="141">
        <v>190</v>
      </c>
      <c r="Z295" s="140"/>
      <c r="AA295" s="140"/>
      <c r="AB295" s="197"/>
      <c r="AC295" s="199"/>
      <c r="AD295" s="199"/>
      <c r="AE295" s="199"/>
      <c r="AF295" s="199"/>
      <c r="AG295" s="197"/>
      <c r="AH295" s="199"/>
      <c r="AI295" s="199"/>
      <c r="AK295" s="140"/>
    </row>
    <row r="296" spans="1:37" s="141" customFormat="1">
      <c r="A296" s="141">
        <v>191</v>
      </c>
      <c r="Z296" s="140"/>
      <c r="AA296" s="140"/>
      <c r="AB296" s="197"/>
      <c r="AC296" s="199"/>
      <c r="AD296" s="199"/>
      <c r="AE296" s="199"/>
      <c r="AF296" s="199"/>
      <c r="AG296" s="197"/>
      <c r="AH296" s="199"/>
      <c r="AI296" s="199"/>
      <c r="AK296" s="140"/>
    </row>
    <row r="297" spans="1:37" s="141" customFormat="1">
      <c r="A297" s="141">
        <v>192</v>
      </c>
      <c r="Z297" s="140"/>
      <c r="AA297" s="140"/>
      <c r="AB297" s="197"/>
      <c r="AC297" s="199"/>
      <c r="AD297" s="199"/>
      <c r="AE297" s="199"/>
      <c r="AF297" s="199"/>
      <c r="AG297" s="197"/>
      <c r="AH297" s="199"/>
      <c r="AI297" s="199"/>
      <c r="AK297" s="140"/>
    </row>
    <row r="298" spans="1:37" s="141" customFormat="1">
      <c r="A298" s="141">
        <v>193</v>
      </c>
      <c r="Z298" s="140"/>
      <c r="AA298" s="140"/>
      <c r="AB298" s="197"/>
      <c r="AC298" s="199"/>
      <c r="AD298" s="199"/>
      <c r="AE298" s="199"/>
      <c r="AF298" s="199"/>
      <c r="AG298" s="197"/>
      <c r="AH298" s="199"/>
      <c r="AI298" s="199"/>
      <c r="AK298" s="140"/>
    </row>
    <row r="299" spans="1:37" s="141" customFormat="1">
      <c r="A299" s="141">
        <v>194</v>
      </c>
      <c r="Z299" s="140"/>
      <c r="AA299" s="140"/>
      <c r="AB299" s="197"/>
      <c r="AC299" s="199"/>
      <c r="AD299" s="199"/>
      <c r="AE299" s="199"/>
      <c r="AF299" s="199"/>
      <c r="AG299" s="197"/>
      <c r="AH299" s="199"/>
      <c r="AI299" s="199"/>
      <c r="AK299" s="140"/>
    </row>
    <row r="300" spans="1:37" s="141" customFormat="1">
      <c r="A300" s="141">
        <v>195</v>
      </c>
      <c r="Z300" s="140"/>
      <c r="AA300" s="140"/>
      <c r="AB300" s="197"/>
      <c r="AC300" s="199"/>
      <c r="AD300" s="199"/>
      <c r="AE300" s="199"/>
      <c r="AF300" s="199"/>
      <c r="AG300" s="197"/>
      <c r="AH300" s="199"/>
      <c r="AI300" s="199"/>
      <c r="AK300" s="140"/>
    </row>
    <row r="301" spans="1:37" s="141" customFormat="1">
      <c r="A301" s="141">
        <v>196</v>
      </c>
      <c r="Z301" s="140"/>
      <c r="AA301" s="140"/>
      <c r="AB301" s="197"/>
      <c r="AC301" s="199"/>
      <c r="AD301" s="199"/>
      <c r="AE301" s="199"/>
      <c r="AF301" s="199"/>
      <c r="AG301" s="197"/>
      <c r="AH301" s="199"/>
      <c r="AI301" s="199"/>
      <c r="AK301" s="140"/>
    </row>
    <row r="302" spans="1:37" s="141" customFormat="1">
      <c r="A302" s="141">
        <v>197</v>
      </c>
      <c r="Z302" s="140"/>
      <c r="AA302" s="140"/>
      <c r="AB302" s="197"/>
      <c r="AC302" s="199"/>
      <c r="AD302" s="199"/>
      <c r="AE302" s="199"/>
      <c r="AF302" s="199"/>
      <c r="AG302" s="197"/>
      <c r="AH302" s="199"/>
      <c r="AI302" s="199"/>
      <c r="AK302" s="140"/>
    </row>
    <row r="303" spans="1:37" s="141" customFormat="1">
      <c r="A303" s="141">
        <v>198</v>
      </c>
      <c r="Z303" s="140"/>
      <c r="AA303" s="140"/>
      <c r="AB303" s="197"/>
      <c r="AC303" s="199"/>
      <c r="AD303" s="199"/>
      <c r="AE303" s="199"/>
      <c r="AF303" s="199"/>
      <c r="AG303" s="197"/>
      <c r="AH303" s="199"/>
      <c r="AI303" s="199"/>
      <c r="AK303" s="140"/>
    </row>
    <row r="304" spans="1:37" s="141" customFormat="1">
      <c r="A304" s="141">
        <v>199</v>
      </c>
      <c r="Z304" s="140"/>
      <c r="AA304" s="140"/>
      <c r="AB304" s="197"/>
      <c r="AC304" s="199"/>
      <c r="AD304" s="199"/>
      <c r="AE304" s="199"/>
      <c r="AF304" s="199"/>
      <c r="AG304" s="197"/>
      <c r="AH304" s="199"/>
      <c r="AI304" s="199"/>
      <c r="AK304" s="140"/>
    </row>
    <row r="305" spans="1:37" s="141" customFormat="1">
      <c r="A305" s="141">
        <v>200</v>
      </c>
      <c r="Z305" s="140"/>
      <c r="AA305" s="140"/>
      <c r="AB305" s="197"/>
      <c r="AC305" s="199"/>
      <c r="AD305" s="199"/>
      <c r="AE305" s="199"/>
      <c r="AF305" s="199"/>
      <c r="AG305" s="197"/>
      <c r="AH305" s="199"/>
      <c r="AI305" s="199"/>
      <c r="AK305" s="140"/>
    </row>
    <row r="306" spans="1:37" s="141" customFormat="1">
      <c r="A306" s="141">
        <v>201</v>
      </c>
      <c r="Z306" s="140"/>
      <c r="AA306" s="140"/>
      <c r="AB306" s="197"/>
      <c r="AC306" s="199"/>
      <c r="AD306" s="199"/>
      <c r="AE306" s="199"/>
      <c r="AF306" s="199"/>
      <c r="AG306" s="197"/>
      <c r="AH306" s="199"/>
      <c r="AI306" s="199"/>
      <c r="AK306" s="140"/>
    </row>
    <row r="307" spans="1:37" s="141" customFormat="1">
      <c r="A307" s="141">
        <v>202</v>
      </c>
      <c r="Z307" s="140"/>
      <c r="AA307" s="140"/>
      <c r="AB307" s="197"/>
      <c r="AC307" s="199"/>
      <c r="AD307" s="199"/>
      <c r="AE307" s="199"/>
      <c r="AF307" s="199"/>
      <c r="AG307" s="197"/>
      <c r="AH307" s="199"/>
      <c r="AI307" s="199"/>
      <c r="AK307" s="140"/>
    </row>
    <row r="308" spans="1:37" s="141" customFormat="1">
      <c r="A308" s="141">
        <v>203</v>
      </c>
      <c r="Z308" s="140"/>
      <c r="AA308" s="140"/>
      <c r="AB308" s="197"/>
      <c r="AC308" s="199"/>
      <c r="AD308" s="199"/>
      <c r="AE308" s="199"/>
      <c r="AF308" s="199"/>
      <c r="AG308" s="197"/>
      <c r="AH308" s="199"/>
      <c r="AI308" s="199"/>
      <c r="AK308" s="140"/>
    </row>
    <row r="309" spans="1:37" s="141" customFormat="1">
      <c r="A309" s="141">
        <v>204</v>
      </c>
      <c r="Z309" s="140"/>
      <c r="AA309" s="140"/>
      <c r="AB309" s="197"/>
      <c r="AC309" s="199"/>
      <c r="AD309" s="199"/>
      <c r="AE309" s="199"/>
      <c r="AF309" s="199"/>
      <c r="AG309" s="197"/>
      <c r="AH309" s="199"/>
      <c r="AI309" s="199"/>
      <c r="AK309" s="140"/>
    </row>
    <row r="310" spans="1:37" s="141" customFormat="1">
      <c r="A310" s="141">
        <v>205</v>
      </c>
      <c r="Z310" s="140"/>
      <c r="AA310" s="140"/>
      <c r="AB310" s="197"/>
      <c r="AC310" s="199"/>
      <c r="AD310" s="199"/>
      <c r="AE310" s="199"/>
      <c r="AF310" s="199"/>
      <c r="AG310" s="197"/>
      <c r="AH310" s="199"/>
      <c r="AI310" s="199"/>
      <c r="AK310" s="140"/>
    </row>
    <row r="311" spans="1:37" s="141" customFormat="1">
      <c r="A311" s="141">
        <v>206</v>
      </c>
      <c r="Z311" s="140"/>
      <c r="AA311" s="140"/>
      <c r="AB311" s="197"/>
      <c r="AC311" s="199"/>
      <c r="AD311" s="199"/>
      <c r="AE311" s="199"/>
      <c r="AF311" s="199"/>
      <c r="AG311" s="197"/>
      <c r="AH311" s="199"/>
      <c r="AI311" s="199"/>
      <c r="AK311" s="140"/>
    </row>
    <row r="312" spans="1:37" s="141" customFormat="1">
      <c r="A312" s="141">
        <v>207</v>
      </c>
      <c r="Z312" s="140"/>
      <c r="AA312" s="140"/>
      <c r="AB312" s="197"/>
      <c r="AC312" s="199"/>
      <c r="AD312" s="199"/>
      <c r="AE312" s="199"/>
      <c r="AF312" s="199"/>
      <c r="AG312" s="197"/>
      <c r="AH312" s="199"/>
      <c r="AI312" s="199"/>
      <c r="AK312" s="140"/>
    </row>
    <row r="313" spans="1:37" s="141" customFormat="1">
      <c r="A313" s="141">
        <v>208</v>
      </c>
      <c r="Z313" s="140"/>
      <c r="AA313" s="140"/>
      <c r="AB313" s="197"/>
      <c r="AC313" s="199"/>
      <c r="AD313" s="199"/>
      <c r="AE313" s="199"/>
      <c r="AF313" s="199"/>
      <c r="AG313" s="197"/>
      <c r="AH313" s="199"/>
      <c r="AI313" s="199"/>
      <c r="AK313" s="140"/>
    </row>
    <row r="314" spans="1:37" s="141" customFormat="1">
      <c r="A314" s="141">
        <v>209</v>
      </c>
      <c r="Z314" s="140"/>
      <c r="AA314" s="140"/>
      <c r="AB314" s="197"/>
      <c r="AC314" s="199"/>
      <c r="AD314" s="199"/>
      <c r="AE314" s="199"/>
      <c r="AF314" s="199"/>
      <c r="AG314" s="197"/>
      <c r="AH314" s="199"/>
      <c r="AI314" s="199"/>
      <c r="AK314" s="140"/>
    </row>
    <row r="315" spans="1:37" s="141" customFormat="1">
      <c r="A315" s="141">
        <v>210</v>
      </c>
      <c r="Z315" s="140"/>
      <c r="AA315" s="140"/>
      <c r="AB315" s="197"/>
      <c r="AC315" s="199"/>
      <c r="AD315" s="199"/>
      <c r="AE315" s="199"/>
      <c r="AF315" s="199"/>
      <c r="AG315" s="197"/>
      <c r="AH315" s="199"/>
      <c r="AI315" s="199"/>
      <c r="AK315" s="140"/>
    </row>
    <row r="316" spans="1:37" s="141" customFormat="1">
      <c r="A316" s="141">
        <v>211</v>
      </c>
      <c r="Z316" s="140"/>
      <c r="AA316" s="140"/>
      <c r="AB316" s="197"/>
      <c r="AC316" s="199"/>
      <c r="AD316" s="199"/>
      <c r="AE316" s="199"/>
      <c r="AF316" s="199"/>
      <c r="AG316" s="197"/>
      <c r="AH316" s="199"/>
      <c r="AI316" s="199"/>
      <c r="AK316" s="140"/>
    </row>
    <row r="317" spans="1:37" s="141" customFormat="1">
      <c r="A317" s="141">
        <v>212</v>
      </c>
      <c r="Z317" s="140"/>
      <c r="AA317" s="140"/>
      <c r="AB317" s="197"/>
      <c r="AC317" s="199"/>
      <c r="AD317" s="199"/>
      <c r="AE317" s="199"/>
      <c r="AF317" s="199"/>
      <c r="AG317" s="197"/>
      <c r="AH317" s="199"/>
      <c r="AI317" s="199"/>
      <c r="AK317" s="140"/>
    </row>
    <row r="318" spans="1:37" s="141" customFormat="1">
      <c r="A318" s="141">
        <v>213</v>
      </c>
      <c r="Z318" s="140"/>
      <c r="AA318" s="140"/>
      <c r="AB318" s="197"/>
      <c r="AC318" s="199"/>
      <c r="AD318" s="199"/>
      <c r="AE318" s="199"/>
      <c r="AF318" s="199"/>
      <c r="AG318" s="197"/>
      <c r="AH318" s="199"/>
      <c r="AI318" s="199"/>
      <c r="AK318" s="140"/>
    </row>
    <row r="319" spans="1:37" s="141" customFormat="1">
      <c r="A319" s="141">
        <v>214</v>
      </c>
      <c r="Z319" s="140"/>
      <c r="AA319" s="140"/>
      <c r="AB319" s="197"/>
      <c r="AC319" s="199"/>
      <c r="AD319" s="199"/>
      <c r="AE319" s="199"/>
      <c r="AF319" s="199"/>
      <c r="AG319" s="197"/>
      <c r="AH319" s="199"/>
      <c r="AI319" s="199"/>
      <c r="AK319" s="140"/>
    </row>
    <row r="320" spans="1:37" s="141" customFormat="1">
      <c r="A320" s="141">
        <v>215</v>
      </c>
      <c r="Z320" s="140"/>
      <c r="AA320" s="140"/>
      <c r="AB320" s="197"/>
      <c r="AC320" s="199"/>
      <c r="AD320" s="199"/>
      <c r="AE320" s="199"/>
      <c r="AF320" s="199"/>
      <c r="AG320" s="197"/>
      <c r="AH320" s="199"/>
      <c r="AI320" s="199"/>
      <c r="AK320" s="140"/>
    </row>
    <row r="321" spans="1:37" s="141" customFormat="1">
      <c r="A321" s="141">
        <v>216</v>
      </c>
      <c r="Z321" s="140"/>
      <c r="AA321" s="140"/>
      <c r="AB321" s="197"/>
      <c r="AC321" s="199"/>
      <c r="AD321" s="199"/>
      <c r="AE321" s="199"/>
      <c r="AF321" s="199"/>
      <c r="AG321" s="197"/>
      <c r="AH321" s="199"/>
      <c r="AI321" s="199"/>
      <c r="AK321" s="140"/>
    </row>
    <row r="322" spans="1:37" s="141" customFormat="1">
      <c r="A322" s="141">
        <v>217</v>
      </c>
      <c r="Z322" s="140"/>
      <c r="AA322" s="140"/>
      <c r="AB322" s="197"/>
      <c r="AC322" s="199"/>
      <c r="AD322" s="199"/>
      <c r="AE322" s="199"/>
      <c r="AF322" s="199"/>
      <c r="AG322" s="197"/>
      <c r="AH322" s="199"/>
      <c r="AI322" s="199"/>
      <c r="AK322" s="140"/>
    </row>
    <row r="323" spans="1:37" s="141" customFormat="1">
      <c r="A323" s="141">
        <v>218</v>
      </c>
      <c r="Z323" s="140"/>
      <c r="AA323" s="140"/>
      <c r="AB323" s="197"/>
      <c r="AC323" s="199"/>
      <c r="AD323" s="199"/>
      <c r="AE323" s="199"/>
      <c r="AF323" s="199"/>
      <c r="AG323" s="197"/>
      <c r="AH323" s="199"/>
      <c r="AI323" s="199"/>
      <c r="AK323" s="140"/>
    </row>
    <row r="324" spans="1:37" s="141" customFormat="1">
      <c r="A324" s="141">
        <v>219</v>
      </c>
      <c r="Z324" s="140"/>
      <c r="AA324" s="140"/>
      <c r="AB324" s="197"/>
      <c r="AC324" s="199"/>
      <c r="AD324" s="199"/>
      <c r="AE324" s="199"/>
      <c r="AF324" s="199"/>
      <c r="AG324" s="197"/>
      <c r="AH324" s="199"/>
      <c r="AI324" s="199"/>
      <c r="AK324" s="140"/>
    </row>
    <row r="325" spans="1:37" s="141" customFormat="1">
      <c r="A325" s="141">
        <v>220</v>
      </c>
      <c r="Z325" s="140"/>
      <c r="AA325" s="140"/>
      <c r="AB325" s="197"/>
      <c r="AC325" s="199"/>
      <c r="AD325" s="199"/>
      <c r="AE325" s="199"/>
      <c r="AF325" s="199"/>
      <c r="AG325" s="197"/>
      <c r="AH325" s="199"/>
      <c r="AI325" s="199"/>
      <c r="AK325" s="140"/>
    </row>
    <row r="326" spans="1:37" s="141" customFormat="1">
      <c r="A326" s="141">
        <v>221</v>
      </c>
      <c r="Z326" s="140"/>
      <c r="AA326" s="140"/>
      <c r="AB326" s="197"/>
      <c r="AC326" s="199"/>
      <c r="AD326" s="199"/>
      <c r="AE326" s="199"/>
      <c r="AF326" s="199"/>
      <c r="AG326" s="197"/>
      <c r="AH326" s="199"/>
      <c r="AI326" s="199"/>
      <c r="AK326" s="140"/>
    </row>
    <row r="327" spans="1:37" s="141" customFormat="1">
      <c r="A327" s="141">
        <v>222</v>
      </c>
      <c r="Z327" s="140"/>
      <c r="AA327" s="140"/>
      <c r="AB327" s="197"/>
      <c r="AC327" s="199"/>
      <c r="AD327" s="199"/>
      <c r="AE327" s="199"/>
      <c r="AF327" s="199"/>
      <c r="AG327" s="197"/>
      <c r="AH327" s="199"/>
      <c r="AI327" s="199"/>
      <c r="AK327" s="140"/>
    </row>
    <row r="328" spans="1:37" s="141" customFormat="1">
      <c r="A328" s="141">
        <v>223</v>
      </c>
      <c r="Z328" s="140"/>
      <c r="AA328" s="140"/>
      <c r="AB328" s="197"/>
      <c r="AC328" s="199"/>
      <c r="AD328" s="199"/>
      <c r="AE328" s="199"/>
      <c r="AF328" s="199"/>
      <c r="AG328" s="197"/>
      <c r="AH328" s="199"/>
      <c r="AI328" s="199"/>
      <c r="AK328" s="140"/>
    </row>
    <row r="329" spans="1:37" s="141" customFormat="1">
      <c r="A329" s="141">
        <v>224</v>
      </c>
      <c r="Z329" s="140"/>
      <c r="AA329" s="140"/>
      <c r="AB329" s="197"/>
      <c r="AC329" s="199"/>
      <c r="AD329" s="199"/>
      <c r="AE329" s="199"/>
      <c r="AF329" s="199"/>
      <c r="AG329" s="197"/>
      <c r="AH329" s="199"/>
      <c r="AI329" s="199"/>
      <c r="AK329" s="140"/>
    </row>
    <row r="330" spans="1:37" s="141" customFormat="1">
      <c r="A330" s="141">
        <v>225</v>
      </c>
      <c r="Z330" s="140"/>
      <c r="AA330" s="140"/>
      <c r="AB330" s="197"/>
      <c r="AC330" s="199"/>
      <c r="AD330" s="199"/>
      <c r="AE330" s="199"/>
      <c r="AF330" s="199"/>
      <c r="AG330" s="197"/>
      <c r="AH330" s="199"/>
      <c r="AI330" s="199"/>
      <c r="AK330" s="140"/>
    </row>
    <row r="331" spans="1:37" s="141" customFormat="1">
      <c r="A331" s="141">
        <v>226</v>
      </c>
      <c r="Z331" s="140"/>
      <c r="AA331" s="140"/>
      <c r="AB331" s="197"/>
      <c r="AC331" s="199"/>
      <c r="AD331" s="199"/>
      <c r="AE331" s="199"/>
      <c r="AF331" s="199"/>
      <c r="AG331" s="197"/>
      <c r="AH331" s="199"/>
      <c r="AI331" s="199"/>
      <c r="AK331" s="140"/>
    </row>
    <row r="332" spans="1:37" s="141" customFormat="1">
      <c r="A332" s="141">
        <v>227</v>
      </c>
      <c r="Z332" s="140"/>
      <c r="AA332" s="140"/>
      <c r="AB332" s="197"/>
      <c r="AC332" s="199"/>
      <c r="AD332" s="199"/>
      <c r="AE332" s="199"/>
      <c r="AF332" s="199"/>
      <c r="AG332" s="197"/>
      <c r="AH332" s="199"/>
      <c r="AI332" s="199"/>
      <c r="AK332" s="140"/>
    </row>
    <row r="333" spans="1:37" s="141" customFormat="1">
      <c r="A333" s="141">
        <v>228</v>
      </c>
      <c r="Z333" s="140"/>
      <c r="AA333" s="140"/>
      <c r="AB333" s="197"/>
      <c r="AC333" s="199"/>
      <c r="AD333" s="199"/>
      <c r="AE333" s="199"/>
      <c r="AF333" s="199"/>
      <c r="AG333" s="197"/>
      <c r="AH333" s="199"/>
      <c r="AI333" s="199"/>
      <c r="AK333" s="140"/>
    </row>
    <row r="334" spans="1:37" s="141" customFormat="1">
      <c r="A334" s="141">
        <v>229</v>
      </c>
      <c r="Z334" s="140"/>
      <c r="AA334" s="140"/>
      <c r="AB334" s="197"/>
      <c r="AC334" s="199"/>
      <c r="AD334" s="199"/>
      <c r="AE334" s="199"/>
      <c r="AF334" s="199"/>
      <c r="AG334" s="197"/>
      <c r="AH334" s="199"/>
      <c r="AI334" s="199"/>
      <c r="AK334" s="140"/>
    </row>
    <row r="335" spans="1:37" s="141" customFormat="1">
      <c r="A335" s="141">
        <v>230</v>
      </c>
      <c r="Z335" s="140"/>
      <c r="AA335" s="140"/>
      <c r="AB335" s="197"/>
      <c r="AC335" s="199"/>
      <c r="AD335" s="199"/>
      <c r="AE335" s="199"/>
      <c r="AF335" s="199"/>
      <c r="AG335" s="197"/>
      <c r="AH335" s="199"/>
      <c r="AI335" s="199"/>
      <c r="AK335" s="140"/>
    </row>
    <row r="336" spans="1:37" s="141" customFormat="1">
      <c r="A336" s="141">
        <v>231</v>
      </c>
      <c r="Z336" s="140"/>
      <c r="AA336" s="140"/>
      <c r="AB336" s="197"/>
      <c r="AC336" s="199"/>
      <c r="AD336" s="199"/>
      <c r="AE336" s="199"/>
      <c r="AF336" s="199"/>
      <c r="AG336" s="197"/>
      <c r="AH336" s="199"/>
      <c r="AI336" s="199"/>
      <c r="AK336" s="140"/>
    </row>
    <row r="337" spans="1:37" s="141" customFormat="1">
      <c r="A337" s="141">
        <v>232</v>
      </c>
      <c r="Z337" s="140"/>
      <c r="AA337" s="140"/>
      <c r="AB337" s="197"/>
      <c r="AC337" s="199"/>
      <c r="AD337" s="199"/>
      <c r="AE337" s="199"/>
      <c r="AF337" s="199"/>
      <c r="AG337" s="197"/>
      <c r="AH337" s="199"/>
      <c r="AI337" s="199"/>
      <c r="AK337" s="140"/>
    </row>
    <row r="338" spans="1:37" s="141" customFormat="1">
      <c r="A338" s="141">
        <v>233</v>
      </c>
      <c r="Z338" s="140"/>
      <c r="AA338" s="140"/>
      <c r="AB338" s="197"/>
      <c r="AC338" s="199"/>
      <c r="AD338" s="199"/>
      <c r="AE338" s="199"/>
      <c r="AF338" s="199"/>
      <c r="AG338" s="197"/>
      <c r="AH338" s="199"/>
      <c r="AI338" s="199"/>
      <c r="AK338" s="140"/>
    </row>
    <row r="339" spans="1:37" s="141" customFormat="1">
      <c r="A339" s="141">
        <v>234</v>
      </c>
      <c r="Z339" s="140"/>
      <c r="AA339" s="140"/>
      <c r="AB339" s="197"/>
      <c r="AC339" s="199"/>
      <c r="AD339" s="199"/>
      <c r="AE339" s="199"/>
      <c r="AF339" s="199"/>
      <c r="AG339" s="197"/>
      <c r="AH339" s="199"/>
      <c r="AI339" s="199"/>
      <c r="AK339" s="140"/>
    </row>
    <row r="340" spans="1:37" s="141" customFormat="1">
      <c r="A340" s="141">
        <v>235</v>
      </c>
      <c r="Z340" s="140"/>
      <c r="AA340" s="140"/>
      <c r="AB340" s="197"/>
      <c r="AC340" s="199"/>
      <c r="AD340" s="199"/>
      <c r="AE340" s="199"/>
      <c r="AF340" s="199"/>
      <c r="AG340" s="197"/>
      <c r="AH340" s="199"/>
      <c r="AI340" s="199"/>
      <c r="AK340" s="140"/>
    </row>
    <row r="341" spans="1:37" s="141" customFormat="1">
      <c r="A341" s="141">
        <v>236</v>
      </c>
      <c r="Z341" s="140"/>
      <c r="AA341" s="140"/>
      <c r="AB341" s="197"/>
      <c r="AC341" s="199"/>
      <c r="AD341" s="199"/>
      <c r="AE341" s="199"/>
      <c r="AF341" s="199"/>
      <c r="AG341" s="197"/>
      <c r="AH341" s="199"/>
      <c r="AI341" s="199"/>
      <c r="AK341" s="140"/>
    </row>
    <row r="342" spans="1:37" s="141" customFormat="1">
      <c r="A342" s="141">
        <v>237</v>
      </c>
      <c r="Z342" s="140"/>
      <c r="AA342" s="140"/>
      <c r="AB342" s="197"/>
      <c r="AC342" s="199"/>
      <c r="AD342" s="199"/>
      <c r="AE342" s="199"/>
      <c r="AF342" s="199"/>
      <c r="AG342" s="197"/>
      <c r="AH342" s="199"/>
      <c r="AI342" s="199"/>
      <c r="AK342" s="140"/>
    </row>
    <row r="343" spans="1:37" s="141" customFormat="1">
      <c r="A343" s="141">
        <v>238</v>
      </c>
      <c r="Z343" s="140"/>
      <c r="AA343" s="140"/>
      <c r="AB343" s="197"/>
      <c r="AC343" s="199"/>
      <c r="AD343" s="199"/>
      <c r="AE343" s="199"/>
      <c r="AF343" s="199"/>
      <c r="AG343" s="197"/>
      <c r="AH343" s="199"/>
      <c r="AI343" s="199"/>
      <c r="AK343" s="140"/>
    </row>
    <row r="344" spans="1:37" s="141" customFormat="1">
      <c r="A344" s="141">
        <v>239</v>
      </c>
      <c r="Z344" s="140"/>
      <c r="AA344" s="140"/>
      <c r="AB344" s="197"/>
      <c r="AC344" s="199"/>
      <c r="AD344" s="199"/>
      <c r="AE344" s="199"/>
      <c r="AF344" s="199"/>
      <c r="AG344" s="197"/>
      <c r="AH344" s="199"/>
      <c r="AI344" s="199"/>
      <c r="AK344" s="140"/>
    </row>
    <row r="345" spans="1:37" s="141" customFormat="1">
      <c r="A345" s="141">
        <v>240</v>
      </c>
      <c r="Z345" s="140"/>
      <c r="AA345" s="140"/>
      <c r="AB345" s="197"/>
      <c r="AC345" s="199"/>
      <c r="AD345" s="199"/>
      <c r="AE345" s="199"/>
      <c r="AF345" s="199"/>
      <c r="AG345" s="197"/>
      <c r="AH345" s="199"/>
      <c r="AI345" s="199"/>
      <c r="AK345" s="140"/>
    </row>
    <row r="346" spans="1:37" s="141" customFormat="1">
      <c r="A346" s="141">
        <v>241</v>
      </c>
      <c r="Z346" s="140"/>
      <c r="AA346" s="140"/>
      <c r="AB346" s="197"/>
      <c r="AC346" s="199"/>
      <c r="AD346" s="199"/>
      <c r="AE346" s="199"/>
      <c r="AF346" s="199"/>
      <c r="AG346" s="197"/>
      <c r="AH346" s="199"/>
      <c r="AI346" s="199"/>
      <c r="AK346" s="140"/>
    </row>
    <row r="347" spans="1:37" s="141" customFormat="1">
      <c r="A347" s="141">
        <v>242</v>
      </c>
      <c r="Z347" s="140"/>
      <c r="AA347" s="140"/>
      <c r="AB347" s="197"/>
      <c r="AC347" s="199"/>
      <c r="AD347" s="199"/>
      <c r="AE347" s="199"/>
      <c r="AF347" s="199"/>
      <c r="AG347" s="197"/>
      <c r="AH347" s="199"/>
      <c r="AI347" s="199"/>
      <c r="AK347" s="140"/>
    </row>
    <row r="348" spans="1:37" s="141" customFormat="1">
      <c r="A348" s="141">
        <v>243</v>
      </c>
      <c r="Z348" s="140"/>
      <c r="AA348" s="140"/>
      <c r="AB348" s="197"/>
      <c r="AC348" s="199"/>
      <c r="AD348" s="199"/>
      <c r="AE348" s="199"/>
      <c r="AF348" s="199"/>
      <c r="AG348" s="197"/>
      <c r="AH348" s="199"/>
      <c r="AI348" s="199"/>
      <c r="AK348" s="140"/>
    </row>
    <row r="349" spans="1:37" s="141" customFormat="1">
      <c r="A349" s="141">
        <v>244</v>
      </c>
      <c r="Z349" s="140"/>
      <c r="AA349" s="140"/>
      <c r="AB349" s="197"/>
      <c r="AC349" s="199"/>
      <c r="AD349" s="199"/>
      <c r="AE349" s="199"/>
      <c r="AF349" s="199"/>
      <c r="AG349" s="197"/>
      <c r="AH349" s="199"/>
      <c r="AI349" s="199"/>
      <c r="AK349" s="140"/>
    </row>
    <row r="350" spans="1:37" s="141" customFormat="1">
      <c r="A350" s="141">
        <v>245</v>
      </c>
      <c r="Z350" s="140"/>
      <c r="AA350" s="140"/>
      <c r="AB350" s="197"/>
      <c r="AC350" s="199"/>
      <c r="AD350" s="199"/>
      <c r="AE350" s="199"/>
      <c r="AF350" s="199"/>
      <c r="AG350" s="197"/>
      <c r="AH350" s="199"/>
      <c r="AI350" s="199"/>
      <c r="AK350" s="140"/>
    </row>
    <row r="351" spans="1:37" s="141" customFormat="1">
      <c r="A351" s="141">
        <v>246</v>
      </c>
      <c r="Z351" s="140"/>
      <c r="AA351" s="140"/>
      <c r="AB351" s="197"/>
      <c r="AC351" s="199"/>
      <c r="AD351" s="199"/>
      <c r="AE351" s="199"/>
      <c r="AF351" s="199"/>
      <c r="AG351" s="197"/>
      <c r="AH351" s="199"/>
      <c r="AI351" s="199"/>
      <c r="AK351" s="140"/>
    </row>
    <row r="352" spans="1:37" s="141" customFormat="1">
      <c r="A352" s="141">
        <v>247</v>
      </c>
      <c r="Z352" s="140"/>
      <c r="AA352" s="140"/>
      <c r="AB352" s="197"/>
      <c r="AC352" s="199"/>
      <c r="AD352" s="199"/>
      <c r="AE352" s="199"/>
      <c r="AF352" s="199"/>
      <c r="AG352" s="197"/>
      <c r="AH352" s="199"/>
      <c r="AI352" s="199"/>
      <c r="AK352" s="140"/>
    </row>
    <row r="353" spans="1:37" s="141" customFormat="1">
      <c r="A353" s="141">
        <v>248</v>
      </c>
      <c r="Z353" s="140"/>
      <c r="AA353" s="140"/>
      <c r="AB353" s="197"/>
      <c r="AC353" s="199"/>
      <c r="AD353" s="199"/>
      <c r="AE353" s="199"/>
      <c r="AF353" s="199"/>
      <c r="AG353" s="197"/>
      <c r="AH353" s="199"/>
      <c r="AI353" s="199"/>
      <c r="AK353" s="140"/>
    </row>
    <row r="354" spans="1:37" s="141" customFormat="1">
      <c r="A354" s="141">
        <v>249</v>
      </c>
      <c r="Z354" s="140"/>
      <c r="AA354" s="140"/>
      <c r="AB354" s="197"/>
      <c r="AC354" s="199"/>
      <c r="AD354" s="199"/>
      <c r="AE354" s="199"/>
      <c r="AF354" s="199"/>
      <c r="AG354" s="197"/>
      <c r="AH354" s="199"/>
      <c r="AI354" s="199"/>
      <c r="AK354" s="140"/>
    </row>
    <row r="355" spans="1:37" s="141" customFormat="1">
      <c r="A355" s="141">
        <v>250</v>
      </c>
      <c r="Z355" s="140"/>
      <c r="AA355" s="140"/>
      <c r="AB355" s="197"/>
      <c r="AC355" s="199"/>
      <c r="AD355" s="199"/>
      <c r="AE355" s="199"/>
      <c r="AF355" s="199"/>
      <c r="AG355" s="197"/>
      <c r="AH355" s="199"/>
      <c r="AI355" s="199"/>
      <c r="AK355" s="140"/>
    </row>
    <row r="356" spans="1:37" s="141" customFormat="1">
      <c r="A356" s="141">
        <v>251</v>
      </c>
      <c r="Z356" s="140"/>
      <c r="AA356" s="140"/>
      <c r="AB356" s="197"/>
      <c r="AC356" s="199"/>
      <c r="AD356" s="199"/>
      <c r="AE356" s="199"/>
      <c r="AF356" s="199"/>
      <c r="AG356" s="197"/>
      <c r="AH356" s="199"/>
      <c r="AI356" s="199"/>
      <c r="AK356" s="140"/>
    </row>
    <row r="357" spans="1:37" s="141" customFormat="1">
      <c r="A357" s="141">
        <v>252</v>
      </c>
      <c r="Z357" s="140"/>
      <c r="AA357" s="140"/>
      <c r="AB357" s="197"/>
      <c r="AC357" s="199"/>
      <c r="AD357" s="199"/>
      <c r="AE357" s="199"/>
      <c r="AF357" s="199"/>
      <c r="AG357" s="197"/>
      <c r="AH357" s="199"/>
      <c r="AI357" s="199"/>
      <c r="AK357" s="140"/>
    </row>
    <row r="358" spans="1:37" s="141" customFormat="1">
      <c r="A358" s="141">
        <v>253</v>
      </c>
      <c r="Z358" s="140"/>
      <c r="AA358" s="140"/>
      <c r="AB358" s="197"/>
      <c r="AC358" s="199"/>
      <c r="AD358" s="199"/>
      <c r="AE358" s="199"/>
      <c r="AF358" s="199"/>
      <c r="AG358" s="197"/>
      <c r="AH358" s="199"/>
      <c r="AI358" s="199"/>
      <c r="AK358" s="140"/>
    </row>
    <row r="359" spans="1:37" s="141" customFormat="1">
      <c r="A359" s="141">
        <v>254</v>
      </c>
      <c r="Z359" s="140"/>
      <c r="AA359" s="140"/>
      <c r="AB359" s="197"/>
      <c r="AC359" s="199"/>
      <c r="AD359" s="199"/>
      <c r="AE359" s="199"/>
      <c r="AF359" s="199"/>
      <c r="AG359" s="197"/>
      <c r="AH359" s="199"/>
      <c r="AI359" s="199"/>
      <c r="AK359" s="140"/>
    </row>
    <row r="360" spans="1:37" s="141" customFormat="1">
      <c r="A360" s="141">
        <v>255</v>
      </c>
      <c r="Z360" s="140"/>
      <c r="AA360" s="140"/>
      <c r="AB360" s="197"/>
      <c r="AC360" s="199"/>
      <c r="AD360" s="199"/>
      <c r="AE360" s="199"/>
      <c r="AF360" s="199"/>
      <c r="AG360" s="197"/>
      <c r="AH360" s="199"/>
      <c r="AI360" s="199"/>
      <c r="AK360" s="140"/>
    </row>
    <row r="361" spans="1:37" s="141" customFormat="1">
      <c r="A361" s="141">
        <v>256</v>
      </c>
      <c r="Z361" s="140"/>
      <c r="AA361" s="140"/>
      <c r="AB361" s="197"/>
      <c r="AC361" s="199"/>
      <c r="AD361" s="199"/>
      <c r="AE361" s="199"/>
      <c r="AF361" s="199"/>
      <c r="AG361" s="197"/>
      <c r="AH361" s="199"/>
      <c r="AI361" s="199"/>
      <c r="AK361" s="140"/>
    </row>
    <row r="362" spans="1:37" s="141" customFormat="1">
      <c r="A362" s="141">
        <v>257</v>
      </c>
      <c r="Z362" s="140"/>
      <c r="AA362" s="140"/>
      <c r="AB362" s="197"/>
      <c r="AC362" s="199"/>
      <c r="AD362" s="199"/>
      <c r="AE362" s="199"/>
      <c r="AF362" s="199"/>
      <c r="AG362" s="197"/>
      <c r="AH362" s="199"/>
      <c r="AI362" s="199"/>
      <c r="AK362" s="140"/>
    </row>
    <row r="363" spans="1:37" s="141" customFormat="1">
      <c r="A363" s="141">
        <v>258</v>
      </c>
      <c r="Z363" s="140"/>
      <c r="AA363" s="140"/>
      <c r="AB363" s="197"/>
      <c r="AC363" s="199"/>
      <c r="AD363" s="199"/>
      <c r="AE363" s="199"/>
      <c r="AF363" s="199"/>
      <c r="AG363" s="197"/>
      <c r="AH363" s="199"/>
      <c r="AI363" s="199"/>
      <c r="AK363" s="140"/>
    </row>
    <row r="364" spans="1:37" s="141" customFormat="1">
      <c r="A364" s="141">
        <v>259</v>
      </c>
      <c r="Z364" s="140"/>
      <c r="AA364" s="140"/>
      <c r="AB364" s="197"/>
      <c r="AC364" s="199"/>
      <c r="AD364" s="199"/>
      <c r="AE364" s="199"/>
      <c r="AF364" s="199"/>
      <c r="AG364" s="197"/>
      <c r="AH364" s="199"/>
      <c r="AI364" s="199"/>
      <c r="AK364" s="140"/>
    </row>
    <row r="365" spans="1:37" s="141" customFormat="1">
      <c r="A365" s="141">
        <v>260</v>
      </c>
      <c r="Z365" s="140"/>
      <c r="AA365" s="140"/>
      <c r="AB365" s="197"/>
      <c r="AC365" s="199"/>
      <c r="AD365" s="199"/>
      <c r="AE365" s="199"/>
      <c r="AF365" s="199"/>
      <c r="AG365" s="197"/>
      <c r="AH365" s="199"/>
      <c r="AI365" s="199"/>
      <c r="AK365" s="140"/>
    </row>
    <row r="366" spans="1:37" s="141" customFormat="1">
      <c r="A366" s="141">
        <v>261</v>
      </c>
      <c r="Z366" s="140"/>
      <c r="AA366" s="140"/>
      <c r="AB366" s="197"/>
      <c r="AC366" s="199"/>
      <c r="AD366" s="199"/>
      <c r="AE366" s="199"/>
      <c r="AF366" s="199"/>
      <c r="AG366" s="197"/>
      <c r="AH366" s="199"/>
      <c r="AI366" s="199"/>
      <c r="AK366" s="140"/>
    </row>
    <row r="367" spans="1:37" s="141" customFormat="1">
      <c r="A367" s="141">
        <v>262</v>
      </c>
      <c r="Z367" s="140"/>
      <c r="AA367" s="140"/>
      <c r="AB367" s="197"/>
      <c r="AC367" s="199"/>
      <c r="AD367" s="199"/>
      <c r="AE367" s="199"/>
      <c r="AF367" s="199"/>
      <c r="AG367" s="197"/>
      <c r="AH367" s="199"/>
      <c r="AI367" s="199"/>
      <c r="AK367" s="140"/>
    </row>
    <row r="368" spans="1:37" s="141" customFormat="1">
      <c r="A368" s="141">
        <v>263</v>
      </c>
      <c r="Z368" s="140"/>
      <c r="AA368" s="140"/>
      <c r="AB368" s="197"/>
      <c r="AC368" s="199"/>
      <c r="AD368" s="199"/>
      <c r="AE368" s="199"/>
      <c r="AF368" s="199"/>
      <c r="AG368" s="197"/>
      <c r="AH368" s="199"/>
      <c r="AI368" s="199"/>
      <c r="AK368" s="140"/>
    </row>
    <row r="369" spans="1:37" s="141" customFormat="1">
      <c r="A369" s="141">
        <v>264</v>
      </c>
      <c r="Z369" s="140"/>
      <c r="AA369" s="140"/>
      <c r="AB369" s="197"/>
      <c r="AC369" s="199"/>
      <c r="AD369" s="199"/>
      <c r="AE369" s="199"/>
      <c r="AF369" s="199"/>
      <c r="AG369" s="197"/>
      <c r="AH369" s="199"/>
      <c r="AI369" s="199"/>
      <c r="AK369" s="140"/>
    </row>
    <row r="370" spans="1:37" s="141" customFormat="1">
      <c r="A370" s="141">
        <v>265</v>
      </c>
      <c r="Z370" s="140"/>
      <c r="AA370" s="140"/>
      <c r="AB370" s="197"/>
      <c r="AC370" s="199"/>
      <c r="AD370" s="199"/>
      <c r="AE370" s="199"/>
      <c r="AF370" s="199"/>
      <c r="AG370" s="197"/>
      <c r="AH370" s="199"/>
      <c r="AI370" s="199"/>
      <c r="AK370" s="140"/>
    </row>
    <row r="371" spans="1:37" s="141" customFormat="1">
      <c r="A371" s="141">
        <v>266</v>
      </c>
      <c r="Z371" s="140"/>
      <c r="AA371" s="140"/>
      <c r="AB371" s="197"/>
      <c r="AC371" s="199"/>
      <c r="AD371" s="199"/>
      <c r="AE371" s="199"/>
      <c r="AF371" s="199"/>
      <c r="AG371" s="197"/>
      <c r="AH371" s="199"/>
      <c r="AI371" s="199"/>
      <c r="AK371" s="140"/>
    </row>
    <row r="372" spans="1:37" s="141" customFormat="1">
      <c r="A372" s="141">
        <v>267</v>
      </c>
      <c r="Z372" s="140"/>
      <c r="AA372" s="140"/>
      <c r="AB372" s="197"/>
      <c r="AC372" s="199"/>
      <c r="AD372" s="199"/>
      <c r="AE372" s="199"/>
      <c r="AF372" s="199"/>
      <c r="AG372" s="197"/>
      <c r="AH372" s="199"/>
      <c r="AI372" s="199"/>
      <c r="AK372" s="140"/>
    </row>
    <row r="373" spans="1:37" s="141" customFormat="1">
      <c r="A373" s="141">
        <v>268</v>
      </c>
      <c r="Z373" s="140"/>
      <c r="AA373" s="140"/>
      <c r="AB373" s="197"/>
      <c r="AC373" s="199"/>
      <c r="AD373" s="199"/>
      <c r="AE373" s="199"/>
      <c r="AF373" s="199"/>
      <c r="AG373" s="197"/>
      <c r="AH373" s="199"/>
      <c r="AI373" s="199"/>
      <c r="AK373" s="140"/>
    </row>
    <row r="374" spans="1:37" s="141" customFormat="1">
      <c r="A374" s="141">
        <v>269</v>
      </c>
      <c r="Z374" s="140"/>
      <c r="AA374" s="140"/>
      <c r="AB374" s="197"/>
      <c r="AC374" s="199"/>
      <c r="AD374" s="199"/>
      <c r="AE374" s="199"/>
      <c r="AF374" s="199"/>
      <c r="AG374" s="197"/>
      <c r="AH374" s="199"/>
      <c r="AI374" s="199"/>
      <c r="AK374" s="140"/>
    </row>
    <row r="375" spans="1:37" s="141" customFormat="1">
      <c r="A375" s="141">
        <v>270</v>
      </c>
      <c r="Z375" s="140"/>
      <c r="AA375" s="140"/>
      <c r="AB375" s="197"/>
      <c r="AC375" s="199"/>
      <c r="AD375" s="199"/>
      <c r="AE375" s="199"/>
      <c r="AF375" s="199"/>
      <c r="AG375" s="197"/>
      <c r="AH375" s="199"/>
      <c r="AI375" s="199"/>
      <c r="AK375" s="140"/>
    </row>
    <row r="376" spans="1:37" s="141" customFormat="1">
      <c r="A376" s="141">
        <v>271</v>
      </c>
      <c r="Z376" s="140"/>
      <c r="AA376" s="140"/>
      <c r="AB376" s="197"/>
      <c r="AC376" s="199"/>
      <c r="AD376" s="199"/>
      <c r="AE376" s="199"/>
      <c r="AF376" s="199"/>
      <c r="AG376" s="197"/>
      <c r="AH376" s="199"/>
      <c r="AI376" s="199"/>
      <c r="AK376" s="140"/>
    </row>
    <row r="377" spans="1:37" s="141" customFormat="1">
      <c r="A377" s="141">
        <v>272</v>
      </c>
      <c r="Z377" s="140"/>
      <c r="AA377" s="140"/>
      <c r="AB377" s="197"/>
      <c r="AC377" s="199"/>
      <c r="AD377" s="199"/>
      <c r="AE377" s="199"/>
      <c r="AF377" s="199"/>
      <c r="AG377" s="197"/>
      <c r="AH377" s="199"/>
      <c r="AI377" s="199"/>
      <c r="AK377" s="140"/>
    </row>
    <row r="378" spans="1:37" s="141" customFormat="1">
      <c r="A378" s="141">
        <v>273</v>
      </c>
      <c r="Z378" s="140"/>
      <c r="AA378" s="140"/>
      <c r="AB378" s="197"/>
      <c r="AC378" s="199"/>
      <c r="AD378" s="199"/>
      <c r="AE378" s="199"/>
      <c r="AF378" s="199"/>
      <c r="AG378" s="197"/>
      <c r="AH378" s="199"/>
      <c r="AI378" s="199"/>
      <c r="AK378" s="140"/>
    </row>
    <row r="379" spans="1:37" s="141" customFormat="1">
      <c r="A379" s="141">
        <v>274</v>
      </c>
      <c r="Z379" s="140"/>
      <c r="AA379" s="140"/>
      <c r="AB379" s="197"/>
      <c r="AC379" s="199"/>
      <c r="AD379" s="199"/>
      <c r="AE379" s="199"/>
      <c r="AF379" s="199"/>
      <c r="AG379" s="197"/>
      <c r="AH379" s="199"/>
      <c r="AI379" s="199"/>
      <c r="AK379" s="140"/>
    </row>
    <row r="380" spans="1:37" s="141" customFormat="1">
      <c r="A380" s="141">
        <v>275</v>
      </c>
      <c r="Z380" s="140"/>
      <c r="AA380" s="140"/>
      <c r="AB380" s="197"/>
      <c r="AC380" s="199"/>
      <c r="AD380" s="199"/>
      <c r="AE380" s="199"/>
      <c r="AF380" s="199"/>
      <c r="AG380" s="197"/>
      <c r="AH380" s="199"/>
      <c r="AI380" s="199"/>
      <c r="AK380" s="140"/>
    </row>
    <row r="381" spans="1:37" s="141" customFormat="1">
      <c r="A381" s="141">
        <v>276</v>
      </c>
      <c r="Z381" s="140"/>
      <c r="AA381" s="140"/>
      <c r="AB381" s="197"/>
      <c r="AC381" s="199"/>
      <c r="AD381" s="199"/>
      <c r="AE381" s="199"/>
      <c r="AF381" s="199"/>
      <c r="AG381" s="197"/>
      <c r="AH381" s="199"/>
      <c r="AI381" s="199"/>
      <c r="AK381" s="140"/>
    </row>
    <row r="382" spans="1:37" s="141" customFormat="1">
      <c r="A382" s="141">
        <v>277</v>
      </c>
      <c r="Z382" s="140"/>
      <c r="AA382" s="140"/>
      <c r="AB382" s="197"/>
      <c r="AC382" s="199"/>
      <c r="AD382" s="199"/>
      <c r="AE382" s="199"/>
      <c r="AF382" s="199"/>
      <c r="AG382" s="197"/>
      <c r="AH382" s="199"/>
      <c r="AI382" s="199"/>
      <c r="AK382" s="140"/>
    </row>
    <row r="383" spans="1:37" s="141" customFormat="1">
      <c r="A383" s="141">
        <v>278</v>
      </c>
      <c r="Z383" s="140"/>
      <c r="AA383" s="140"/>
      <c r="AB383" s="197"/>
      <c r="AC383" s="199"/>
      <c r="AD383" s="199"/>
      <c r="AE383" s="199"/>
      <c r="AF383" s="199"/>
      <c r="AG383" s="197"/>
      <c r="AH383" s="199"/>
      <c r="AI383" s="199"/>
      <c r="AK383" s="140"/>
    </row>
    <row r="384" spans="1:37" s="141" customFormat="1">
      <c r="A384" s="141">
        <v>279</v>
      </c>
      <c r="Z384" s="140"/>
      <c r="AA384" s="140"/>
      <c r="AB384" s="197"/>
      <c r="AC384" s="199"/>
      <c r="AD384" s="199"/>
      <c r="AE384" s="199"/>
      <c r="AF384" s="199"/>
      <c r="AG384" s="197"/>
      <c r="AH384" s="199"/>
      <c r="AI384" s="199"/>
      <c r="AK384" s="140"/>
    </row>
    <row r="385" spans="1:37" s="141" customFormat="1">
      <c r="A385" s="141">
        <v>280</v>
      </c>
      <c r="Z385" s="140"/>
      <c r="AA385" s="140"/>
      <c r="AB385" s="197"/>
      <c r="AC385" s="199"/>
      <c r="AD385" s="199"/>
      <c r="AE385" s="199"/>
      <c r="AF385" s="199"/>
      <c r="AG385" s="197"/>
      <c r="AH385" s="199"/>
      <c r="AI385" s="199"/>
      <c r="AK385" s="140"/>
    </row>
    <row r="386" spans="1:37" s="141" customFormat="1">
      <c r="A386" s="141">
        <v>281</v>
      </c>
      <c r="Z386" s="140"/>
      <c r="AA386" s="140"/>
      <c r="AB386" s="197"/>
      <c r="AC386" s="199"/>
      <c r="AD386" s="199"/>
      <c r="AE386" s="199"/>
      <c r="AF386" s="199"/>
      <c r="AG386" s="197"/>
      <c r="AH386" s="199"/>
      <c r="AI386" s="199"/>
      <c r="AK386" s="140"/>
    </row>
    <row r="387" spans="1:37" s="141" customFormat="1">
      <c r="A387" s="141">
        <v>282</v>
      </c>
      <c r="Z387" s="140"/>
      <c r="AA387" s="140"/>
      <c r="AB387" s="197"/>
      <c r="AC387" s="199"/>
      <c r="AD387" s="199"/>
      <c r="AE387" s="199"/>
      <c r="AF387" s="199"/>
      <c r="AG387" s="197"/>
      <c r="AH387" s="199"/>
      <c r="AI387" s="199"/>
      <c r="AK387" s="140"/>
    </row>
    <row r="388" spans="1:37" s="141" customFormat="1">
      <c r="A388" s="141">
        <v>283</v>
      </c>
      <c r="Z388" s="140"/>
      <c r="AA388" s="140"/>
      <c r="AB388" s="197"/>
      <c r="AC388" s="199"/>
      <c r="AD388" s="199"/>
      <c r="AE388" s="199"/>
      <c r="AF388" s="199"/>
      <c r="AG388" s="197"/>
      <c r="AH388" s="199"/>
      <c r="AI388" s="199"/>
      <c r="AK388" s="140"/>
    </row>
    <row r="389" spans="1:37" s="141" customFormat="1">
      <c r="A389" s="141">
        <v>284</v>
      </c>
      <c r="Z389" s="140"/>
      <c r="AA389" s="140"/>
      <c r="AB389" s="197"/>
      <c r="AC389" s="199"/>
      <c r="AD389" s="199"/>
      <c r="AE389" s="199"/>
      <c r="AF389" s="199"/>
      <c r="AG389" s="197"/>
      <c r="AH389" s="199"/>
      <c r="AI389" s="199"/>
      <c r="AK389" s="140"/>
    </row>
    <row r="390" spans="1:37" s="141" customFormat="1">
      <c r="A390" s="141">
        <v>285</v>
      </c>
      <c r="Z390" s="140"/>
      <c r="AA390" s="140"/>
      <c r="AB390" s="197"/>
      <c r="AC390" s="199"/>
      <c r="AD390" s="199"/>
      <c r="AE390" s="199"/>
      <c r="AF390" s="199"/>
      <c r="AG390" s="197"/>
      <c r="AH390" s="199"/>
      <c r="AI390" s="199"/>
      <c r="AK390" s="140"/>
    </row>
    <row r="391" spans="1:37" s="141" customFormat="1">
      <c r="A391" s="141">
        <v>286</v>
      </c>
      <c r="Z391" s="140"/>
      <c r="AA391" s="140"/>
      <c r="AB391" s="197"/>
      <c r="AC391" s="199"/>
      <c r="AD391" s="199"/>
      <c r="AE391" s="199"/>
      <c r="AF391" s="199"/>
      <c r="AG391" s="197"/>
      <c r="AH391" s="199"/>
      <c r="AI391" s="199"/>
      <c r="AK391" s="140"/>
    </row>
    <row r="392" spans="1:37" s="141" customFormat="1">
      <c r="A392" s="141">
        <v>287</v>
      </c>
      <c r="Z392" s="140"/>
      <c r="AA392" s="140"/>
      <c r="AB392" s="197"/>
      <c r="AC392" s="199"/>
      <c r="AD392" s="199"/>
      <c r="AE392" s="199"/>
      <c r="AF392" s="199"/>
      <c r="AG392" s="197"/>
      <c r="AH392" s="199"/>
      <c r="AI392" s="199"/>
      <c r="AK392" s="140"/>
    </row>
    <row r="393" spans="1:37" s="141" customFormat="1">
      <c r="A393" s="141">
        <v>288</v>
      </c>
      <c r="Z393" s="140"/>
      <c r="AA393" s="140"/>
      <c r="AB393" s="197"/>
      <c r="AC393" s="199"/>
      <c r="AD393" s="199"/>
      <c r="AE393" s="199"/>
      <c r="AF393" s="199"/>
      <c r="AG393" s="197"/>
      <c r="AH393" s="199"/>
      <c r="AI393" s="199"/>
      <c r="AK393" s="140"/>
    </row>
    <row r="394" spans="1:37" s="141" customFormat="1">
      <c r="A394" s="141">
        <v>289</v>
      </c>
      <c r="Z394" s="140"/>
      <c r="AA394" s="140"/>
      <c r="AB394" s="197"/>
      <c r="AC394" s="199"/>
      <c r="AD394" s="199"/>
      <c r="AE394" s="199"/>
      <c r="AF394" s="199"/>
      <c r="AG394" s="197"/>
      <c r="AH394" s="199"/>
      <c r="AI394" s="199"/>
      <c r="AK394" s="140"/>
    </row>
    <row r="395" spans="1:37" s="141" customFormat="1">
      <c r="A395" s="141">
        <v>290</v>
      </c>
      <c r="Z395" s="140"/>
      <c r="AA395" s="140"/>
      <c r="AB395" s="197"/>
      <c r="AC395" s="199"/>
      <c r="AD395" s="199"/>
      <c r="AE395" s="199"/>
      <c r="AF395" s="199"/>
      <c r="AG395" s="197"/>
      <c r="AH395" s="199"/>
      <c r="AI395" s="199"/>
      <c r="AK395" s="140"/>
    </row>
    <row r="396" spans="1:37" s="141" customFormat="1">
      <c r="A396" s="141">
        <v>291</v>
      </c>
      <c r="Z396" s="140"/>
      <c r="AA396" s="140"/>
      <c r="AB396" s="197"/>
      <c r="AC396" s="199"/>
      <c r="AD396" s="199"/>
      <c r="AE396" s="199"/>
      <c r="AF396" s="199"/>
      <c r="AG396" s="197"/>
      <c r="AH396" s="199"/>
      <c r="AI396" s="199"/>
      <c r="AK396" s="140"/>
    </row>
    <row r="397" spans="1:37" s="141" customFormat="1">
      <c r="A397" s="141">
        <v>292</v>
      </c>
      <c r="Z397" s="140"/>
      <c r="AA397" s="140"/>
      <c r="AB397" s="197"/>
      <c r="AC397" s="199"/>
      <c r="AD397" s="199"/>
      <c r="AE397" s="199"/>
      <c r="AF397" s="199"/>
      <c r="AG397" s="197"/>
      <c r="AH397" s="199"/>
      <c r="AI397" s="199"/>
      <c r="AK397" s="140"/>
    </row>
    <row r="398" spans="1:37" s="141" customFormat="1">
      <c r="A398" s="141">
        <v>293</v>
      </c>
      <c r="Z398" s="140"/>
      <c r="AA398" s="140"/>
      <c r="AB398" s="197"/>
      <c r="AC398" s="199"/>
      <c r="AD398" s="199"/>
      <c r="AE398" s="199"/>
      <c r="AF398" s="199"/>
      <c r="AG398" s="197"/>
      <c r="AH398" s="199"/>
      <c r="AI398" s="199"/>
      <c r="AK398" s="140"/>
    </row>
    <row r="399" spans="1:37" s="141" customFormat="1">
      <c r="A399" s="141">
        <v>294</v>
      </c>
      <c r="Z399" s="140"/>
      <c r="AA399" s="140"/>
      <c r="AB399" s="197"/>
      <c r="AC399" s="199"/>
      <c r="AD399" s="199"/>
      <c r="AE399" s="199"/>
      <c r="AF399" s="199"/>
      <c r="AG399" s="197"/>
      <c r="AH399" s="199"/>
      <c r="AI399" s="199"/>
      <c r="AK399" s="140"/>
    </row>
    <row r="400" spans="1:37" s="141" customFormat="1">
      <c r="A400" s="141">
        <v>295</v>
      </c>
      <c r="Z400" s="140"/>
      <c r="AA400" s="140"/>
      <c r="AB400" s="197"/>
      <c r="AC400" s="199"/>
      <c r="AD400" s="199"/>
      <c r="AE400" s="199"/>
      <c r="AF400" s="199"/>
      <c r="AG400" s="197"/>
      <c r="AH400" s="199"/>
      <c r="AI400" s="199"/>
      <c r="AK400" s="140"/>
    </row>
    <row r="401" spans="1:37" s="141" customFormat="1">
      <c r="A401" s="141">
        <v>296</v>
      </c>
      <c r="Z401" s="140"/>
      <c r="AA401" s="140"/>
      <c r="AB401" s="197"/>
      <c r="AC401" s="199"/>
      <c r="AD401" s="199"/>
      <c r="AE401" s="199"/>
      <c r="AF401" s="199"/>
      <c r="AG401" s="197"/>
      <c r="AH401" s="199"/>
      <c r="AI401" s="199"/>
      <c r="AK401" s="140"/>
    </row>
    <row r="402" spans="1:37" s="141" customFormat="1">
      <c r="A402" s="141">
        <v>297</v>
      </c>
      <c r="Z402" s="140"/>
      <c r="AA402" s="140"/>
      <c r="AB402" s="197"/>
      <c r="AC402" s="199"/>
      <c r="AD402" s="199"/>
      <c r="AE402" s="199"/>
      <c r="AF402" s="199"/>
      <c r="AG402" s="197"/>
      <c r="AH402" s="199"/>
      <c r="AI402" s="199"/>
      <c r="AK402" s="140"/>
    </row>
    <row r="403" spans="1:37" s="141" customFormat="1">
      <c r="A403" s="141">
        <v>298</v>
      </c>
      <c r="Z403" s="140"/>
      <c r="AA403" s="140"/>
      <c r="AB403" s="197"/>
      <c r="AC403" s="199"/>
      <c r="AD403" s="199"/>
      <c r="AE403" s="199"/>
      <c r="AF403" s="199"/>
      <c r="AG403" s="197"/>
      <c r="AH403" s="199"/>
      <c r="AI403" s="199"/>
      <c r="AK403" s="140"/>
    </row>
    <row r="404" spans="1:37" s="141" customFormat="1">
      <c r="A404" s="141">
        <v>299</v>
      </c>
      <c r="Z404" s="140"/>
      <c r="AA404" s="140"/>
      <c r="AB404" s="197"/>
      <c r="AC404" s="199"/>
      <c r="AD404" s="199"/>
      <c r="AE404" s="199"/>
      <c r="AF404" s="199"/>
      <c r="AG404" s="197"/>
      <c r="AH404" s="199"/>
      <c r="AI404" s="199"/>
      <c r="AK404" s="140"/>
    </row>
    <row r="405" spans="1:37" s="141" customFormat="1">
      <c r="A405" s="141">
        <v>300</v>
      </c>
      <c r="Z405" s="140"/>
      <c r="AA405" s="140"/>
      <c r="AB405" s="197"/>
      <c r="AC405" s="199"/>
      <c r="AD405" s="199"/>
      <c r="AE405" s="199"/>
      <c r="AF405" s="199"/>
      <c r="AG405" s="197"/>
      <c r="AH405" s="199"/>
      <c r="AI405" s="199"/>
      <c r="AK405" s="140"/>
    </row>
    <row r="406" spans="1:37" s="141" customFormat="1">
      <c r="A406" s="141">
        <v>301</v>
      </c>
      <c r="Z406" s="140"/>
      <c r="AA406" s="140"/>
      <c r="AB406" s="197"/>
      <c r="AC406" s="199"/>
      <c r="AD406" s="199"/>
      <c r="AE406" s="199"/>
      <c r="AF406" s="199"/>
      <c r="AG406" s="197"/>
      <c r="AH406" s="199"/>
      <c r="AI406" s="199"/>
      <c r="AK406" s="140"/>
    </row>
    <row r="407" spans="1:37" s="141" customFormat="1">
      <c r="A407" s="141">
        <v>302</v>
      </c>
      <c r="Z407" s="140"/>
      <c r="AA407" s="140"/>
      <c r="AB407" s="197"/>
      <c r="AC407" s="199"/>
      <c r="AD407" s="199"/>
      <c r="AE407" s="199"/>
      <c r="AF407" s="199"/>
      <c r="AG407" s="197"/>
      <c r="AH407" s="199"/>
      <c r="AI407" s="199"/>
      <c r="AK407" s="140"/>
    </row>
    <row r="408" spans="1:37" s="141" customFormat="1">
      <c r="A408" s="141">
        <v>303</v>
      </c>
      <c r="Z408" s="140"/>
      <c r="AA408" s="140"/>
      <c r="AB408" s="197"/>
      <c r="AC408" s="199"/>
      <c r="AD408" s="199"/>
      <c r="AE408" s="199"/>
      <c r="AF408" s="199"/>
      <c r="AG408" s="197"/>
      <c r="AH408" s="199"/>
      <c r="AI408" s="199"/>
      <c r="AK408" s="140"/>
    </row>
    <row r="409" spans="1:37" s="141" customFormat="1">
      <c r="A409" s="141">
        <v>304</v>
      </c>
      <c r="Z409" s="140"/>
      <c r="AA409" s="140"/>
      <c r="AB409" s="197"/>
      <c r="AC409" s="199"/>
      <c r="AD409" s="199"/>
      <c r="AE409" s="199"/>
      <c r="AF409" s="199"/>
      <c r="AG409" s="197"/>
      <c r="AH409" s="199"/>
      <c r="AI409" s="199"/>
      <c r="AK409" s="140"/>
    </row>
    <row r="410" spans="1:37" s="141" customFormat="1">
      <c r="A410" s="141">
        <v>305</v>
      </c>
      <c r="Z410" s="140"/>
      <c r="AA410" s="140"/>
      <c r="AB410" s="197"/>
      <c r="AC410" s="199"/>
      <c r="AD410" s="199"/>
      <c r="AE410" s="199"/>
      <c r="AF410" s="199"/>
      <c r="AG410" s="197"/>
      <c r="AH410" s="199"/>
      <c r="AI410" s="199"/>
      <c r="AK410" s="140"/>
    </row>
    <row r="411" spans="1:37" s="141" customFormat="1">
      <c r="A411" s="141">
        <v>306</v>
      </c>
      <c r="Z411" s="140"/>
      <c r="AA411" s="140"/>
      <c r="AB411" s="197"/>
      <c r="AC411" s="199"/>
      <c r="AD411" s="199"/>
      <c r="AE411" s="199"/>
      <c r="AF411" s="199"/>
      <c r="AG411" s="197"/>
      <c r="AH411" s="199"/>
      <c r="AI411" s="199"/>
      <c r="AK411" s="140"/>
    </row>
    <row r="412" spans="1:37" s="141" customFormat="1">
      <c r="A412" s="141">
        <v>307</v>
      </c>
      <c r="Z412" s="140"/>
      <c r="AA412" s="140"/>
      <c r="AB412" s="197"/>
      <c r="AC412" s="199"/>
      <c r="AD412" s="199"/>
      <c r="AE412" s="199"/>
      <c r="AF412" s="199"/>
      <c r="AG412" s="197"/>
      <c r="AH412" s="199"/>
      <c r="AI412" s="199"/>
      <c r="AK412" s="140"/>
    </row>
    <row r="413" spans="1:37" s="141" customFormat="1">
      <c r="A413" s="141">
        <v>308</v>
      </c>
      <c r="Z413" s="140"/>
      <c r="AA413" s="140"/>
      <c r="AB413" s="197"/>
      <c r="AC413" s="199"/>
      <c r="AD413" s="199"/>
      <c r="AE413" s="199"/>
      <c r="AF413" s="199"/>
      <c r="AG413" s="197"/>
      <c r="AH413" s="199"/>
      <c r="AI413" s="199"/>
      <c r="AK413" s="140"/>
    </row>
    <row r="414" spans="1:37" s="141" customFormat="1">
      <c r="A414" s="141">
        <v>309</v>
      </c>
      <c r="Z414" s="140"/>
      <c r="AA414" s="140"/>
      <c r="AB414" s="197"/>
      <c r="AC414" s="199"/>
      <c r="AD414" s="199"/>
      <c r="AE414" s="199"/>
      <c r="AF414" s="199"/>
      <c r="AG414" s="197"/>
      <c r="AH414" s="199"/>
      <c r="AI414" s="199"/>
      <c r="AK414" s="140"/>
    </row>
    <row r="415" spans="1:37" s="141" customFormat="1">
      <c r="A415" s="141">
        <v>310</v>
      </c>
      <c r="Z415" s="140"/>
      <c r="AA415" s="140"/>
      <c r="AB415" s="197"/>
      <c r="AC415" s="199"/>
      <c r="AD415" s="199"/>
      <c r="AE415" s="199"/>
      <c r="AF415" s="199"/>
      <c r="AG415" s="197"/>
      <c r="AH415" s="199"/>
      <c r="AI415" s="199"/>
      <c r="AK415" s="140"/>
    </row>
    <row r="416" spans="1:37" s="141" customFormat="1">
      <c r="A416" s="141">
        <v>311</v>
      </c>
      <c r="Z416" s="140"/>
      <c r="AA416" s="140"/>
      <c r="AB416" s="197"/>
      <c r="AC416" s="199"/>
      <c r="AD416" s="199"/>
      <c r="AE416" s="199"/>
      <c r="AF416" s="199"/>
      <c r="AG416" s="197"/>
      <c r="AH416" s="199"/>
      <c r="AI416" s="199"/>
      <c r="AK416" s="140"/>
    </row>
    <row r="417" spans="1:37" s="141" customFormat="1">
      <c r="A417" s="141">
        <v>312</v>
      </c>
      <c r="Z417" s="140"/>
      <c r="AA417" s="140"/>
      <c r="AB417" s="197"/>
      <c r="AC417" s="199"/>
      <c r="AD417" s="199"/>
      <c r="AE417" s="199"/>
      <c r="AF417" s="199"/>
      <c r="AG417" s="197"/>
      <c r="AH417" s="199"/>
      <c r="AI417" s="199"/>
      <c r="AK417" s="140"/>
    </row>
    <row r="418" spans="1:37" s="141" customFormat="1">
      <c r="A418" s="141">
        <v>313</v>
      </c>
      <c r="Z418" s="140"/>
      <c r="AA418" s="140"/>
      <c r="AB418" s="197"/>
      <c r="AC418" s="199"/>
      <c r="AD418" s="199"/>
      <c r="AE418" s="199"/>
      <c r="AF418" s="199"/>
      <c r="AG418" s="197"/>
      <c r="AH418" s="199"/>
      <c r="AI418" s="199"/>
      <c r="AK418" s="140"/>
    </row>
    <row r="419" spans="1:37" s="141" customFormat="1">
      <c r="A419" s="141">
        <v>314</v>
      </c>
      <c r="Z419" s="140"/>
      <c r="AA419" s="140"/>
      <c r="AB419" s="197"/>
      <c r="AC419" s="199"/>
      <c r="AD419" s="199"/>
      <c r="AE419" s="199"/>
      <c r="AF419" s="199"/>
      <c r="AG419" s="197"/>
      <c r="AH419" s="199"/>
      <c r="AI419" s="199"/>
      <c r="AK419" s="140"/>
    </row>
    <row r="420" spans="1:37" s="141" customFormat="1">
      <c r="A420" s="141">
        <v>315</v>
      </c>
      <c r="Z420" s="140"/>
      <c r="AA420" s="140"/>
      <c r="AB420" s="197"/>
      <c r="AC420" s="199"/>
      <c r="AD420" s="199"/>
      <c r="AE420" s="199"/>
      <c r="AF420" s="199"/>
      <c r="AG420" s="197"/>
      <c r="AH420" s="199"/>
      <c r="AI420" s="199"/>
      <c r="AK420" s="140"/>
    </row>
    <row r="421" spans="1:37" s="141" customFormat="1">
      <c r="A421" s="141">
        <v>316</v>
      </c>
      <c r="Z421" s="140"/>
      <c r="AA421" s="140"/>
      <c r="AB421" s="197"/>
      <c r="AC421" s="199"/>
      <c r="AD421" s="199"/>
      <c r="AE421" s="199"/>
      <c r="AF421" s="199"/>
      <c r="AG421" s="197"/>
      <c r="AH421" s="199"/>
      <c r="AI421" s="199"/>
      <c r="AK421" s="140"/>
    </row>
    <row r="422" spans="1:37" s="141" customFormat="1">
      <c r="A422" s="141">
        <v>317</v>
      </c>
      <c r="Z422" s="140"/>
      <c r="AA422" s="140"/>
      <c r="AB422" s="197"/>
      <c r="AC422" s="199"/>
      <c r="AD422" s="199"/>
      <c r="AE422" s="199"/>
      <c r="AF422" s="199"/>
      <c r="AG422" s="197"/>
      <c r="AH422" s="199"/>
      <c r="AI422" s="199"/>
      <c r="AK422" s="140"/>
    </row>
    <row r="423" spans="1:37" s="141" customFormat="1">
      <c r="A423" s="141">
        <v>318</v>
      </c>
      <c r="Z423" s="140"/>
      <c r="AA423" s="140"/>
      <c r="AB423" s="197"/>
      <c r="AC423" s="199"/>
      <c r="AD423" s="199"/>
      <c r="AE423" s="199"/>
      <c r="AF423" s="199"/>
      <c r="AG423" s="197"/>
      <c r="AH423" s="199"/>
      <c r="AI423" s="199"/>
      <c r="AK423" s="140"/>
    </row>
    <row r="424" spans="1:37" s="141" customFormat="1">
      <c r="A424" s="141">
        <v>319</v>
      </c>
      <c r="Z424" s="140"/>
      <c r="AA424" s="140"/>
      <c r="AB424" s="197"/>
      <c r="AC424" s="199"/>
      <c r="AD424" s="199"/>
      <c r="AE424" s="199"/>
      <c r="AF424" s="199"/>
      <c r="AG424" s="197"/>
      <c r="AH424" s="199"/>
      <c r="AI424" s="199"/>
      <c r="AK424" s="140"/>
    </row>
    <row r="425" spans="1:37" s="141" customFormat="1">
      <c r="A425" s="141">
        <v>320</v>
      </c>
      <c r="Z425" s="140"/>
      <c r="AA425" s="140"/>
      <c r="AB425" s="197"/>
      <c r="AC425" s="199"/>
      <c r="AD425" s="199"/>
      <c r="AE425" s="199"/>
      <c r="AF425" s="199"/>
      <c r="AG425" s="197"/>
      <c r="AH425" s="199"/>
      <c r="AI425" s="199"/>
      <c r="AK425" s="140"/>
    </row>
    <row r="426" spans="1:37" s="141" customFormat="1">
      <c r="A426" s="141">
        <v>321</v>
      </c>
      <c r="Z426" s="140"/>
      <c r="AA426" s="140"/>
      <c r="AB426" s="197"/>
      <c r="AC426" s="199"/>
      <c r="AD426" s="199"/>
      <c r="AE426" s="199"/>
      <c r="AF426" s="199"/>
      <c r="AG426" s="197"/>
      <c r="AH426" s="199"/>
      <c r="AI426" s="199"/>
      <c r="AK426" s="140"/>
    </row>
    <row r="427" spans="1:37" s="141" customFormat="1">
      <c r="A427" s="141">
        <v>322</v>
      </c>
      <c r="Z427" s="140"/>
      <c r="AA427" s="140"/>
      <c r="AB427" s="197"/>
      <c r="AC427" s="199"/>
      <c r="AD427" s="199"/>
      <c r="AE427" s="199"/>
      <c r="AF427" s="199"/>
      <c r="AG427" s="197"/>
      <c r="AH427" s="199"/>
      <c r="AI427" s="199"/>
      <c r="AK427" s="140"/>
    </row>
    <row r="428" spans="1:37" s="141" customFormat="1">
      <c r="A428" s="141">
        <v>323</v>
      </c>
      <c r="Z428" s="140"/>
      <c r="AA428" s="140"/>
      <c r="AB428" s="197"/>
      <c r="AC428" s="199"/>
      <c r="AD428" s="199"/>
      <c r="AE428" s="199"/>
      <c r="AF428" s="199"/>
      <c r="AG428" s="197"/>
      <c r="AH428" s="199"/>
      <c r="AI428" s="199"/>
      <c r="AK428" s="140"/>
    </row>
    <row r="429" spans="1:37" s="141" customFormat="1">
      <c r="A429" s="141">
        <v>324</v>
      </c>
      <c r="Z429" s="140"/>
      <c r="AA429" s="140"/>
      <c r="AB429" s="197"/>
      <c r="AC429" s="199"/>
      <c r="AD429" s="199"/>
      <c r="AE429" s="199"/>
      <c r="AF429" s="199"/>
      <c r="AG429" s="197"/>
      <c r="AH429" s="199"/>
      <c r="AI429" s="199"/>
      <c r="AK429" s="140"/>
    </row>
    <row r="430" spans="1:37" s="141" customFormat="1">
      <c r="A430" s="141">
        <v>325</v>
      </c>
      <c r="Z430" s="140"/>
      <c r="AA430" s="140"/>
      <c r="AB430" s="197"/>
      <c r="AC430" s="199"/>
      <c r="AD430" s="199"/>
      <c r="AE430" s="199"/>
      <c r="AF430" s="199"/>
      <c r="AG430" s="197"/>
      <c r="AH430" s="199"/>
      <c r="AI430" s="199"/>
      <c r="AK430" s="140"/>
    </row>
    <row r="431" spans="1:37" s="141" customFormat="1">
      <c r="A431" s="141">
        <v>326</v>
      </c>
      <c r="Z431" s="140"/>
      <c r="AA431" s="140"/>
      <c r="AB431" s="197"/>
      <c r="AC431" s="199"/>
      <c r="AD431" s="199"/>
      <c r="AE431" s="199"/>
      <c r="AF431" s="199"/>
      <c r="AG431" s="197"/>
      <c r="AH431" s="199"/>
      <c r="AI431" s="199"/>
      <c r="AK431" s="140"/>
    </row>
    <row r="432" spans="1:37" s="141" customFormat="1">
      <c r="A432" s="141">
        <v>327</v>
      </c>
      <c r="Z432" s="140"/>
      <c r="AA432" s="140"/>
      <c r="AB432" s="197"/>
      <c r="AC432" s="199"/>
      <c r="AD432" s="199"/>
      <c r="AE432" s="199"/>
      <c r="AF432" s="199"/>
      <c r="AG432" s="197"/>
      <c r="AH432" s="199"/>
      <c r="AI432" s="199"/>
      <c r="AK432" s="140"/>
    </row>
    <row r="433" spans="1:37" s="141" customFormat="1">
      <c r="A433" s="141">
        <v>328</v>
      </c>
      <c r="Z433" s="140"/>
      <c r="AA433" s="140"/>
      <c r="AB433" s="197"/>
      <c r="AC433" s="199"/>
      <c r="AD433" s="199"/>
      <c r="AE433" s="199"/>
      <c r="AF433" s="199"/>
      <c r="AG433" s="197"/>
      <c r="AH433" s="199"/>
      <c r="AI433" s="199"/>
      <c r="AK433" s="140"/>
    </row>
    <row r="434" spans="1:37" s="141" customFormat="1">
      <c r="A434" s="141">
        <v>329</v>
      </c>
      <c r="Z434" s="140"/>
      <c r="AA434" s="140"/>
      <c r="AB434" s="197"/>
      <c r="AC434" s="199"/>
      <c r="AD434" s="199"/>
      <c r="AE434" s="199"/>
      <c r="AF434" s="199"/>
      <c r="AG434" s="197"/>
      <c r="AH434" s="199"/>
      <c r="AI434" s="199"/>
      <c r="AK434" s="140"/>
    </row>
    <row r="435" spans="1:37" s="141" customFormat="1">
      <c r="A435" s="141">
        <v>330</v>
      </c>
      <c r="Z435" s="140"/>
      <c r="AA435" s="140"/>
      <c r="AB435" s="197"/>
      <c r="AC435" s="199"/>
      <c r="AD435" s="199"/>
      <c r="AE435" s="199"/>
      <c r="AF435" s="199"/>
      <c r="AG435" s="197"/>
      <c r="AH435" s="199"/>
      <c r="AI435" s="199"/>
      <c r="AK435" s="140"/>
    </row>
    <row r="436" spans="1:37" s="141" customFormat="1">
      <c r="A436" s="141">
        <v>331</v>
      </c>
      <c r="Z436" s="140"/>
      <c r="AA436" s="140"/>
      <c r="AB436" s="197"/>
      <c r="AC436" s="199"/>
      <c r="AD436" s="199"/>
      <c r="AE436" s="199"/>
      <c r="AF436" s="199"/>
      <c r="AG436" s="197"/>
      <c r="AH436" s="199"/>
      <c r="AI436" s="199"/>
      <c r="AK436" s="140"/>
    </row>
    <row r="437" spans="1:37" s="141" customFormat="1">
      <c r="A437" s="141">
        <v>332</v>
      </c>
      <c r="Z437" s="140"/>
      <c r="AA437" s="140"/>
      <c r="AB437" s="197"/>
      <c r="AC437" s="199"/>
      <c r="AD437" s="199"/>
      <c r="AE437" s="199"/>
      <c r="AF437" s="199"/>
      <c r="AG437" s="197"/>
      <c r="AH437" s="199"/>
      <c r="AI437" s="199"/>
      <c r="AK437" s="140"/>
    </row>
    <row r="438" spans="1:37" s="141" customFormat="1">
      <c r="A438" s="141">
        <v>333</v>
      </c>
      <c r="Z438" s="140"/>
      <c r="AA438" s="140"/>
      <c r="AB438" s="197"/>
      <c r="AC438" s="199"/>
      <c r="AD438" s="199"/>
      <c r="AE438" s="199"/>
      <c r="AF438" s="199"/>
      <c r="AG438" s="197"/>
      <c r="AH438" s="199"/>
      <c r="AI438" s="199"/>
      <c r="AK438" s="140"/>
    </row>
    <row r="439" spans="1:37" s="141" customFormat="1">
      <c r="A439" s="141">
        <v>334</v>
      </c>
      <c r="Z439" s="140"/>
      <c r="AA439" s="140"/>
      <c r="AB439" s="197"/>
      <c r="AC439" s="199"/>
      <c r="AD439" s="199"/>
      <c r="AE439" s="199"/>
      <c r="AF439" s="199"/>
      <c r="AG439" s="197"/>
      <c r="AH439" s="199"/>
      <c r="AI439" s="199"/>
      <c r="AK439" s="140"/>
    </row>
    <row r="440" spans="1:37" s="141" customFormat="1">
      <c r="A440" s="141">
        <v>335</v>
      </c>
      <c r="Z440" s="140"/>
      <c r="AA440" s="140"/>
      <c r="AB440" s="197"/>
      <c r="AC440" s="199"/>
      <c r="AD440" s="199"/>
      <c r="AE440" s="199"/>
      <c r="AF440" s="199"/>
      <c r="AG440" s="197"/>
      <c r="AH440" s="199"/>
      <c r="AI440" s="199"/>
      <c r="AK440" s="140"/>
    </row>
    <row r="441" spans="1:37" s="141" customFormat="1">
      <c r="A441" s="141">
        <v>336</v>
      </c>
      <c r="Z441" s="140"/>
      <c r="AA441" s="140"/>
      <c r="AB441" s="197"/>
      <c r="AC441" s="199"/>
      <c r="AD441" s="199"/>
      <c r="AE441" s="199"/>
      <c r="AF441" s="199"/>
      <c r="AG441" s="197"/>
      <c r="AH441" s="199"/>
      <c r="AI441" s="199"/>
      <c r="AK441" s="140"/>
    </row>
    <row r="442" spans="1:37" s="141" customFormat="1">
      <c r="A442" s="141">
        <v>337</v>
      </c>
      <c r="Z442" s="140"/>
      <c r="AA442" s="140"/>
      <c r="AB442" s="197"/>
      <c r="AC442" s="199"/>
      <c r="AD442" s="199"/>
      <c r="AE442" s="199"/>
      <c r="AF442" s="199"/>
      <c r="AG442" s="197"/>
      <c r="AH442" s="199"/>
      <c r="AI442" s="199"/>
      <c r="AK442" s="140"/>
    </row>
    <row r="443" spans="1:37" s="141" customFormat="1">
      <c r="A443" s="141">
        <v>338</v>
      </c>
      <c r="Z443" s="140"/>
      <c r="AA443" s="140"/>
      <c r="AB443" s="197"/>
      <c r="AC443" s="199"/>
      <c r="AD443" s="199"/>
      <c r="AE443" s="199"/>
      <c r="AF443" s="199"/>
      <c r="AG443" s="197"/>
      <c r="AH443" s="199"/>
      <c r="AI443" s="199"/>
      <c r="AK443" s="140"/>
    </row>
    <row r="444" spans="1:37" s="141" customFormat="1">
      <c r="A444" s="141">
        <v>339</v>
      </c>
      <c r="Z444" s="140"/>
      <c r="AA444" s="140"/>
      <c r="AB444" s="197"/>
      <c r="AC444" s="199"/>
      <c r="AD444" s="199"/>
      <c r="AE444" s="199"/>
      <c r="AF444" s="199"/>
      <c r="AG444" s="197"/>
      <c r="AH444" s="199"/>
      <c r="AI444" s="199"/>
      <c r="AK444" s="140"/>
    </row>
    <row r="445" spans="1:37" s="141" customFormat="1">
      <c r="A445" s="141">
        <v>340</v>
      </c>
      <c r="Z445" s="140"/>
      <c r="AA445" s="140"/>
      <c r="AB445" s="197"/>
      <c r="AC445" s="199"/>
      <c r="AD445" s="199"/>
      <c r="AE445" s="199"/>
      <c r="AF445" s="199"/>
      <c r="AG445" s="197"/>
      <c r="AH445" s="199"/>
      <c r="AI445" s="199"/>
      <c r="AK445" s="140"/>
    </row>
    <row r="446" spans="1:37" s="141" customFormat="1">
      <c r="A446" s="141">
        <v>341</v>
      </c>
      <c r="Z446" s="140"/>
      <c r="AA446" s="140"/>
      <c r="AB446" s="197"/>
      <c r="AC446" s="199"/>
      <c r="AD446" s="199"/>
      <c r="AE446" s="199"/>
      <c r="AF446" s="199"/>
      <c r="AG446" s="197"/>
      <c r="AH446" s="199"/>
      <c r="AI446" s="199"/>
      <c r="AK446" s="140"/>
    </row>
    <row r="447" spans="1:37" s="141" customFormat="1">
      <c r="A447" s="141">
        <v>342</v>
      </c>
      <c r="Z447" s="140"/>
      <c r="AA447" s="140"/>
      <c r="AB447" s="197"/>
      <c r="AC447" s="199"/>
      <c r="AD447" s="199"/>
      <c r="AE447" s="199"/>
      <c r="AF447" s="199"/>
      <c r="AG447" s="197"/>
      <c r="AH447" s="199"/>
      <c r="AI447" s="199"/>
      <c r="AK447" s="140"/>
    </row>
    <row r="448" spans="1:37" s="141" customFormat="1">
      <c r="A448" s="141">
        <v>343</v>
      </c>
      <c r="Z448" s="140"/>
      <c r="AA448" s="140"/>
      <c r="AB448" s="197"/>
      <c r="AC448" s="199"/>
      <c r="AD448" s="199"/>
      <c r="AE448" s="199"/>
      <c r="AF448" s="199"/>
      <c r="AG448" s="197"/>
      <c r="AH448" s="199"/>
      <c r="AI448" s="199"/>
      <c r="AK448" s="140"/>
    </row>
    <row r="449" spans="1:37" s="141" customFormat="1">
      <c r="A449" s="141">
        <v>344</v>
      </c>
      <c r="Z449" s="140"/>
      <c r="AA449" s="140"/>
      <c r="AB449" s="197"/>
      <c r="AC449" s="199"/>
      <c r="AD449" s="199"/>
      <c r="AE449" s="199"/>
      <c r="AF449" s="199"/>
      <c r="AG449" s="197"/>
      <c r="AH449" s="199"/>
      <c r="AI449" s="199"/>
      <c r="AK449" s="140"/>
    </row>
    <row r="450" spans="1:37" s="141" customFormat="1">
      <c r="A450" s="141">
        <v>345</v>
      </c>
      <c r="Z450" s="140"/>
      <c r="AA450" s="140"/>
      <c r="AB450" s="197"/>
      <c r="AC450" s="199"/>
      <c r="AD450" s="199"/>
      <c r="AE450" s="199"/>
      <c r="AF450" s="199"/>
      <c r="AG450" s="197"/>
      <c r="AH450" s="199"/>
      <c r="AI450" s="199"/>
      <c r="AK450" s="140"/>
    </row>
    <row r="451" spans="1:37" s="141" customFormat="1">
      <c r="A451" s="141">
        <v>346</v>
      </c>
      <c r="Z451" s="140"/>
      <c r="AA451" s="140"/>
      <c r="AB451" s="197"/>
      <c r="AC451" s="199"/>
      <c r="AD451" s="199"/>
      <c r="AE451" s="199"/>
      <c r="AF451" s="199"/>
      <c r="AG451" s="197"/>
      <c r="AH451" s="199"/>
      <c r="AI451" s="199"/>
      <c r="AK451" s="140"/>
    </row>
    <row r="452" spans="1:37" s="141" customFormat="1">
      <c r="A452" s="141">
        <v>347</v>
      </c>
      <c r="Z452" s="140"/>
      <c r="AA452" s="140"/>
      <c r="AB452" s="197"/>
      <c r="AC452" s="199"/>
      <c r="AD452" s="199"/>
      <c r="AE452" s="199"/>
      <c r="AF452" s="199"/>
      <c r="AG452" s="197"/>
      <c r="AH452" s="199"/>
      <c r="AI452" s="199"/>
      <c r="AK452" s="140"/>
    </row>
    <row r="453" spans="1:37" s="141" customFormat="1">
      <c r="A453" s="141">
        <v>348</v>
      </c>
      <c r="Z453" s="140"/>
      <c r="AA453" s="140"/>
      <c r="AB453" s="197"/>
      <c r="AC453" s="199"/>
      <c r="AD453" s="199"/>
      <c r="AE453" s="199"/>
      <c r="AF453" s="199"/>
      <c r="AG453" s="197"/>
      <c r="AH453" s="199"/>
      <c r="AI453" s="199"/>
      <c r="AK453" s="140"/>
    </row>
    <row r="454" spans="1:37" s="141" customFormat="1">
      <c r="A454" s="141">
        <v>349</v>
      </c>
      <c r="Z454" s="140"/>
      <c r="AA454" s="140"/>
      <c r="AB454" s="197"/>
      <c r="AC454" s="199"/>
      <c r="AD454" s="199"/>
      <c r="AE454" s="199"/>
      <c r="AF454" s="199"/>
      <c r="AG454" s="197"/>
      <c r="AH454" s="199"/>
      <c r="AI454" s="199"/>
      <c r="AK454" s="140"/>
    </row>
    <row r="455" spans="1:37" s="141" customFormat="1">
      <c r="A455" s="141">
        <v>350</v>
      </c>
      <c r="Z455" s="140"/>
      <c r="AA455" s="140"/>
      <c r="AB455" s="197"/>
      <c r="AC455" s="199"/>
      <c r="AD455" s="199"/>
      <c r="AE455" s="199"/>
      <c r="AF455" s="199"/>
      <c r="AG455" s="197"/>
      <c r="AH455" s="199"/>
      <c r="AI455" s="199"/>
      <c r="AK455" s="140"/>
    </row>
    <row r="456" spans="1:37" s="141" customFormat="1">
      <c r="A456" s="141">
        <v>351</v>
      </c>
      <c r="Z456" s="140"/>
      <c r="AA456" s="140"/>
      <c r="AB456" s="197"/>
      <c r="AC456" s="199"/>
      <c r="AD456" s="199"/>
      <c r="AE456" s="199"/>
      <c r="AF456" s="199"/>
      <c r="AG456" s="197"/>
      <c r="AH456" s="199"/>
      <c r="AI456" s="199"/>
      <c r="AK456" s="140"/>
    </row>
    <row r="457" spans="1:37" s="141" customFormat="1">
      <c r="A457" s="141">
        <v>352</v>
      </c>
      <c r="Z457" s="140"/>
      <c r="AA457" s="140"/>
      <c r="AB457" s="197"/>
      <c r="AC457" s="199"/>
      <c r="AD457" s="199"/>
      <c r="AE457" s="199"/>
      <c r="AF457" s="199"/>
      <c r="AG457" s="197"/>
      <c r="AH457" s="199"/>
      <c r="AI457" s="199"/>
      <c r="AK457" s="140"/>
    </row>
    <row r="458" spans="1:37" s="141" customFormat="1">
      <c r="A458" s="141">
        <v>353</v>
      </c>
      <c r="Z458" s="140"/>
      <c r="AA458" s="140"/>
      <c r="AB458" s="197"/>
      <c r="AC458" s="199"/>
      <c r="AD458" s="199"/>
      <c r="AE458" s="199"/>
      <c r="AF458" s="199"/>
      <c r="AG458" s="197"/>
      <c r="AH458" s="199"/>
      <c r="AI458" s="199"/>
      <c r="AK458" s="140"/>
    </row>
    <row r="459" spans="1:37" s="141" customFormat="1">
      <c r="A459" s="141">
        <v>354</v>
      </c>
      <c r="Z459" s="140"/>
      <c r="AA459" s="140"/>
      <c r="AB459" s="197"/>
      <c r="AC459" s="199"/>
      <c r="AD459" s="199"/>
      <c r="AE459" s="199"/>
      <c r="AF459" s="199"/>
      <c r="AG459" s="197"/>
      <c r="AH459" s="199"/>
      <c r="AI459" s="199"/>
      <c r="AK459" s="140"/>
    </row>
    <row r="460" spans="1:37" s="141" customFormat="1">
      <c r="A460" s="141">
        <v>355</v>
      </c>
      <c r="Z460" s="140"/>
      <c r="AA460" s="140"/>
      <c r="AB460" s="197"/>
      <c r="AC460" s="199"/>
      <c r="AD460" s="199"/>
      <c r="AE460" s="199"/>
      <c r="AF460" s="199"/>
      <c r="AG460" s="197"/>
      <c r="AH460" s="199"/>
      <c r="AI460" s="199"/>
      <c r="AK460" s="140"/>
    </row>
    <row r="461" spans="1:37" s="141" customFormat="1">
      <c r="A461" s="141">
        <v>356</v>
      </c>
      <c r="Z461" s="140"/>
      <c r="AA461" s="140"/>
      <c r="AB461" s="197"/>
      <c r="AC461" s="199"/>
      <c r="AD461" s="199"/>
      <c r="AE461" s="199"/>
      <c r="AF461" s="199"/>
      <c r="AG461" s="197"/>
      <c r="AH461" s="199"/>
      <c r="AI461" s="199"/>
      <c r="AK461" s="140"/>
    </row>
    <row r="462" spans="1:37" s="141" customFormat="1">
      <c r="A462" s="141">
        <v>357</v>
      </c>
      <c r="Z462" s="140"/>
      <c r="AA462" s="140"/>
      <c r="AB462" s="197"/>
      <c r="AC462" s="199"/>
      <c r="AD462" s="199"/>
      <c r="AE462" s="199"/>
      <c r="AF462" s="199"/>
      <c r="AG462" s="197"/>
      <c r="AH462" s="199"/>
      <c r="AI462" s="199"/>
      <c r="AK462" s="140"/>
    </row>
    <row r="463" spans="1:37" s="141" customFormat="1">
      <c r="A463" s="141">
        <v>358</v>
      </c>
      <c r="Z463" s="140"/>
      <c r="AA463" s="140"/>
      <c r="AB463" s="197"/>
      <c r="AC463" s="199"/>
      <c r="AD463" s="199"/>
      <c r="AE463" s="199"/>
      <c r="AF463" s="199"/>
      <c r="AG463" s="197"/>
      <c r="AH463" s="199"/>
      <c r="AI463" s="199"/>
      <c r="AK463" s="140"/>
    </row>
    <row r="464" spans="1:37" s="141" customFormat="1">
      <c r="A464" s="141">
        <v>359</v>
      </c>
      <c r="Z464" s="140"/>
      <c r="AA464" s="140"/>
      <c r="AB464" s="197"/>
      <c r="AC464" s="199"/>
      <c r="AD464" s="199"/>
      <c r="AE464" s="199"/>
      <c r="AF464" s="199"/>
      <c r="AG464" s="197"/>
      <c r="AH464" s="199"/>
      <c r="AI464" s="199"/>
      <c r="AK464" s="140"/>
    </row>
    <row r="465" spans="1:37" s="141" customFormat="1">
      <c r="A465" s="141">
        <v>360</v>
      </c>
      <c r="Z465" s="140"/>
      <c r="AA465" s="140"/>
      <c r="AB465" s="197"/>
      <c r="AC465" s="199"/>
      <c r="AD465" s="199"/>
      <c r="AE465" s="199"/>
      <c r="AF465" s="199"/>
      <c r="AG465" s="197"/>
      <c r="AH465" s="199"/>
      <c r="AI465" s="199"/>
      <c r="AK465" s="140"/>
    </row>
    <row r="466" spans="1:37">
      <c r="A466" s="141">
        <v>361</v>
      </c>
    </row>
    <row r="467" spans="1:37">
      <c r="A467" s="141">
        <v>362</v>
      </c>
    </row>
    <row r="468" spans="1:37">
      <c r="A468" s="141">
        <v>363</v>
      </c>
    </row>
    <row r="469" spans="1:37">
      <c r="A469" s="141">
        <v>364</v>
      </c>
    </row>
    <row r="470" spans="1:37">
      <c r="A470" s="141">
        <v>365</v>
      </c>
    </row>
    <row r="471" spans="1:37">
      <c r="A471" s="141">
        <v>366</v>
      </c>
    </row>
    <row r="472" spans="1:37">
      <c r="A472" s="141">
        <v>367</v>
      </c>
    </row>
    <row r="473" spans="1:37">
      <c r="A473" s="141">
        <v>368</v>
      </c>
    </row>
    <row r="474" spans="1:37">
      <c r="A474" s="141">
        <v>369</v>
      </c>
    </row>
    <row r="475" spans="1:37">
      <c r="A475" s="141">
        <v>370</v>
      </c>
    </row>
    <row r="476" spans="1:37">
      <c r="A476" s="141">
        <v>371</v>
      </c>
    </row>
    <row r="477" spans="1:37">
      <c r="A477" s="141">
        <v>372</v>
      </c>
    </row>
    <row r="478" spans="1:37">
      <c r="A478" s="141">
        <v>373</v>
      </c>
    </row>
    <row r="479" spans="1:37">
      <c r="A479" s="141">
        <v>374</v>
      </c>
    </row>
    <row r="480" spans="1:37">
      <c r="A480" s="141">
        <v>375</v>
      </c>
    </row>
    <row r="481" spans="1:1">
      <c r="A481" s="141">
        <v>376</v>
      </c>
    </row>
    <row r="482" spans="1:1">
      <c r="A482" s="141">
        <v>377</v>
      </c>
    </row>
    <row r="483" spans="1:1">
      <c r="A483" s="141">
        <v>378</v>
      </c>
    </row>
    <row r="484" spans="1:1">
      <c r="A484" s="141">
        <v>379</v>
      </c>
    </row>
    <row r="485" spans="1:1">
      <c r="A485" s="141">
        <v>380</v>
      </c>
    </row>
    <row r="486" spans="1:1">
      <c r="A486" s="141">
        <v>381</v>
      </c>
    </row>
    <row r="487" spans="1:1">
      <c r="A487" s="141">
        <v>382</v>
      </c>
    </row>
    <row r="488" spans="1:1">
      <c r="A488" s="141">
        <v>383</v>
      </c>
    </row>
    <row r="489" spans="1:1">
      <c r="A489" s="141">
        <v>384</v>
      </c>
    </row>
    <row r="490" spans="1:1">
      <c r="A490" s="141">
        <v>385</v>
      </c>
    </row>
    <row r="491" spans="1:1">
      <c r="A491" s="141">
        <v>386</v>
      </c>
    </row>
    <row r="492" spans="1:1">
      <c r="A492" s="141">
        <v>387</v>
      </c>
    </row>
    <row r="493" spans="1:1">
      <c r="A493" s="141">
        <v>388</v>
      </c>
    </row>
    <row r="494" spans="1:1">
      <c r="A494" s="141">
        <v>389</v>
      </c>
    </row>
    <row r="495" spans="1:1">
      <c r="A495" s="141">
        <v>390</v>
      </c>
    </row>
    <row r="496" spans="1:1">
      <c r="A496" s="141">
        <v>391</v>
      </c>
    </row>
    <row r="497" spans="1:1">
      <c r="A497" s="141">
        <v>392</v>
      </c>
    </row>
    <row r="498" spans="1:1">
      <c r="A498" s="141">
        <v>393</v>
      </c>
    </row>
    <row r="499" spans="1:1">
      <c r="A499" s="141">
        <v>394</v>
      </c>
    </row>
    <row r="500" spans="1:1">
      <c r="A500" s="141">
        <v>395</v>
      </c>
    </row>
    <row r="501" spans="1:1">
      <c r="A501" s="141">
        <v>396</v>
      </c>
    </row>
    <row r="502" spans="1:1">
      <c r="A502" s="141">
        <v>397</v>
      </c>
    </row>
    <row r="503" spans="1:1">
      <c r="A503" s="141">
        <v>398</v>
      </c>
    </row>
    <row r="504" spans="1:1">
      <c r="A504" s="141">
        <v>399</v>
      </c>
    </row>
    <row r="505" spans="1:1">
      <c r="A505" s="141">
        <v>400</v>
      </c>
    </row>
    <row r="506" spans="1:1">
      <c r="A506" s="141">
        <v>401</v>
      </c>
    </row>
    <row r="507" spans="1:1">
      <c r="A507" s="141">
        <v>402</v>
      </c>
    </row>
    <row r="508" spans="1:1">
      <c r="A508" s="141">
        <v>403</v>
      </c>
    </row>
    <row r="509" spans="1:1">
      <c r="A509" s="141">
        <v>404</v>
      </c>
    </row>
    <row r="510" spans="1:1">
      <c r="A510" s="141">
        <v>405</v>
      </c>
    </row>
    <row r="511" spans="1:1">
      <c r="A511" s="141">
        <v>406</v>
      </c>
    </row>
    <row r="512" spans="1:1">
      <c r="A512" s="141">
        <v>407</v>
      </c>
    </row>
    <row r="513" spans="1:1">
      <c r="A513" s="141">
        <v>408</v>
      </c>
    </row>
    <row r="514" spans="1:1">
      <c r="A514" s="141">
        <v>409</v>
      </c>
    </row>
    <row r="515" spans="1:1">
      <c r="A515" s="141">
        <v>410</v>
      </c>
    </row>
    <row r="516" spans="1:1">
      <c r="A516" s="141">
        <v>411</v>
      </c>
    </row>
    <row r="517" spans="1:1">
      <c r="A517" s="141">
        <v>412</v>
      </c>
    </row>
    <row r="518" spans="1:1">
      <c r="A518" s="141">
        <v>413</v>
      </c>
    </row>
    <row r="519" spans="1:1">
      <c r="A519" s="141">
        <v>414</v>
      </c>
    </row>
    <row r="520" spans="1:1">
      <c r="A520" s="141">
        <v>415</v>
      </c>
    </row>
    <row r="521" spans="1:1">
      <c r="A521" s="141">
        <v>416</v>
      </c>
    </row>
    <row r="522" spans="1:1">
      <c r="A522" s="141">
        <v>417</v>
      </c>
    </row>
    <row r="523" spans="1:1">
      <c r="A523" s="141">
        <v>418</v>
      </c>
    </row>
    <row r="524" spans="1:1">
      <c r="A524" s="141">
        <v>419</v>
      </c>
    </row>
    <row r="525" spans="1:1">
      <c r="A525" s="141">
        <v>420</v>
      </c>
    </row>
    <row r="526" spans="1:1">
      <c r="A526" s="141">
        <v>421</v>
      </c>
    </row>
    <row r="527" spans="1:1">
      <c r="A527" s="141">
        <v>422</v>
      </c>
    </row>
    <row r="528" spans="1:1">
      <c r="A528" s="141">
        <v>423</v>
      </c>
    </row>
    <row r="529" spans="1:1">
      <c r="A529" s="141">
        <v>424</v>
      </c>
    </row>
    <row r="530" spans="1:1">
      <c r="A530" s="141">
        <v>425</v>
      </c>
    </row>
    <row r="531" spans="1:1">
      <c r="A531" s="141">
        <v>426</v>
      </c>
    </row>
    <row r="532" spans="1:1">
      <c r="A532" s="141">
        <v>427</v>
      </c>
    </row>
    <row r="533" spans="1:1">
      <c r="A533" s="141">
        <v>428</v>
      </c>
    </row>
    <row r="534" spans="1:1">
      <c r="A534" s="141">
        <v>429</v>
      </c>
    </row>
    <row r="535" spans="1:1">
      <c r="A535" s="141">
        <v>430</v>
      </c>
    </row>
    <row r="536" spans="1:1">
      <c r="A536" s="141">
        <v>431</v>
      </c>
    </row>
    <row r="537" spans="1:1">
      <c r="A537" s="141">
        <v>432</v>
      </c>
    </row>
    <row r="538" spans="1:1">
      <c r="A538" s="141">
        <v>433</v>
      </c>
    </row>
    <row r="539" spans="1:1">
      <c r="A539" s="141">
        <v>434</v>
      </c>
    </row>
    <row r="540" spans="1:1">
      <c r="A540" s="141">
        <v>435</v>
      </c>
    </row>
    <row r="541" spans="1:1">
      <c r="A541" s="141">
        <v>436</v>
      </c>
    </row>
    <row r="542" spans="1:1">
      <c r="A542" s="141">
        <v>437</v>
      </c>
    </row>
    <row r="543" spans="1:1">
      <c r="A543" s="141">
        <v>438</v>
      </c>
    </row>
    <row r="544" spans="1:1">
      <c r="A544" s="141">
        <v>439</v>
      </c>
    </row>
    <row r="545" spans="1:1">
      <c r="A545" s="141">
        <v>440</v>
      </c>
    </row>
    <row r="546" spans="1:1">
      <c r="A546" s="141">
        <v>441</v>
      </c>
    </row>
    <row r="547" spans="1:1">
      <c r="A547" s="141">
        <v>442</v>
      </c>
    </row>
    <row r="548" spans="1:1">
      <c r="A548" s="141">
        <v>443</v>
      </c>
    </row>
    <row r="549" spans="1:1">
      <c r="A549" s="141">
        <v>444</v>
      </c>
    </row>
    <row r="550" spans="1:1">
      <c r="A550" s="141">
        <v>445</v>
      </c>
    </row>
    <row r="551" spans="1:1">
      <c r="A551" s="141">
        <v>446</v>
      </c>
    </row>
    <row r="552" spans="1:1">
      <c r="A552" s="141">
        <v>447</v>
      </c>
    </row>
    <row r="553" spans="1:1">
      <c r="A553" s="141">
        <v>448</v>
      </c>
    </row>
    <row r="554" spans="1:1">
      <c r="A554" s="141">
        <v>449</v>
      </c>
    </row>
    <row r="555" spans="1:1">
      <c r="A555" s="141">
        <v>450</v>
      </c>
    </row>
    <row r="556" spans="1:1">
      <c r="A556" s="141">
        <v>451</v>
      </c>
    </row>
    <row r="557" spans="1:1">
      <c r="A557" s="141">
        <v>452</v>
      </c>
    </row>
    <row r="558" spans="1:1">
      <c r="A558" s="141">
        <v>453</v>
      </c>
    </row>
    <row r="559" spans="1:1">
      <c r="A559" s="141">
        <v>454</v>
      </c>
    </row>
    <row r="560" spans="1:1">
      <c r="A560" s="141">
        <v>455</v>
      </c>
    </row>
    <row r="561" spans="1:1">
      <c r="A561" s="141">
        <v>456</v>
      </c>
    </row>
    <row r="562" spans="1:1">
      <c r="A562" s="141">
        <v>457</v>
      </c>
    </row>
    <row r="563" spans="1:1">
      <c r="A563" s="141">
        <v>458</v>
      </c>
    </row>
    <row r="564" spans="1:1">
      <c r="A564" s="141">
        <v>459</v>
      </c>
    </row>
    <row r="565" spans="1:1">
      <c r="A565" s="141">
        <v>460</v>
      </c>
    </row>
    <row r="566" spans="1:1">
      <c r="A566" s="141">
        <v>461</v>
      </c>
    </row>
    <row r="567" spans="1:1">
      <c r="A567" s="141">
        <v>462</v>
      </c>
    </row>
    <row r="568" spans="1:1">
      <c r="A568" s="141">
        <v>463</v>
      </c>
    </row>
    <row r="569" spans="1:1">
      <c r="A569" s="141">
        <v>464</v>
      </c>
    </row>
    <row r="570" spans="1:1">
      <c r="A570" s="141">
        <v>465</v>
      </c>
    </row>
    <row r="571" spans="1:1">
      <c r="A571" s="141">
        <v>466</v>
      </c>
    </row>
    <row r="572" spans="1:1">
      <c r="A572" s="141">
        <v>467</v>
      </c>
    </row>
    <row r="573" spans="1:1">
      <c r="A573" s="141">
        <v>468</v>
      </c>
    </row>
    <row r="574" spans="1:1">
      <c r="A574" s="141">
        <v>469</v>
      </c>
    </row>
    <row r="575" spans="1:1">
      <c r="A575" s="141">
        <v>470</v>
      </c>
    </row>
    <row r="576" spans="1:1">
      <c r="A576" s="141">
        <v>471</v>
      </c>
    </row>
    <row r="577" spans="1:1">
      <c r="A577" s="141">
        <v>472</v>
      </c>
    </row>
    <row r="578" spans="1:1">
      <c r="A578" s="141">
        <v>473</v>
      </c>
    </row>
    <row r="579" spans="1:1">
      <c r="A579" s="141">
        <v>474</v>
      </c>
    </row>
    <row r="580" spans="1:1">
      <c r="A580" s="141">
        <v>475</v>
      </c>
    </row>
    <row r="581" spans="1:1">
      <c r="A581" s="141">
        <v>476</v>
      </c>
    </row>
    <row r="582" spans="1:1">
      <c r="A582" s="141">
        <v>477</v>
      </c>
    </row>
    <row r="583" spans="1:1">
      <c r="A583" s="141">
        <v>478</v>
      </c>
    </row>
    <row r="584" spans="1:1">
      <c r="A584" s="141">
        <v>479</v>
      </c>
    </row>
    <row r="585" spans="1:1">
      <c r="A585" s="141">
        <v>480</v>
      </c>
    </row>
    <row r="586" spans="1:1">
      <c r="A586" s="141">
        <v>481</v>
      </c>
    </row>
    <row r="587" spans="1:1">
      <c r="A587" s="141">
        <v>482</v>
      </c>
    </row>
    <row r="588" spans="1:1">
      <c r="A588" s="141">
        <v>483</v>
      </c>
    </row>
    <row r="589" spans="1:1">
      <c r="A589" s="141">
        <v>484</v>
      </c>
    </row>
    <row r="590" spans="1:1">
      <c r="A590" s="141">
        <v>485</v>
      </c>
    </row>
    <row r="591" spans="1:1">
      <c r="A591" s="141">
        <v>486</v>
      </c>
    </row>
    <row r="592" spans="1:1">
      <c r="A592" s="141">
        <v>487</v>
      </c>
    </row>
    <row r="593" spans="1:1">
      <c r="A593" s="141">
        <v>488</v>
      </c>
    </row>
    <row r="594" spans="1:1">
      <c r="A594" s="141">
        <v>489</v>
      </c>
    </row>
    <row r="595" spans="1:1">
      <c r="A595" s="141">
        <v>490</v>
      </c>
    </row>
    <row r="596" spans="1:1">
      <c r="A596" s="141">
        <v>491</v>
      </c>
    </row>
    <row r="597" spans="1:1">
      <c r="A597" s="141">
        <v>492</v>
      </c>
    </row>
    <row r="598" spans="1:1">
      <c r="A598" s="141">
        <v>493</v>
      </c>
    </row>
    <row r="599" spans="1:1">
      <c r="A599" s="141">
        <v>494</v>
      </c>
    </row>
    <row r="600" spans="1:1">
      <c r="A600" s="141">
        <v>495</v>
      </c>
    </row>
    <row r="601" spans="1:1">
      <c r="A601" s="141">
        <v>496</v>
      </c>
    </row>
    <row r="602" spans="1:1">
      <c r="A602" s="141">
        <v>497</v>
      </c>
    </row>
    <row r="603" spans="1:1">
      <c r="A603" s="141">
        <v>498</v>
      </c>
    </row>
    <row r="604" spans="1:1">
      <c r="A604" s="141">
        <v>499</v>
      </c>
    </row>
    <row r="605" spans="1:1">
      <c r="A605" s="141">
        <v>500</v>
      </c>
    </row>
    <row r="606" spans="1:1">
      <c r="A606" s="141">
        <v>501</v>
      </c>
    </row>
    <row r="607" spans="1:1">
      <c r="A607" s="141">
        <v>502</v>
      </c>
    </row>
    <row r="608" spans="1:1">
      <c r="A608" s="141">
        <v>503</v>
      </c>
    </row>
    <row r="609" spans="1:1">
      <c r="A609" s="141">
        <v>504</v>
      </c>
    </row>
    <row r="610" spans="1:1">
      <c r="A610" s="141">
        <v>505</v>
      </c>
    </row>
    <row r="611" spans="1:1">
      <c r="A611" s="141"/>
    </row>
    <row r="612" spans="1:1">
      <c r="A612" s="141">
        <v>507</v>
      </c>
    </row>
    <row r="613" spans="1:1">
      <c r="A613" s="141">
        <v>508</v>
      </c>
    </row>
    <row r="614" spans="1:1">
      <c r="A614" s="141">
        <v>509</v>
      </c>
    </row>
    <row r="615" spans="1:1">
      <c r="A615" s="141">
        <v>510</v>
      </c>
    </row>
    <row r="616" spans="1:1">
      <c r="A616" s="141">
        <v>511</v>
      </c>
    </row>
    <row r="617" spans="1:1">
      <c r="A617" s="141">
        <v>512</v>
      </c>
    </row>
    <row r="618" spans="1:1">
      <c r="A618" s="141">
        <v>513</v>
      </c>
    </row>
    <row r="619" spans="1:1">
      <c r="A619" s="141">
        <v>514</v>
      </c>
    </row>
    <row r="620" spans="1:1">
      <c r="A620" s="141">
        <v>515</v>
      </c>
    </row>
    <row r="621" spans="1:1">
      <c r="A621" s="141">
        <v>516</v>
      </c>
    </row>
    <row r="622" spans="1:1">
      <c r="A622" s="141">
        <v>517</v>
      </c>
    </row>
    <row r="623" spans="1:1">
      <c r="A623" s="141">
        <v>518</v>
      </c>
    </row>
    <row r="624" spans="1:1">
      <c r="A624" s="141">
        <v>519</v>
      </c>
    </row>
    <row r="625" spans="1:1">
      <c r="A625" s="141">
        <v>520</v>
      </c>
    </row>
    <row r="626" spans="1:1">
      <c r="A626" s="141">
        <v>521</v>
      </c>
    </row>
    <row r="627" spans="1:1">
      <c r="A627" s="141">
        <v>522</v>
      </c>
    </row>
    <row r="628" spans="1:1">
      <c r="A628" s="141">
        <v>523</v>
      </c>
    </row>
    <row r="629" spans="1:1">
      <c r="A629" s="141">
        <v>524</v>
      </c>
    </row>
    <row r="630" spans="1:1">
      <c r="A630" s="141">
        <v>525</v>
      </c>
    </row>
    <row r="631" spans="1:1">
      <c r="A631" s="141">
        <v>526</v>
      </c>
    </row>
    <row r="632" spans="1:1">
      <c r="A632" s="141">
        <v>527</v>
      </c>
    </row>
    <row r="633" spans="1:1">
      <c r="A633" s="141">
        <v>528</v>
      </c>
    </row>
    <row r="634" spans="1:1">
      <c r="A634" s="141">
        <v>529</v>
      </c>
    </row>
    <row r="635" spans="1:1">
      <c r="A635" s="141">
        <v>530</v>
      </c>
    </row>
    <row r="636" spans="1:1">
      <c r="A636" s="141">
        <v>531</v>
      </c>
    </row>
    <row r="637" spans="1:1">
      <c r="A637" s="141">
        <v>532</v>
      </c>
    </row>
    <row r="638" spans="1:1">
      <c r="A638" s="141">
        <v>533</v>
      </c>
    </row>
    <row r="639" spans="1:1">
      <c r="A639" s="141">
        <v>534</v>
      </c>
    </row>
    <row r="640" spans="1:1">
      <c r="A640" s="141">
        <v>535</v>
      </c>
    </row>
    <row r="641" spans="1:1">
      <c r="A641" s="141">
        <v>536</v>
      </c>
    </row>
    <row r="642" spans="1:1">
      <c r="A642" s="141">
        <v>537</v>
      </c>
    </row>
    <row r="643" spans="1:1">
      <c r="A643" s="141">
        <v>538</v>
      </c>
    </row>
    <row r="644" spans="1:1">
      <c r="A644" s="141">
        <v>539</v>
      </c>
    </row>
    <row r="645" spans="1:1">
      <c r="A645" s="141">
        <v>540</v>
      </c>
    </row>
    <row r="646" spans="1:1">
      <c r="A646" s="141">
        <v>541</v>
      </c>
    </row>
    <row r="647" spans="1:1">
      <c r="A647" s="141">
        <v>542</v>
      </c>
    </row>
    <row r="648" spans="1:1">
      <c r="A648" s="141">
        <v>543</v>
      </c>
    </row>
    <row r="649" spans="1:1">
      <c r="A649" s="141">
        <v>544</v>
      </c>
    </row>
    <row r="650" spans="1:1">
      <c r="A650" s="141">
        <v>545</v>
      </c>
    </row>
    <row r="651" spans="1:1">
      <c r="A651" s="141">
        <v>546</v>
      </c>
    </row>
    <row r="652" spans="1:1">
      <c r="A652" s="141">
        <v>547</v>
      </c>
    </row>
    <row r="653" spans="1:1">
      <c r="A653" s="141">
        <v>548</v>
      </c>
    </row>
    <row r="654" spans="1:1">
      <c r="A654" s="141">
        <v>549</v>
      </c>
    </row>
    <row r="655" spans="1:1">
      <c r="A655" s="141">
        <v>550</v>
      </c>
    </row>
    <row r="656" spans="1:1">
      <c r="A656" s="141">
        <v>551</v>
      </c>
    </row>
    <row r="657" spans="1:1">
      <c r="A657" s="141">
        <v>552</v>
      </c>
    </row>
    <row r="658" spans="1:1">
      <c r="A658" s="141">
        <v>553</v>
      </c>
    </row>
    <row r="659" spans="1:1">
      <c r="A659" s="141">
        <v>554</v>
      </c>
    </row>
    <row r="660" spans="1:1">
      <c r="A660" s="141">
        <v>555</v>
      </c>
    </row>
    <row r="661" spans="1:1">
      <c r="A661" s="141">
        <v>556</v>
      </c>
    </row>
    <row r="662" spans="1:1">
      <c r="A662" s="141">
        <v>557</v>
      </c>
    </row>
    <row r="663" spans="1:1">
      <c r="A663" s="141">
        <v>558</v>
      </c>
    </row>
    <row r="664" spans="1:1">
      <c r="A664" s="141">
        <v>559</v>
      </c>
    </row>
    <row r="665" spans="1:1">
      <c r="A665" s="141">
        <v>560</v>
      </c>
    </row>
    <row r="666" spans="1:1">
      <c r="A666" s="141">
        <v>561</v>
      </c>
    </row>
    <row r="667" spans="1:1">
      <c r="A667" s="141">
        <v>562</v>
      </c>
    </row>
    <row r="668" spans="1:1">
      <c r="A668" s="141">
        <v>563</v>
      </c>
    </row>
    <row r="669" spans="1:1">
      <c r="A669" s="141">
        <v>564</v>
      </c>
    </row>
    <row r="670" spans="1:1">
      <c r="A670" s="141">
        <v>565</v>
      </c>
    </row>
    <row r="671" spans="1:1">
      <c r="A671" s="141">
        <v>566</v>
      </c>
    </row>
    <row r="672" spans="1:1">
      <c r="A672" s="141">
        <v>567</v>
      </c>
    </row>
    <row r="673" spans="1:1">
      <c r="A673" s="141">
        <v>568</v>
      </c>
    </row>
    <row r="674" spans="1:1">
      <c r="A674" s="141">
        <v>569</v>
      </c>
    </row>
    <row r="675" spans="1:1">
      <c r="A675" s="141">
        <v>570</v>
      </c>
    </row>
    <row r="676" spans="1:1">
      <c r="A676" s="141">
        <v>571</v>
      </c>
    </row>
    <row r="677" spans="1:1">
      <c r="A677" s="141">
        <v>572</v>
      </c>
    </row>
    <row r="678" spans="1:1">
      <c r="A678" s="141">
        <v>573</v>
      </c>
    </row>
    <row r="679" spans="1:1">
      <c r="A679" s="141">
        <v>574</v>
      </c>
    </row>
    <row r="680" spans="1:1">
      <c r="A680" s="141">
        <v>575</v>
      </c>
    </row>
    <row r="681" spans="1:1">
      <c r="A681" s="141">
        <v>576</v>
      </c>
    </row>
    <row r="682" spans="1:1">
      <c r="A682" s="141">
        <v>577</v>
      </c>
    </row>
    <row r="683" spans="1:1">
      <c r="A683" s="141">
        <v>578</v>
      </c>
    </row>
    <row r="684" spans="1:1">
      <c r="A684" s="141">
        <v>579</v>
      </c>
    </row>
    <row r="685" spans="1:1">
      <c r="A685" s="141">
        <v>580</v>
      </c>
    </row>
    <row r="686" spans="1:1">
      <c r="A686" s="141">
        <v>581</v>
      </c>
    </row>
    <row r="687" spans="1:1">
      <c r="A687" s="141">
        <v>582</v>
      </c>
    </row>
    <row r="688" spans="1:1">
      <c r="A688" s="141">
        <v>583</v>
      </c>
    </row>
    <row r="689" spans="1:1">
      <c r="A689" s="141">
        <v>584</v>
      </c>
    </row>
    <row r="690" spans="1:1">
      <c r="A690" s="141">
        <v>585</v>
      </c>
    </row>
    <row r="691" spans="1:1">
      <c r="A691" s="141">
        <v>586</v>
      </c>
    </row>
    <row r="692" spans="1:1">
      <c r="A692" s="141">
        <v>587</v>
      </c>
    </row>
    <row r="693" spans="1:1">
      <c r="A693" s="141">
        <v>588</v>
      </c>
    </row>
    <row r="694" spans="1:1">
      <c r="A694" s="141">
        <v>589</v>
      </c>
    </row>
    <row r="695" spans="1:1">
      <c r="A695" s="141">
        <v>590</v>
      </c>
    </row>
    <row r="696" spans="1:1">
      <c r="A696" s="141">
        <v>591</v>
      </c>
    </row>
    <row r="697" spans="1:1">
      <c r="A697" s="141">
        <v>592</v>
      </c>
    </row>
    <row r="698" spans="1:1">
      <c r="A698" s="141">
        <v>593</v>
      </c>
    </row>
    <row r="699" spans="1:1">
      <c r="A699" s="141">
        <v>594</v>
      </c>
    </row>
    <row r="700" spans="1:1">
      <c r="A700" s="141">
        <v>595</v>
      </c>
    </row>
    <row r="701" spans="1:1">
      <c r="A701" s="141">
        <v>596</v>
      </c>
    </row>
    <row r="702" spans="1:1">
      <c r="A702" s="141">
        <v>597</v>
      </c>
    </row>
    <row r="703" spans="1:1">
      <c r="A703" s="141">
        <v>598</v>
      </c>
    </row>
    <row r="704" spans="1:1">
      <c r="A704" s="141">
        <v>599</v>
      </c>
    </row>
    <row r="705" spans="1:1">
      <c r="A705" s="141">
        <v>600</v>
      </c>
    </row>
    <row r="706" spans="1:1">
      <c r="A706" s="141">
        <v>601</v>
      </c>
    </row>
    <row r="707" spans="1:1">
      <c r="A707" s="141">
        <v>602</v>
      </c>
    </row>
    <row r="708" spans="1:1">
      <c r="A708" s="141">
        <v>603</v>
      </c>
    </row>
    <row r="709" spans="1:1">
      <c r="A709" s="141">
        <v>604</v>
      </c>
    </row>
    <row r="710" spans="1:1">
      <c r="A710" s="141">
        <v>605</v>
      </c>
    </row>
    <row r="711" spans="1:1">
      <c r="A711" s="141">
        <v>606</v>
      </c>
    </row>
    <row r="712" spans="1:1">
      <c r="A712" s="141">
        <v>607</v>
      </c>
    </row>
    <row r="713" spans="1:1">
      <c r="A713" s="141">
        <v>608</v>
      </c>
    </row>
    <row r="714" spans="1:1">
      <c r="A714" s="141">
        <v>609</v>
      </c>
    </row>
    <row r="715" spans="1:1">
      <c r="A715" s="141">
        <v>610</v>
      </c>
    </row>
    <row r="716" spans="1:1">
      <c r="A716" s="141">
        <v>611</v>
      </c>
    </row>
    <row r="717" spans="1:1">
      <c r="A717" s="141">
        <v>612</v>
      </c>
    </row>
    <row r="718" spans="1:1">
      <c r="A718" s="141">
        <v>613</v>
      </c>
    </row>
    <row r="719" spans="1:1">
      <c r="A719" s="141">
        <v>614</v>
      </c>
    </row>
    <row r="720" spans="1:1">
      <c r="A720" s="141">
        <v>615</v>
      </c>
    </row>
    <row r="721" spans="1:1">
      <c r="A721" s="141">
        <v>616</v>
      </c>
    </row>
    <row r="722" spans="1:1">
      <c r="A722" s="141">
        <v>617</v>
      </c>
    </row>
    <row r="723" spans="1:1">
      <c r="A723" s="141">
        <v>618</v>
      </c>
    </row>
    <row r="724" spans="1:1">
      <c r="A724" s="141">
        <v>619</v>
      </c>
    </row>
    <row r="725" spans="1:1">
      <c r="A725" s="141">
        <v>620</v>
      </c>
    </row>
    <row r="726" spans="1:1">
      <c r="A726" s="141">
        <v>621</v>
      </c>
    </row>
    <row r="727" spans="1:1">
      <c r="A727" s="141">
        <v>622</v>
      </c>
    </row>
    <row r="728" spans="1:1">
      <c r="A728" s="141">
        <v>623</v>
      </c>
    </row>
    <row r="729" spans="1:1">
      <c r="A729" s="141">
        <v>624</v>
      </c>
    </row>
    <row r="730" spans="1:1">
      <c r="A730" s="141">
        <v>625</v>
      </c>
    </row>
    <row r="731" spans="1:1">
      <c r="A731" s="141">
        <v>626</v>
      </c>
    </row>
    <row r="732" spans="1:1">
      <c r="A732" s="141">
        <v>627</v>
      </c>
    </row>
    <row r="733" spans="1:1">
      <c r="A733" s="141">
        <v>628</v>
      </c>
    </row>
    <row r="734" spans="1:1">
      <c r="A734" s="141">
        <v>629</v>
      </c>
    </row>
    <row r="735" spans="1:1">
      <c r="A735" s="141">
        <v>630</v>
      </c>
    </row>
    <row r="736" spans="1:1">
      <c r="A736" s="141">
        <v>631</v>
      </c>
    </row>
    <row r="737" spans="1:1">
      <c r="A737" s="141">
        <v>632</v>
      </c>
    </row>
    <row r="738" spans="1:1">
      <c r="A738" s="141">
        <v>633</v>
      </c>
    </row>
    <row r="739" spans="1:1">
      <c r="A739" s="141">
        <v>634</v>
      </c>
    </row>
    <row r="740" spans="1:1">
      <c r="A740" s="141">
        <v>635</v>
      </c>
    </row>
    <row r="741" spans="1:1">
      <c r="A741" s="141">
        <v>636</v>
      </c>
    </row>
    <row r="742" spans="1:1">
      <c r="A742" s="141">
        <v>637</v>
      </c>
    </row>
    <row r="743" spans="1:1">
      <c r="A743" s="141">
        <v>638</v>
      </c>
    </row>
    <row r="744" spans="1:1">
      <c r="A744" s="141">
        <v>639</v>
      </c>
    </row>
    <row r="745" spans="1:1">
      <c r="A745" s="141">
        <v>640</v>
      </c>
    </row>
    <row r="746" spans="1:1">
      <c r="A746" s="141">
        <v>641</v>
      </c>
    </row>
    <row r="747" spans="1:1">
      <c r="A747" s="141">
        <v>642</v>
      </c>
    </row>
    <row r="748" spans="1:1">
      <c r="A748" s="141">
        <v>643</v>
      </c>
    </row>
    <row r="749" spans="1:1">
      <c r="A749" s="141">
        <v>644</v>
      </c>
    </row>
    <row r="750" spans="1:1">
      <c r="A750" s="141">
        <v>645</v>
      </c>
    </row>
    <row r="751" spans="1:1">
      <c r="A751" s="141">
        <v>646</v>
      </c>
    </row>
    <row r="752" spans="1:1">
      <c r="A752" s="141">
        <v>647</v>
      </c>
    </row>
    <row r="753" spans="1:1">
      <c r="A753" s="141">
        <v>648</v>
      </c>
    </row>
    <row r="754" spans="1:1">
      <c r="A754" s="141">
        <v>649</v>
      </c>
    </row>
    <row r="755" spans="1:1">
      <c r="A755" s="141">
        <v>650</v>
      </c>
    </row>
    <row r="756" spans="1:1">
      <c r="A756" s="141">
        <v>651</v>
      </c>
    </row>
    <row r="757" spans="1:1">
      <c r="A757" s="141">
        <v>652</v>
      </c>
    </row>
    <row r="758" spans="1:1">
      <c r="A758" s="141">
        <v>653</v>
      </c>
    </row>
    <row r="759" spans="1:1">
      <c r="A759" s="141">
        <v>654</v>
      </c>
    </row>
    <row r="760" spans="1:1">
      <c r="A760" s="141">
        <v>655</v>
      </c>
    </row>
    <row r="761" spans="1:1">
      <c r="A761" s="141">
        <v>656</v>
      </c>
    </row>
    <row r="762" spans="1:1">
      <c r="A762" s="141">
        <v>657</v>
      </c>
    </row>
    <row r="763" spans="1:1">
      <c r="A763" s="141">
        <v>658</v>
      </c>
    </row>
    <row r="764" spans="1:1">
      <c r="A764" s="141">
        <v>659</v>
      </c>
    </row>
    <row r="765" spans="1:1">
      <c r="A765" s="141">
        <v>660</v>
      </c>
    </row>
    <row r="766" spans="1:1">
      <c r="A766" s="141">
        <v>661</v>
      </c>
    </row>
    <row r="767" spans="1:1">
      <c r="A767" s="141">
        <v>662</v>
      </c>
    </row>
    <row r="768" spans="1:1">
      <c r="A768" s="141">
        <v>663</v>
      </c>
    </row>
    <row r="769" spans="1:1">
      <c r="A769" s="141">
        <v>664</v>
      </c>
    </row>
    <row r="770" spans="1:1">
      <c r="A770" s="141">
        <v>665</v>
      </c>
    </row>
    <row r="771" spans="1:1">
      <c r="A771" s="141">
        <v>666</v>
      </c>
    </row>
    <row r="772" spans="1:1">
      <c r="A772" s="141">
        <v>667</v>
      </c>
    </row>
    <row r="773" spans="1:1">
      <c r="A773" s="141">
        <v>668</v>
      </c>
    </row>
    <row r="774" spans="1:1">
      <c r="A774" s="141">
        <v>669</v>
      </c>
    </row>
    <row r="775" spans="1:1">
      <c r="A775" s="141">
        <v>670</v>
      </c>
    </row>
    <row r="776" spans="1:1">
      <c r="A776" s="141">
        <v>671</v>
      </c>
    </row>
    <row r="777" spans="1:1">
      <c r="A777" s="141">
        <v>672</v>
      </c>
    </row>
    <row r="778" spans="1:1">
      <c r="A778" s="141">
        <v>673</v>
      </c>
    </row>
    <row r="779" spans="1:1">
      <c r="A779" s="141">
        <v>674</v>
      </c>
    </row>
    <row r="780" spans="1:1">
      <c r="A780" s="141">
        <v>675</v>
      </c>
    </row>
    <row r="781" spans="1:1">
      <c r="A781" s="141">
        <v>676</v>
      </c>
    </row>
    <row r="782" spans="1:1">
      <c r="A782" s="141">
        <v>677</v>
      </c>
    </row>
    <row r="783" spans="1:1">
      <c r="A783" s="141">
        <v>678</v>
      </c>
    </row>
    <row r="784" spans="1:1">
      <c r="A784" s="141">
        <v>679</v>
      </c>
    </row>
    <row r="785" spans="1:1">
      <c r="A785" s="141">
        <v>680</v>
      </c>
    </row>
    <row r="786" spans="1:1">
      <c r="A786" s="141">
        <v>681</v>
      </c>
    </row>
    <row r="787" spans="1:1">
      <c r="A787" s="141">
        <v>682</v>
      </c>
    </row>
    <row r="788" spans="1:1">
      <c r="A788" s="141">
        <v>683</v>
      </c>
    </row>
    <row r="789" spans="1:1">
      <c r="A789" s="141">
        <v>684</v>
      </c>
    </row>
    <row r="790" spans="1:1">
      <c r="A790" s="141">
        <v>685</v>
      </c>
    </row>
    <row r="791" spans="1:1">
      <c r="A791" s="141">
        <v>686</v>
      </c>
    </row>
    <row r="792" spans="1:1">
      <c r="A792" s="141">
        <v>687</v>
      </c>
    </row>
    <row r="793" spans="1:1">
      <c r="A793" s="141">
        <v>688</v>
      </c>
    </row>
    <row r="794" spans="1:1">
      <c r="A794" s="141">
        <v>689</v>
      </c>
    </row>
    <row r="795" spans="1:1">
      <c r="A795" s="141">
        <v>690</v>
      </c>
    </row>
    <row r="796" spans="1:1">
      <c r="A796" s="141">
        <v>691</v>
      </c>
    </row>
    <row r="797" spans="1:1">
      <c r="A797" s="141">
        <v>692</v>
      </c>
    </row>
    <row r="798" spans="1:1">
      <c r="A798" s="141">
        <v>693</v>
      </c>
    </row>
    <row r="799" spans="1:1">
      <c r="A799" s="141">
        <v>694</v>
      </c>
    </row>
    <row r="800" spans="1:1">
      <c r="A800" s="141">
        <v>695</v>
      </c>
    </row>
    <row r="801" spans="1:1">
      <c r="A801" s="141">
        <v>696</v>
      </c>
    </row>
    <row r="802" spans="1:1">
      <c r="A802" s="141">
        <v>697</v>
      </c>
    </row>
    <row r="803" spans="1:1">
      <c r="A803" s="141">
        <v>698</v>
      </c>
    </row>
    <row r="804" spans="1:1">
      <c r="A804" s="141">
        <v>699</v>
      </c>
    </row>
    <row r="805" spans="1:1">
      <c r="A805" s="141">
        <v>700</v>
      </c>
    </row>
    <row r="806" spans="1:1">
      <c r="A806" s="141">
        <v>701</v>
      </c>
    </row>
    <row r="807" spans="1:1">
      <c r="A807" s="141">
        <v>702</v>
      </c>
    </row>
    <row r="808" spans="1:1">
      <c r="A808" s="141">
        <v>703</v>
      </c>
    </row>
    <row r="809" spans="1:1">
      <c r="A809" s="141">
        <v>704</v>
      </c>
    </row>
    <row r="810" spans="1:1">
      <c r="A810" s="141">
        <v>705</v>
      </c>
    </row>
    <row r="811" spans="1:1">
      <c r="A811" s="141">
        <v>706</v>
      </c>
    </row>
    <row r="812" spans="1:1">
      <c r="A812" s="141">
        <v>707</v>
      </c>
    </row>
    <row r="813" spans="1:1">
      <c r="A813" s="141">
        <v>708</v>
      </c>
    </row>
    <row r="814" spans="1:1">
      <c r="A814" s="141">
        <v>709</v>
      </c>
    </row>
    <row r="815" spans="1:1">
      <c r="A815" s="141">
        <v>710</v>
      </c>
    </row>
    <row r="816" spans="1:1">
      <c r="A816" s="141">
        <v>711</v>
      </c>
    </row>
    <row r="817" spans="1:1">
      <c r="A817" s="141">
        <v>712</v>
      </c>
    </row>
    <row r="818" spans="1:1">
      <c r="A818" s="141">
        <v>713</v>
      </c>
    </row>
    <row r="819" spans="1:1">
      <c r="A819" s="141">
        <v>714</v>
      </c>
    </row>
    <row r="820" spans="1:1">
      <c r="A820" s="141">
        <v>715</v>
      </c>
    </row>
    <row r="821" spans="1:1">
      <c r="A821" s="141">
        <v>716</v>
      </c>
    </row>
    <row r="822" spans="1:1">
      <c r="A822" s="141">
        <v>717</v>
      </c>
    </row>
    <row r="823" spans="1:1">
      <c r="A823" s="141">
        <v>718</v>
      </c>
    </row>
    <row r="824" spans="1:1">
      <c r="A824" s="141">
        <v>719</v>
      </c>
    </row>
    <row r="825" spans="1:1">
      <c r="A825" s="141">
        <v>720</v>
      </c>
    </row>
    <row r="826" spans="1:1">
      <c r="A826" s="141">
        <v>721</v>
      </c>
    </row>
    <row r="827" spans="1:1">
      <c r="A827" s="141">
        <v>722</v>
      </c>
    </row>
    <row r="828" spans="1:1">
      <c r="A828" s="141">
        <v>723</v>
      </c>
    </row>
    <row r="829" spans="1:1">
      <c r="A829" s="141">
        <v>724</v>
      </c>
    </row>
    <row r="830" spans="1:1">
      <c r="A830" s="141">
        <v>725</v>
      </c>
    </row>
    <row r="831" spans="1:1">
      <c r="A831" s="141">
        <v>726</v>
      </c>
    </row>
    <row r="832" spans="1:1">
      <c r="A832" s="141">
        <v>727</v>
      </c>
    </row>
    <row r="833" spans="1:1">
      <c r="A833" s="141">
        <v>728</v>
      </c>
    </row>
    <row r="834" spans="1:1">
      <c r="A834" s="141">
        <v>729</v>
      </c>
    </row>
    <row r="835" spans="1:1">
      <c r="A835" s="141">
        <v>730</v>
      </c>
    </row>
    <row r="836" spans="1:1">
      <c r="A836" s="141">
        <v>731</v>
      </c>
    </row>
    <row r="837" spans="1:1">
      <c r="A837" s="141">
        <v>732</v>
      </c>
    </row>
    <row r="838" spans="1:1">
      <c r="A838" s="141">
        <v>733</v>
      </c>
    </row>
    <row r="839" spans="1:1">
      <c r="A839" s="141">
        <v>734</v>
      </c>
    </row>
    <row r="840" spans="1:1">
      <c r="A840" s="141">
        <v>735</v>
      </c>
    </row>
    <row r="841" spans="1:1">
      <c r="A841" s="141">
        <v>736</v>
      </c>
    </row>
    <row r="842" spans="1:1">
      <c r="A842" s="141">
        <v>737</v>
      </c>
    </row>
    <row r="843" spans="1:1">
      <c r="A843" s="141">
        <v>738</v>
      </c>
    </row>
    <row r="844" spans="1:1">
      <c r="A844" s="141">
        <v>739</v>
      </c>
    </row>
    <row r="845" spans="1:1">
      <c r="A845" s="141">
        <v>740</v>
      </c>
    </row>
    <row r="846" spans="1:1">
      <c r="A846" s="141">
        <v>741</v>
      </c>
    </row>
    <row r="847" spans="1:1">
      <c r="A847" s="141">
        <v>742</v>
      </c>
    </row>
    <row r="848" spans="1:1">
      <c r="A848" s="141">
        <v>743</v>
      </c>
    </row>
    <row r="849" spans="1:1">
      <c r="A849" s="141">
        <v>744</v>
      </c>
    </row>
    <row r="850" spans="1:1">
      <c r="A850" s="141">
        <v>745</v>
      </c>
    </row>
    <row r="851" spans="1:1">
      <c r="A851" s="141">
        <v>746</v>
      </c>
    </row>
    <row r="852" spans="1:1">
      <c r="A852" s="141">
        <v>747</v>
      </c>
    </row>
    <row r="853" spans="1:1">
      <c r="A853" s="141">
        <v>748</v>
      </c>
    </row>
    <row r="854" spans="1:1">
      <c r="A854" s="141">
        <v>749</v>
      </c>
    </row>
    <row r="855" spans="1:1">
      <c r="A855" s="141">
        <v>750</v>
      </c>
    </row>
    <row r="856" spans="1:1">
      <c r="A856" s="141">
        <v>751</v>
      </c>
    </row>
    <row r="857" spans="1:1">
      <c r="A857" s="141">
        <v>752</v>
      </c>
    </row>
    <row r="858" spans="1:1">
      <c r="A858" s="141">
        <v>753</v>
      </c>
    </row>
    <row r="859" spans="1:1">
      <c r="A859" s="141">
        <v>754</v>
      </c>
    </row>
    <row r="860" spans="1:1">
      <c r="A860" s="141">
        <v>755</v>
      </c>
    </row>
    <row r="861" spans="1:1">
      <c r="A861" s="141">
        <v>756</v>
      </c>
    </row>
    <row r="862" spans="1:1">
      <c r="A862" s="141">
        <v>757</v>
      </c>
    </row>
    <row r="863" spans="1:1">
      <c r="A863" s="141">
        <v>758</v>
      </c>
    </row>
    <row r="864" spans="1:1">
      <c r="A864" s="141">
        <v>759</v>
      </c>
    </row>
    <row r="865" spans="1:1">
      <c r="A865" s="141">
        <v>760</v>
      </c>
    </row>
    <row r="866" spans="1:1">
      <c r="A866" s="141">
        <v>761</v>
      </c>
    </row>
    <row r="867" spans="1:1">
      <c r="A867" s="141">
        <v>762</v>
      </c>
    </row>
    <row r="868" spans="1:1">
      <c r="A868" s="141">
        <v>763</v>
      </c>
    </row>
    <row r="869" spans="1:1">
      <c r="A869" s="141">
        <v>764</v>
      </c>
    </row>
    <row r="870" spans="1:1">
      <c r="A870" s="141">
        <v>765</v>
      </c>
    </row>
    <row r="871" spans="1:1">
      <c r="A871" s="141">
        <v>766</v>
      </c>
    </row>
    <row r="872" spans="1:1">
      <c r="A872" s="141">
        <v>767</v>
      </c>
    </row>
    <row r="873" spans="1:1">
      <c r="A873" s="141">
        <v>768</v>
      </c>
    </row>
    <row r="874" spans="1:1">
      <c r="A874" s="141">
        <v>769</v>
      </c>
    </row>
    <row r="875" spans="1:1">
      <c r="A875" s="141">
        <v>770</v>
      </c>
    </row>
    <row r="876" spans="1:1">
      <c r="A876" s="141">
        <v>771</v>
      </c>
    </row>
    <row r="877" spans="1:1">
      <c r="A877" s="141">
        <v>772</v>
      </c>
    </row>
    <row r="878" spans="1:1">
      <c r="A878" s="141">
        <v>773</v>
      </c>
    </row>
    <row r="879" spans="1:1">
      <c r="A879" s="141">
        <v>774</v>
      </c>
    </row>
    <row r="880" spans="1:1">
      <c r="A880" s="141">
        <v>775</v>
      </c>
    </row>
    <row r="881" spans="1:1">
      <c r="A881" s="141">
        <v>776</v>
      </c>
    </row>
    <row r="882" spans="1:1">
      <c r="A882" s="141">
        <v>777</v>
      </c>
    </row>
    <row r="883" spans="1:1">
      <c r="A883" s="141">
        <v>778</v>
      </c>
    </row>
    <row r="884" spans="1:1">
      <c r="A884" s="141">
        <v>779</v>
      </c>
    </row>
    <row r="885" spans="1:1">
      <c r="A885" s="141">
        <v>780</v>
      </c>
    </row>
    <row r="886" spans="1:1">
      <c r="A886" s="141">
        <v>781</v>
      </c>
    </row>
    <row r="887" spans="1:1">
      <c r="A887" s="141">
        <v>782</v>
      </c>
    </row>
    <row r="888" spans="1:1">
      <c r="A888" s="141">
        <v>783</v>
      </c>
    </row>
    <row r="889" spans="1:1">
      <c r="A889" s="141">
        <v>784</v>
      </c>
    </row>
    <row r="890" spans="1:1">
      <c r="A890" s="141">
        <v>785</v>
      </c>
    </row>
    <row r="891" spans="1:1">
      <c r="A891" s="141">
        <v>786</v>
      </c>
    </row>
    <row r="892" spans="1:1">
      <c r="A892" s="141">
        <v>787</v>
      </c>
    </row>
    <row r="893" spans="1:1">
      <c r="A893" s="141">
        <v>788</v>
      </c>
    </row>
    <row r="894" spans="1:1">
      <c r="A894" s="141">
        <v>789</v>
      </c>
    </row>
    <row r="895" spans="1:1">
      <c r="A895" s="141">
        <v>790</v>
      </c>
    </row>
    <row r="896" spans="1:1">
      <c r="A896" s="141">
        <v>791</v>
      </c>
    </row>
    <row r="897" spans="1:1">
      <c r="A897" s="141">
        <v>792</v>
      </c>
    </row>
    <row r="898" spans="1:1">
      <c r="A898" s="141">
        <v>793</v>
      </c>
    </row>
    <row r="899" spans="1:1">
      <c r="A899" s="141">
        <v>794</v>
      </c>
    </row>
    <row r="900" spans="1:1">
      <c r="A900" s="141">
        <v>795</v>
      </c>
    </row>
    <row r="901" spans="1:1">
      <c r="A901" s="141">
        <v>796</v>
      </c>
    </row>
    <row r="902" spans="1:1">
      <c r="A902" s="141">
        <v>797</v>
      </c>
    </row>
    <row r="903" spans="1:1">
      <c r="A903" s="141">
        <v>798</v>
      </c>
    </row>
    <row r="904" spans="1:1">
      <c r="A904" s="141">
        <v>799</v>
      </c>
    </row>
    <row r="905" spans="1:1">
      <c r="A905" s="141">
        <v>800</v>
      </c>
    </row>
    <row r="906" spans="1:1">
      <c r="A906" s="141">
        <v>801</v>
      </c>
    </row>
    <row r="907" spans="1:1">
      <c r="A907" s="141">
        <v>802</v>
      </c>
    </row>
    <row r="908" spans="1:1">
      <c r="A908" s="141">
        <v>803</v>
      </c>
    </row>
    <row r="909" spans="1:1">
      <c r="A909" s="141">
        <v>804</v>
      </c>
    </row>
    <row r="910" spans="1:1">
      <c r="A910" s="141">
        <v>805</v>
      </c>
    </row>
    <row r="911" spans="1:1">
      <c r="A911" s="141">
        <v>806</v>
      </c>
    </row>
    <row r="912" spans="1:1">
      <c r="A912" s="141">
        <v>807</v>
      </c>
    </row>
    <row r="913" spans="1:1">
      <c r="A913" s="141">
        <v>808</v>
      </c>
    </row>
    <row r="914" spans="1:1">
      <c r="A914" s="141">
        <v>809</v>
      </c>
    </row>
    <row r="915" spans="1:1">
      <c r="A915" s="141">
        <v>810</v>
      </c>
    </row>
    <row r="916" spans="1:1">
      <c r="A916" s="141">
        <v>811</v>
      </c>
    </row>
    <row r="917" spans="1:1">
      <c r="A917" s="141">
        <v>812</v>
      </c>
    </row>
    <row r="918" spans="1:1">
      <c r="A918" s="141">
        <v>813</v>
      </c>
    </row>
    <row r="919" spans="1:1">
      <c r="A919" s="141">
        <v>814</v>
      </c>
    </row>
    <row r="920" spans="1:1">
      <c r="A920" s="141">
        <v>815</v>
      </c>
    </row>
    <row r="921" spans="1:1">
      <c r="A921" s="141">
        <v>816</v>
      </c>
    </row>
    <row r="922" spans="1:1">
      <c r="A922" s="141">
        <v>817</v>
      </c>
    </row>
    <row r="923" spans="1:1">
      <c r="A923" s="141">
        <v>818</v>
      </c>
    </row>
    <row r="924" spans="1:1">
      <c r="A924" s="141">
        <v>819</v>
      </c>
    </row>
    <row r="925" spans="1:1">
      <c r="A925" s="141">
        <v>820</v>
      </c>
    </row>
    <row r="926" spans="1:1">
      <c r="A926" s="141">
        <v>821</v>
      </c>
    </row>
    <row r="927" spans="1:1">
      <c r="A927" s="141">
        <v>822</v>
      </c>
    </row>
    <row r="928" spans="1:1">
      <c r="A928" s="141">
        <v>823</v>
      </c>
    </row>
    <row r="929" spans="1:1">
      <c r="A929" s="141">
        <v>824</v>
      </c>
    </row>
    <row r="930" spans="1:1">
      <c r="A930" s="141">
        <v>825</v>
      </c>
    </row>
    <row r="931" spans="1:1">
      <c r="A931" s="141">
        <v>826</v>
      </c>
    </row>
    <row r="932" spans="1:1">
      <c r="A932" s="141">
        <v>827</v>
      </c>
    </row>
    <row r="933" spans="1:1">
      <c r="A933" s="141">
        <v>828</v>
      </c>
    </row>
    <row r="934" spans="1:1">
      <c r="A934" s="141">
        <v>829</v>
      </c>
    </row>
    <row r="935" spans="1:1">
      <c r="A935" s="141">
        <v>830</v>
      </c>
    </row>
    <row r="936" spans="1:1">
      <c r="A936" s="141">
        <v>831</v>
      </c>
    </row>
    <row r="937" spans="1:1">
      <c r="A937" s="141">
        <v>832</v>
      </c>
    </row>
    <row r="938" spans="1:1">
      <c r="A938" s="141">
        <v>833</v>
      </c>
    </row>
    <row r="939" spans="1:1">
      <c r="A939" s="141">
        <v>834</v>
      </c>
    </row>
    <row r="940" spans="1:1">
      <c r="A940" s="141">
        <v>835</v>
      </c>
    </row>
    <row r="941" spans="1:1">
      <c r="A941" s="141">
        <v>836</v>
      </c>
    </row>
    <row r="942" spans="1:1">
      <c r="A942" s="141">
        <v>837</v>
      </c>
    </row>
    <row r="943" spans="1:1">
      <c r="A943" s="141">
        <v>838</v>
      </c>
    </row>
    <row r="944" spans="1:1">
      <c r="A944" s="141">
        <v>839</v>
      </c>
    </row>
    <row r="945" spans="1:1">
      <c r="A945" s="141">
        <v>840</v>
      </c>
    </row>
    <row r="946" spans="1:1">
      <c r="A946" s="141">
        <v>841</v>
      </c>
    </row>
    <row r="947" spans="1:1">
      <c r="A947" s="141">
        <v>842</v>
      </c>
    </row>
    <row r="948" spans="1:1">
      <c r="A948" s="141">
        <v>843</v>
      </c>
    </row>
    <row r="949" spans="1:1">
      <c r="A949" s="141">
        <v>844</v>
      </c>
    </row>
    <row r="950" spans="1:1">
      <c r="A950" s="141">
        <v>845</v>
      </c>
    </row>
    <row r="951" spans="1:1">
      <c r="A951" s="141">
        <v>846</v>
      </c>
    </row>
    <row r="952" spans="1:1">
      <c r="A952" s="141">
        <v>847</v>
      </c>
    </row>
    <row r="953" spans="1:1">
      <c r="A953" s="141">
        <v>848</v>
      </c>
    </row>
    <row r="954" spans="1:1">
      <c r="A954" s="141">
        <v>849</v>
      </c>
    </row>
    <row r="955" spans="1:1">
      <c r="A955" s="141">
        <v>850</v>
      </c>
    </row>
    <row r="956" spans="1:1">
      <c r="A956" s="141">
        <v>851</v>
      </c>
    </row>
    <row r="957" spans="1:1">
      <c r="A957" s="141">
        <v>852</v>
      </c>
    </row>
    <row r="958" spans="1:1">
      <c r="A958" s="141">
        <v>853</v>
      </c>
    </row>
    <row r="959" spans="1:1">
      <c r="A959" s="141">
        <v>854</v>
      </c>
    </row>
    <row r="960" spans="1:1">
      <c r="A960" s="141">
        <v>855</v>
      </c>
    </row>
    <row r="961" spans="1:1">
      <c r="A961" s="141">
        <v>856</v>
      </c>
    </row>
    <row r="962" spans="1:1">
      <c r="A962" s="141">
        <v>857</v>
      </c>
    </row>
    <row r="963" spans="1:1">
      <c r="A963" s="141">
        <v>858</v>
      </c>
    </row>
    <row r="964" spans="1:1">
      <c r="A964" s="141">
        <v>859</v>
      </c>
    </row>
    <row r="965" spans="1:1">
      <c r="A965" s="141">
        <v>860</v>
      </c>
    </row>
    <row r="966" spans="1:1">
      <c r="A966" s="141">
        <v>861</v>
      </c>
    </row>
    <row r="967" spans="1:1">
      <c r="A967" s="141">
        <v>862</v>
      </c>
    </row>
    <row r="968" spans="1:1">
      <c r="A968" s="141">
        <v>863</v>
      </c>
    </row>
    <row r="969" spans="1:1">
      <c r="A969" s="141">
        <v>864</v>
      </c>
    </row>
    <row r="970" spans="1:1">
      <c r="A970" s="141">
        <v>865</v>
      </c>
    </row>
    <row r="971" spans="1:1">
      <c r="A971" s="141">
        <v>866</v>
      </c>
    </row>
    <row r="972" spans="1:1">
      <c r="A972" s="141">
        <v>867</v>
      </c>
    </row>
    <row r="973" spans="1:1">
      <c r="A973" s="141">
        <v>868</v>
      </c>
    </row>
    <row r="974" spans="1:1">
      <c r="A974" s="141">
        <v>869</v>
      </c>
    </row>
    <row r="975" spans="1:1">
      <c r="A975" s="141">
        <v>870</v>
      </c>
    </row>
    <row r="976" spans="1:1">
      <c r="A976" s="141">
        <v>871</v>
      </c>
    </row>
    <row r="977" spans="1:1">
      <c r="A977" s="141">
        <v>872</v>
      </c>
    </row>
    <row r="978" spans="1:1">
      <c r="A978" s="141">
        <v>873</v>
      </c>
    </row>
    <row r="979" spans="1:1">
      <c r="A979" s="141">
        <v>874</v>
      </c>
    </row>
    <row r="980" spans="1:1">
      <c r="A980" s="141">
        <v>875</v>
      </c>
    </row>
    <row r="981" spans="1:1">
      <c r="A981" s="141">
        <v>876</v>
      </c>
    </row>
    <row r="982" spans="1:1">
      <c r="A982" s="141">
        <v>877</v>
      </c>
    </row>
    <row r="983" spans="1:1">
      <c r="A983" s="141">
        <v>878</v>
      </c>
    </row>
    <row r="984" spans="1:1">
      <c r="A984" s="141">
        <v>879</v>
      </c>
    </row>
    <row r="985" spans="1:1">
      <c r="A985" s="141">
        <v>880</v>
      </c>
    </row>
    <row r="986" spans="1:1">
      <c r="A986" s="141">
        <v>881</v>
      </c>
    </row>
    <row r="987" spans="1:1">
      <c r="A987" s="141">
        <v>882</v>
      </c>
    </row>
    <row r="988" spans="1:1">
      <c r="A988" s="141">
        <v>883</v>
      </c>
    </row>
    <row r="989" spans="1:1">
      <c r="A989" s="141">
        <v>884</v>
      </c>
    </row>
    <row r="990" spans="1:1">
      <c r="A990" s="141">
        <v>885</v>
      </c>
    </row>
    <row r="991" spans="1:1">
      <c r="A991" s="141">
        <v>886</v>
      </c>
    </row>
    <row r="992" spans="1:1">
      <c r="A992" s="141">
        <v>887</v>
      </c>
    </row>
    <row r="993" spans="1:1">
      <c r="A993" s="141">
        <v>888</v>
      </c>
    </row>
    <row r="994" spans="1:1">
      <c r="A994" s="141">
        <v>889</v>
      </c>
    </row>
    <row r="995" spans="1:1">
      <c r="A995" s="141">
        <v>890</v>
      </c>
    </row>
    <row r="996" spans="1:1">
      <c r="A996" s="141">
        <v>891</v>
      </c>
    </row>
    <row r="997" spans="1:1">
      <c r="A997" s="141">
        <v>892</v>
      </c>
    </row>
    <row r="998" spans="1:1">
      <c r="A998" s="141">
        <v>893</v>
      </c>
    </row>
    <row r="999" spans="1:1">
      <c r="A999" s="141">
        <v>894</v>
      </c>
    </row>
    <row r="1000" spans="1:1">
      <c r="A1000" s="141">
        <v>895</v>
      </c>
    </row>
    <row r="1001" spans="1:1">
      <c r="A1001" s="141">
        <v>896</v>
      </c>
    </row>
    <row r="1002" spans="1:1">
      <c r="A1002" s="141">
        <v>897</v>
      </c>
    </row>
    <row r="1003" spans="1:1">
      <c r="A1003" s="141">
        <v>898</v>
      </c>
    </row>
    <row r="1004" spans="1:1">
      <c r="A1004" s="141">
        <v>899</v>
      </c>
    </row>
    <row r="1005" spans="1:1">
      <c r="A1005" s="141">
        <v>900</v>
      </c>
    </row>
    <row r="1006" spans="1:1">
      <c r="A1006" s="141">
        <v>901</v>
      </c>
    </row>
    <row r="1007" spans="1:1">
      <c r="A1007" s="141">
        <v>902</v>
      </c>
    </row>
    <row r="1008" spans="1:1">
      <c r="A1008" s="141">
        <v>903</v>
      </c>
    </row>
    <row r="1009" spans="1:1">
      <c r="A1009" s="141">
        <v>904</v>
      </c>
    </row>
    <row r="1010" spans="1:1">
      <c r="A1010" s="141">
        <v>905</v>
      </c>
    </row>
    <row r="1011" spans="1:1">
      <c r="A1011" s="141">
        <v>906</v>
      </c>
    </row>
    <row r="1012" spans="1:1">
      <c r="A1012" s="141">
        <v>907</v>
      </c>
    </row>
    <row r="1013" spans="1:1">
      <c r="A1013" s="141">
        <v>908</v>
      </c>
    </row>
    <row r="1014" spans="1:1">
      <c r="A1014" s="141">
        <v>909</v>
      </c>
    </row>
    <row r="1015" spans="1:1">
      <c r="A1015" s="141">
        <v>910</v>
      </c>
    </row>
    <row r="1016" spans="1:1">
      <c r="A1016" s="141">
        <v>911</v>
      </c>
    </row>
    <row r="1017" spans="1:1">
      <c r="A1017" s="141">
        <v>912</v>
      </c>
    </row>
    <row r="1018" spans="1:1">
      <c r="A1018" s="141">
        <v>913</v>
      </c>
    </row>
    <row r="1019" spans="1:1">
      <c r="A1019" s="141">
        <v>914</v>
      </c>
    </row>
    <row r="1020" spans="1:1">
      <c r="A1020" s="141">
        <v>915</v>
      </c>
    </row>
    <row r="1021" spans="1:1">
      <c r="A1021" s="141">
        <v>916</v>
      </c>
    </row>
    <row r="1022" spans="1:1">
      <c r="A1022" s="141">
        <v>917</v>
      </c>
    </row>
    <row r="1023" spans="1:1">
      <c r="A1023" s="141">
        <v>918</v>
      </c>
    </row>
    <row r="1024" spans="1:1">
      <c r="A1024" s="141">
        <v>919</v>
      </c>
    </row>
    <row r="1025" spans="1:1">
      <c r="A1025" s="141">
        <v>920</v>
      </c>
    </row>
    <row r="1026" spans="1:1">
      <c r="A1026" s="141">
        <v>921</v>
      </c>
    </row>
    <row r="1027" spans="1:1">
      <c r="A1027" s="141">
        <v>922</v>
      </c>
    </row>
    <row r="1028" spans="1:1">
      <c r="A1028" s="141">
        <v>923</v>
      </c>
    </row>
    <row r="1029" spans="1:1">
      <c r="A1029" s="141">
        <v>924</v>
      </c>
    </row>
    <row r="1030" spans="1:1">
      <c r="A1030" s="141">
        <v>925</v>
      </c>
    </row>
    <row r="1031" spans="1:1">
      <c r="A1031" s="141">
        <v>926</v>
      </c>
    </row>
    <row r="1032" spans="1:1">
      <c r="A1032" s="141">
        <v>927</v>
      </c>
    </row>
    <row r="1033" spans="1:1">
      <c r="A1033" s="141">
        <v>928</v>
      </c>
    </row>
    <row r="1034" spans="1:1">
      <c r="A1034" s="141">
        <v>929</v>
      </c>
    </row>
    <row r="1035" spans="1:1">
      <c r="A1035" s="141">
        <v>930</v>
      </c>
    </row>
    <row r="1036" spans="1:1">
      <c r="A1036" s="141">
        <v>931</v>
      </c>
    </row>
    <row r="1037" spans="1:1">
      <c r="A1037" s="141">
        <v>932</v>
      </c>
    </row>
    <row r="1038" spans="1:1">
      <c r="A1038" s="141">
        <v>933</v>
      </c>
    </row>
    <row r="1039" spans="1:1">
      <c r="A1039" s="141">
        <v>934</v>
      </c>
    </row>
    <row r="1040" spans="1:1">
      <c r="A1040" s="141">
        <v>935</v>
      </c>
    </row>
    <row r="1041" spans="1:1">
      <c r="A1041" s="141">
        <v>936</v>
      </c>
    </row>
    <row r="1042" spans="1:1">
      <c r="A1042" s="141">
        <v>937</v>
      </c>
    </row>
    <row r="1043" spans="1:1">
      <c r="A1043" s="141">
        <v>938</v>
      </c>
    </row>
    <row r="1044" spans="1:1">
      <c r="A1044" s="141">
        <v>939</v>
      </c>
    </row>
    <row r="1045" spans="1:1">
      <c r="A1045" s="141">
        <v>940</v>
      </c>
    </row>
    <row r="1046" spans="1:1">
      <c r="A1046" s="141">
        <v>941</v>
      </c>
    </row>
    <row r="1047" spans="1:1">
      <c r="A1047" s="141">
        <v>942</v>
      </c>
    </row>
    <row r="1048" spans="1:1">
      <c r="A1048" s="141">
        <v>943</v>
      </c>
    </row>
    <row r="1049" spans="1:1">
      <c r="A1049" s="141">
        <v>944</v>
      </c>
    </row>
    <row r="1050" spans="1:1">
      <c r="A1050" s="141">
        <v>945</v>
      </c>
    </row>
    <row r="1051" spans="1:1">
      <c r="A1051" s="141">
        <v>946</v>
      </c>
    </row>
    <row r="1052" spans="1:1">
      <c r="A1052" s="141">
        <v>947</v>
      </c>
    </row>
    <row r="1053" spans="1:1">
      <c r="A1053" s="141">
        <v>948</v>
      </c>
    </row>
    <row r="1054" spans="1:1">
      <c r="A1054" s="141">
        <v>949</v>
      </c>
    </row>
    <row r="1055" spans="1:1">
      <c r="A1055" s="141">
        <v>950</v>
      </c>
    </row>
    <row r="1056" spans="1:1">
      <c r="A1056" s="141">
        <v>951</v>
      </c>
    </row>
    <row r="1057" spans="1:1">
      <c r="A1057" s="141">
        <v>952</v>
      </c>
    </row>
    <row r="1058" spans="1:1">
      <c r="A1058" s="141">
        <v>953</v>
      </c>
    </row>
    <row r="1059" spans="1:1">
      <c r="A1059" s="141">
        <v>954</v>
      </c>
    </row>
    <row r="1060" spans="1:1">
      <c r="A1060" s="141">
        <v>955</v>
      </c>
    </row>
    <row r="1061" spans="1:1">
      <c r="A1061" s="141">
        <v>956</v>
      </c>
    </row>
    <row r="1062" spans="1:1">
      <c r="A1062" s="141">
        <v>957</v>
      </c>
    </row>
    <row r="1063" spans="1:1">
      <c r="A1063" s="141">
        <v>958</v>
      </c>
    </row>
    <row r="1064" spans="1:1">
      <c r="A1064" s="141">
        <v>959</v>
      </c>
    </row>
    <row r="1065" spans="1:1">
      <c r="A1065" s="141">
        <v>960</v>
      </c>
    </row>
    <row r="1066" spans="1:1">
      <c r="A1066" s="141">
        <v>961</v>
      </c>
    </row>
    <row r="1067" spans="1:1">
      <c r="A1067" s="141">
        <v>962</v>
      </c>
    </row>
    <row r="1068" spans="1:1">
      <c r="A1068" s="141">
        <v>963</v>
      </c>
    </row>
    <row r="1069" spans="1:1">
      <c r="A1069" s="141">
        <v>964</v>
      </c>
    </row>
    <row r="1070" spans="1:1">
      <c r="A1070" s="141">
        <v>965</v>
      </c>
    </row>
    <row r="1071" spans="1:1">
      <c r="A1071" s="141">
        <v>966</v>
      </c>
    </row>
    <row r="1072" spans="1:1">
      <c r="A1072" s="141">
        <v>967</v>
      </c>
    </row>
    <row r="1073" spans="1:1">
      <c r="A1073" s="141">
        <v>968</v>
      </c>
    </row>
    <row r="1074" spans="1:1">
      <c r="A1074" s="141">
        <v>969</v>
      </c>
    </row>
    <row r="1075" spans="1:1">
      <c r="A1075" s="141">
        <v>970</v>
      </c>
    </row>
    <row r="1076" spans="1:1">
      <c r="A1076" s="141">
        <v>971</v>
      </c>
    </row>
    <row r="1077" spans="1:1">
      <c r="A1077" s="141">
        <v>972</v>
      </c>
    </row>
    <row r="1078" spans="1:1">
      <c r="A1078" s="141">
        <v>973</v>
      </c>
    </row>
    <row r="1079" spans="1:1">
      <c r="A1079" s="141">
        <v>974</v>
      </c>
    </row>
    <row r="1080" spans="1:1">
      <c r="A1080" s="141">
        <v>975</v>
      </c>
    </row>
    <row r="1081" spans="1:1">
      <c r="A1081" s="141">
        <v>976</v>
      </c>
    </row>
    <row r="1082" spans="1:1">
      <c r="A1082" s="141">
        <v>977</v>
      </c>
    </row>
    <row r="1083" spans="1:1">
      <c r="A1083" s="141">
        <v>978</v>
      </c>
    </row>
    <row r="1084" spans="1:1">
      <c r="A1084" s="141">
        <v>979</v>
      </c>
    </row>
    <row r="1085" spans="1:1">
      <c r="A1085" s="141">
        <v>980</v>
      </c>
    </row>
    <row r="1086" spans="1:1">
      <c r="A1086" s="141">
        <v>981</v>
      </c>
    </row>
    <row r="1087" spans="1:1">
      <c r="A1087" s="141">
        <v>982</v>
      </c>
    </row>
    <row r="1088" spans="1:1">
      <c r="A1088" s="141">
        <v>983</v>
      </c>
    </row>
    <row r="1089" spans="1:1">
      <c r="A1089" s="141">
        <v>984</v>
      </c>
    </row>
    <row r="1090" spans="1:1">
      <c r="A1090" s="141">
        <v>985</v>
      </c>
    </row>
    <row r="1091" spans="1:1">
      <c r="A1091" s="141">
        <v>986</v>
      </c>
    </row>
    <row r="1092" spans="1:1">
      <c r="A1092" s="141">
        <v>987</v>
      </c>
    </row>
    <row r="1093" spans="1:1">
      <c r="A1093" s="141">
        <v>988</v>
      </c>
    </row>
    <row r="1094" spans="1:1">
      <c r="A1094" s="141">
        <v>989</v>
      </c>
    </row>
    <row r="1095" spans="1:1">
      <c r="A1095" s="141">
        <v>990</v>
      </c>
    </row>
    <row r="1096" spans="1:1">
      <c r="A1096" s="141">
        <v>991</v>
      </c>
    </row>
    <row r="1097" spans="1:1">
      <c r="A1097" s="141">
        <v>992</v>
      </c>
    </row>
    <row r="1098" spans="1:1">
      <c r="A1098" s="141">
        <v>993</v>
      </c>
    </row>
    <row r="1099" spans="1:1">
      <c r="A1099" s="141">
        <v>994</v>
      </c>
    </row>
    <row r="1100" spans="1:1">
      <c r="A1100" s="141">
        <v>995</v>
      </c>
    </row>
    <row r="1101" spans="1:1">
      <c r="A1101" s="141">
        <v>996</v>
      </c>
    </row>
    <row r="1102" spans="1:1">
      <c r="A1102" s="141">
        <v>997</v>
      </c>
    </row>
    <row r="1103" spans="1:1">
      <c r="A1103" s="141">
        <v>998</v>
      </c>
    </row>
    <row r="1104" spans="1:1">
      <c r="A1104" s="141">
        <v>999</v>
      </c>
    </row>
    <row r="1105" spans="1:1">
      <c r="A1105" s="141">
        <v>1000</v>
      </c>
    </row>
    <row r="1106" spans="1:1">
      <c r="A1106" s="141">
        <v>1001</v>
      </c>
    </row>
    <row r="1107" spans="1:1">
      <c r="A1107" s="141">
        <v>1002</v>
      </c>
    </row>
    <row r="1108" spans="1:1">
      <c r="A1108" s="141">
        <v>1003</v>
      </c>
    </row>
    <row r="1109" spans="1:1">
      <c r="A1109" s="141">
        <v>1004</v>
      </c>
    </row>
    <row r="1110" spans="1:1">
      <c r="A1110" s="141">
        <v>1005</v>
      </c>
    </row>
    <row r="1111" spans="1:1">
      <c r="A1111" s="141">
        <v>1006</v>
      </c>
    </row>
    <row r="1112" spans="1:1">
      <c r="A1112" s="141">
        <v>1007</v>
      </c>
    </row>
    <row r="1113" spans="1:1">
      <c r="A1113" s="141">
        <v>1008</v>
      </c>
    </row>
    <row r="1114" spans="1:1">
      <c r="A1114" s="141">
        <v>1009</v>
      </c>
    </row>
    <row r="1115" spans="1:1">
      <c r="A1115" s="141">
        <v>1010</v>
      </c>
    </row>
    <row r="1116" spans="1:1">
      <c r="A1116" s="141">
        <v>1011</v>
      </c>
    </row>
    <row r="1117" spans="1:1">
      <c r="A1117" s="141">
        <v>1012</v>
      </c>
    </row>
    <row r="1118" spans="1:1">
      <c r="A1118" s="141">
        <v>1013</v>
      </c>
    </row>
    <row r="1119" spans="1:1">
      <c r="A1119" s="141">
        <v>1014</v>
      </c>
    </row>
    <row r="1120" spans="1:1">
      <c r="A1120" s="141">
        <v>1015</v>
      </c>
    </row>
    <row r="1121" spans="1:1">
      <c r="A1121" s="141">
        <v>1016</v>
      </c>
    </row>
    <row r="1122" spans="1:1">
      <c r="A1122" s="141">
        <v>1017</v>
      </c>
    </row>
    <row r="1123" spans="1:1">
      <c r="A1123" s="141">
        <v>1018</v>
      </c>
    </row>
    <row r="1124" spans="1:1">
      <c r="A1124" s="141">
        <v>1019</v>
      </c>
    </row>
    <row r="1125" spans="1:1">
      <c r="A1125" s="141">
        <v>1020</v>
      </c>
    </row>
    <row r="1126" spans="1:1">
      <c r="A1126" s="141">
        <v>1021</v>
      </c>
    </row>
    <row r="1127" spans="1:1">
      <c r="A1127" s="141">
        <v>1022</v>
      </c>
    </row>
    <row r="1128" spans="1:1">
      <c r="A1128" s="141">
        <v>1023</v>
      </c>
    </row>
    <row r="1129" spans="1:1">
      <c r="A1129" s="141">
        <v>1024</v>
      </c>
    </row>
    <row r="1130" spans="1:1">
      <c r="A1130" s="141">
        <v>1025</v>
      </c>
    </row>
    <row r="1131" spans="1:1">
      <c r="A1131" s="141">
        <v>1026</v>
      </c>
    </row>
    <row r="1132" spans="1:1">
      <c r="A1132" s="141">
        <v>1027</v>
      </c>
    </row>
    <row r="1133" spans="1:1">
      <c r="A1133" s="141">
        <v>1028</v>
      </c>
    </row>
    <row r="1134" spans="1:1">
      <c r="A1134" s="141">
        <v>1029</v>
      </c>
    </row>
    <row r="1135" spans="1:1">
      <c r="A1135" s="141">
        <v>1030</v>
      </c>
    </row>
    <row r="1136" spans="1:1">
      <c r="A1136" s="141">
        <v>1031</v>
      </c>
    </row>
    <row r="1137" spans="1:1">
      <c r="A1137" s="141">
        <v>1032</v>
      </c>
    </row>
    <row r="1138" spans="1:1">
      <c r="A1138" s="141">
        <v>1033</v>
      </c>
    </row>
    <row r="1139" spans="1:1">
      <c r="A1139" s="141">
        <v>1034</v>
      </c>
    </row>
    <row r="1140" spans="1:1">
      <c r="A1140" s="141">
        <v>1035</v>
      </c>
    </row>
    <row r="1141" spans="1:1">
      <c r="A1141" s="141">
        <v>1036</v>
      </c>
    </row>
    <row r="1142" spans="1:1">
      <c r="A1142" s="141">
        <v>1037</v>
      </c>
    </row>
    <row r="1143" spans="1:1">
      <c r="A1143" s="141">
        <v>1038</v>
      </c>
    </row>
    <row r="1144" spans="1:1">
      <c r="A1144" s="141">
        <v>1039</v>
      </c>
    </row>
    <row r="1145" spans="1:1">
      <c r="A1145" s="141">
        <v>1040</v>
      </c>
    </row>
    <row r="1146" spans="1:1">
      <c r="A1146" s="141">
        <v>1041</v>
      </c>
    </row>
    <row r="1147" spans="1:1">
      <c r="A1147" s="141">
        <v>1042</v>
      </c>
    </row>
    <row r="1148" spans="1:1">
      <c r="A1148" s="141">
        <v>1043</v>
      </c>
    </row>
    <row r="1149" spans="1:1">
      <c r="A1149" s="141">
        <v>1044</v>
      </c>
    </row>
    <row r="1150" spans="1:1">
      <c r="A1150" s="141">
        <v>1045</v>
      </c>
    </row>
    <row r="1151" spans="1:1">
      <c r="A1151" s="141">
        <v>1046</v>
      </c>
    </row>
    <row r="1152" spans="1:1">
      <c r="A1152" s="141">
        <v>1047</v>
      </c>
    </row>
    <row r="1153" spans="1:1">
      <c r="A1153" s="141">
        <v>1048</v>
      </c>
    </row>
    <row r="1154" spans="1:1">
      <c r="A1154" s="141">
        <v>1049</v>
      </c>
    </row>
    <row r="1155" spans="1:1">
      <c r="A1155" s="141">
        <v>1050</v>
      </c>
    </row>
    <row r="1156" spans="1:1">
      <c r="A1156" s="141">
        <v>1051</v>
      </c>
    </row>
    <row r="1157" spans="1:1">
      <c r="A1157" s="141">
        <v>1052</v>
      </c>
    </row>
    <row r="1158" spans="1:1">
      <c r="A1158" s="141">
        <v>1053</v>
      </c>
    </row>
    <row r="1159" spans="1:1">
      <c r="A1159" s="141">
        <v>1054</v>
      </c>
    </row>
    <row r="1160" spans="1:1">
      <c r="A1160" s="141">
        <v>1055</v>
      </c>
    </row>
    <row r="1161" spans="1:1">
      <c r="A1161" s="141">
        <v>1056</v>
      </c>
    </row>
    <row r="1162" spans="1:1">
      <c r="A1162" s="141">
        <v>1057</v>
      </c>
    </row>
    <row r="1163" spans="1:1">
      <c r="A1163" s="141">
        <v>1058</v>
      </c>
    </row>
    <row r="1164" spans="1:1">
      <c r="A1164" s="141">
        <v>1059</v>
      </c>
    </row>
    <row r="1165" spans="1:1">
      <c r="A1165" s="141">
        <v>1060</v>
      </c>
    </row>
    <row r="1166" spans="1:1">
      <c r="A1166" s="141">
        <v>1061</v>
      </c>
    </row>
    <row r="1167" spans="1:1">
      <c r="A1167" s="141">
        <v>1062</v>
      </c>
    </row>
    <row r="1168" spans="1:1">
      <c r="A1168" s="141">
        <v>1063</v>
      </c>
    </row>
    <row r="1169" spans="1:1">
      <c r="A1169" s="141">
        <v>1064</v>
      </c>
    </row>
    <row r="1170" spans="1:1">
      <c r="A1170" s="141">
        <v>1065</v>
      </c>
    </row>
    <row r="1171" spans="1:1">
      <c r="A1171" s="141">
        <v>1066</v>
      </c>
    </row>
    <row r="1172" spans="1:1">
      <c r="A1172" s="141">
        <v>1067</v>
      </c>
    </row>
    <row r="1173" spans="1:1">
      <c r="A1173" s="141">
        <v>1068</v>
      </c>
    </row>
    <row r="1174" spans="1:1">
      <c r="A1174" s="141">
        <v>1069</v>
      </c>
    </row>
    <row r="1175" spans="1:1">
      <c r="A1175" s="141">
        <v>1070</v>
      </c>
    </row>
    <row r="1176" spans="1:1">
      <c r="A1176" s="141">
        <v>1071</v>
      </c>
    </row>
    <row r="1177" spans="1:1">
      <c r="A1177" s="141">
        <v>1072</v>
      </c>
    </row>
    <row r="1178" spans="1:1">
      <c r="A1178" s="141">
        <v>1073</v>
      </c>
    </row>
    <row r="1179" spans="1:1">
      <c r="A1179" s="141">
        <v>1074</v>
      </c>
    </row>
    <row r="1180" spans="1:1">
      <c r="A1180" s="141">
        <v>1075</v>
      </c>
    </row>
    <row r="1181" spans="1:1">
      <c r="A1181" s="141">
        <v>1076</v>
      </c>
    </row>
    <row r="1182" spans="1:1">
      <c r="A1182" s="141">
        <v>1077</v>
      </c>
    </row>
    <row r="1183" spans="1:1">
      <c r="A1183" s="141">
        <v>1078</v>
      </c>
    </row>
    <row r="1184" spans="1:1">
      <c r="A1184" s="141">
        <v>1079</v>
      </c>
    </row>
    <row r="1185" spans="1:1">
      <c r="A1185" s="141">
        <v>1080</v>
      </c>
    </row>
    <row r="1186" spans="1:1">
      <c r="A1186" s="141">
        <v>1081</v>
      </c>
    </row>
    <row r="1187" spans="1:1">
      <c r="A1187" s="141">
        <v>1082</v>
      </c>
    </row>
    <row r="1188" spans="1:1">
      <c r="A1188" s="141">
        <v>1083</v>
      </c>
    </row>
    <row r="1189" spans="1:1">
      <c r="A1189" s="141">
        <v>1084</v>
      </c>
    </row>
    <row r="1190" spans="1:1">
      <c r="A1190" s="141">
        <v>1085</v>
      </c>
    </row>
    <row r="1191" spans="1:1">
      <c r="A1191" s="141">
        <v>1086</v>
      </c>
    </row>
    <row r="1192" spans="1:1">
      <c r="A1192" s="141">
        <v>1087</v>
      </c>
    </row>
    <row r="1193" spans="1:1">
      <c r="A1193" s="141">
        <v>1088</v>
      </c>
    </row>
    <row r="1194" spans="1:1">
      <c r="A1194" s="141">
        <v>1089</v>
      </c>
    </row>
    <row r="1195" spans="1:1">
      <c r="A1195" s="141">
        <v>1090</v>
      </c>
    </row>
    <row r="1196" spans="1:1">
      <c r="A1196" s="141">
        <v>1091</v>
      </c>
    </row>
    <row r="1197" spans="1:1">
      <c r="A1197" s="141">
        <v>1092</v>
      </c>
    </row>
    <row r="1198" spans="1:1">
      <c r="A1198" s="141">
        <v>1093</v>
      </c>
    </row>
    <row r="1199" spans="1:1">
      <c r="A1199" s="141">
        <v>1094</v>
      </c>
    </row>
    <row r="1200" spans="1:1">
      <c r="A1200" s="141">
        <v>1095</v>
      </c>
    </row>
    <row r="1201" spans="1:1">
      <c r="A1201" s="141">
        <v>1096</v>
      </c>
    </row>
    <row r="1202" spans="1:1">
      <c r="A1202" s="141">
        <v>1097</v>
      </c>
    </row>
    <row r="1203" spans="1:1">
      <c r="A1203" s="141">
        <v>1098</v>
      </c>
    </row>
    <row r="1204" spans="1:1">
      <c r="A1204" s="141">
        <v>1099</v>
      </c>
    </row>
    <row r="1205" spans="1:1">
      <c r="A1205" s="141">
        <v>1100</v>
      </c>
    </row>
    <row r="1206" spans="1:1">
      <c r="A1206" s="141">
        <v>1101</v>
      </c>
    </row>
    <row r="1207" spans="1:1">
      <c r="A1207" s="141">
        <v>1102</v>
      </c>
    </row>
    <row r="1208" spans="1:1">
      <c r="A1208" s="141">
        <v>1103</v>
      </c>
    </row>
    <row r="1209" spans="1:1">
      <c r="A1209" s="141">
        <v>1104</v>
      </c>
    </row>
    <row r="1210" spans="1:1">
      <c r="A1210" s="141">
        <v>1105</v>
      </c>
    </row>
    <row r="1211" spans="1:1">
      <c r="A1211" s="141">
        <v>1106</v>
      </c>
    </row>
    <row r="1212" spans="1:1">
      <c r="A1212" s="141">
        <v>1107</v>
      </c>
    </row>
    <row r="1213" spans="1:1">
      <c r="A1213" s="141">
        <v>1108</v>
      </c>
    </row>
    <row r="1214" spans="1:1">
      <c r="A1214" s="141">
        <v>1109</v>
      </c>
    </row>
    <row r="1215" spans="1:1">
      <c r="A1215" s="141">
        <v>1110</v>
      </c>
    </row>
    <row r="1216" spans="1:1">
      <c r="A1216" s="141">
        <v>1111</v>
      </c>
    </row>
    <row r="1217" spans="1:1">
      <c r="A1217" s="141">
        <v>1112</v>
      </c>
    </row>
    <row r="1218" spans="1:1">
      <c r="A1218" s="141">
        <v>1113</v>
      </c>
    </row>
    <row r="1219" spans="1:1">
      <c r="A1219" s="141">
        <v>1114</v>
      </c>
    </row>
    <row r="1220" spans="1:1">
      <c r="A1220" s="141">
        <v>1115</v>
      </c>
    </row>
    <row r="1221" spans="1:1">
      <c r="A1221" s="141">
        <v>1116</v>
      </c>
    </row>
    <row r="1222" spans="1:1">
      <c r="A1222" s="141">
        <v>1117</v>
      </c>
    </row>
    <row r="1223" spans="1:1">
      <c r="A1223" s="141">
        <v>1118</v>
      </c>
    </row>
    <row r="1224" spans="1:1">
      <c r="A1224" s="141">
        <v>1119</v>
      </c>
    </row>
    <row r="1225" spans="1:1">
      <c r="A1225" s="141">
        <v>1120</v>
      </c>
    </row>
    <row r="1226" spans="1:1">
      <c r="A1226" s="141">
        <v>1121</v>
      </c>
    </row>
    <row r="1227" spans="1:1">
      <c r="A1227" s="141">
        <v>1122</v>
      </c>
    </row>
    <row r="1228" spans="1:1">
      <c r="A1228" s="141">
        <v>1123</v>
      </c>
    </row>
    <row r="1229" spans="1:1">
      <c r="A1229" s="141">
        <v>1124</v>
      </c>
    </row>
    <row r="1230" spans="1:1">
      <c r="A1230" s="141">
        <v>1125</v>
      </c>
    </row>
    <row r="1231" spans="1:1">
      <c r="A1231" s="141">
        <v>1126</v>
      </c>
    </row>
    <row r="1232" spans="1:1">
      <c r="A1232" s="141">
        <v>1127</v>
      </c>
    </row>
    <row r="1233" spans="1:1">
      <c r="A1233" s="141">
        <v>1128</v>
      </c>
    </row>
    <row r="1234" spans="1:1">
      <c r="A1234" s="141">
        <v>1129</v>
      </c>
    </row>
    <row r="1235" spans="1:1">
      <c r="A1235" s="141">
        <v>1130</v>
      </c>
    </row>
    <row r="1236" spans="1:1">
      <c r="A1236" s="141">
        <v>1131</v>
      </c>
    </row>
    <row r="1237" spans="1:1">
      <c r="A1237" s="141">
        <v>1132</v>
      </c>
    </row>
    <row r="1238" spans="1:1">
      <c r="A1238" s="141">
        <v>1133</v>
      </c>
    </row>
    <row r="1239" spans="1:1">
      <c r="A1239" s="141">
        <v>1134</v>
      </c>
    </row>
    <row r="1240" spans="1:1">
      <c r="A1240" s="141">
        <v>1135</v>
      </c>
    </row>
    <row r="1241" spans="1:1">
      <c r="A1241" s="141">
        <v>1136</v>
      </c>
    </row>
    <row r="1242" spans="1:1">
      <c r="A1242" s="141">
        <v>1137</v>
      </c>
    </row>
    <row r="1243" spans="1:1">
      <c r="A1243" s="141">
        <v>1138</v>
      </c>
    </row>
    <row r="1244" spans="1:1">
      <c r="A1244" s="141">
        <v>1139</v>
      </c>
    </row>
    <row r="1245" spans="1:1">
      <c r="A1245" s="141">
        <v>1140</v>
      </c>
    </row>
    <row r="1246" spans="1:1">
      <c r="A1246" s="141">
        <v>1141</v>
      </c>
    </row>
    <row r="1247" spans="1:1">
      <c r="A1247" s="141">
        <v>1142</v>
      </c>
    </row>
    <row r="1248" spans="1:1">
      <c r="A1248" s="141">
        <v>1143</v>
      </c>
    </row>
    <row r="1249" spans="1:1">
      <c r="A1249" s="141">
        <v>1144</v>
      </c>
    </row>
    <row r="1250" spans="1:1">
      <c r="A1250" s="141">
        <v>1145</v>
      </c>
    </row>
    <row r="1251" spans="1:1">
      <c r="A1251" s="141">
        <v>1146</v>
      </c>
    </row>
    <row r="1252" spans="1:1">
      <c r="A1252" s="141">
        <v>1147</v>
      </c>
    </row>
    <row r="1253" spans="1:1">
      <c r="A1253" s="141">
        <v>1148</v>
      </c>
    </row>
    <row r="1254" spans="1:1">
      <c r="A1254" s="141">
        <v>1149</v>
      </c>
    </row>
    <row r="1255" spans="1:1">
      <c r="A1255" s="141">
        <v>1150</v>
      </c>
    </row>
    <row r="1256" spans="1:1">
      <c r="A1256" s="141">
        <v>1151</v>
      </c>
    </row>
    <row r="1257" spans="1:1">
      <c r="A1257" s="141">
        <v>1152</v>
      </c>
    </row>
    <row r="1258" spans="1:1">
      <c r="A1258" s="141">
        <v>1153</v>
      </c>
    </row>
    <row r="1259" spans="1:1">
      <c r="A1259" s="141">
        <v>1154</v>
      </c>
    </row>
    <row r="1260" spans="1:1">
      <c r="A1260" s="141">
        <v>1155</v>
      </c>
    </row>
    <row r="1261" spans="1:1">
      <c r="A1261" s="141">
        <v>1156</v>
      </c>
    </row>
    <row r="1262" spans="1:1">
      <c r="A1262" s="141">
        <v>1157</v>
      </c>
    </row>
    <row r="1263" spans="1:1">
      <c r="A1263" s="141">
        <v>1158</v>
      </c>
    </row>
    <row r="1264" spans="1:1">
      <c r="A1264" s="141">
        <v>1159</v>
      </c>
    </row>
    <row r="1265" spans="1:1">
      <c r="A1265" s="141">
        <v>1160</v>
      </c>
    </row>
    <row r="1266" spans="1:1">
      <c r="A1266" s="141">
        <v>1161</v>
      </c>
    </row>
    <row r="1267" spans="1:1">
      <c r="A1267" s="141">
        <v>1162</v>
      </c>
    </row>
    <row r="1268" spans="1:1">
      <c r="A1268" s="141">
        <v>1163</v>
      </c>
    </row>
    <row r="1269" spans="1:1">
      <c r="A1269" s="141">
        <v>1164</v>
      </c>
    </row>
    <row r="1270" spans="1:1">
      <c r="A1270" s="141">
        <v>1165</v>
      </c>
    </row>
    <row r="1271" spans="1:1">
      <c r="A1271" s="141">
        <v>1166</v>
      </c>
    </row>
    <row r="1272" spans="1:1">
      <c r="A1272" s="141">
        <v>1167</v>
      </c>
    </row>
    <row r="1273" spans="1:1">
      <c r="A1273" s="141">
        <v>1168</v>
      </c>
    </row>
    <row r="1274" spans="1:1">
      <c r="A1274" s="141">
        <v>1169</v>
      </c>
    </row>
    <row r="1275" spans="1:1">
      <c r="A1275" s="141">
        <v>1170</v>
      </c>
    </row>
    <row r="1276" spans="1:1">
      <c r="A1276" s="141">
        <v>1171</v>
      </c>
    </row>
    <row r="1277" spans="1:1">
      <c r="A1277" s="141">
        <v>1172</v>
      </c>
    </row>
    <row r="1278" spans="1:1">
      <c r="A1278" s="141">
        <v>1173</v>
      </c>
    </row>
    <row r="1279" spans="1:1">
      <c r="A1279" s="141">
        <v>1174</v>
      </c>
    </row>
    <row r="1280" spans="1:1">
      <c r="A1280" s="141">
        <v>1175</v>
      </c>
    </row>
    <row r="1281" spans="1:1">
      <c r="A1281" s="141">
        <v>1176</v>
      </c>
    </row>
    <row r="1282" spans="1:1">
      <c r="A1282" s="141">
        <v>1177</v>
      </c>
    </row>
    <row r="1283" spans="1:1">
      <c r="A1283" s="141">
        <v>1178</v>
      </c>
    </row>
    <row r="1284" spans="1:1">
      <c r="A1284" s="141">
        <v>1179</v>
      </c>
    </row>
    <row r="1285" spans="1:1">
      <c r="A1285" s="141">
        <v>1180</v>
      </c>
    </row>
    <row r="1286" spans="1:1">
      <c r="A1286" s="141">
        <v>1181</v>
      </c>
    </row>
    <row r="1287" spans="1:1">
      <c r="A1287" s="141">
        <v>1182</v>
      </c>
    </row>
    <row r="1288" spans="1:1">
      <c r="A1288" s="141">
        <v>1183</v>
      </c>
    </row>
    <row r="1289" spans="1:1">
      <c r="A1289" s="141">
        <v>1184</v>
      </c>
    </row>
    <row r="1290" spans="1:1">
      <c r="A1290" s="141">
        <v>1185</v>
      </c>
    </row>
    <row r="1291" spans="1:1">
      <c r="A1291" s="141">
        <v>1186</v>
      </c>
    </row>
    <row r="1292" spans="1:1">
      <c r="A1292" s="141">
        <v>1187</v>
      </c>
    </row>
    <row r="1293" spans="1:1">
      <c r="A1293" s="141">
        <v>1188</v>
      </c>
    </row>
    <row r="1294" spans="1:1">
      <c r="A1294" s="141">
        <v>1189</v>
      </c>
    </row>
    <row r="1295" spans="1:1">
      <c r="A1295" s="141">
        <v>1190</v>
      </c>
    </row>
    <row r="1296" spans="1:1">
      <c r="A1296" s="141">
        <v>1191</v>
      </c>
    </row>
    <row r="1297" spans="1:1">
      <c r="A1297" s="141">
        <v>1192</v>
      </c>
    </row>
    <row r="1298" spans="1:1">
      <c r="A1298" s="141">
        <v>1193</v>
      </c>
    </row>
    <row r="1299" spans="1:1">
      <c r="A1299" s="141">
        <v>1194</v>
      </c>
    </row>
    <row r="1300" spans="1:1">
      <c r="A1300" s="141">
        <v>1195</v>
      </c>
    </row>
    <row r="1301" spans="1:1">
      <c r="A1301" s="141">
        <v>1196</v>
      </c>
    </row>
    <row r="1302" spans="1:1">
      <c r="A1302" s="141">
        <v>1197</v>
      </c>
    </row>
    <row r="1303" spans="1:1">
      <c r="A1303" s="141">
        <v>1198</v>
      </c>
    </row>
    <row r="1304" spans="1:1">
      <c r="A1304" s="141">
        <v>1199</v>
      </c>
    </row>
    <row r="1305" spans="1:1">
      <c r="A1305" s="141">
        <v>1200</v>
      </c>
    </row>
    <row r="1306" spans="1:1">
      <c r="A1306" s="141">
        <v>1201</v>
      </c>
    </row>
    <row r="1307" spans="1:1">
      <c r="A1307" s="141">
        <v>1202</v>
      </c>
    </row>
    <row r="1308" spans="1:1">
      <c r="A1308" s="141">
        <v>1203</v>
      </c>
    </row>
    <row r="1309" spans="1:1">
      <c r="A1309" s="141">
        <v>1204</v>
      </c>
    </row>
    <row r="1310" spans="1:1">
      <c r="A1310" s="141">
        <v>1205</v>
      </c>
    </row>
    <row r="1311" spans="1:1">
      <c r="A1311" s="141">
        <v>1206</v>
      </c>
    </row>
    <row r="1312" spans="1:1">
      <c r="A1312" s="141">
        <v>1207</v>
      </c>
    </row>
    <row r="1313" spans="1:1">
      <c r="A1313" s="141">
        <v>1208</v>
      </c>
    </row>
    <row r="1314" spans="1:1">
      <c r="A1314" s="141">
        <v>1209</v>
      </c>
    </row>
    <row r="1315" spans="1:1">
      <c r="A1315" s="141">
        <v>1210</v>
      </c>
    </row>
    <row r="1316" spans="1:1">
      <c r="A1316" s="141">
        <v>1211</v>
      </c>
    </row>
    <row r="1317" spans="1:1">
      <c r="A1317" s="141">
        <v>1212</v>
      </c>
    </row>
    <row r="1318" spans="1:1">
      <c r="A1318" s="141">
        <v>1213</v>
      </c>
    </row>
    <row r="1319" spans="1:1">
      <c r="A1319" s="141">
        <v>1214</v>
      </c>
    </row>
    <row r="1320" spans="1:1">
      <c r="A1320" s="141">
        <v>1215</v>
      </c>
    </row>
    <row r="1321" spans="1:1">
      <c r="A1321" s="141">
        <v>1216</v>
      </c>
    </row>
    <row r="1322" spans="1:1">
      <c r="A1322" s="141">
        <v>1217</v>
      </c>
    </row>
    <row r="1323" spans="1:1">
      <c r="A1323" s="141">
        <v>1218</v>
      </c>
    </row>
    <row r="1324" spans="1:1">
      <c r="A1324" s="141">
        <v>1219</v>
      </c>
    </row>
    <row r="1325" spans="1:1">
      <c r="A1325" s="141">
        <v>1220</v>
      </c>
    </row>
    <row r="1326" spans="1:1">
      <c r="A1326" s="141">
        <v>1221</v>
      </c>
    </row>
    <row r="1327" spans="1:1">
      <c r="A1327" s="141">
        <v>1222</v>
      </c>
    </row>
    <row r="1328" spans="1:1">
      <c r="A1328" s="141">
        <v>1223</v>
      </c>
    </row>
    <row r="1329" spans="1:1">
      <c r="A1329" s="141">
        <v>1224</v>
      </c>
    </row>
    <row r="1330" spans="1:1">
      <c r="A1330" s="141">
        <v>1225</v>
      </c>
    </row>
    <row r="1331" spans="1:1">
      <c r="A1331" s="141">
        <v>1226</v>
      </c>
    </row>
    <row r="1332" spans="1:1">
      <c r="A1332" s="141">
        <v>1227</v>
      </c>
    </row>
    <row r="1333" spans="1:1">
      <c r="A1333" s="141">
        <v>1228</v>
      </c>
    </row>
    <row r="1334" spans="1:1">
      <c r="A1334" s="141">
        <v>1229</v>
      </c>
    </row>
    <row r="1335" spans="1:1">
      <c r="A1335" s="141">
        <v>1230</v>
      </c>
    </row>
    <row r="1336" spans="1:1">
      <c r="A1336" s="141">
        <v>1231</v>
      </c>
    </row>
    <row r="1337" spans="1:1">
      <c r="A1337" s="141">
        <v>1232</v>
      </c>
    </row>
    <row r="1338" spans="1:1">
      <c r="A1338" s="141">
        <v>1233</v>
      </c>
    </row>
    <row r="1339" spans="1:1">
      <c r="A1339" s="141">
        <v>1234</v>
      </c>
    </row>
    <row r="1340" spans="1:1">
      <c r="A1340" s="141">
        <v>1235</v>
      </c>
    </row>
    <row r="1341" spans="1:1">
      <c r="A1341" s="141">
        <v>1236</v>
      </c>
    </row>
    <row r="1342" spans="1:1">
      <c r="A1342" s="141">
        <v>1237</v>
      </c>
    </row>
    <row r="1343" spans="1:1">
      <c r="A1343" s="141">
        <v>1238</v>
      </c>
    </row>
    <row r="1344" spans="1:1">
      <c r="A1344" s="141">
        <v>1239</v>
      </c>
    </row>
    <row r="1345" spans="1:1">
      <c r="A1345" s="141">
        <v>1240</v>
      </c>
    </row>
    <row r="1346" spans="1:1">
      <c r="A1346" s="141">
        <v>1241</v>
      </c>
    </row>
    <row r="1347" spans="1:1">
      <c r="A1347" s="141">
        <v>1242</v>
      </c>
    </row>
    <row r="1348" spans="1:1">
      <c r="A1348" s="141">
        <v>1243</v>
      </c>
    </row>
    <row r="1349" spans="1:1">
      <c r="A1349" s="141">
        <v>1244</v>
      </c>
    </row>
    <row r="1350" spans="1:1">
      <c r="A1350" s="141">
        <v>1245</v>
      </c>
    </row>
    <row r="1351" spans="1:1">
      <c r="A1351" s="141">
        <v>1246</v>
      </c>
    </row>
    <row r="1352" spans="1:1">
      <c r="A1352" s="141">
        <v>1247</v>
      </c>
    </row>
    <row r="1353" spans="1:1">
      <c r="A1353" s="141">
        <v>1248</v>
      </c>
    </row>
    <row r="1354" spans="1:1">
      <c r="A1354" s="141">
        <v>1249</v>
      </c>
    </row>
    <row r="1355" spans="1:1">
      <c r="A1355" s="141">
        <v>1250</v>
      </c>
    </row>
    <row r="1356" spans="1:1">
      <c r="A1356" s="141">
        <v>1251</v>
      </c>
    </row>
    <row r="1357" spans="1:1">
      <c r="A1357" s="141">
        <v>1252</v>
      </c>
    </row>
    <row r="1358" spans="1:1">
      <c r="A1358" s="141">
        <v>1253</v>
      </c>
    </row>
    <row r="1359" spans="1:1">
      <c r="A1359" s="141">
        <v>1254</v>
      </c>
    </row>
    <row r="1360" spans="1:1">
      <c r="A1360" s="141">
        <v>1255</v>
      </c>
    </row>
    <row r="1361" spans="1:1">
      <c r="A1361" s="141">
        <v>1256</v>
      </c>
    </row>
    <row r="1362" spans="1:1">
      <c r="A1362" s="141">
        <v>1257</v>
      </c>
    </row>
    <row r="1363" spans="1:1">
      <c r="A1363" s="141">
        <v>1258</v>
      </c>
    </row>
    <row r="1364" spans="1:1">
      <c r="A1364" s="141">
        <v>1259</v>
      </c>
    </row>
    <row r="1365" spans="1:1">
      <c r="A1365" s="141">
        <v>1260</v>
      </c>
    </row>
    <row r="1366" spans="1:1">
      <c r="A1366" s="141">
        <v>1261</v>
      </c>
    </row>
    <row r="1367" spans="1:1">
      <c r="A1367" s="141">
        <v>1262</v>
      </c>
    </row>
    <row r="1368" spans="1:1">
      <c r="A1368" s="141">
        <v>1263</v>
      </c>
    </row>
    <row r="1369" spans="1:1">
      <c r="A1369" s="141">
        <v>1264</v>
      </c>
    </row>
    <row r="1370" spans="1:1">
      <c r="A1370" s="141">
        <v>1265</v>
      </c>
    </row>
    <row r="1371" spans="1:1">
      <c r="A1371" s="141">
        <v>1266</v>
      </c>
    </row>
    <row r="1372" spans="1:1">
      <c r="A1372" s="141">
        <v>1267</v>
      </c>
    </row>
    <row r="1373" spans="1:1">
      <c r="A1373" s="141">
        <v>1268</v>
      </c>
    </row>
    <row r="1374" spans="1:1">
      <c r="A1374" s="141">
        <v>1269</v>
      </c>
    </row>
    <row r="1375" spans="1:1">
      <c r="A1375" s="141">
        <v>1270</v>
      </c>
    </row>
    <row r="1376" spans="1:1">
      <c r="A1376" s="141">
        <v>1271</v>
      </c>
    </row>
    <row r="1377" spans="1:1">
      <c r="A1377" s="141">
        <v>1272</v>
      </c>
    </row>
    <row r="1378" spans="1:1">
      <c r="A1378" s="141">
        <v>1273</v>
      </c>
    </row>
    <row r="1379" spans="1:1">
      <c r="A1379" s="141">
        <v>1274</v>
      </c>
    </row>
    <row r="1380" spans="1:1">
      <c r="A1380" s="141">
        <v>1275</v>
      </c>
    </row>
    <row r="1381" spans="1:1">
      <c r="A1381" s="141">
        <v>1276</v>
      </c>
    </row>
    <row r="1382" spans="1:1">
      <c r="A1382" s="141">
        <v>1277</v>
      </c>
    </row>
    <row r="1383" spans="1:1">
      <c r="A1383" s="141">
        <v>1278</v>
      </c>
    </row>
    <row r="1384" spans="1:1">
      <c r="A1384" s="141">
        <v>1279</v>
      </c>
    </row>
    <row r="1385" spans="1:1">
      <c r="A1385" s="141">
        <v>1280</v>
      </c>
    </row>
    <row r="1386" spans="1:1">
      <c r="A1386" s="141">
        <v>1281</v>
      </c>
    </row>
    <row r="1387" spans="1:1">
      <c r="A1387" s="141">
        <v>1282</v>
      </c>
    </row>
    <row r="1388" spans="1:1">
      <c r="A1388" s="141">
        <v>1283</v>
      </c>
    </row>
    <row r="1389" spans="1:1">
      <c r="A1389" s="141">
        <v>1284</v>
      </c>
    </row>
    <row r="1390" spans="1:1">
      <c r="A1390" s="141">
        <v>1285</v>
      </c>
    </row>
    <row r="1391" spans="1:1">
      <c r="A1391" s="141">
        <v>1286</v>
      </c>
    </row>
    <row r="1392" spans="1:1">
      <c r="A1392" s="141">
        <v>1287</v>
      </c>
    </row>
    <row r="1393" spans="1:1">
      <c r="A1393" s="141">
        <v>1288</v>
      </c>
    </row>
    <row r="1394" spans="1:1">
      <c r="A1394" s="141">
        <v>1289</v>
      </c>
    </row>
    <row r="1395" spans="1:1">
      <c r="A1395" s="141">
        <v>1290</v>
      </c>
    </row>
    <row r="1396" spans="1:1">
      <c r="A1396" s="141">
        <v>1291</v>
      </c>
    </row>
    <row r="1397" spans="1:1">
      <c r="A1397" s="141">
        <v>1292</v>
      </c>
    </row>
    <row r="1398" spans="1:1">
      <c r="A1398" s="141">
        <v>1293</v>
      </c>
    </row>
    <row r="1399" spans="1:1">
      <c r="A1399" s="141">
        <v>1294</v>
      </c>
    </row>
    <row r="1400" spans="1:1">
      <c r="A1400" s="141">
        <v>1295</v>
      </c>
    </row>
    <row r="1401" spans="1:1">
      <c r="A1401" s="141">
        <v>1296</v>
      </c>
    </row>
    <row r="1402" spans="1:1">
      <c r="A1402" s="141">
        <v>1297</v>
      </c>
    </row>
    <row r="1403" spans="1:1">
      <c r="A1403" s="141">
        <v>1298</v>
      </c>
    </row>
    <row r="1404" spans="1:1">
      <c r="A1404" s="141">
        <v>1299</v>
      </c>
    </row>
    <row r="1405" spans="1:1">
      <c r="A1405" s="141">
        <v>1300</v>
      </c>
    </row>
    <row r="1406" spans="1:1">
      <c r="A1406" s="141">
        <v>1301</v>
      </c>
    </row>
    <row r="1407" spans="1:1">
      <c r="A1407" s="141">
        <v>1302</v>
      </c>
    </row>
    <row r="1408" spans="1:1">
      <c r="A1408" s="141">
        <v>1303</v>
      </c>
    </row>
    <row r="1409" spans="1:1">
      <c r="A1409" s="141">
        <v>1304</v>
      </c>
    </row>
    <row r="1410" spans="1:1">
      <c r="A1410" s="141">
        <v>1305</v>
      </c>
    </row>
    <row r="1411" spans="1:1">
      <c r="A1411" s="141">
        <v>1306</v>
      </c>
    </row>
    <row r="1412" spans="1:1">
      <c r="A1412" s="141">
        <v>1307</v>
      </c>
    </row>
    <row r="1413" spans="1:1">
      <c r="A1413" s="141">
        <v>1308</v>
      </c>
    </row>
    <row r="1414" spans="1:1">
      <c r="A1414" s="141">
        <v>1309</v>
      </c>
    </row>
    <row r="1415" spans="1:1">
      <c r="A1415" s="141">
        <v>1310</v>
      </c>
    </row>
    <row r="1416" spans="1:1">
      <c r="A1416" s="141">
        <v>1311</v>
      </c>
    </row>
    <row r="1417" spans="1:1">
      <c r="A1417" s="141">
        <v>1312</v>
      </c>
    </row>
    <row r="1418" spans="1:1">
      <c r="A1418" s="141">
        <v>1313</v>
      </c>
    </row>
    <row r="1419" spans="1:1">
      <c r="A1419" s="141">
        <v>1314</v>
      </c>
    </row>
    <row r="1420" spans="1:1">
      <c r="A1420" s="141">
        <v>1315</v>
      </c>
    </row>
    <row r="1421" spans="1:1">
      <c r="A1421" s="141">
        <v>1316</v>
      </c>
    </row>
    <row r="1422" spans="1:1">
      <c r="A1422" s="141">
        <v>1317</v>
      </c>
    </row>
    <row r="1423" spans="1:1">
      <c r="A1423" s="141">
        <v>1318</v>
      </c>
    </row>
    <row r="1424" spans="1:1">
      <c r="A1424" s="141">
        <v>1319</v>
      </c>
    </row>
    <row r="1425" spans="1:1">
      <c r="A1425" s="141">
        <v>1320</v>
      </c>
    </row>
    <row r="1426" spans="1:1">
      <c r="A1426" s="141">
        <v>1321</v>
      </c>
    </row>
    <row r="1427" spans="1:1">
      <c r="A1427" s="141">
        <v>1322</v>
      </c>
    </row>
    <row r="1428" spans="1:1">
      <c r="A1428" s="141">
        <v>1323</v>
      </c>
    </row>
    <row r="1429" spans="1:1">
      <c r="A1429" s="141">
        <v>1324</v>
      </c>
    </row>
    <row r="1430" spans="1:1">
      <c r="A1430" s="141">
        <v>1325</v>
      </c>
    </row>
    <row r="1431" spans="1:1">
      <c r="A1431" s="141">
        <v>1326</v>
      </c>
    </row>
    <row r="1432" spans="1:1">
      <c r="A1432" s="141">
        <v>1327</v>
      </c>
    </row>
    <row r="1433" spans="1:1">
      <c r="A1433" s="141">
        <v>1328</v>
      </c>
    </row>
    <row r="1434" spans="1:1">
      <c r="A1434" s="141">
        <v>1329</v>
      </c>
    </row>
    <row r="1435" spans="1:1">
      <c r="A1435" s="141">
        <v>1330</v>
      </c>
    </row>
    <row r="1436" spans="1:1">
      <c r="A1436" s="141">
        <v>1331</v>
      </c>
    </row>
    <row r="1437" spans="1:1">
      <c r="A1437" s="141">
        <v>1332</v>
      </c>
    </row>
    <row r="1438" spans="1:1">
      <c r="A1438" s="141">
        <v>1333</v>
      </c>
    </row>
    <row r="1439" spans="1:1">
      <c r="A1439" s="141">
        <v>1334</v>
      </c>
    </row>
    <row r="1440" spans="1:1">
      <c r="A1440" s="141">
        <v>1335</v>
      </c>
    </row>
    <row r="1441" spans="1:1">
      <c r="A1441" s="141">
        <v>1336</v>
      </c>
    </row>
    <row r="1442" spans="1:1">
      <c r="A1442" s="141">
        <v>1337</v>
      </c>
    </row>
    <row r="1443" spans="1:1">
      <c r="A1443" s="141">
        <v>1338</v>
      </c>
    </row>
    <row r="1444" spans="1:1">
      <c r="A1444" s="141">
        <v>1339</v>
      </c>
    </row>
    <row r="1445" spans="1:1">
      <c r="A1445" s="141">
        <v>1340</v>
      </c>
    </row>
    <row r="1446" spans="1:1">
      <c r="A1446" s="141">
        <v>1341</v>
      </c>
    </row>
    <row r="1447" spans="1:1">
      <c r="A1447" s="141">
        <v>1342</v>
      </c>
    </row>
    <row r="1448" spans="1:1">
      <c r="A1448" s="141">
        <v>1343</v>
      </c>
    </row>
    <row r="1449" spans="1:1">
      <c r="A1449" s="141">
        <v>1344</v>
      </c>
    </row>
    <row r="1450" spans="1:1">
      <c r="A1450" s="141">
        <v>1345</v>
      </c>
    </row>
    <row r="1451" spans="1:1">
      <c r="A1451" s="141">
        <v>1346</v>
      </c>
    </row>
    <row r="1452" spans="1:1">
      <c r="A1452" s="141">
        <v>1347</v>
      </c>
    </row>
    <row r="1453" spans="1:1">
      <c r="A1453" s="141">
        <v>1348</v>
      </c>
    </row>
    <row r="1454" spans="1:1">
      <c r="A1454" s="141">
        <v>1349</v>
      </c>
    </row>
    <row r="1455" spans="1:1">
      <c r="A1455" s="141">
        <v>1350</v>
      </c>
    </row>
    <row r="1456" spans="1:1">
      <c r="A1456" s="141">
        <v>1351</v>
      </c>
    </row>
    <row r="1457" spans="1:1">
      <c r="A1457" s="141">
        <v>1352</v>
      </c>
    </row>
    <row r="1458" spans="1:1">
      <c r="A1458" s="141">
        <v>1353</v>
      </c>
    </row>
    <row r="1459" spans="1:1">
      <c r="A1459" s="141">
        <v>1354</v>
      </c>
    </row>
    <row r="1460" spans="1:1">
      <c r="A1460" s="141">
        <v>1355</v>
      </c>
    </row>
    <row r="1461" spans="1:1">
      <c r="A1461" s="141">
        <v>1356</v>
      </c>
    </row>
    <row r="1462" spans="1:1">
      <c r="A1462" s="141">
        <v>1357</v>
      </c>
    </row>
    <row r="1463" spans="1:1">
      <c r="A1463" s="141">
        <v>1358</v>
      </c>
    </row>
    <row r="1464" spans="1:1">
      <c r="A1464" s="141">
        <v>1359</v>
      </c>
    </row>
    <row r="1465" spans="1:1">
      <c r="A1465" s="141">
        <v>1360</v>
      </c>
    </row>
    <row r="1466" spans="1:1">
      <c r="A1466" s="141">
        <v>1361</v>
      </c>
    </row>
    <row r="1467" spans="1:1">
      <c r="A1467" s="141">
        <v>1362</v>
      </c>
    </row>
    <row r="1468" spans="1:1">
      <c r="A1468" s="141">
        <v>1363</v>
      </c>
    </row>
    <row r="1469" spans="1:1">
      <c r="A1469" s="141">
        <v>1364</v>
      </c>
    </row>
    <row r="1470" spans="1:1">
      <c r="A1470" s="141">
        <v>1365</v>
      </c>
    </row>
    <row r="1471" spans="1:1">
      <c r="A1471" s="141">
        <v>1366</v>
      </c>
    </row>
    <row r="1472" spans="1:1">
      <c r="A1472" s="141">
        <v>1367</v>
      </c>
    </row>
    <row r="1473" spans="1:1">
      <c r="A1473" s="141">
        <v>1368</v>
      </c>
    </row>
    <row r="1474" spans="1:1">
      <c r="A1474" s="141">
        <v>1369</v>
      </c>
    </row>
    <row r="1475" spans="1:1">
      <c r="A1475" s="141">
        <v>1370</v>
      </c>
    </row>
    <row r="1476" spans="1:1">
      <c r="A1476" s="141">
        <v>1371</v>
      </c>
    </row>
    <row r="1477" spans="1:1">
      <c r="A1477" s="141">
        <v>1372</v>
      </c>
    </row>
    <row r="1478" spans="1:1">
      <c r="A1478" s="141">
        <v>1373</v>
      </c>
    </row>
    <row r="1479" spans="1:1">
      <c r="A1479" s="141">
        <v>1374</v>
      </c>
    </row>
    <row r="1480" spans="1:1">
      <c r="A1480" s="141">
        <v>1375</v>
      </c>
    </row>
    <row r="1481" spans="1:1">
      <c r="A1481" s="141">
        <v>1376</v>
      </c>
    </row>
    <row r="1482" spans="1:1">
      <c r="A1482" s="141">
        <v>1377</v>
      </c>
    </row>
    <row r="1483" spans="1:1">
      <c r="A1483" s="141">
        <v>1378</v>
      </c>
    </row>
    <row r="1484" spans="1:1">
      <c r="A1484" s="141">
        <v>1379</v>
      </c>
    </row>
    <row r="1485" spans="1:1">
      <c r="A1485" s="141">
        <v>1380</v>
      </c>
    </row>
    <row r="1486" spans="1:1">
      <c r="A1486" s="141">
        <v>1381</v>
      </c>
    </row>
    <row r="1487" spans="1:1">
      <c r="A1487" s="141">
        <v>1382</v>
      </c>
    </row>
    <row r="1488" spans="1:1">
      <c r="A1488" s="141">
        <v>1383</v>
      </c>
    </row>
    <row r="1489" spans="1:1">
      <c r="A1489" s="141">
        <v>1384</v>
      </c>
    </row>
    <row r="1490" spans="1:1">
      <c r="A1490" s="141">
        <v>1385</v>
      </c>
    </row>
    <row r="1491" spans="1:1">
      <c r="A1491" s="141">
        <v>1386</v>
      </c>
    </row>
    <row r="1492" spans="1:1">
      <c r="A1492" s="141">
        <v>1387</v>
      </c>
    </row>
    <row r="1493" spans="1:1">
      <c r="A1493" s="141">
        <v>1388</v>
      </c>
    </row>
    <row r="1494" spans="1:1">
      <c r="A1494" s="141">
        <v>1389</v>
      </c>
    </row>
    <row r="1495" spans="1:1">
      <c r="A1495" s="141">
        <v>1390</v>
      </c>
    </row>
    <row r="1496" spans="1:1">
      <c r="A1496" s="141">
        <v>1391</v>
      </c>
    </row>
    <row r="1497" spans="1:1">
      <c r="A1497" s="141">
        <v>1392</v>
      </c>
    </row>
    <row r="1498" spans="1:1">
      <c r="A1498" s="141">
        <v>1393</v>
      </c>
    </row>
    <row r="1499" spans="1:1">
      <c r="A1499" s="141">
        <v>1394</v>
      </c>
    </row>
    <row r="1500" spans="1:1">
      <c r="A1500" s="141">
        <v>1395</v>
      </c>
    </row>
    <row r="1501" spans="1:1">
      <c r="A1501" s="141">
        <v>1396</v>
      </c>
    </row>
    <row r="1502" spans="1:1">
      <c r="A1502" s="141">
        <v>1397</v>
      </c>
    </row>
    <row r="1503" spans="1:1">
      <c r="A1503" s="141">
        <v>1398</v>
      </c>
    </row>
    <row r="1504" spans="1:1">
      <c r="A1504" s="141">
        <v>1399</v>
      </c>
    </row>
    <row r="1505" spans="1:1">
      <c r="A1505" s="141">
        <v>1400</v>
      </c>
    </row>
    <row r="1506" spans="1:1">
      <c r="A1506" s="141">
        <v>1401</v>
      </c>
    </row>
    <row r="1507" spans="1:1">
      <c r="A1507" s="141">
        <v>1402</v>
      </c>
    </row>
    <row r="1508" spans="1:1">
      <c r="A1508" s="141">
        <v>1403</v>
      </c>
    </row>
    <row r="1509" spans="1:1">
      <c r="A1509" s="141">
        <v>1404</v>
      </c>
    </row>
    <row r="1510" spans="1:1">
      <c r="A1510" s="141">
        <v>1405</v>
      </c>
    </row>
    <row r="1511" spans="1:1">
      <c r="A1511" s="141">
        <v>1406</v>
      </c>
    </row>
    <row r="1512" spans="1:1">
      <c r="A1512" s="141">
        <v>1407</v>
      </c>
    </row>
    <row r="1513" spans="1:1">
      <c r="A1513" s="141">
        <v>1408</v>
      </c>
    </row>
    <row r="1514" spans="1:1">
      <c r="A1514" s="141">
        <v>1409</v>
      </c>
    </row>
    <row r="1515" spans="1:1">
      <c r="A1515" s="141">
        <v>1410</v>
      </c>
    </row>
    <row r="1516" spans="1:1">
      <c r="A1516" s="141">
        <v>1411</v>
      </c>
    </row>
    <row r="1517" spans="1:1">
      <c r="A1517" s="141">
        <v>1412</v>
      </c>
    </row>
    <row r="1518" spans="1:1">
      <c r="A1518" s="141">
        <v>1413</v>
      </c>
    </row>
    <row r="1519" spans="1:1">
      <c r="A1519" s="141">
        <v>1414</v>
      </c>
    </row>
    <row r="1520" spans="1:1">
      <c r="A1520" s="141">
        <v>1415</v>
      </c>
    </row>
    <row r="1521" spans="1:1">
      <c r="A1521" s="141">
        <v>1416</v>
      </c>
    </row>
    <row r="1522" spans="1:1">
      <c r="A1522" s="141">
        <v>1417</v>
      </c>
    </row>
    <row r="1523" spans="1:1">
      <c r="A1523" s="141">
        <v>1418</v>
      </c>
    </row>
    <row r="1524" spans="1:1">
      <c r="A1524" s="141">
        <v>1419</v>
      </c>
    </row>
    <row r="1525" spans="1:1">
      <c r="A1525" s="141">
        <v>1420</v>
      </c>
    </row>
    <row r="1526" spans="1:1">
      <c r="A1526" s="141">
        <v>1421</v>
      </c>
    </row>
    <row r="1527" spans="1:1">
      <c r="A1527" s="141">
        <v>1422</v>
      </c>
    </row>
    <row r="1528" spans="1:1">
      <c r="A1528" s="141">
        <v>1423</v>
      </c>
    </row>
    <row r="1529" spans="1:1">
      <c r="A1529" s="141">
        <v>1424</v>
      </c>
    </row>
    <row r="1530" spans="1:1">
      <c r="A1530" s="141">
        <v>1425</v>
      </c>
    </row>
    <row r="1531" spans="1:1">
      <c r="A1531" s="141">
        <v>1426</v>
      </c>
    </row>
    <row r="1532" spans="1:1">
      <c r="A1532" s="141">
        <v>1427</v>
      </c>
    </row>
    <row r="1533" spans="1:1">
      <c r="A1533" s="141">
        <v>1428</v>
      </c>
    </row>
    <row r="1534" spans="1:1">
      <c r="A1534" s="141">
        <v>1429</v>
      </c>
    </row>
    <row r="1535" spans="1:1">
      <c r="A1535" s="141">
        <v>1430</v>
      </c>
    </row>
    <row r="1536" spans="1:1">
      <c r="A1536" s="141">
        <v>1431</v>
      </c>
    </row>
    <row r="1537" spans="1:1">
      <c r="A1537" s="141">
        <v>1432</v>
      </c>
    </row>
    <row r="1538" spans="1:1">
      <c r="A1538" s="141">
        <v>1433</v>
      </c>
    </row>
    <row r="1539" spans="1:1">
      <c r="A1539" s="141">
        <v>1434</v>
      </c>
    </row>
    <row r="1540" spans="1:1">
      <c r="A1540" s="141">
        <v>1435</v>
      </c>
    </row>
    <row r="1541" spans="1:1">
      <c r="A1541" s="141">
        <v>1436</v>
      </c>
    </row>
    <row r="1542" spans="1:1">
      <c r="A1542" s="141">
        <v>1437</v>
      </c>
    </row>
    <row r="1543" spans="1:1">
      <c r="A1543" s="141">
        <v>1438</v>
      </c>
    </row>
    <row r="1544" spans="1:1">
      <c r="A1544" s="141">
        <v>1439</v>
      </c>
    </row>
    <row r="1545" spans="1:1">
      <c r="A1545" s="141">
        <v>1440</v>
      </c>
    </row>
    <row r="1546" spans="1:1">
      <c r="A1546" s="141">
        <v>1441</v>
      </c>
    </row>
    <row r="1547" spans="1:1">
      <c r="A1547" s="141">
        <v>1442</v>
      </c>
    </row>
    <row r="1548" spans="1:1">
      <c r="A1548" s="141">
        <v>1443</v>
      </c>
    </row>
    <row r="1549" spans="1:1">
      <c r="A1549" s="141">
        <v>1444</v>
      </c>
    </row>
    <row r="1550" spans="1:1">
      <c r="A1550" s="141">
        <v>1445</v>
      </c>
    </row>
    <row r="1551" spans="1:1">
      <c r="A1551" s="141">
        <v>1446</v>
      </c>
    </row>
    <row r="1552" spans="1:1">
      <c r="A1552" s="141">
        <v>1447</v>
      </c>
    </row>
    <row r="1553" spans="1:1">
      <c r="A1553" s="141">
        <v>1448</v>
      </c>
    </row>
    <row r="1554" spans="1:1">
      <c r="A1554" s="141">
        <v>1449</v>
      </c>
    </row>
    <row r="1555" spans="1:1">
      <c r="A1555" s="141">
        <v>1450</v>
      </c>
    </row>
    <row r="1556" spans="1:1">
      <c r="A1556" s="141">
        <v>1451</v>
      </c>
    </row>
    <row r="1557" spans="1:1">
      <c r="A1557" s="141">
        <v>1452</v>
      </c>
    </row>
    <row r="1558" spans="1:1">
      <c r="A1558" s="141">
        <v>1453</v>
      </c>
    </row>
    <row r="1559" spans="1:1">
      <c r="A1559" s="141">
        <v>1454</v>
      </c>
    </row>
    <row r="1560" spans="1:1">
      <c r="A1560" s="141">
        <v>1455</v>
      </c>
    </row>
    <row r="1561" spans="1:1">
      <c r="A1561" s="141">
        <v>1456</v>
      </c>
    </row>
    <row r="1562" spans="1:1">
      <c r="A1562" s="141">
        <v>1457</v>
      </c>
    </row>
    <row r="1563" spans="1:1">
      <c r="A1563" s="141">
        <v>1458</v>
      </c>
    </row>
    <row r="1564" spans="1:1">
      <c r="A1564" s="141">
        <v>1459</v>
      </c>
    </row>
    <row r="1565" spans="1:1">
      <c r="A1565" s="141">
        <v>1460</v>
      </c>
    </row>
    <row r="1566" spans="1:1">
      <c r="A1566" s="141">
        <v>1461</v>
      </c>
    </row>
    <row r="1567" spans="1:1">
      <c r="A1567" s="141">
        <v>1462</v>
      </c>
    </row>
    <row r="1568" spans="1:1">
      <c r="A1568" s="141">
        <v>1463</v>
      </c>
    </row>
    <row r="1569" spans="1:1">
      <c r="A1569" s="141">
        <v>1464</v>
      </c>
    </row>
    <row r="1570" spans="1:1">
      <c r="A1570" s="141">
        <v>1465</v>
      </c>
    </row>
    <row r="1571" spans="1:1">
      <c r="A1571" s="141">
        <v>1466</v>
      </c>
    </row>
    <row r="1572" spans="1:1">
      <c r="A1572" s="141">
        <v>1467</v>
      </c>
    </row>
    <row r="1573" spans="1:1">
      <c r="A1573" s="141">
        <v>1468</v>
      </c>
    </row>
    <row r="1574" spans="1:1">
      <c r="A1574" s="141">
        <v>1469</v>
      </c>
    </row>
    <row r="1575" spans="1:1">
      <c r="A1575" s="141">
        <v>1470</v>
      </c>
    </row>
    <row r="1576" spans="1:1">
      <c r="A1576" s="141">
        <v>1471</v>
      </c>
    </row>
    <row r="1577" spans="1:1">
      <c r="A1577" s="141">
        <v>1472</v>
      </c>
    </row>
    <row r="1578" spans="1:1">
      <c r="A1578" s="141">
        <v>1473</v>
      </c>
    </row>
    <row r="1579" spans="1:1">
      <c r="A1579" s="141">
        <v>1474</v>
      </c>
    </row>
    <row r="1580" spans="1:1">
      <c r="A1580" s="141">
        <v>1475</v>
      </c>
    </row>
    <row r="1581" spans="1:1">
      <c r="A1581" s="141">
        <v>1476</v>
      </c>
    </row>
    <row r="1582" spans="1:1">
      <c r="A1582" s="141">
        <v>1477</v>
      </c>
    </row>
    <row r="1583" spans="1:1">
      <c r="A1583" s="141">
        <v>1478</v>
      </c>
    </row>
    <row r="1584" spans="1:1">
      <c r="A1584" s="141">
        <v>1479</v>
      </c>
    </row>
    <row r="1585" spans="1:1">
      <c r="A1585" s="141">
        <v>1480</v>
      </c>
    </row>
    <row r="1586" spans="1:1">
      <c r="A1586" s="141">
        <v>1481</v>
      </c>
    </row>
    <row r="1587" spans="1:1">
      <c r="A1587" s="141">
        <v>1482</v>
      </c>
    </row>
    <row r="1588" spans="1:1">
      <c r="A1588" s="141">
        <v>1483</v>
      </c>
    </row>
    <row r="1589" spans="1:1">
      <c r="A1589" s="141">
        <v>1484</v>
      </c>
    </row>
    <row r="1590" spans="1:1">
      <c r="A1590" s="141">
        <v>1485</v>
      </c>
    </row>
    <row r="1591" spans="1:1">
      <c r="A1591" s="141">
        <v>1486</v>
      </c>
    </row>
    <row r="1592" spans="1:1">
      <c r="A1592" s="141">
        <v>1487</v>
      </c>
    </row>
    <row r="1593" spans="1:1">
      <c r="A1593" s="141">
        <v>1488</v>
      </c>
    </row>
    <row r="1594" spans="1:1">
      <c r="A1594" s="141">
        <v>1489</v>
      </c>
    </row>
    <row r="1595" spans="1:1">
      <c r="A1595" s="141">
        <v>1490</v>
      </c>
    </row>
    <row r="1596" spans="1:1">
      <c r="A1596" s="141">
        <v>1491</v>
      </c>
    </row>
    <row r="1597" spans="1:1">
      <c r="A1597" s="141">
        <v>1492</v>
      </c>
    </row>
    <row r="1598" spans="1:1">
      <c r="A1598" s="141">
        <v>1493</v>
      </c>
    </row>
    <row r="1599" spans="1:1">
      <c r="A1599" s="141">
        <v>1494</v>
      </c>
    </row>
    <row r="1600" spans="1:1">
      <c r="A1600" s="141">
        <v>1495</v>
      </c>
    </row>
    <row r="1601" spans="1:1">
      <c r="A1601" s="141">
        <v>1496</v>
      </c>
    </row>
    <row r="1602" spans="1:1">
      <c r="A1602" s="141">
        <v>1497</v>
      </c>
    </row>
    <row r="1603" spans="1:1">
      <c r="A1603" s="141">
        <v>1498</v>
      </c>
    </row>
    <row r="1604" spans="1:1">
      <c r="A1604" s="141">
        <v>1499</v>
      </c>
    </row>
    <row r="1605" spans="1:1">
      <c r="A1605" s="141">
        <v>1500</v>
      </c>
    </row>
    <row r="1606" spans="1:1">
      <c r="A1606" s="141">
        <v>1501</v>
      </c>
    </row>
    <row r="1607" spans="1:1">
      <c r="A1607" s="141">
        <v>1502</v>
      </c>
    </row>
    <row r="1608" spans="1:1">
      <c r="A1608" s="141">
        <v>1503</v>
      </c>
    </row>
    <row r="1609" spans="1:1">
      <c r="A1609" s="141">
        <v>1504</v>
      </c>
    </row>
    <row r="1610" spans="1:1">
      <c r="A1610" s="141">
        <v>1505</v>
      </c>
    </row>
    <row r="1611" spans="1:1">
      <c r="A1611" s="141">
        <v>1506</v>
      </c>
    </row>
    <row r="1612" spans="1:1">
      <c r="A1612" s="141">
        <v>1507</v>
      </c>
    </row>
    <row r="1613" spans="1:1">
      <c r="A1613" s="141">
        <v>1508</v>
      </c>
    </row>
    <row r="1614" spans="1:1">
      <c r="A1614" s="141">
        <v>1509</v>
      </c>
    </row>
    <row r="1615" spans="1:1">
      <c r="A1615" s="141">
        <v>1510</v>
      </c>
    </row>
    <row r="1616" spans="1:1">
      <c r="A1616" s="141">
        <v>1511</v>
      </c>
    </row>
    <row r="1617" spans="1:1">
      <c r="A1617" s="141">
        <v>1512</v>
      </c>
    </row>
    <row r="1618" spans="1:1">
      <c r="A1618" s="141">
        <v>1513</v>
      </c>
    </row>
    <row r="1619" spans="1:1">
      <c r="A1619" s="141">
        <v>1514</v>
      </c>
    </row>
    <row r="1620" spans="1:1">
      <c r="A1620" s="141">
        <v>1515</v>
      </c>
    </row>
    <row r="1621" spans="1:1">
      <c r="A1621" s="141">
        <v>1516</v>
      </c>
    </row>
    <row r="1622" spans="1:1">
      <c r="A1622" s="141">
        <v>1517</v>
      </c>
    </row>
    <row r="1623" spans="1:1">
      <c r="A1623" s="141">
        <v>1518</v>
      </c>
    </row>
    <row r="1624" spans="1:1">
      <c r="A1624" s="141">
        <v>1519</v>
      </c>
    </row>
    <row r="1625" spans="1:1">
      <c r="A1625" s="141">
        <v>1520</v>
      </c>
    </row>
    <row r="1626" spans="1:1">
      <c r="A1626" s="141">
        <v>1521</v>
      </c>
    </row>
    <row r="1627" spans="1:1">
      <c r="A1627" s="141">
        <v>1522</v>
      </c>
    </row>
    <row r="1628" spans="1:1">
      <c r="A1628" s="141">
        <v>1523</v>
      </c>
    </row>
    <row r="1629" spans="1:1">
      <c r="A1629" s="141">
        <v>1524</v>
      </c>
    </row>
    <row r="1630" spans="1:1">
      <c r="A1630" s="141">
        <v>1525</v>
      </c>
    </row>
    <row r="1631" spans="1:1">
      <c r="A1631" s="141">
        <v>1526</v>
      </c>
    </row>
    <row r="1632" spans="1:1">
      <c r="A1632" s="141">
        <v>1527</v>
      </c>
    </row>
    <row r="1633" spans="1:1">
      <c r="A1633" s="141">
        <v>1528</v>
      </c>
    </row>
    <row r="1634" spans="1:1">
      <c r="A1634" s="141">
        <v>1529</v>
      </c>
    </row>
    <row r="1635" spans="1:1">
      <c r="A1635" s="141">
        <v>1530</v>
      </c>
    </row>
    <row r="1636" spans="1:1">
      <c r="A1636" s="141">
        <v>1531</v>
      </c>
    </row>
    <row r="1637" spans="1:1">
      <c r="A1637" s="141">
        <v>1532</v>
      </c>
    </row>
    <row r="1638" spans="1:1">
      <c r="A1638" s="141">
        <v>1533</v>
      </c>
    </row>
    <row r="1639" spans="1:1">
      <c r="A1639" s="141">
        <v>1534</v>
      </c>
    </row>
    <row r="1640" spans="1:1">
      <c r="A1640" s="141">
        <v>1535</v>
      </c>
    </row>
    <row r="1641" spans="1:1">
      <c r="A1641" s="141">
        <v>1536</v>
      </c>
    </row>
    <row r="1642" spans="1:1">
      <c r="A1642" s="141">
        <v>1537</v>
      </c>
    </row>
    <row r="1643" spans="1:1">
      <c r="A1643" s="141">
        <v>1538</v>
      </c>
    </row>
    <row r="1644" spans="1:1">
      <c r="A1644" s="141">
        <v>1539</v>
      </c>
    </row>
    <row r="1645" spans="1:1">
      <c r="A1645" s="141">
        <v>1540</v>
      </c>
    </row>
    <row r="1646" spans="1:1">
      <c r="A1646" s="141">
        <v>1541</v>
      </c>
    </row>
    <row r="1647" spans="1:1">
      <c r="A1647" s="141">
        <v>1542</v>
      </c>
    </row>
    <row r="1648" spans="1:1">
      <c r="A1648" s="141">
        <v>1543</v>
      </c>
    </row>
    <row r="1649" spans="1:1">
      <c r="A1649" s="141">
        <v>1544</v>
      </c>
    </row>
    <row r="1650" spans="1:1">
      <c r="A1650" s="141">
        <v>1545</v>
      </c>
    </row>
    <row r="1651" spans="1:1">
      <c r="A1651" s="141">
        <v>1546</v>
      </c>
    </row>
    <row r="1652" spans="1:1">
      <c r="A1652" s="141">
        <v>1547</v>
      </c>
    </row>
    <row r="1653" spans="1:1">
      <c r="A1653" s="141">
        <v>1548</v>
      </c>
    </row>
    <row r="1654" spans="1:1">
      <c r="A1654" s="141">
        <v>1549</v>
      </c>
    </row>
    <row r="1655" spans="1:1">
      <c r="A1655" s="141">
        <v>1550</v>
      </c>
    </row>
    <row r="1656" spans="1:1">
      <c r="A1656" s="141">
        <v>1551</v>
      </c>
    </row>
    <row r="1657" spans="1:1">
      <c r="A1657" s="141">
        <v>1552</v>
      </c>
    </row>
    <row r="1658" spans="1:1">
      <c r="A1658" s="141">
        <v>1553</v>
      </c>
    </row>
    <row r="1659" spans="1:1">
      <c r="A1659" s="141">
        <v>1554</v>
      </c>
    </row>
    <row r="1660" spans="1:1">
      <c r="A1660" s="141">
        <v>1555</v>
      </c>
    </row>
    <row r="1661" spans="1:1">
      <c r="A1661" s="141">
        <v>1556</v>
      </c>
    </row>
    <row r="1662" spans="1:1">
      <c r="A1662" s="141">
        <v>1557</v>
      </c>
    </row>
    <row r="1663" spans="1:1">
      <c r="A1663" s="141">
        <v>1558</v>
      </c>
    </row>
    <row r="1664" spans="1:1">
      <c r="A1664" s="141">
        <v>1559</v>
      </c>
    </row>
    <row r="1665" spans="1:1">
      <c r="A1665" s="141">
        <v>1560</v>
      </c>
    </row>
    <row r="1666" spans="1:1">
      <c r="A1666" s="141">
        <v>1561</v>
      </c>
    </row>
    <row r="1667" spans="1:1">
      <c r="A1667" s="141">
        <v>1562</v>
      </c>
    </row>
    <row r="1668" spans="1:1">
      <c r="A1668" s="141">
        <v>1563</v>
      </c>
    </row>
    <row r="1669" spans="1:1">
      <c r="A1669" s="141">
        <v>1564</v>
      </c>
    </row>
    <row r="1670" spans="1:1">
      <c r="A1670" s="141">
        <v>1565</v>
      </c>
    </row>
    <row r="1671" spans="1:1">
      <c r="A1671" s="141">
        <v>1566</v>
      </c>
    </row>
    <row r="1672" spans="1:1">
      <c r="A1672" s="141">
        <v>1567</v>
      </c>
    </row>
    <row r="1673" spans="1:1">
      <c r="A1673" s="141">
        <v>1568</v>
      </c>
    </row>
    <row r="1674" spans="1:1">
      <c r="A1674" s="141">
        <v>1569</v>
      </c>
    </row>
    <row r="1675" spans="1:1">
      <c r="A1675" s="141">
        <v>1570</v>
      </c>
    </row>
    <row r="1676" spans="1:1">
      <c r="A1676" s="141">
        <v>1571</v>
      </c>
    </row>
    <row r="1677" spans="1:1">
      <c r="A1677" s="141">
        <v>1572</v>
      </c>
    </row>
    <row r="1678" spans="1:1">
      <c r="A1678" s="141">
        <v>1573</v>
      </c>
    </row>
    <row r="1679" spans="1:1">
      <c r="A1679" s="141">
        <v>1574</v>
      </c>
    </row>
    <row r="1680" spans="1:1">
      <c r="A1680" s="141">
        <v>1575</v>
      </c>
    </row>
    <row r="1681" spans="1:1">
      <c r="A1681" s="141">
        <v>1576</v>
      </c>
    </row>
    <row r="1682" spans="1:1">
      <c r="A1682" s="141">
        <v>1577</v>
      </c>
    </row>
    <row r="1683" spans="1:1">
      <c r="A1683" s="141">
        <v>1578</v>
      </c>
    </row>
    <row r="1684" spans="1:1">
      <c r="A1684" s="141">
        <v>1579</v>
      </c>
    </row>
    <row r="1685" spans="1:1">
      <c r="A1685" s="141">
        <v>1580</v>
      </c>
    </row>
    <row r="1686" spans="1:1">
      <c r="A1686" s="141">
        <v>1581</v>
      </c>
    </row>
    <row r="1687" spans="1:1">
      <c r="A1687" s="141">
        <v>1582</v>
      </c>
    </row>
    <row r="1688" spans="1:1">
      <c r="A1688" s="141">
        <v>1583</v>
      </c>
    </row>
    <row r="1689" spans="1:1">
      <c r="A1689" s="141">
        <v>1584</v>
      </c>
    </row>
    <row r="1690" spans="1:1">
      <c r="A1690" s="141">
        <v>1585</v>
      </c>
    </row>
    <row r="1691" spans="1:1">
      <c r="A1691" s="141">
        <v>1586</v>
      </c>
    </row>
    <row r="1692" spans="1:1">
      <c r="A1692" s="141">
        <v>1587</v>
      </c>
    </row>
    <row r="1693" spans="1:1">
      <c r="A1693" s="141">
        <v>1588</v>
      </c>
    </row>
    <row r="1694" spans="1:1">
      <c r="A1694" s="141">
        <v>1589</v>
      </c>
    </row>
    <row r="1695" spans="1:1">
      <c r="A1695" s="141">
        <v>1590</v>
      </c>
    </row>
    <row r="1696" spans="1:1">
      <c r="A1696" s="141">
        <v>1591</v>
      </c>
    </row>
    <row r="1697" spans="1:1">
      <c r="A1697" s="141">
        <v>1592</v>
      </c>
    </row>
    <row r="1698" spans="1:1">
      <c r="A1698" s="141">
        <v>1593</v>
      </c>
    </row>
    <row r="1699" spans="1:1">
      <c r="A1699" s="141">
        <v>1594</v>
      </c>
    </row>
    <row r="1700" spans="1:1">
      <c r="A1700" s="141">
        <v>1595</v>
      </c>
    </row>
    <row r="1701" spans="1:1">
      <c r="A1701" s="141">
        <v>1596</v>
      </c>
    </row>
    <row r="1702" spans="1:1">
      <c r="A1702" s="141">
        <v>1597</v>
      </c>
    </row>
    <row r="1703" spans="1:1">
      <c r="A1703" s="141">
        <v>1598</v>
      </c>
    </row>
    <row r="1704" spans="1:1">
      <c r="A1704" s="141">
        <v>1599</v>
      </c>
    </row>
    <row r="1705" spans="1:1">
      <c r="A1705" s="141">
        <v>1600</v>
      </c>
    </row>
    <row r="1706" spans="1:1">
      <c r="A1706" s="141">
        <v>1601</v>
      </c>
    </row>
    <row r="1707" spans="1:1">
      <c r="A1707" s="141">
        <v>1602</v>
      </c>
    </row>
    <row r="1708" spans="1:1">
      <c r="A1708" s="141">
        <v>1603</v>
      </c>
    </row>
    <row r="1709" spans="1:1">
      <c r="A1709" s="141">
        <v>1604</v>
      </c>
    </row>
    <row r="1710" spans="1:1">
      <c r="A1710" s="141">
        <v>1605</v>
      </c>
    </row>
    <row r="1711" spans="1:1">
      <c r="A1711" s="141">
        <v>1606</v>
      </c>
    </row>
    <row r="1712" spans="1:1">
      <c r="A1712" s="141">
        <v>1607</v>
      </c>
    </row>
    <row r="1713" spans="1:1">
      <c r="A1713" s="141">
        <v>1608</v>
      </c>
    </row>
    <row r="1714" spans="1:1">
      <c r="A1714" s="141">
        <v>1609</v>
      </c>
    </row>
    <row r="1715" spans="1:1">
      <c r="A1715" s="141">
        <v>1610</v>
      </c>
    </row>
    <row r="1716" spans="1:1">
      <c r="A1716" s="141">
        <v>1611</v>
      </c>
    </row>
    <row r="1717" spans="1:1">
      <c r="A1717" s="141">
        <v>1612</v>
      </c>
    </row>
    <row r="1718" spans="1:1">
      <c r="A1718" s="141">
        <v>1613</v>
      </c>
    </row>
    <row r="1719" spans="1:1">
      <c r="A1719" s="141">
        <v>1614</v>
      </c>
    </row>
    <row r="1720" spans="1:1">
      <c r="A1720" s="141">
        <v>1615</v>
      </c>
    </row>
    <row r="1721" spans="1:1">
      <c r="A1721" s="141">
        <v>1616</v>
      </c>
    </row>
    <row r="1722" spans="1:1">
      <c r="A1722" s="141">
        <v>1617</v>
      </c>
    </row>
    <row r="1723" spans="1:1">
      <c r="A1723" s="141">
        <v>1618</v>
      </c>
    </row>
    <row r="1724" spans="1:1">
      <c r="A1724" s="141">
        <v>1619</v>
      </c>
    </row>
    <row r="1725" spans="1:1">
      <c r="A1725" s="141">
        <v>1620</v>
      </c>
    </row>
    <row r="1726" spans="1:1">
      <c r="A1726" s="141">
        <v>1621</v>
      </c>
    </row>
    <row r="1727" spans="1:1">
      <c r="A1727" s="141">
        <v>1622</v>
      </c>
    </row>
    <row r="1728" spans="1:1">
      <c r="A1728" s="141">
        <v>1623</v>
      </c>
    </row>
    <row r="1729" spans="1:1">
      <c r="A1729" s="141">
        <v>1624</v>
      </c>
    </row>
    <row r="1730" spans="1:1">
      <c r="A1730" s="141">
        <v>1625</v>
      </c>
    </row>
    <row r="1731" spans="1:1">
      <c r="A1731" s="141">
        <v>1626</v>
      </c>
    </row>
    <row r="1732" spans="1:1">
      <c r="A1732" s="141">
        <v>1627</v>
      </c>
    </row>
    <row r="1733" spans="1:1">
      <c r="A1733" s="141">
        <v>1628</v>
      </c>
    </row>
    <row r="1734" spans="1:1">
      <c r="A1734" s="141">
        <v>1629</v>
      </c>
    </row>
    <row r="1735" spans="1:1">
      <c r="A1735" s="141">
        <v>1630</v>
      </c>
    </row>
    <row r="1736" spans="1:1">
      <c r="A1736" s="141">
        <v>1631</v>
      </c>
    </row>
    <row r="1737" spans="1:1">
      <c r="A1737" s="141">
        <v>1632</v>
      </c>
    </row>
    <row r="1738" spans="1:1">
      <c r="A1738" s="141">
        <v>1633</v>
      </c>
    </row>
    <row r="1739" spans="1:1">
      <c r="A1739" s="141">
        <v>1634</v>
      </c>
    </row>
    <row r="1740" spans="1:1">
      <c r="A1740" s="141">
        <v>1635</v>
      </c>
    </row>
    <row r="1741" spans="1:1">
      <c r="A1741" s="141">
        <v>1636</v>
      </c>
    </row>
    <row r="1742" spans="1:1">
      <c r="A1742" s="141">
        <v>1637</v>
      </c>
    </row>
    <row r="1743" spans="1:1">
      <c r="A1743" s="141">
        <v>1638</v>
      </c>
    </row>
    <row r="1744" spans="1:1">
      <c r="A1744" s="141">
        <v>1639</v>
      </c>
    </row>
    <row r="1745" spans="1:1">
      <c r="A1745" s="141">
        <v>1640</v>
      </c>
    </row>
    <row r="1746" spans="1:1">
      <c r="A1746" s="141">
        <v>1641</v>
      </c>
    </row>
    <row r="1747" spans="1:1">
      <c r="A1747" s="141">
        <v>1642</v>
      </c>
    </row>
    <row r="1748" spans="1:1">
      <c r="A1748" s="141">
        <v>1643</v>
      </c>
    </row>
    <row r="1749" spans="1:1">
      <c r="A1749" s="141">
        <v>1644</v>
      </c>
    </row>
    <row r="1750" spans="1:1">
      <c r="A1750" s="141">
        <v>1645</v>
      </c>
    </row>
    <row r="1751" spans="1:1">
      <c r="A1751" s="141">
        <v>1646</v>
      </c>
    </row>
    <row r="1752" spans="1:1">
      <c r="A1752" s="141">
        <v>1647</v>
      </c>
    </row>
    <row r="1753" spans="1:1">
      <c r="A1753" s="141">
        <v>1648</v>
      </c>
    </row>
    <row r="1754" spans="1:1">
      <c r="A1754" s="141">
        <v>1649</v>
      </c>
    </row>
    <row r="1755" spans="1:1">
      <c r="A1755" s="141">
        <v>1650</v>
      </c>
    </row>
    <row r="1756" spans="1:1">
      <c r="A1756" s="141">
        <v>1651</v>
      </c>
    </row>
    <row r="1757" spans="1:1">
      <c r="A1757" s="141">
        <v>1652</v>
      </c>
    </row>
    <row r="1758" spans="1:1">
      <c r="A1758" s="141">
        <v>1653</v>
      </c>
    </row>
    <row r="1759" spans="1:1">
      <c r="A1759" s="141">
        <v>1654</v>
      </c>
    </row>
    <row r="1760" spans="1:1">
      <c r="A1760" s="141">
        <v>1655</v>
      </c>
    </row>
    <row r="1761" spans="1:1">
      <c r="A1761" s="141">
        <v>1656</v>
      </c>
    </row>
    <row r="1762" spans="1:1">
      <c r="A1762" s="141">
        <v>1657</v>
      </c>
    </row>
    <row r="1763" spans="1:1">
      <c r="A1763" s="141">
        <v>1658</v>
      </c>
    </row>
    <row r="1764" spans="1:1">
      <c r="A1764" s="141">
        <v>1659</v>
      </c>
    </row>
    <row r="1765" spans="1:1">
      <c r="A1765" s="141">
        <v>1660</v>
      </c>
    </row>
    <row r="1766" spans="1:1">
      <c r="A1766" s="141">
        <v>1661</v>
      </c>
    </row>
    <row r="1767" spans="1:1">
      <c r="A1767" s="141">
        <v>1662</v>
      </c>
    </row>
    <row r="1768" spans="1:1">
      <c r="A1768" s="141">
        <v>1663</v>
      </c>
    </row>
    <row r="1769" spans="1:1">
      <c r="A1769" s="141">
        <v>1664</v>
      </c>
    </row>
    <row r="1770" spans="1:1">
      <c r="A1770" s="141">
        <v>1665</v>
      </c>
    </row>
    <row r="1771" spans="1:1">
      <c r="A1771" s="141">
        <v>1666</v>
      </c>
    </row>
    <row r="1772" spans="1:1">
      <c r="A1772" s="141">
        <v>1667</v>
      </c>
    </row>
    <row r="1773" spans="1:1">
      <c r="A1773" s="141">
        <v>1668</v>
      </c>
    </row>
    <row r="1774" spans="1:1">
      <c r="A1774" s="141">
        <v>1669</v>
      </c>
    </row>
    <row r="1775" spans="1:1">
      <c r="A1775" s="141">
        <v>1670</v>
      </c>
    </row>
    <row r="1776" spans="1:1">
      <c r="A1776" s="141">
        <v>1671</v>
      </c>
    </row>
    <row r="1777" spans="1:1">
      <c r="A1777" s="141">
        <v>1672</v>
      </c>
    </row>
    <row r="1778" spans="1:1">
      <c r="A1778" s="141">
        <v>1673</v>
      </c>
    </row>
    <row r="1779" spans="1:1">
      <c r="A1779" s="141">
        <v>1674</v>
      </c>
    </row>
    <row r="1780" spans="1:1">
      <c r="A1780" s="141">
        <v>1675</v>
      </c>
    </row>
    <row r="1781" spans="1:1">
      <c r="A1781" s="141">
        <v>1676</v>
      </c>
    </row>
    <row r="1782" spans="1:1">
      <c r="A1782" s="141">
        <v>1677</v>
      </c>
    </row>
    <row r="1783" spans="1:1">
      <c r="A1783" s="141">
        <v>1678</v>
      </c>
    </row>
    <row r="1784" spans="1:1">
      <c r="A1784" s="141">
        <v>1679</v>
      </c>
    </row>
    <row r="1785" spans="1:1">
      <c r="A1785" s="141">
        <v>1680</v>
      </c>
    </row>
    <row r="1786" spans="1:1">
      <c r="A1786" s="141">
        <v>1681</v>
      </c>
    </row>
    <row r="1787" spans="1:1">
      <c r="A1787" s="141">
        <v>1682</v>
      </c>
    </row>
    <row r="1788" spans="1:1">
      <c r="A1788" s="141">
        <v>1683</v>
      </c>
    </row>
    <row r="1789" spans="1:1">
      <c r="A1789" s="141">
        <v>1684</v>
      </c>
    </row>
    <row r="1790" spans="1:1">
      <c r="A1790" s="141">
        <v>1685</v>
      </c>
    </row>
    <row r="1791" spans="1:1">
      <c r="A1791" s="141">
        <v>1686</v>
      </c>
    </row>
    <row r="1792" spans="1:1">
      <c r="A1792" s="141">
        <v>1687</v>
      </c>
    </row>
    <row r="1793" spans="1:1">
      <c r="A1793" s="141">
        <v>1688</v>
      </c>
    </row>
    <row r="1794" spans="1:1">
      <c r="A1794" s="141">
        <v>1689</v>
      </c>
    </row>
    <row r="1795" spans="1:1">
      <c r="A1795" s="141">
        <v>1690</v>
      </c>
    </row>
    <row r="1796" spans="1:1">
      <c r="A1796" s="141">
        <v>1691</v>
      </c>
    </row>
    <row r="1797" spans="1:1">
      <c r="A1797" s="141">
        <v>1692</v>
      </c>
    </row>
    <row r="1798" spans="1:1">
      <c r="A1798" s="141">
        <v>1693</v>
      </c>
    </row>
    <row r="1799" spans="1:1">
      <c r="A1799" s="141">
        <v>1694</v>
      </c>
    </row>
    <row r="1800" spans="1:1">
      <c r="A1800" s="141">
        <v>1695</v>
      </c>
    </row>
    <row r="1801" spans="1:1">
      <c r="A1801" s="141">
        <v>1696</v>
      </c>
    </row>
    <row r="1802" spans="1:1">
      <c r="A1802" s="141">
        <v>1697</v>
      </c>
    </row>
    <row r="1803" spans="1:1">
      <c r="A1803" s="141">
        <v>1698</v>
      </c>
    </row>
    <row r="1804" spans="1:1">
      <c r="A1804" s="141">
        <v>1699</v>
      </c>
    </row>
    <row r="1805" spans="1:1">
      <c r="A1805" s="141">
        <v>1700</v>
      </c>
    </row>
    <row r="1806" spans="1:1">
      <c r="A1806" s="141">
        <v>1701</v>
      </c>
    </row>
    <row r="1807" spans="1:1">
      <c r="A1807" s="141">
        <v>1702</v>
      </c>
    </row>
    <row r="1808" spans="1:1">
      <c r="A1808" s="141">
        <v>1703</v>
      </c>
    </row>
    <row r="1809" spans="1:1">
      <c r="A1809" s="141">
        <v>1704</v>
      </c>
    </row>
    <row r="1810" spans="1:1">
      <c r="A1810" s="141">
        <v>1705</v>
      </c>
    </row>
    <row r="1811" spans="1:1">
      <c r="A1811" s="141">
        <v>1706</v>
      </c>
    </row>
    <row r="1812" spans="1:1">
      <c r="A1812" s="141">
        <v>1707</v>
      </c>
    </row>
    <row r="1813" spans="1:1">
      <c r="A1813" s="141">
        <v>1708</v>
      </c>
    </row>
    <row r="1814" spans="1:1">
      <c r="A1814" s="141">
        <v>1709</v>
      </c>
    </row>
    <row r="1815" spans="1:1">
      <c r="A1815" s="141">
        <v>1710</v>
      </c>
    </row>
    <row r="1816" spans="1:1">
      <c r="A1816" s="141">
        <v>1711</v>
      </c>
    </row>
    <row r="1817" spans="1:1">
      <c r="A1817" s="141">
        <v>1712</v>
      </c>
    </row>
    <row r="1818" spans="1:1">
      <c r="A1818" s="141">
        <v>1713</v>
      </c>
    </row>
    <row r="1819" spans="1:1">
      <c r="A1819" s="141">
        <v>1714</v>
      </c>
    </row>
    <row r="1820" spans="1:1">
      <c r="A1820" s="141">
        <v>1715</v>
      </c>
    </row>
    <row r="1821" spans="1:1">
      <c r="A1821" s="141">
        <v>1716</v>
      </c>
    </row>
    <row r="1822" spans="1:1">
      <c r="A1822" s="141">
        <v>1717</v>
      </c>
    </row>
    <row r="1823" spans="1:1">
      <c r="A1823" s="141">
        <v>1718</v>
      </c>
    </row>
    <row r="1824" spans="1:1">
      <c r="A1824" s="141">
        <v>1719</v>
      </c>
    </row>
    <row r="1825" spans="1:1">
      <c r="A1825" s="141">
        <v>1720</v>
      </c>
    </row>
    <row r="1826" spans="1:1">
      <c r="A1826" s="141">
        <v>1721</v>
      </c>
    </row>
    <row r="1827" spans="1:1">
      <c r="A1827" s="141">
        <v>1722</v>
      </c>
    </row>
    <row r="1828" spans="1:1">
      <c r="A1828" s="141">
        <v>1723</v>
      </c>
    </row>
    <row r="1829" spans="1:1">
      <c r="A1829" s="141">
        <v>1724</v>
      </c>
    </row>
    <row r="1830" spans="1:1">
      <c r="A1830" s="141">
        <v>1725</v>
      </c>
    </row>
    <row r="1831" spans="1:1">
      <c r="A1831" s="141">
        <v>1726</v>
      </c>
    </row>
    <row r="1832" spans="1:1">
      <c r="A1832" s="141">
        <v>1727</v>
      </c>
    </row>
    <row r="1833" spans="1:1">
      <c r="A1833" s="141">
        <v>1728</v>
      </c>
    </row>
    <row r="1834" spans="1:1">
      <c r="A1834" s="141">
        <v>1729</v>
      </c>
    </row>
    <row r="1835" spans="1:1">
      <c r="A1835" s="141">
        <v>1730</v>
      </c>
    </row>
    <row r="1836" spans="1:1">
      <c r="A1836" s="141">
        <v>1731</v>
      </c>
    </row>
    <row r="1837" spans="1:1">
      <c r="A1837" s="141">
        <v>1732</v>
      </c>
    </row>
    <row r="1838" spans="1:1">
      <c r="A1838" s="141">
        <v>1733</v>
      </c>
    </row>
    <row r="1839" spans="1:1">
      <c r="A1839" s="141">
        <v>1734</v>
      </c>
    </row>
    <row r="1840" spans="1:1">
      <c r="A1840" s="141">
        <v>1735</v>
      </c>
    </row>
    <row r="1841" spans="1:1">
      <c r="A1841" s="141">
        <v>1736</v>
      </c>
    </row>
    <row r="1842" spans="1:1">
      <c r="A1842" s="141">
        <v>1737</v>
      </c>
    </row>
    <row r="1843" spans="1:1">
      <c r="A1843" s="141">
        <v>1738</v>
      </c>
    </row>
    <row r="1844" spans="1:1">
      <c r="A1844" s="141">
        <v>1739</v>
      </c>
    </row>
    <row r="1845" spans="1:1">
      <c r="A1845" s="141">
        <v>1740</v>
      </c>
    </row>
    <row r="1846" spans="1:1">
      <c r="A1846" s="141">
        <v>1741</v>
      </c>
    </row>
    <row r="1847" spans="1:1">
      <c r="A1847" s="141">
        <v>1742</v>
      </c>
    </row>
    <row r="1848" spans="1:1">
      <c r="A1848" s="141">
        <v>1743</v>
      </c>
    </row>
    <row r="1849" spans="1:1">
      <c r="A1849" s="141">
        <v>1744</v>
      </c>
    </row>
    <row r="1850" spans="1:1">
      <c r="A1850" s="141">
        <v>1745</v>
      </c>
    </row>
    <row r="1851" spans="1:1">
      <c r="A1851" s="141">
        <v>1746</v>
      </c>
    </row>
    <row r="1852" spans="1:1">
      <c r="A1852" s="141">
        <v>1747</v>
      </c>
    </row>
    <row r="1853" spans="1:1">
      <c r="A1853" s="141">
        <v>1748</v>
      </c>
    </row>
    <row r="1854" spans="1:1">
      <c r="A1854" s="141">
        <v>1749</v>
      </c>
    </row>
    <row r="1855" spans="1:1">
      <c r="A1855" s="141">
        <v>1750</v>
      </c>
    </row>
    <row r="1856" spans="1:1">
      <c r="A1856" s="141">
        <v>1751</v>
      </c>
    </row>
    <row r="1857" spans="1:1">
      <c r="A1857" s="141">
        <v>1752</v>
      </c>
    </row>
    <row r="1858" spans="1:1">
      <c r="A1858" s="141">
        <v>1753</v>
      </c>
    </row>
    <row r="1859" spans="1:1">
      <c r="A1859" s="141">
        <v>1754</v>
      </c>
    </row>
    <row r="1860" spans="1:1">
      <c r="A1860" s="141">
        <v>1755</v>
      </c>
    </row>
    <row r="1861" spans="1:1">
      <c r="A1861" s="141">
        <v>1756</v>
      </c>
    </row>
    <row r="1862" spans="1:1">
      <c r="A1862" s="141">
        <v>1757</v>
      </c>
    </row>
    <row r="1863" spans="1:1">
      <c r="A1863" s="141">
        <v>1758</v>
      </c>
    </row>
    <row r="1864" spans="1:1">
      <c r="A1864" s="141">
        <v>1759</v>
      </c>
    </row>
    <row r="1865" spans="1:1">
      <c r="A1865" s="141">
        <v>1760</v>
      </c>
    </row>
    <row r="1866" spans="1:1">
      <c r="A1866" s="141">
        <v>1761</v>
      </c>
    </row>
    <row r="1867" spans="1:1">
      <c r="A1867" s="141">
        <v>1762</v>
      </c>
    </row>
    <row r="1868" spans="1:1">
      <c r="A1868" s="141">
        <v>1763</v>
      </c>
    </row>
    <row r="1869" spans="1:1">
      <c r="A1869" s="141">
        <v>1764</v>
      </c>
    </row>
    <row r="1870" spans="1:1">
      <c r="A1870" s="141">
        <v>1765</v>
      </c>
    </row>
    <row r="1871" spans="1:1">
      <c r="A1871" s="141">
        <v>1766</v>
      </c>
    </row>
    <row r="1872" spans="1:1">
      <c r="A1872" s="141">
        <v>1767</v>
      </c>
    </row>
    <row r="1873" spans="1:1">
      <c r="A1873" s="141">
        <v>1768</v>
      </c>
    </row>
    <row r="1874" spans="1:1">
      <c r="A1874" s="141">
        <v>1769</v>
      </c>
    </row>
    <row r="1875" spans="1:1">
      <c r="A1875" s="141">
        <v>1770</v>
      </c>
    </row>
    <row r="1876" spans="1:1">
      <c r="A1876" s="141">
        <v>1771</v>
      </c>
    </row>
    <row r="1877" spans="1:1">
      <c r="A1877" s="141">
        <v>1772</v>
      </c>
    </row>
    <row r="1878" spans="1:1">
      <c r="A1878" s="141">
        <v>1773</v>
      </c>
    </row>
    <row r="1879" spans="1:1">
      <c r="A1879" s="141">
        <v>1774</v>
      </c>
    </row>
    <row r="1880" spans="1:1">
      <c r="A1880" s="141">
        <v>1775</v>
      </c>
    </row>
    <row r="1881" spans="1:1">
      <c r="A1881" s="141">
        <v>1776</v>
      </c>
    </row>
    <row r="1882" spans="1:1">
      <c r="A1882" s="141">
        <v>1777</v>
      </c>
    </row>
    <row r="1883" spans="1:1">
      <c r="A1883" s="141">
        <v>1778</v>
      </c>
    </row>
    <row r="1884" spans="1:1">
      <c r="A1884" s="141">
        <v>1779</v>
      </c>
    </row>
    <row r="1885" spans="1:1">
      <c r="A1885" s="141">
        <v>1780</v>
      </c>
    </row>
    <row r="1886" spans="1:1">
      <c r="A1886" s="141">
        <v>1781</v>
      </c>
    </row>
    <row r="1887" spans="1:1">
      <c r="A1887" s="141">
        <v>1782</v>
      </c>
    </row>
    <row r="1888" spans="1:1">
      <c r="A1888" s="141">
        <v>1783</v>
      </c>
    </row>
    <row r="1889" spans="1:1">
      <c r="A1889" s="141">
        <v>1784</v>
      </c>
    </row>
    <row r="1890" spans="1:1">
      <c r="A1890" s="141">
        <v>1785</v>
      </c>
    </row>
    <row r="1891" spans="1:1">
      <c r="A1891" s="141">
        <v>1786</v>
      </c>
    </row>
    <row r="1892" spans="1:1">
      <c r="A1892" s="141">
        <v>1787</v>
      </c>
    </row>
    <row r="1893" spans="1:1">
      <c r="A1893" s="141">
        <v>1788</v>
      </c>
    </row>
    <row r="1894" spans="1:1">
      <c r="A1894" s="141">
        <v>1789</v>
      </c>
    </row>
    <row r="1895" spans="1:1">
      <c r="A1895" s="141">
        <v>1790</v>
      </c>
    </row>
    <row r="1896" spans="1:1">
      <c r="A1896" s="141">
        <v>1791</v>
      </c>
    </row>
    <row r="1897" spans="1:1">
      <c r="A1897" s="141">
        <v>1792</v>
      </c>
    </row>
    <row r="1898" spans="1:1">
      <c r="A1898" s="141">
        <v>1793</v>
      </c>
    </row>
    <row r="1899" spans="1:1">
      <c r="A1899" s="141">
        <v>1794</v>
      </c>
    </row>
    <row r="1900" spans="1:1">
      <c r="A1900" s="141">
        <v>1795</v>
      </c>
    </row>
    <row r="1901" spans="1:1">
      <c r="A1901" s="141">
        <v>1796</v>
      </c>
    </row>
    <row r="1902" spans="1:1">
      <c r="A1902" s="141">
        <v>1797</v>
      </c>
    </row>
    <row r="1903" spans="1:1">
      <c r="A1903" s="141">
        <v>1798</v>
      </c>
    </row>
    <row r="1904" spans="1:1">
      <c r="A1904" s="141">
        <v>1799</v>
      </c>
    </row>
    <row r="1905" spans="1:1">
      <c r="A1905" s="141">
        <v>1800</v>
      </c>
    </row>
    <row r="1906" spans="1:1">
      <c r="A1906" s="141">
        <v>1801</v>
      </c>
    </row>
    <row r="1907" spans="1:1">
      <c r="A1907" s="141">
        <v>1802</v>
      </c>
    </row>
    <row r="1908" spans="1:1">
      <c r="A1908" s="141">
        <v>1803</v>
      </c>
    </row>
    <row r="1909" spans="1:1">
      <c r="A1909" s="141">
        <v>1804</v>
      </c>
    </row>
    <row r="1910" spans="1:1">
      <c r="A1910" s="141">
        <v>1805</v>
      </c>
    </row>
    <row r="1911" spans="1:1">
      <c r="A1911" s="141">
        <v>1806</v>
      </c>
    </row>
    <row r="1912" spans="1:1">
      <c r="A1912" s="141">
        <v>1807</v>
      </c>
    </row>
    <row r="1913" spans="1:1">
      <c r="A1913" s="141">
        <v>1808</v>
      </c>
    </row>
    <row r="1914" spans="1:1">
      <c r="A1914" s="141">
        <v>1809</v>
      </c>
    </row>
    <row r="1915" spans="1:1">
      <c r="A1915" s="141">
        <v>1810</v>
      </c>
    </row>
    <row r="1916" spans="1:1">
      <c r="A1916" s="141">
        <v>1811</v>
      </c>
    </row>
    <row r="1917" spans="1:1">
      <c r="A1917" s="141">
        <v>1812</v>
      </c>
    </row>
    <row r="1918" spans="1:1">
      <c r="A1918" s="141">
        <v>1813</v>
      </c>
    </row>
    <row r="1919" spans="1:1">
      <c r="A1919" s="141">
        <v>1814</v>
      </c>
    </row>
    <row r="1920" spans="1:1">
      <c r="A1920" s="141">
        <v>1815</v>
      </c>
    </row>
    <row r="1921" spans="1:1">
      <c r="A1921" s="141">
        <v>1816</v>
      </c>
    </row>
    <row r="1922" spans="1:1">
      <c r="A1922" s="141">
        <v>1817</v>
      </c>
    </row>
    <row r="1923" spans="1:1">
      <c r="A1923" s="141">
        <v>1818</v>
      </c>
    </row>
    <row r="1924" spans="1:1">
      <c r="A1924" s="141">
        <v>1819</v>
      </c>
    </row>
    <row r="1925" spans="1:1">
      <c r="A1925" s="141">
        <v>1820</v>
      </c>
    </row>
    <row r="1926" spans="1:1">
      <c r="A1926" s="141">
        <v>1821</v>
      </c>
    </row>
    <row r="1927" spans="1:1">
      <c r="A1927" s="141">
        <v>1822</v>
      </c>
    </row>
    <row r="1928" spans="1:1">
      <c r="A1928" s="141">
        <v>1823</v>
      </c>
    </row>
    <row r="1929" spans="1:1">
      <c r="A1929" s="141">
        <v>1824</v>
      </c>
    </row>
    <row r="1930" spans="1:1">
      <c r="A1930" s="141">
        <v>1825</v>
      </c>
    </row>
    <row r="1931" spans="1:1">
      <c r="A1931" s="141">
        <v>1826</v>
      </c>
    </row>
    <row r="1932" spans="1:1">
      <c r="A1932" s="141">
        <v>1827</v>
      </c>
    </row>
    <row r="1933" spans="1:1">
      <c r="A1933" s="141">
        <v>1828</v>
      </c>
    </row>
    <row r="1934" spans="1:1">
      <c r="A1934" s="141">
        <v>1829</v>
      </c>
    </row>
    <row r="1935" spans="1:1">
      <c r="A1935" s="141">
        <v>1830</v>
      </c>
    </row>
    <row r="1936" spans="1:1">
      <c r="A1936" s="141">
        <v>1831</v>
      </c>
    </row>
    <row r="1937" spans="1:1">
      <c r="A1937" s="141">
        <v>1832</v>
      </c>
    </row>
    <row r="1938" spans="1:1">
      <c r="A1938" s="141">
        <v>1833</v>
      </c>
    </row>
    <row r="1939" spans="1:1">
      <c r="A1939" s="141">
        <v>1834</v>
      </c>
    </row>
    <row r="1940" spans="1:1">
      <c r="A1940" s="141">
        <v>1835</v>
      </c>
    </row>
    <row r="1941" spans="1:1">
      <c r="A1941" s="141">
        <v>1836</v>
      </c>
    </row>
    <row r="1942" spans="1:1">
      <c r="A1942" s="141">
        <v>1837</v>
      </c>
    </row>
    <row r="1943" spans="1:1">
      <c r="A1943" s="141">
        <v>1838</v>
      </c>
    </row>
    <row r="1944" spans="1:1">
      <c r="A1944" s="141">
        <v>1839</v>
      </c>
    </row>
    <row r="1945" spans="1:1">
      <c r="A1945" s="141">
        <v>1840</v>
      </c>
    </row>
    <row r="1946" spans="1:1">
      <c r="A1946" s="141">
        <v>1841</v>
      </c>
    </row>
    <row r="1947" spans="1:1">
      <c r="A1947" s="141">
        <v>1842</v>
      </c>
    </row>
    <row r="1948" spans="1:1">
      <c r="A1948" s="141">
        <v>1843</v>
      </c>
    </row>
    <row r="1949" spans="1:1">
      <c r="A1949" s="141">
        <v>1844</v>
      </c>
    </row>
    <row r="1950" spans="1:1">
      <c r="A1950" s="141">
        <v>1845</v>
      </c>
    </row>
    <row r="1951" spans="1:1">
      <c r="A1951" s="141">
        <v>1846</v>
      </c>
    </row>
    <row r="1952" spans="1:1">
      <c r="A1952" s="141">
        <v>1847</v>
      </c>
    </row>
    <row r="1953" spans="1:1">
      <c r="A1953" s="141">
        <v>1848</v>
      </c>
    </row>
    <row r="1954" spans="1:1">
      <c r="A1954" s="141">
        <v>1849</v>
      </c>
    </row>
    <row r="1955" spans="1:1">
      <c r="A1955" s="141">
        <v>1850</v>
      </c>
    </row>
    <row r="1956" spans="1:1">
      <c r="A1956" s="141">
        <v>1851</v>
      </c>
    </row>
    <row r="1957" spans="1:1">
      <c r="A1957" s="141">
        <v>1852</v>
      </c>
    </row>
    <row r="1958" spans="1:1">
      <c r="A1958" s="141">
        <v>1853</v>
      </c>
    </row>
    <row r="1959" spans="1:1">
      <c r="A1959" s="141">
        <v>1854</v>
      </c>
    </row>
    <row r="1960" spans="1:1">
      <c r="A1960" s="141">
        <v>1855</v>
      </c>
    </row>
    <row r="1961" spans="1:1">
      <c r="A1961" s="141">
        <v>1856</v>
      </c>
    </row>
    <row r="1962" spans="1:1">
      <c r="A1962" s="141">
        <v>1857</v>
      </c>
    </row>
    <row r="1963" spans="1:1">
      <c r="A1963" s="141">
        <v>1858</v>
      </c>
    </row>
    <row r="1964" spans="1:1">
      <c r="A1964" s="141">
        <v>1859</v>
      </c>
    </row>
    <row r="1965" spans="1:1">
      <c r="A1965" s="141">
        <v>1860</v>
      </c>
    </row>
    <row r="1966" spans="1:1">
      <c r="A1966" s="141">
        <v>1861</v>
      </c>
    </row>
    <row r="1967" spans="1:1">
      <c r="A1967" s="141">
        <v>1862</v>
      </c>
    </row>
    <row r="1968" spans="1:1">
      <c r="A1968" s="141">
        <v>1863</v>
      </c>
    </row>
    <row r="1969" spans="1:1">
      <c r="A1969" s="141">
        <v>1864</v>
      </c>
    </row>
    <row r="1970" spans="1:1">
      <c r="A1970" s="141">
        <v>1865</v>
      </c>
    </row>
    <row r="1971" spans="1:1">
      <c r="A1971" s="141">
        <v>1866</v>
      </c>
    </row>
    <row r="1972" spans="1:1">
      <c r="A1972" s="141">
        <v>1867</v>
      </c>
    </row>
    <row r="1973" spans="1:1">
      <c r="A1973" s="141">
        <v>1868</v>
      </c>
    </row>
    <row r="1974" spans="1:1">
      <c r="A1974" s="141">
        <v>1869</v>
      </c>
    </row>
    <row r="1975" spans="1:1">
      <c r="A1975" s="141">
        <v>1870</v>
      </c>
    </row>
    <row r="1976" spans="1:1">
      <c r="A1976" s="141">
        <v>1871</v>
      </c>
    </row>
    <row r="1977" spans="1:1">
      <c r="A1977" s="141">
        <v>1872</v>
      </c>
    </row>
    <row r="1978" spans="1:1">
      <c r="A1978" s="141">
        <v>1873</v>
      </c>
    </row>
    <row r="1979" spans="1:1">
      <c r="A1979" s="141">
        <v>1874</v>
      </c>
    </row>
    <row r="1980" spans="1:1">
      <c r="A1980" s="141">
        <v>1875</v>
      </c>
    </row>
    <row r="1981" spans="1:1">
      <c r="A1981" s="141">
        <v>1876</v>
      </c>
    </row>
    <row r="1982" spans="1:1">
      <c r="A1982" s="141">
        <v>1877</v>
      </c>
    </row>
    <row r="1983" spans="1:1">
      <c r="A1983" s="141">
        <v>1878</v>
      </c>
    </row>
    <row r="1984" spans="1:1">
      <c r="A1984" s="141">
        <v>1879</v>
      </c>
    </row>
    <row r="1985" spans="1:1">
      <c r="A1985" s="141">
        <v>1880</v>
      </c>
    </row>
    <row r="1986" spans="1:1">
      <c r="A1986" s="141">
        <v>1881</v>
      </c>
    </row>
    <row r="1987" spans="1:1">
      <c r="A1987" s="141">
        <v>1882</v>
      </c>
    </row>
    <row r="1988" spans="1:1">
      <c r="A1988" s="141">
        <v>1883</v>
      </c>
    </row>
    <row r="1989" spans="1:1">
      <c r="A1989" s="141">
        <v>1884</v>
      </c>
    </row>
    <row r="1990" spans="1:1">
      <c r="A1990" s="141">
        <v>1885</v>
      </c>
    </row>
    <row r="1991" spans="1:1">
      <c r="A1991" s="141">
        <v>1886</v>
      </c>
    </row>
    <row r="1992" spans="1:1">
      <c r="A1992" s="141">
        <v>1887</v>
      </c>
    </row>
    <row r="1993" spans="1:1">
      <c r="A1993" s="141">
        <v>1888</v>
      </c>
    </row>
    <row r="1994" spans="1:1">
      <c r="A1994" s="141">
        <v>1889</v>
      </c>
    </row>
    <row r="1995" spans="1:1">
      <c r="A1995" s="141">
        <v>1890</v>
      </c>
    </row>
    <row r="1996" spans="1:1">
      <c r="A1996" s="141">
        <v>1891</v>
      </c>
    </row>
    <row r="1997" spans="1:1">
      <c r="A1997" s="141">
        <v>1892</v>
      </c>
    </row>
    <row r="1998" spans="1:1">
      <c r="A1998" s="141">
        <v>1893</v>
      </c>
    </row>
    <row r="1999" spans="1:1">
      <c r="A1999" s="141">
        <v>1894</v>
      </c>
    </row>
    <row r="2000" spans="1:1">
      <c r="A2000" s="141">
        <v>1895</v>
      </c>
    </row>
    <row r="2001" spans="1:1">
      <c r="A2001" s="141">
        <v>1896</v>
      </c>
    </row>
    <row r="2002" spans="1:1">
      <c r="A2002" s="141">
        <v>1897</v>
      </c>
    </row>
    <row r="2003" spans="1:1">
      <c r="A2003" s="141">
        <v>1898</v>
      </c>
    </row>
    <row r="2004" spans="1:1">
      <c r="A2004" s="141">
        <v>1899</v>
      </c>
    </row>
    <row r="2005" spans="1:1">
      <c r="A2005" s="141">
        <v>1900</v>
      </c>
    </row>
    <row r="2006" spans="1:1">
      <c r="A2006" s="141">
        <v>1901</v>
      </c>
    </row>
    <row r="2007" spans="1:1">
      <c r="A2007" s="141">
        <v>1902</v>
      </c>
    </row>
    <row r="2008" spans="1:1">
      <c r="A2008" s="141">
        <v>1903</v>
      </c>
    </row>
    <row r="2009" spans="1:1">
      <c r="A2009" s="141">
        <v>1904</v>
      </c>
    </row>
    <row r="2010" spans="1:1">
      <c r="A2010" s="141">
        <v>1905</v>
      </c>
    </row>
    <row r="2011" spans="1:1">
      <c r="A2011" s="141">
        <v>1906</v>
      </c>
    </row>
    <row r="2012" spans="1:1">
      <c r="A2012" s="141">
        <v>1907</v>
      </c>
    </row>
    <row r="2013" spans="1:1">
      <c r="A2013" s="141">
        <v>1908</v>
      </c>
    </row>
    <row r="2014" spans="1:1">
      <c r="A2014" s="141">
        <v>1909</v>
      </c>
    </row>
    <row r="2015" spans="1:1">
      <c r="A2015" s="141">
        <v>1910</v>
      </c>
    </row>
    <row r="2016" spans="1:1">
      <c r="A2016" s="141">
        <v>1911</v>
      </c>
    </row>
    <row r="2017" spans="1:1">
      <c r="A2017" s="141">
        <v>1912</v>
      </c>
    </row>
    <row r="2018" spans="1:1">
      <c r="A2018" s="141">
        <v>1913</v>
      </c>
    </row>
    <row r="2019" spans="1:1">
      <c r="A2019" s="141">
        <v>1914</v>
      </c>
    </row>
    <row r="2020" spans="1:1">
      <c r="A2020" s="141">
        <v>1915</v>
      </c>
    </row>
    <row r="2021" spans="1:1">
      <c r="A2021" s="141">
        <v>1916</v>
      </c>
    </row>
    <row r="2022" spans="1:1">
      <c r="A2022" s="141">
        <v>1917</v>
      </c>
    </row>
    <row r="2023" spans="1:1">
      <c r="A2023" s="141">
        <v>1918</v>
      </c>
    </row>
    <row r="2024" spans="1:1">
      <c r="A2024" s="141">
        <v>1919</v>
      </c>
    </row>
    <row r="2025" spans="1:1">
      <c r="A2025" s="141">
        <v>1920</v>
      </c>
    </row>
    <row r="2026" spans="1:1">
      <c r="A2026" s="141">
        <v>1921</v>
      </c>
    </row>
    <row r="2027" spans="1:1">
      <c r="A2027" s="141">
        <v>1922</v>
      </c>
    </row>
    <row r="2028" spans="1:1">
      <c r="A2028" s="141">
        <v>1923</v>
      </c>
    </row>
    <row r="2029" spans="1:1">
      <c r="A2029" s="141">
        <v>1924</v>
      </c>
    </row>
    <row r="2030" spans="1:1">
      <c r="A2030" s="141">
        <v>1925</v>
      </c>
    </row>
    <row r="2031" spans="1:1">
      <c r="A2031" s="141">
        <v>1926</v>
      </c>
    </row>
    <row r="2032" spans="1:1">
      <c r="A2032" s="141">
        <v>1927</v>
      </c>
    </row>
    <row r="2033" spans="1:1">
      <c r="A2033" s="141">
        <v>1928</v>
      </c>
    </row>
    <row r="2034" spans="1:1">
      <c r="A2034" s="141">
        <v>1929</v>
      </c>
    </row>
    <row r="2035" spans="1:1">
      <c r="A2035" s="141">
        <v>1930</v>
      </c>
    </row>
    <row r="2036" spans="1:1">
      <c r="A2036" s="141">
        <v>1931</v>
      </c>
    </row>
    <row r="2037" spans="1:1">
      <c r="A2037" s="141">
        <v>1932</v>
      </c>
    </row>
    <row r="2038" spans="1:1">
      <c r="A2038" s="141">
        <v>1933</v>
      </c>
    </row>
    <row r="2039" spans="1:1">
      <c r="A2039" s="141">
        <v>1934</v>
      </c>
    </row>
    <row r="2040" spans="1:1">
      <c r="A2040" s="141">
        <v>1935</v>
      </c>
    </row>
    <row r="2041" spans="1:1">
      <c r="A2041" s="141">
        <v>1936</v>
      </c>
    </row>
    <row r="2042" spans="1:1">
      <c r="A2042" s="141">
        <v>1937</v>
      </c>
    </row>
    <row r="2043" spans="1:1">
      <c r="A2043" s="141">
        <v>1938</v>
      </c>
    </row>
    <row r="2044" spans="1:1">
      <c r="A2044" s="141">
        <v>1939</v>
      </c>
    </row>
    <row r="2045" spans="1:1">
      <c r="A2045" s="141">
        <v>1940</v>
      </c>
    </row>
    <row r="2046" spans="1:1">
      <c r="A2046" s="141">
        <v>1941</v>
      </c>
    </row>
    <row r="2047" spans="1:1">
      <c r="A2047" s="141">
        <v>1942</v>
      </c>
    </row>
    <row r="2048" spans="1:1">
      <c r="A2048" s="141">
        <v>1943</v>
      </c>
    </row>
    <row r="2049" spans="1:1">
      <c r="A2049" s="141">
        <v>1944</v>
      </c>
    </row>
    <row r="2050" spans="1:1">
      <c r="A2050" s="141">
        <v>1945</v>
      </c>
    </row>
    <row r="2051" spans="1:1">
      <c r="A2051" s="141">
        <v>1946</v>
      </c>
    </row>
    <row r="2052" spans="1:1">
      <c r="A2052" s="141">
        <v>1947</v>
      </c>
    </row>
    <row r="2053" spans="1:1">
      <c r="A2053" s="141">
        <v>1948</v>
      </c>
    </row>
    <row r="2054" spans="1:1">
      <c r="A2054" s="141">
        <v>1949</v>
      </c>
    </row>
    <row r="2055" spans="1:1">
      <c r="A2055" s="141">
        <v>1950</v>
      </c>
    </row>
    <row r="2056" spans="1:1">
      <c r="A2056" s="141">
        <v>1951</v>
      </c>
    </row>
    <row r="2057" spans="1:1">
      <c r="A2057" s="141">
        <v>1952</v>
      </c>
    </row>
    <row r="2058" spans="1:1">
      <c r="A2058" s="141">
        <v>1953</v>
      </c>
    </row>
    <row r="2059" spans="1:1">
      <c r="A2059" s="141">
        <v>1954</v>
      </c>
    </row>
    <row r="2060" spans="1:1">
      <c r="A2060" s="141">
        <v>1955</v>
      </c>
    </row>
    <row r="2061" spans="1:1">
      <c r="A2061" s="141">
        <v>1956</v>
      </c>
    </row>
    <row r="2062" spans="1:1">
      <c r="A2062" s="141">
        <v>1957</v>
      </c>
    </row>
    <row r="2063" spans="1:1">
      <c r="A2063" s="141">
        <v>1958</v>
      </c>
    </row>
    <row r="2064" spans="1:1">
      <c r="A2064" s="141">
        <v>1959</v>
      </c>
    </row>
    <row r="2065" spans="1:1">
      <c r="A2065" s="141">
        <v>1960</v>
      </c>
    </row>
    <row r="2066" spans="1:1">
      <c r="A2066" s="141">
        <v>1961</v>
      </c>
    </row>
    <row r="2067" spans="1:1">
      <c r="A2067" s="141">
        <v>1962</v>
      </c>
    </row>
    <row r="2068" spans="1:1">
      <c r="A2068" s="141">
        <v>1963</v>
      </c>
    </row>
    <row r="2069" spans="1:1">
      <c r="A2069" s="141">
        <v>1964</v>
      </c>
    </row>
    <row r="2070" spans="1:1">
      <c r="A2070" s="141">
        <v>1965</v>
      </c>
    </row>
    <row r="2071" spans="1:1">
      <c r="A2071" s="141">
        <v>1966</v>
      </c>
    </row>
    <row r="2072" spans="1:1">
      <c r="A2072" s="141">
        <v>1967</v>
      </c>
    </row>
    <row r="2073" spans="1:1">
      <c r="A2073" s="141">
        <v>1968</v>
      </c>
    </row>
    <row r="2074" spans="1:1">
      <c r="A2074" s="141">
        <v>1969</v>
      </c>
    </row>
    <row r="2075" spans="1:1">
      <c r="A2075" s="141">
        <v>1970</v>
      </c>
    </row>
    <row r="2076" spans="1:1">
      <c r="A2076" s="141">
        <v>1971</v>
      </c>
    </row>
    <row r="2077" spans="1:1">
      <c r="A2077" s="141">
        <v>1972</v>
      </c>
    </row>
    <row r="2078" spans="1:1">
      <c r="A2078" s="141">
        <v>1973</v>
      </c>
    </row>
    <row r="2079" spans="1:1">
      <c r="A2079" s="141">
        <v>1974</v>
      </c>
    </row>
    <row r="2080" spans="1:1">
      <c r="A2080" s="141">
        <v>1975</v>
      </c>
    </row>
    <row r="2081" spans="1:1">
      <c r="A2081" s="141">
        <v>1976</v>
      </c>
    </row>
    <row r="2082" spans="1:1">
      <c r="A2082" s="141">
        <v>1977</v>
      </c>
    </row>
    <row r="2083" spans="1:1">
      <c r="A2083" s="141">
        <v>1978</v>
      </c>
    </row>
    <row r="2084" spans="1:1">
      <c r="A2084" s="141">
        <v>1979</v>
      </c>
    </row>
    <row r="2085" spans="1:1">
      <c r="A2085" s="141">
        <v>1980</v>
      </c>
    </row>
    <row r="2086" spans="1:1">
      <c r="A2086" s="141">
        <v>1981</v>
      </c>
    </row>
    <row r="2087" spans="1:1">
      <c r="A2087" s="141">
        <v>1982</v>
      </c>
    </row>
    <row r="2088" spans="1:1">
      <c r="A2088" s="141">
        <v>1983</v>
      </c>
    </row>
    <row r="2089" spans="1:1">
      <c r="A2089" s="141">
        <v>1984</v>
      </c>
    </row>
    <row r="2090" spans="1:1">
      <c r="A2090" s="141">
        <v>1985</v>
      </c>
    </row>
    <row r="2091" spans="1:1">
      <c r="A2091" s="141">
        <v>1986</v>
      </c>
    </row>
    <row r="2092" spans="1:1">
      <c r="A2092" s="141">
        <v>1987</v>
      </c>
    </row>
    <row r="2093" spans="1:1">
      <c r="A2093" s="141">
        <v>1988</v>
      </c>
    </row>
    <row r="2094" spans="1:1">
      <c r="A2094" s="141">
        <v>1989</v>
      </c>
    </row>
    <row r="2095" spans="1:1">
      <c r="A2095" s="141">
        <v>1990</v>
      </c>
    </row>
    <row r="2096" spans="1:1">
      <c r="A2096" s="141">
        <v>1991</v>
      </c>
    </row>
    <row r="2097" spans="1:1">
      <c r="A2097" s="141">
        <v>1992</v>
      </c>
    </row>
    <row r="2098" spans="1:1">
      <c r="A2098" s="141">
        <v>1993</v>
      </c>
    </row>
    <row r="2099" spans="1:1">
      <c r="A2099" s="141">
        <v>1994</v>
      </c>
    </row>
    <row r="2100" spans="1:1">
      <c r="A2100" s="141">
        <v>1995</v>
      </c>
    </row>
    <row r="2101" spans="1:1">
      <c r="A2101" s="141">
        <v>1996</v>
      </c>
    </row>
    <row r="2102" spans="1:1">
      <c r="A2102" s="141">
        <v>1997</v>
      </c>
    </row>
    <row r="2103" spans="1:1">
      <c r="A2103" s="141">
        <v>1998</v>
      </c>
    </row>
    <row r="2104" spans="1:1">
      <c r="A2104" s="141">
        <v>1999</v>
      </c>
    </row>
    <row r="2105" spans="1:1">
      <c r="A2105" s="141">
        <v>2000</v>
      </c>
    </row>
    <row r="2106" spans="1:1">
      <c r="A2106" s="141">
        <v>2001</v>
      </c>
    </row>
    <row r="2107" spans="1:1">
      <c r="A2107" s="141">
        <v>2002</v>
      </c>
    </row>
    <row r="2108" spans="1:1">
      <c r="A2108" s="141">
        <v>2003</v>
      </c>
    </row>
    <row r="2109" spans="1:1">
      <c r="A2109" s="141">
        <v>2004</v>
      </c>
    </row>
    <row r="2110" spans="1:1">
      <c r="A2110" s="141">
        <v>2005</v>
      </c>
    </row>
    <row r="2111" spans="1:1">
      <c r="A2111" s="141">
        <v>2006</v>
      </c>
    </row>
    <row r="2112" spans="1:1">
      <c r="A2112" s="141">
        <v>2007</v>
      </c>
    </row>
    <row r="2113" spans="1:1">
      <c r="A2113" s="141">
        <v>2008</v>
      </c>
    </row>
    <row r="2114" spans="1:1">
      <c r="A2114" s="141">
        <v>2009</v>
      </c>
    </row>
    <row r="2115" spans="1:1">
      <c r="A2115" s="141">
        <v>2010</v>
      </c>
    </row>
    <row r="2116" spans="1:1">
      <c r="A2116" s="141">
        <v>2011</v>
      </c>
    </row>
    <row r="2117" spans="1:1">
      <c r="A2117" s="141">
        <v>2012</v>
      </c>
    </row>
    <row r="2118" spans="1:1">
      <c r="A2118" s="141">
        <v>2013</v>
      </c>
    </row>
    <row r="2119" spans="1:1">
      <c r="A2119" s="141">
        <v>2014</v>
      </c>
    </row>
    <row r="2120" spans="1:1">
      <c r="A2120" s="141">
        <v>2015</v>
      </c>
    </row>
    <row r="2121" spans="1:1">
      <c r="A2121" s="141">
        <v>2016</v>
      </c>
    </row>
    <row r="2122" spans="1:1">
      <c r="A2122" s="141">
        <v>2017</v>
      </c>
    </row>
    <row r="2123" spans="1:1">
      <c r="A2123" s="141">
        <v>2018</v>
      </c>
    </row>
    <row r="2124" spans="1:1">
      <c r="A2124" s="141">
        <v>2019</v>
      </c>
    </row>
    <row r="2125" spans="1:1">
      <c r="A2125" s="141">
        <v>2020</v>
      </c>
    </row>
    <row r="2126" spans="1:1">
      <c r="A2126" s="141">
        <v>2021</v>
      </c>
    </row>
    <row r="2127" spans="1:1">
      <c r="A2127" s="141">
        <v>2022</v>
      </c>
    </row>
    <row r="2128" spans="1:1">
      <c r="A2128" s="141">
        <v>2023</v>
      </c>
    </row>
    <row r="2129" spans="1:1">
      <c r="A2129" s="141">
        <v>2024</v>
      </c>
    </row>
    <row r="2130" spans="1:1">
      <c r="A2130" s="141">
        <v>2025</v>
      </c>
    </row>
    <row r="2131" spans="1:1">
      <c r="A2131" s="141">
        <v>2026</v>
      </c>
    </row>
    <row r="2132" spans="1:1">
      <c r="A2132" s="141">
        <v>2027</v>
      </c>
    </row>
    <row r="2133" spans="1:1">
      <c r="A2133" s="141">
        <v>2028</v>
      </c>
    </row>
    <row r="2134" spans="1:1">
      <c r="A2134" s="141">
        <v>2029</v>
      </c>
    </row>
    <row r="2135" spans="1:1">
      <c r="A2135" s="141">
        <v>2030</v>
      </c>
    </row>
    <row r="2136" spans="1:1">
      <c r="A2136" s="141">
        <v>2031</v>
      </c>
    </row>
    <row r="2137" spans="1:1">
      <c r="A2137" s="141">
        <v>2032</v>
      </c>
    </row>
    <row r="2138" spans="1:1">
      <c r="A2138" s="141">
        <v>2033</v>
      </c>
    </row>
    <row r="2139" spans="1:1">
      <c r="A2139" s="141">
        <v>2034</v>
      </c>
    </row>
    <row r="2140" spans="1:1">
      <c r="A2140" s="141">
        <v>2035</v>
      </c>
    </row>
    <row r="2141" spans="1:1">
      <c r="A2141" s="141">
        <v>2036</v>
      </c>
    </row>
    <row r="2142" spans="1:1">
      <c r="A2142" s="141">
        <v>2037</v>
      </c>
    </row>
    <row r="2143" spans="1:1">
      <c r="A2143" s="141">
        <v>2038</v>
      </c>
    </row>
    <row r="2144" spans="1:1">
      <c r="A2144" s="141">
        <v>2039</v>
      </c>
    </row>
    <row r="2145" spans="1:1">
      <c r="A2145" s="141">
        <v>2040</v>
      </c>
    </row>
    <row r="2146" spans="1:1">
      <c r="A2146" s="141">
        <v>2041</v>
      </c>
    </row>
    <row r="2147" spans="1:1">
      <c r="A2147" s="141">
        <v>2042</v>
      </c>
    </row>
    <row r="2148" spans="1:1">
      <c r="A2148" s="141">
        <v>2043</v>
      </c>
    </row>
    <row r="2149" spans="1:1">
      <c r="A2149" s="141">
        <v>2044</v>
      </c>
    </row>
    <row r="2150" spans="1:1">
      <c r="A2150" s="141">
        <v>2045</v>
      </c>
    </row>
    <row r="2151" spans="1:1">
      <c r="A2151" s="141">
        <v>2046</v>
      </c>
    </row>
    <row r="2152" spans="1:1">
      <c r="A2152" s="141">
        <v>2047</v>
      </c>
    </row>
    <row r="2153" spans="1:1">
      <c r="A2153" s="141">
        <v>2048</v>
      </c>
    </row>
    <row r="2154" spans="1:1">
      <c r="A2154" s="141">
        <v>2049</v>
      </c>
    </row>
    <row r="2155" spans="1:1">
      <c r="A2155" s="141">
        <v>2050</v>
      </c>
    </row>
    <row r="2156" spans="1:1">
      <c r="A2156" s="141">
        <v>2051</v>
      </c>
    </row>
    <row r="2157" spans="1:1">
      <c r="A2157" s="141">
        <v>2052</v>
      </c>
    </row>
    <row r="2158" spans="1:1">
      <c r="A2158" s="141">
        <v>2053</v>
      </c>
    </row>
    <row r="2159" spans="1:1">
      <c r="A2159" s="141">
        <v>2054</v>
      </c>
    </row>
    <row r="2160" spans="1:1">
      <c r="A2160" s="141">
        <v>2055</v>
      </c>
    </row>
    <row r="2161" spans="1:1">
      <c r="A2161" s="141">
        <v>2056</v>
      </c>
    </row>
    <row r="2162" spans="1:1">
      <c r="A2162" s="141">
        <v>2057</v>
      </c>
    </row>
    <row r="2163" spans="1:1">
      <c r="A2163" s="141">
        <v>2058</v>
      </c>
    </row>
    <row r="2164" spans="1:1">
      <c r="A2164" s="141">
        <v>2059</v>
      </c>
    </row>
    <row r="2165" spans="1:1">
      <c r="A2165" s="141">
        <v>2060</v>
      </c>
    </row>
    <row r="2166" spans="1:1">
      <c r="A2166" s="141">
        <v>2061</v>
      </c>
    </row>
    <row r="2167" spans="1:1">
      <c r="A2167" s="141">
        <v>2062</v>
      </c>
    </row>
    <row r="2168" spans="1:1">
      <c r="A2168" s="141">
        <v>2063</v>
      </c>
    </row>
    <row r="2169" spans="1:1">
      <c r="A2169" s="141">
        <v>2064</v>
      </c>
    </row>
    <row r="2170" spans="1:1">
      <c r="A2170" s="141">
        <v>2065</v>
      </c>
    </row>
    <row r="2171" spans="1:1">
      <c r="A2171" s="141">
        <v>2066</v>
      </c>
    </row>
    <row r="2172" spans="1:1">
      <c r="A2172" s="141">
        <v>2067</v>
      </c>
    </row>
    <row r="2173" spans="1:1">
      <c r="A2173" s="141">
        <v>2068</v>
      </c>
    </row>
    <row r="2174" spans="1:1">
      <c r="A2174" s="141">
        <v>2069</v>
      </c>
    </row>
    <row r="2175" spans="1:1">
      <c r="A2175" s="141">
        <v>2070</v>
      </c>
    </row>
    <row r="2176" spans="1:1">
      <c r="A2176" s="141">
        <v>2071</v>
      </c>
    </row>
    <row r="2177" spans="1:1">
      <c r="A2177" s="141">
        <v>2072</v>
      </c>
    </row>
    <row r="2178" spans="1:1">
      <c r="A2178" s="141">
        <v>2073</v>
      </c>
    </row>
    <row r="2179" spans="1:1">
      <c r="A2179" s="141">
        <v>2074</v>
      </c>
    </row>
    <row r="2180" spans="1:1">
      <c r="A2180" s="141">
        <v>2075</v>
      </c>
    </row>
    <row r="2181" spans="1:1">
      <c r="A2181" s="141">
        <v>2076</v>
      </c>
    </row>
    <row r="2182" spans="1:1">
      <c r="A2182" s="141">
        <v>2077</v>
      </c>
    </row>
    <row r="2183" spans="1:1">
      <c r="A2183" s="141">
        <v>2078</v>
      </c>
    </row>
    <row r="2184" spans="1:1">
      <c r="A2184" s="141">
        <v>2079</v>
      </c>
    </row>
    <row r="2185" spans="1:1">
      <c r="A2185" s="141">
        <v>2080</v>
      </c>
    </row>
    <row r="2186" spans="1:1">
      <c r="A2186" s="141">
        <v>2081</v>
      </c>
    </row>
    <row r="2187" spans="1:1">
      <c r="A2187" s="141">
        <v>2082</v>
      </c>
    </row>
    <row r="2188" spans="1:1">
      <c r="A2188" s="141">
        <v>2083</v>
      </c>
    </row>
    <row r="2189" spans="1:1">
      <c r="A2189" s="141">
        <v>2084</v>
      </c>
    </row>
    <row r="2190" spans="1:1">
      <c r="A2190" s="141">
        <v>2085</v>
      </c>
    </row>
    <row r="2191" spans="1:1">
      <c r="A2191" s="141">
        <v>2086</v>
      </c>
    </row>
    <row r="2192" spans="1:1">
      <c r="A2192" s="141">
        <v>2087</v>
      </c>
    </row>
    <row r="2193" spans="1:1">
      <c r="A2193" s="141">
        <v>2088</v>
      </c>
    </row>
    <row r="2194" spans="1:1">
      <c r="A2194" s="141">
        <v>2089</v>
      </c>
    </row>
    <row r="2195" spans="1:1">
      <c r="A2195" s="141">
        <v>2090</v>
      </c>
    </row>
    <row r="2196" spans="1:1">
      <c r="A2196" s="141">
        <v>2091</v>
      </c>
    </row>
    <row r="2197" spans="1:1">
      <c r="A2197" s="141">
        <v>2092</v>
      </c>
    </row>
    <row r="2198" spans="1:1">
      <c r="A2198" s="141">
        <v>2093</v>
      </c>
    </row>
    <row r="2199" spans="1:1">
      <c r="A2199" s="141">
        <v>2094</v>
      </c>
    </row>
    <row r="2200" spans="1:1">
      <c r="A2200" s="141">
        <v>2095</v>
      </c>
    </row>
    <row r="2201" spans="1:1">
      <c r="A2201" s="141">
        <v>2096</v>
      </c>
    </row>
    <row r="2202" spans="1:1">
      <c r="A2202" s="141">
        <v>2097</v>
      </c>
    </row>
    <row r="2203" spans="1:1">
      <c r="A2203" s="141">
        <v>2098</v>
      </c>
    </row>
    <row r="2204" spans="1:1">
      <c r="A2204" s="141">
        <v>2099</v>
      </c>
    </row>
    <row r="2205" spans="1:1">
      <c r="A2205" s="141">
        <v>2100</v>
      </c>
    </row>
    <row r="2206" spans="1:1">
      <c r="A2206" s="141">
        <v>2101</v>
      </c>
    </row>
    <row r="2207" spans="1:1">
      <c r="A2207" s="141">
        <v>2102</v>
      </c>
    </row>
    <row r="2208" spans="1:1">
      <c r="A2208" s="141">
        <v>2103</v>
      </c>
    </row>
    <row r="2209" spans="1:1">
      <c r="A2209" s="141">
        <v>2104</v>
      </c>
    </row>
    <row r="2210" spans="1:1">
      <c r="A2210" s="141">
        <v>2105</v>
      </c>
    </row>
    <row r="2211" spans="1:1">
      <c r="A2211" s="141">
        <v>2106</v>
      </c>
    </row>
    <row r="2212" spans="1:1">
      <c r="A2212" s="141">
        <v>2107</v>
      </c>
    </row>
    <row r="2213" spans="1:1">
      <c r="A2213" s="141">
        <v>2108</v>
      </c>
    </row>
    <row r="2214" spans="1:1">
      <c r="A2214" s="141">
        <v>2109</v>
      </c>
    </row>
    <row r="2215" spans="1:1">
      <c r="A2215" s="141">
        <v>2110</v>
      </c>
    </row>
    <row r="2216" spans="1:1">
      <c r="A2216" s="141">
        <v>2111</v>
      </c>
    </row>
    <row r="2217" spans="1:1">
      <c r="A2217" s="141">
        <v>2112</v>
      </c>
    </row>
    <row r="2218" spans="1:1">
      <c r="A2218" s="141">
        <v>2113</v>
      </c>
    </row>
    <row r="2219" spans="1:1">
      <c r="A2219" s="141">
        <v>2114</v>
      </c>
    </row>
    <row r="2220" spans="1:1">
      <c r="A2220" s="141">
        <v>2115</v>
      </c>
    </row>
    <row r="2221" spans="1:1">
      <c r="A2221" s="141">
        <v>2116</v>
      </c>
    </row>
    <row r="2222" spans="1:1">
      <c r="A2222" s="141">
        <v>2117</v>
      </c>
    </row>
    <row r="2223" spans="1:1">
      <c r="A2223" s="141">
        <v>2118</v>
      </c>
    </row>
    <row r="2224" spans="1:1">
      <c r="A2224" s="141">
        <v>2119</v>
      </c>
    </row>
    <row r="2225" spans="1:1">
      <c r="A2225" s="141">
        <v>2120</v>
      </c>
    </row>
    <row r="2226" spans="1:1">
      <c r="A2226" s="141">
        <v>2121</v>
      </c>
    </row>
    <row r="2227" spans="1:1">
      <c r="A2227" s="141">
        <v>2122</v>
      </c>
    </row>
    <row r="2228" spans="1:1">
      <c r="A2228" s="141">
        <v>2123</v>
      </c>
    </row>
    <row r="2229" spans="1:1">
      <c r="A2229" s="141">
        <v>2124</v>
      </c>
    </row>
    <row r="2230" spans="1:1">
      <c r="A2230" s="141">
        <v>2125</v>
      </c>
    </row>
    <row r="2231" spans="1:1">
      <c r="A2231" s="141">
        <v>2126</v>
      </c>
    </row>
    <row r="2232" spans="1:1">
      <c r="A2232" s="141">
        <v>2127</v>
      </c>
    </row>
    <row r="2233" spans="1:1">
      <c r="A2233" s="141">
        <v>2128</v>
      </c>
    </row>
    <row r="2234" spans="1:1">
      <c r="A2234" s="141">
        <v>2129</v>
      </c>
    </row>
    <row r="2235" spans="1:1">
      <c r="A2235" s="141">
        <v>2130</v>
      </c>
    </row>
    <row r="2236" spans="1:1">
      <c r="A2236" s="141">
        <v>2131</v>
      </c>
    </row>
    <row r="2237" spans="1:1">
      <c r="A2237" s="141">
        <v>2132</v>
      </c>
    </row>
    <row r="2238" spans="1:1">
      <c r="A2238" s="141">
        <v>2133</v>
      </c>
    </row>
    <row r="2239" spans="1:1">
      <c r="A2239" s="141">
        <v>2134</v>
      </c>
    </row>
    <row r="2240" spans="1:1">
      <c r="A2240" s="141">
        <v>2135</v>
      </c>
    </row>
    <row r="2241" spans="1:1">
      <c r="A2241" s="141">
        <v>2136</v>
      </c>
    </row>
    <row r="2242" spans="1:1">
      <c r="A2242" s="141">
        <v>2137</v>
      </c>
    </row>
    <row r="2243" spans="1:1">
      <c r="A2243" s="141">
        <v>2138</v>
      </c>
    </row>
    <row r="2244" spans="1:1">
      <c r="A2244" s="141">
        <v>2139</v>
      </c>
    </row>
    <row r="2245" spans="1:1">
      <c r="A2245" s="141">
        <v>2140</v>
      </c>
    </row>
    <row r="2246" spans="1:1">
      <c r="A2246" s="141">
        <v>2141</v>
      </c>
    </row>
    <row r="2247" spans="1:1">
      <c r="A2247" s="141">
        <v>2142</v>
      </c>
    </row>
    <row r="2248" spans="1:1">
      <c r="A2248" s="141">
        <v>2143</v>
      </c>
    </row>
    <row r="2249" spans="1:1">
      <c r="A2249" s="141">
        <v>2144</v>
      </c>
    </row>
    <row r="2250" spans="1:1">
      <c r="A2250" s="141">
        <v>2145</v>
      </c>
    </row>
    <row r="2251" spans="1:1">
      <c r="A2251" s="141">
        <v>2146</v>
      </c>
    </row>
    <row r="2252" spans="1:1">
      <c r="A2252" s="141">
        <v>2147</v>
      </c>
    </row>
    <row r="2253" spans="1:1">
      <c r="A2253" s="141">
        <v>2148</v>
      </c>
    </row>
    <row r="2254" spans="1:1">
      <c r="A2254" s="141">
        <v>2149</v>
      </c>
    </row>
    <row r="2255" spans="1:1">
      <c r="A2255" s="141">
        <v>2150</v>
      </c>
    </row>
    <row r="2256" spans="1:1">
      <c r="A2256" s="141">
        <v>2151</v>
      </c>
    </row>
    <row r="2257" spans="1:1">
      <c r="A2257" s="141">
        <v>2152</v>
      </c>
    </row>
    <row r="2258" spans="1:1">
      <c r="A2258" s="141">
        <v>2153</v>
      </c>
    </row>
    <row r="2259" spans="1:1">
      <c r="A2259" s="141">
        <v>2154</v>
      </c>
    </row>
    <row r="2260" spans="1:1">
      <c r="A2260" s="141">
        <v>2155</v>
      </c>
    </row>
    <row r="2261" spans="1:1">
      <c r="A2261" s="141">
        <v>2156</v>
      </c>
    </row>
    <row r="2262" spans="1:1">
      <c r="A2262" s="141">
        <v>2157</v>
      </c>
    </row>
    <row r="2263" spans="1:1">
      <c r="A2263" s="141">
        <v>2158</v>
      </c>
    </row>
    <row r="2264" spans="1:1">
      <c r="A2264" s="141">
        <v>2159</v>
      </c>
    </row>
    <row r="2265" spans="1:1">
      <c r="A2265" s="141">
        <v>2160</v>
      </c>
    </row>
    <row r="2266" spans="1:1">
      <c r="A2266" s="141">
        <v>2161</v>
      </c>
    </row>
    <row r="2267" spans="1:1">
      <c r="A2267" s="141">
        <v>2162</v>
      </c>
    </row>
    <row r="2268" spans="1:1">
      <c r="A2268" s="141">
        <v>2163</v>
      </c>
    </row>
    <row r="2269" spans="1:1">
      <c r="A2269" s="141">
        <v>2164</v>
      </c>
    </row>
    <row r="2270" spans="1:1">
      <c r="A2270" s="141">
        <v>2165</v>
      </c>
    </row>
    <row r="2271" spans="1:1">
      <c r="A2271" s="141">
        <v>2166</v>
      </c>
    </row>
    <row r="2272" spans="1:1">
      <c r="A2272" s="141">
        <v>2167</v>
      </c>
    </row>
    <row r="2273" spans="1:1">
      <c r="A2273" s="141">
        <v>2168</v>
      </c>
    </row>
    <row r="2274" spans="1:1">
      <c r="A2274" s="141">
        <v>2169</v>
      </c>
    </row>
    <row r="2275" spans="1:1">
      <c r="A2275" s="141">
        <v>2170</v>
      </c>
    </row>
    <row r="2276" spans="1:1">
      <c r="A2276" s="141">
        <v>2171</v>
      </c>
    </row>
    <row r="2277" spans="1:1">
      <c r="A2277" s="141">
        <v>2172</v>
      </c>
    </row>
    <row r="2278" spans="1:1">
      <c r="A2278" s="141">
        <v>2173</v>
      </c>
    </row>
    <row r="2279" spans="1:1">
      <c r="A2279" s="141">
        <v>2174</v>
      </c>
    </row>
    <row r="2280" spans="1:1">
      <c r="A2280" s="141">
        <v>2175</v>
      </c>
    </row>
    <row r="2281" spans="1:1">
      <c r="A2281" s="141">
        <v>2176</v>
      </c>
    </row>
    <row r="2282" spans="1:1">
      <c r="A2282" s="141">
        <v>2177</v>
      </c>
    </row>
    <row r="2283" spans="1:1">
      <c r="A2283" s="141">
        <v>2178</v>
      </c>
    </row>
    <row r="2284" spans="1:1">
      <c r="A2284" s="141">
        <v>2179</v>
      </c>
    </row>
    <row r="2285" spans="1:1">
      <c r="A2285" s="141">
        <v>2180</v>
      </c>
    </row>
    <row r="2286" spans="1:1">
      <c r="A2286" s="141">
        <v>2181</v>
      </c>
    </row>
    <row r="2287" spans="1:1">
      <c r="A2287" s="141">
        <v>2182</v>
      </c>
    </row>
    <row r="2288" spans="1:1">
      <c r="A2288" s="141">
        <v>2183</v>
      </c>
    </row>
    <row r="2289" spans="1:1">
      <c r="A2289" s="141">
        <v>2184</v>
      </c>
    </row>
    <row r="2290" spans="1:1">
      <c r="A2290" s="141">
        <v>2185</v>
      </c>
    </row>
    <row r="2291" spans="1:1">
      <c r="A2291" s="141">
        <v>2186</v>
      </c>
    </row>
    <row r="2292" spans="1:1">
      <c r="A2292" s="141">
        <v>2187</v>
      </c>
    </row>
    <row r="2293" spans="1:1">
      <c r="A2293" s="141">
        <v>2188</v>
      </c>
    </row>
    <row r="2294" spans="1:1">
      <c r="A2294" s="141">
        <v>2189</v>
      </c>
    </row>
    <row r="2295" spans="1:1">
      <c r="A2295" s="141">
        <v>2190</v>
      </c>
    </row>
    <row r="2296" spans="1:1">
      <c r="A2296" s="141">
        <v>2191</v>
      </c>
    </row>
    <row r="2297" spans="1:1">
      <c r="A2297" s="141">
        <v>2192</v>
      </c>
    </row>
    <row r="2298" spans="1:1">
      <c r="A2298" s="141">
        <v>2193</v>
      </c>
    </row>
    <row r="2299" spans="1:1">
      <c r="A2299" s="141">
        <v>2194</v>
      </c>
    </row>
    <row r="2300" spans="1:1">
      <c r="A2300" s="141">
        <v>2195</v>
      </c>
    </row>
    <row r="2301" spans="1:1">
      <c r="A2301" s="141">
        <v>2196</v>
      </c>
    </row>
    <row r="2302" spans="1:1">
      <c r="A2302" s="141">
        <v>2197</v>
      </c>
    </row>
    <row r="2303" spans="1:1">
      <c r="A2303" s="141">
        <v>2198</v>
      </c>
    </row>
    <row r="2304" spans="1:1">
      <c r="A2304" s="141">
        <v>2199</v>
      </c>
    </row>
    <row r="2305" spans="1:1">
      <c r="A2305" s="141">
        <v>2200</v>
      </c>
    </row>
    <row r="2306" spans="1:1">
      <c r="A2306" s="141">
        <v>2201</v>
      </c>
    </row>
    <row r="2307" spans="1:1">
      <c r="A2307" s="141">
        <v>2202</v>
      </c>
    </row>
    <row r="2308" spans="1:1">
      <c r="A2308" s="141">
        <v>2203</v>
      </c>
    </row>
    <row r="2309" spans="1:1">
      <c r="A2309" s="141">
        <v>2204</v>
      </c>
    </row>
    <row r="2310" spans="1:1">
      <c r="A2310" s="141">
        <v>2205</v>
      </c>
    </row>
    <row r="2311" spans="1:1">
      <c r="A2311" s="141">
        <v>2206</v>
      </c>
    </row>
    <row r="2312" spans="1:1">
      <c r="A2312" s="141">
        <v>2207</v>
      </c>
    </row>
    <row r="2313" spans="1:1">
      <c r="A2313" s="141">
        <v>2208</v>
      </c>
    </row>
    <row r="2314" spans="1:1">
      <c r="A2314" s="141">
        <v>2209</v>
      </c>
    </row>
    <row r="2315" spans="1:1">
      <c r="A2315" s="141">
        <v>2210</v>
      </c>
    </row>
    <row r="2316" spans="1:1">
      <c r="A2316" s="141">
        <v>2211</v>
      </c>
    </row>
    <row r="2317" spans="1:1">
      <c r="A2317" s="141">
        <v>2212</v>
      </c>
    </row>
    <row r="2318" spans="1:1">
      <c r="A2318" s="141">
        <v>2213</v>
      </c>
    </row>
    <row r="2319" spans="1:1">
      <c r="A2319" s="141">
        <v>2214</v>
      </c>
    </row>
    <row r="2320" spans="1:1">
      <c r="A2320" s="141">
        <v>2215</v>
      </c>
    </row>
    <row r="2321" spans="1:1">
      <c r="A2321" s="141">
        <v>2216</v>
      </c>
    </row>
    <row r="2322" spans="1:1">
      <c r="A2322" s="141">
        <v>2217</v>
      </c>
    </row>
    <row r="2323" spans="1:1">
      <c r="A2323" s="141">
        <v>2218</v>
      </c>
    </row>
    <row r="2324" spans="1:1">
      <c r="A2324" s="141">
        <v>2219</v>
      </c>
    </row>
    <row r="2325" spans="1:1">
      <c r="A2325" s="141">
        <v>2220</v>
      </c>
    </row>
    <row r="2326" spans="1:1">
      <c r="A2326" s="141">
        <v>2221</v>
      </c>
    </row>
    <row r="2327" spans="1:1">
      <c r="A2327" s="141">
        <v>2222</v>
      </c>
    </row>
    <row r="2328" spans="1:1">
      <c r="A2328" s="141">
        <v>2223</v>
      </c>
    </row>
    <row r="2329" spans="1:1">
      <c r="A2329" s="141">
        <v>2224</v>
      </c>
    </row>
    <row r="2330" spans="1:1">
      <c r="A2330" s="141">
        <v>2225</v>
      </c>
    </row>
    <row r="2331" spans="1:1">
      <c r="A2331" s="141">
        <v>2226</v>
      </c>
    </row>
    <row r="2332" spans="1:1">
      <c r="A2332" s="141">
        <v>2227</v>
      </c>
    </row>
    <row r="2333" spans="1:1">
      <c r="A2333" s="141">
        <v>2228</v>
      </c>
    </row>
    <row r="2334" spans="1:1">
      <c r="A2334" s="141">
        <v>2229</v>
      </c>
    </row>
    <row r="2335" spans="1:1">
      <c r="A2335" s="141">
        <v>2230</v>
      </c>
    </row>
    <row r="2336" spans="1:1">
      <c r="A2336" s="141">
        <v>2231</v>
      </c>
    </row>
    <row r="2337" spans="1:1">
      <c r="A2337" s="141">
        <v>2232</v>
      </c>
    </row>
    <row r="2338" spans="1:1">
      <c r="A2338" s="141">
        <v>2233</v>
      </c>
    </row>
    <row r="2339" spans="1:1">
      <c r="A2339" s="141">
        <v>2234</v>
      </c>
    </row>
    <row r="2340" spans="1:1">
      <c r="A2340" s="141">
        <v>2235</v>
      </c>
    </row>
    <row r="2341" spans="1:1">
      <c r="A2341" s="141">
        <v>2236</v>
      </c>
    </row>
    <row r="2342" spans="1:1">
      <c r="A2342" s="141">
        <v>2237</v>
      </c>
    </row>
    <row r="2343" spans="1:1">
      <c r="A2343" s="141">
        <v>2238</v>
      </c>
    </row>
    <row r="2344" spans="1:1">
      <c r="A2344" s="141">
        <v>2239</v>
      </c>
    </row>
    <row r="2345" spans="1:1">
      <c r="A2345" s="141">
        <v>2240</v>
      </c>
    </row>
    <row r="2346" spans="1:1">
      <c r="A2346" s="141">
        <v>2241</v>
      </c>
    </row>
    <row r="2347" spans="1:1">
      <c r="A2347" s="141">
        <v>2242</v>
      </c>
    </row>
    <row r="2348" spans="1:1">
      <c r="A2348" s="141">
        <v>2243</v>
      </c>
    </row>
    <row r="2349" spans="1:1">
      <c r="A2349" s="141">
        <v>2244</v>
      </c>
    </row>
    <row r="2350" spans="1:1">
      <c r="A2350" s="141">
        <v>2245</v>
      </c>
    </row>
    <row r="2351" spans="1:1">
      <c r="A2351" s="141">
        <v>2246</v>
      </c>
    </row>
    <row r="2352" spans="1:1">
      <c r="A2352" s="141">
        <v>2247</v>
      </c>
    </row>
    <row r="2353" spans="1:1">
      <c r="A2353" s="141">
        <v>2248</v>
      </c>
    </row>
    <row r="2354" spans="1:1">
      <c r="A2354" s="141">
        <v>2249</v>
      </c>
    </row>
    <row r="2355" spans="1:1">
      <c r="A2355" s="141">
        <v>2250</v>
      </c>
    </row>
    <row r="2356" spans="1:1">
      <c r="A2356" s="141">
        <v>2251</v>
      </c>
    </row>
    <row r="2357" spans="1:1">
      <c r="A2357" s="141">
        <v>2252</v>
      </c>
    </row>
    <row r="2358" spans="1:1">
      <c r="A2358" s="141">
        <v>2253</v>
      </c>
    </row>
    <row r="2359" spans="1:1">
      <c r="A2359" s="141">
        <v>2254</v>
      </c>
    </row>
    <row r="2360" spans="1:1">
      <c r="A2360" s="141">
        <v>2255</v>
      </c>
    </row>
    <row r="2361" spans="1:1">
      <c r="A2361" s="141">
        <v>2256</v>
      </c>
    </row>
    <row r="2362" spans="1:1">
      <c r="A2362" s="141">
        <v>2257</v>
      </c>
    </row>
    <row r="2363" spans="1:1">
      <c r="A2363" s="141">
        <v>2258</v>
      </c>
    </row>
    <row r="2364" spans="1:1">
      <c r="A2364" s="141">
        <v>2259</v>
      </c>
    </row>
    <row r="2365" spans="1:1">
      <c r="A2365" s="141">
        <v>2260</v>
      </c>
    </row>
    <row r="2366" spans="1:1">
      <c r="A2366" s="141">
        <v>2261</v>
      </c>
    </row>
    <row r="2367" spans="1:1">
      <c r="A2367" s="141">
        <v>2262</v>
      </c>
    </row>
    <row r="2368" spans="1:1">
      <c r="A2368" s="141">
        <v>2263</v>
      </c>
    </row>
    <row r="2369" spans="1:1">
      <c r="A2369" s="141">
        <v>2264</v>
      </c>
    </row>
    <row r="2370" spans="1:1">
      <c r="A2370" s="141">
        <v>2265</v>
      </c>
    </row>
    <row r="2371" spans="1:1">
      <c r="A2371" s="141">
        <v>2266</v>
      </c>
    </row>
    <row r="2372" spans="1:1">
      <c r="A2372" s="141">
        <v>2267</v>
      </c>
    </row>
    <row r="2373" spans="1:1">
      <c r="A2373" s="141">
        <v>2268</v>
      </c>
    </row>
    <row r="2374" spans="1:1">
      <c r="A2374" s="141">
        <v>2269</v>
      </c>
    </row>
    <row r="2375" spans="1:1">
      <c r="A2375" s="141">
        <v>2270</v>
      </c>
    </row>
    <row r="2376" spans="1:1">
      <c r="A2376" s="141">
        <v>2271</v>
      </c>
    </row>
    <row r="2377" spans="1:1">
      <c r="A2377" s="141">
        <v>2272</v>
      </c>
    </row>
    <row r="2378" spans="1:1">
      <c r="A2378" s="141">
        <v>2273</v>
      </c>
    </row>
    <row r="2379" spans="1:1">
      <c r="A2379" s="141">
        <v>2274</v>
      </c>
    </row>
    <row r="2380" spans="1:1">
      <c r="A2380" s="141">
        <v>2275</v>
      </c>
    </row>
    <row r="2381" spans="1:1">
      <c r="A2381" s="141">
        <v>2276</v>
      </c>
    </row>
    <row r="2382" spans="1:1">
      <c r="A2382" s="141">
        <v>2277</v>
      </c>
    </row>
    <row r="2383" spans="1:1">
      <c r="A2383" s="141">
        <v>2278</v>
      </c>
    </row>
    <row r="2384" spans="1:1">
      <c r="A2384" s="141">
        <v>2279</v>
      </c>
    </row>
    <row r="2385" spans="1:1">
      <c r="A2385" s="141">
        <v>2280</v>
      </c>
    </row>
    <row r="2386" spans="1:1">
      <c r="A2386" s="141">
        <v>2281</v>
      </c>
    </row>
    <row r="2387" spans="1:1">
      <c r="A2387" s="141">
        <v>2282</v>
      </c>
    </row>
    <row r="2388" spans="1:1">
      <c r="A2388" s="141">
        <v>2283</v>
      </c>
    </row>
    <row r="2389" spans="1:1">
      <c r="A2389" s="141">
        <v>2284</v>
      </c>
    </row>
    <row r="2390" spans="1:1">
      <c r="A2390" s="141">
        <v>2285</v>
      </c>
    </row>
    <row r="2391" spans="1:1">
      <c r="A2391" s="141">
        <v>2286</v>
      </c>
    </row>
    <row r="2392" spans="1:1">
      <c r="A2392" s="141">
        <v>2287</v>
      </c>
    </row>
    <row r="2393" spans="1:1">
      <c r="A2393" s="141">
        <v>2288</v>
      </c>
    </row>
    <row r="2394" spans="1:1">
      <c r="A2394" s="141">
        <v>2289</v>
      </c>
    </row>
    <row r="2395" spans="1:1">
      <c r="A2395" s="141">
        <v>2290</v>
      </c>
    </row>
    <row r="2396" spans="1:1">
      <c r="A2396" s="141">
        <v>2291</v>
      </c>
    </row>
    <row r="2397" spans="1:1">
      <c r="A2397" s="141">
        <v>2292</v>
      </c>
    </row>
    <row r="2398" spans="1:1">
      <c r="A2398" s="141">
        <v>2293</v>
      </c>
    </row>
    <row r="2399" spans="1:1">
      <c r="A2399" s="141">
        <v>2294</v>
      </c>
    </row>
    <row r="2400" spans="1:1">
      <c r="A2400" s="141">
        <v>2295</v>
      </c>
    </row>
    <row r="2401" spans="1:1">
      <c r="A2401" s="141">
        <v>2296</v>
      </c>
    </row>
    <row r="2402" spans="1:1">
      <c r="A2402" s="141">
        <v>2297</v>
      </c>
    </row>
    <row r="2403" spans="1:1">
      <c r="A2403" s="141">
        <v>2298</v>
      </c>
    </row>
    <row r="2404" spans="1:1">
      <c r="A2404" s="141">
        <v>2299</v>
      </c>
    </row>
    <row r="2405" spans="1:1">
      <c r="A2405" s="141">
        <v>2300</v>
      </c>
    </row>
    <row r="2406" spans="1:1">
      <c r="A2406" s="141">
        <v>2301</v>
      </c>
    </row>
    <row r="2407" spans="1:1">
      <c r="A2407" s="141">
        <v>2302</v>
      </c>
    </row>
    <row r="2408" spans="1:1">
      <c r="A2408" s="141">
        <v>2303</v>
      </c>
    </row>
    <row r="2409" spans="1:1">
      <c r="A2409" s="141">
        <v>2304</v>
      </c>
    </row>
    <row r="2410" spans="1:1">
      <c r="A2410" s="141">
        <v>2305</v>
      </c>
    </row>
    <row r="2411" spans="1:1">
      <c r="A2411" s="141">
        <v>2306</v>
      </c>
    </row>
    <row r="2412" spans="1:1">
      <c r="A2412" s="141">
        <v>2307</v>
      </c>
    </row>
    <row r="2413" spans="1:1">
      <c r="A2413" s="141">
        <v>2308</v>
      </c>
    </row>
    <row r="2414" spans="1:1">
      <c r="A2414" s="141">
        <v>2309</v>
      </c>
    </row>
    <row r="2415" spans="1:1">
      <c r="A2415" s="141">
        <v>2310</v>
      </c>
    </row>
    <row r="2416" spans="1:1">
      <c r="A2416" s="141">
        <v>2311</v>
      </c>
    </row>
    <row r="2417" spans="1:1">
      <c r="A2417" s="141">
        <v>2312</v>
      </c>
    </row>
    <row r="2418" spans="1:1">
      <c r="A2418" s="141">
        <v>2313</v>
      </c>
    </row>
    <row r="2419" spans="1:1">
      <c r="A2419" s="141">
        <v>2314</v>
      </c>
    </row>
    <row r="2420" spans="1:1">
      <c r="A2420" s="141">
        <v>2315</v>
      </c>
    </row>
    <row r="2421" spans="1:1">
      <c r="A2421" s="141">
        <v>2316</v>
      </c>
    </row>
    <row r="2422" spans="1:1">
      <c r="A2422" s="141">
        <v>2317</v>
      </c>
    </row>
    <row r="2423" spans="1:1">
      <c r="A2423" s="141">
        <v>2318</v>
      </c>
    </row>
    <row r="2424" spans="1:1">
      <c r="A2424" s="141">
        <v>2319</v>
      </c>
    </row>
    <row r="2425" spans="1:1">
      <c r="A2425" s="141">
        <v>2320</v>
      </c>
    </row>
    <row r="2426" spans="1:1">
      <c r="A2426" s="141">
        <v>2321</v>
      </c>
    </row>
    <row r="2427" spans="1:1">
      <c r="A2427" s="141">
        <v>2322</v>
      </c>
    </row>
    <row r="2428" spans="1:1">
      <c r="A2428" s="141">
        <v>2323</v>
      </c>
    </row>
    <row r="2429" spans="1:1">
      <c r="A2429" s="141">
        <v>2324</v>
      </c>
    </row>
    <row r="2430" spans="1:1">
      <c r="A2430" s="141">
        <v>2325</v>
      </c>
    </row>
    <row r="2431" spans="1:1">
      <c r="A2431" s="141">
        <v>2326</v>
      </c>
    </row>
    <row r="2432" spans="1:1">
      <c r="A2432" s="141">
        <v>2327</v>
      </c>
    </row>
    <row r="2433" spans="1:1">
      <c r="A2433" s="141">
        <v>2328</v>
      </c>
    </row>
    <row r="2434" spans="1:1">
      <c r="A2434" s="141">
        <v>2329</v>
      </c>
    </row>
    <row r="2435" spans="1:1">
      <c r="A2435" s="141">
        <v>2330</v>
      </c>
    </row>
    <row r="2436" spans="1:1">
      <c r="A2436" s="141">
        <v>2331</v>
      </c>
    </row>
    <row r="2437" spans="1:1">
      <c r="A2437" s="141">
        <v>2332</v>
      </c>
    </row>
    <row r="2438" spans="1:1">
      <c r="A2438" s="141">
        <v>2333</v>
      </c>
    </row>
    <row r="2439" spans="1:1">
      <c r="A2439" s="141">
        <v>2334</v>
      </c>
    </row>
    <row r="2440" spans="1:1">
      <c r="A2440" s="141">
        <v>2335</v>
      </c>
    </row>
    <row r="2441" spans="1:1">
      <c r="A2441" s="141">
        <v>2336</v>
      </c>
    </row>
    <row r="2442" spans="1:1">
      <c r="A2442" s="141">
        <v>2337</v>
      </c>
    </row>
    <row r="2443" spans="1:1">
      <c r="A2443" s="141">
        <v>2338</v>
      </c>
    </row>
    <row r="2444" spans="1:1">
      <c r="A2444" s="141">
        <v>2339</v>
      </c>
    </row>
    <row r="2445" spans="1:1">
      <c r="A2445" s="141">
        <v>2340</v>
      </c>
    </row>
    <row r="2446" spans="1:1">
      <c r="A2446" s="141">
        <v>2341</v>
      </c>
    </row>
    <row r="2447" spans="1:1">
      <c r="A2447" s="141">
        <v>2342</v>
      </c>
    </row>
    <row r="2448" spans="1:1">
      <c r="A2448" s="141">
        <v>2343</v>
      </c>
    </row>
    <row r="2449" spans="1:1">
      <c r="A2449" s="141">
        <v>2344</v>
      </c>
    </row>
    <row r="2450" spans="1:1">
      <c r="A2450" s="141">
        <v>2345</v>
      </c>
    </row>
    <row r="2451" spans="1:1">
      <c r="A2451" s="141">
        <v>2346</v>
      </c>
    </row>
    <row r="2452" spans="1:1">
      <c r="A2452" s="141">
        <v>2347</v>
      </c>
    </row>
    <row r="2453" spans="1:1">
      <c r="A2453" s="141">
        <v>2348</v>
      </c>
    </row>
    <row r="2454" spans="1:1">
      <c r="A2454" s="141">
        <v>2349</v>
      </c>
    </row>
    <row r="2455" spans="1:1">
      <c r="A2455" s="141">
        <v>2350</v>
      </c>
    </row>
    <row r="2456" spans="1:1">
      <c r="A2456" s="141">
        <v>2351</v>
      </c>
    </row>
    <row r="2457" spans="1:1">
      <c r="A2457" s="141">
        <v>2352</v>
      </c>
    </row>
    <row r="2458" spans="1:1">
      <c r="A2458" s="141">
        <v>2353</v>
      </c>
    </row>
    <row r="2459" spans="1:1">
      <c r="A2459" s="141">
        <v>2354</v>
      </c>
    </row>
    <row r="2460" spans="1:1">
      <c r="A2460" s="141">
        <v>2355</v>
      </c>
    </row>
    <row r="2461" spans="1:1">
      <c r="A2461" s="141">
        <v>2356</v>
      </c>
    </row>
    <row r="2462" spans="1:1">
      <c r="A2462" s="141">
        <v>2357</v>
      </c>
    </row>
    <row r="2463" spans="1:1">
      <c r="A2463" s="141">
        <v>2358</v>
      </c>
    </row>
    <row r="2464" spans="1:1">
      <c r="A2464" s="141">
        <v>2359</v>
      </c>
    </row>
    <row r="2465" spans="1:1">
      <c r="A2465" s="141">
        <v>2360</v>
      </c>
    </row>
    <row r="2466" spans="1:1">
      <c r="A2466" s="141">
        <v>2361</v>
      </c>
    </row>
    <row r="2467" spans="1:1">
      <c r="A2467" s="141">
        <v>2362</v>
      </c>
    </row>
    <row r="2468" spans="1:1">
      <c r="A2468" s="141">
        <v>2363</v>
      </c>
    </row>
    <row r="2469" spans="1:1">
      <c r="A2469" s="141">
        <v>2364</v>
      </c>
    </row>
    <row r="2470" spans="1:1">
      <c r="A2470" s="141">
        <v>2365</v>
      </c>
    </row>
    <row r="2471" spans="1:1">
      <c r="A2471" s="141">
        <v>2366</v>
      </c>
    </row>
    <row r="2472" spans="1:1">
      <c r="A2472" s="141">
        <v>2367</v>
      </c>
    </row>
    <row r="2473" spans="1:1">
      <c r="A2473" s="141">
        <v>2368</v>
      </c>
    </row>
    <row r="2474" spans="1:1">
      <c r="A2474" s="141">
        <v>2369</v>
      </c>
    </row>
    <row r="2475" spans="1:1">
      <c r="A2475" s="141">
        <v>2370</v>
      </c>
    </row>
    <row r="2476" spans="1:1">
      <c r="A2476" s="141">
        <v>2371</v>
      </c>
    </row>
    <row r="2477" spans="1:1">
      <c r="A2477" s="141">
        <v>2372</v>
      </c>
    </row>
    <row r="2478" spans="1:1">
      <c r="A2478" s="141">
        <v>2373</v>
      </c>
    </row>
    <row r="2479" spans="1:1">
      <c r="A2479" s="141">
        <v>2374</v>
      </c>
    </row>
    <row r="2480" spans="1:1">
      <c r="A2480" s="141">
        <v>2375</v>
      </c>
    </row>
    <row r="2481" spans="1:1">
      <c r="A2481" s="141">
        <v>2376</v>
      </c>
    </row>
    <row r="2482" spans="1:1">
      <c r="A2482" s="141">
        <v>2377</v>
      </c>
    </row>
    <row r="2483" spans="1:1">
      <c r="A2483" s="141">
        <v>2378</v>
      </c>
    </row>
    <row r="2484" spans="1:1">
      <c r="A2484" s="141">
        <v>2379</v>
      </c>
    </row>
    <row r="2485" spans="1:1">
      <c r="A2485" s="141">
        <v>2380</v>
      </c>
    </row>
    <row r="2486" spans="1:1">
      <c r="A2486" s="141">
        <v>2381</v>
      </c>
    </row>
    <row r="2487" spans="1:1">
      <c r="A2487" s="141">
        <v>2382</v>
      </c>
    </row>
    <row r="2488" spans="1:1">
      <c r="A2488" s="141">
        <v>2383</v>
      </c>
    </row>
    <row r="2489" spans="1:1">
      <c r="A2489" s="141">
        <v>2384</v>
      </c>
    </row>
    <row r="2490" spans="1:1">
      <c r="A2490" s="141">
        <v>2385</v>
      </c>
    </row>
    <row r="2491" spans="1:1">
      <c r="A2491" s="141">
        <v>2386</v>
      </c>
    </row>
    <row r="2492" spans="1:1">
      <c r="A2492" s="141">
        <v>2387</v>
      </c>
    </row>
    <row r="2493" spans="1:1">
      <c r="A2493" s="141">
        <v>2388</v>
      </c>
    </row>
    <row r="2494" spans="1:1">
      <c r="A2494" s="141">
        <v>2389</v>
      </c>
    </row>
    <row r="2495" spans="1:1">
      <c r="A2495" s="141">
        <v>2390</v>
      </c>
    </row>
    <row r="2496" spans="1:1">
      <c r="A2496" s="141">
        <v>2391</v>
      </c>
    </row>
    <row r="2497" spans="1:1">
      <c r="A2497" s="141">
        <v>2392</v>
      </c>
    </row>
    <row r="2498" spans="1:1">
      <c r="A2498" s="141">
        <v>2393</v>
      </c>
    </row>
    <row r="2499" spans="1:1">
      <c r="A2499" s="141">
        <v>2394</v>
      </c>
    </row>
    <row r="2500" spans="1:1">
      <c r="A2500" s="141">
        <v>2395</v>
      </c>
    </row>
    <row r="2501" spans="1:1">
      <c r="A2501" s="141">
        <v>2396</v>
      </c>
    </row>
    <row r="2502" spans="1:1">
      <c r="A2502" s="141">
        <v>2397</v>
      </c>
    </row>
    <row r="2503" spans="1:1">
      <c r="A2503" s="141">
        <v>2398</v>
      </c>
    </row>
    <row r="2504" spans="1:1">
      <c r="A2504" s="141">
        <v>2399</v>
      </c>
    </row>
    <row r="2505" spans="1:1">
      <c r="A2505" s="141">
        <v>2400</v>
      </c>
    </row>
    <row r="2506" spans="1:1">
      <c r="A2506" s="141">
        <v>2401</v>
      </c>
    </row>
    <row r="2507" spans="1:1">
      <c r="A2507" s="141">
        <v>2402</v>
      </c>
    </row>
    <row r="2508" spans="1:1">
      <c r="A2508" s="141">
        <v>2403</v>
      </c>
    </row>
    <row r="2509" spans="1:1">
      <c r="A2509" s="141">
        <v>2404</v>
      </c>
    </row>
    <row r="2510" spans="1:1">
      <c r="A2510" s="141">
        <v>2405</v>
      </c>
    </row>
    <row r="2511" spans="1:1">
      <c r="A2511" s="141">
        <v>2406</v>
      </c>
    </row>
    <row r="2512" spans="1:1">
      <c r="A2512" s="141">
        <v>2407</v>
      </c>
    </row>
    <row r="2513" spans="1:1">
      <c r="A2513" s="141">
        <v>2408</v>
      </c>
    </row>
    <row r="2514" spans="1:1">
      <c r="A2514" s="141">
        <v>2409</v>
      </c>
    </row>
    <row r="2515" spans="1:1">
      <c r="A2515" s="141">
        <v>2410</v>
      </c>
    </row>
    <row r="2516" spans="1:1">
      <c r="A2516" s="141">
        <v>2411</v>
      </c>
    </row>
    <row r="2517" spans="1:1">
      <c r="A2517" s="141">
        <v>2412</v>
      </c>
    </row>
    <row r="2518" spans="1:1">
      <c r="A2518" s="141">
        <v>2413</v>
      </c>
    </row>
    <row r="2519" spans="1:1">
      <c r="A2519" s="141">
        <v>2414</v>
      </c>
    </row>
    <row r="2520" spans="1:1">
      <c r="A2520" s="141">
        <v>2415</v>
      </c>
    </row>
    <row r="2521" spans="1:1">
      <c r="A2521" s="141">
        <v>2416</v>
      </c>
    </row>
    <row r="2522" spans="1:1">
      <c r="A2522" s="141">
        <v>2417</v>
      </c>
    </row>
    <row r="2523" spans="1:1">
      <c r="A2523" s="141">
        <v>2418</v>
      </c>
    </row>
    <row r="2524" spans="1:1">
      <c r="A2524" s="141">
        <v>2419</v>
      </c>
    </row>
    <row r="2525" spans="1:1">
      <c r="A2525" s="141">
        <v>2420</v>
      </c>
    </row>
    <row r="2526" spans="1:1">
      <c r="A2526" s="141"/>
    </row>
    <row r="2527" spans="1:1">
      <c r="A2527" s="141"/>
    </row>
    <row r="2528" spans="1:1">
      <c r="A2528" s="141"/>
    </row>
    <row r="2529" spans="1:1">
      <c r="A2529" s="141"/>
    </row>
    <row r="2530" spans="1:1">
      <c r="A2530" s="141"/>
    </row>
    <row r="2531" spans="1:1">
      <c r="A2531" s="141"/>
    </row>
    <row r="2532" spans="1:1">
      <c r="A2532" s="141"/>
    </row>
    <row r="2533" spans="1:1">
      <c r="A2533" s="141"/>
    </row>
    <row r="2534" spans="1:1">
      <c r="A2534" s="141"/>
    </row>
    <row r="2535" spans="1:1">
      <c r="A2535" s="141"/>
    </row>
    <row r="2536" spans="1:1">
      <c r="A2536" s="141"/>
    </row>
    <row r="2537" spans="1:1">
      <c r="A2537" s="141"/>
    </row>
    <row r="2538" spans="1:1">
      <c r="A2538" s="141"/>
    </row>
    <row r="2539" spans="1:1">
      <c r="A2539" s="141"/>
    </row>
    <row r="2540" spans="1:1">
      <c r="A2540" s="141"/>
    </row>
    <row r="2541" spans="1:1">
      <c r="A2541" s="141"/>
    </row>
    <row r="2542" spans="1:1">
      <c r="A2542" s="141"/>
    </row>
    <row r="2543" spans="1:1">
      <c r="A2543" s="141"/>
    </row>
    <row r="2544" spans="1:1">
      <c r="A2544" s="141"/>
    </row>
    <row r="2545" spans="1:1">
      <c r="A2545" s="141"/>
    </row>
    <row r="2546" spans="1:1">
      <c r="A2546" s="141"/>
    </row>
    <row r="2547" spans="1:1">
      <c r="A2547" s="141"/>
    </row>
    <row r="2548" spans="1:1">
      <c r="A2548" s="141"/>
    </row>
    <row r="2549" spans="1:1">
      <c r="A2549" s="141"/>
    </row>
    <row r="2550" spans="1:1">
      <c r="A2550" s="141"/>
    </row>
    <row r="2551" spans="1:1">
      <c r="A2551" s="141"/>
    </row>
    <row r="2552" spans="1:1">
      <c r="A2552" s="141"/>
    </row>
    <row r="2553" spans="1:1">
      <c r="A2553" s="141"/>
    </row>
    <row r="2554" spans="1:1">
      <c r="A2554" s="141"/>
    </row>
    <row r="2555" spans="1:1">
      <c r="A2555" s="141"/>
    </row>
    <row r="2556" spans="1:1">
      <c r="A2556" s="141"/>
    </row>
    <row r="2557" spans="1:1">
      <c r="A2557" s="141"/>
    </row>
    <row r="2558" spans="1:1">
      <c r="A2558" s="141"/>
    </row>
    <row r="2559" spans="1:1">
      <c r="A2559" s="141"/>
    </row>
    <row r="2560" spans="1:1">
      <c r="A2560" s="141"/>
    </row>
    <row r="2561" spans="1:1">
      <c r="A2561" s="141"/>
    </row>
    <row r="2562" spans="1:1">
      <c r="A2562" s="141"/>
    </row>
    <row r="2563" spans="1:1">
      <c r="A2563" s="141"/>
    </row>
    <row r="2564" spans="1:1">
      <c r="A2564" s="141"/>
    </row>
    <row r="2565" spans="1:1">
      <c r="A2565" s="141"/>
    </row>
    <row r="2566" spans="1:1">
      <c r="A2566" s="141"/>
    </row>
    <row r="2567" spans="1:1">
      <c r="A2567" s="141"/>
    </row>
    <row r="2568" spans="1:1">
      <c r="A2568" s="141"/>
    </row>
    <row r="2569" spans="1:1">
      <c r="A2569" s="141"/>
    </row>
    <row r="2570" spans="1:1">
      <c r="A2570" s="141"/>
    </row>
    <row r="2571" spans="1:1">
      <c r="A2571" s="141"/>
    </row>
    <row r="2572" spans="1:1">
      <c r="A2572" s="141"/>
    </row>
    <row r="2573" spans="1:1">
      <c r="A2573" s="141"/>
    </row>
    <row r="2574" spans="1:1">
      <c r="A2574" s="141"/>
    </row>
    <row r="2575" spans="1:1">
      <c r="A2575" s="141"/>
    </row>
    <row r="2576" spans="1:1">
      <c r="A2576" s="141"/>
    </row>
    <row r="2577" spans="1:1">
      <c r="A2577" s="141"/>
    </row>
    <row r="2578" spans="1:1">
      <c r="A2578" s="141"/>
    </row>
    <row r="2579" spans="1:1">
      <c r="A2579" s="141"/>
    </row>
    <row r="2580" spans="1:1">
      <c r="A2580" s="141"/>
    </row>
    <row r="2581" spans="1:1">
      <c r="A2581" s="141"/>
    </row>
    <row r="2582" spans="1:1">
      <c r="A2582" s="141"/>
    </row>
    <row r="2583" spans="1:1">
      <c r="A2583" s="141"/>
    </row>
    <row r="2584" spans="1:1">
      <c r="A2584" s="141"/>
    </row>
    <row r="2585" spans="1:1">
      <c r="A2585" s="141"/>
    </row>
    <row r="2586" spans="1:1">
      <c r="A2586" s="141"/>
    </row>
    <row r="2587" spans="1:1">
      <c r="A2587" s="141"/>
    </row>
    <row r="2588" spans="1:1">
      <c r="A2588" s="141"/>
    </row>
    <row r="2589" spans="1:1">
      <c r="A2589" s="141"/>
    </row>
    <row r="2590" spans="1:1">
      <c r="A2590" s="141"/>
    </row>
    <row r="2591" spans="1:1">
      <c r="A2591" s="141"/>
    </row>
    <row r="2592" spans="1:1">
      <c r="A2592" s="141"/>
    </row>
    <row r="2593" spans="1:1">
      <c r="A2593" s="141"/>
    </row>
    <row r="2594" spans="1:1">
      <c r="A2594" s="141"/>
    </row>
    <row r="2595" spans="1:1">
      <c r="A2595" s="141"/>
    </row>
    <row r="2596" spans="1:1">
      <c r="A2596" s="141"/>
    </row>
    <row r="2597" spans="1:1">
      <c r="A2597" s="141"/>
    </row>
    <row r="2598" spans="1:1">
      <c r="A2598" s="141"/>
    </row>
    <row r="2599" spans="1:1">
      <c r="A2599" s="141"/>
    </row>
    <row r="2600" spans="1:1">
      <c r="A2600" s="141"/>
    </row>
    <row r="2601" spans="1:1">
      <c r="A2601" s="141"/>
    </row>
    <row r="2602" spans="1:1">
      <c r="A2602" s="141"/>
    </row>
    <row r="2603" spans="1:1">
      <c r="A2603" s="141"/>
    </row>
    <row r="2604" spans="1:1">
      <c r="A2604" s="141"/>
    </row>
    <row r="2605" spans="1:1">
      <c r="A2605" s="141"/>
    </row>
    <row r="2606" spans="1:1">
      <c r="A2606" s="141"/>
    </row>
    <row r="2607" spans="1:1">
      <c r="A2607" s="141"/>
    </row>
    <row r="2608" spans="1:1">
      <c r="A2608" s="141"/>
    </row>
    <row r="2609" spans="1:1">
      <c r="A2609" s="141"/>
    </row>
    <row r="2610" spans="1:1">
      <c r="A2610" s="141"/>
    </row>
    <row r="2611" spans="1:1">
      <c r="A2611" s="141"/>
    </row>
    <row r="2612" spans="1:1">
      <c r="A2612" s="141"/>
    </row>
    <row r="2613" spans="1:1">
      <c r="A2613" s="141"/>
    </row>
    <row r="2614" spans="1:1">
      <c r="A2614" s="141"/>
    </row>
    <row r="2615" spans="1:1">
      <c r="A2615" s="141"/>
    </row>
    <row r="2616" spans="1:1">
      <c r="A2616" s="141"/>
    </row>
    <row r="2617" spans="1:1">
      <c r="A2617" s="141"/>
    </row>
    <row r="2618" spans="1:1">
      <c r="A2618" s="141"/>
    </row>
    <row r="2619" spans="1:1">
      <c r="A2619" s="141"/>
    </row>
    <row r="2620" spans="1:1">
      <c r="A2620" s="141"/>
    </row>
    <row r="2621" spans="1:1">
      <c r="A2621" s="141"/>
    </row>
    <row r="2622" spans="1:1">
      <c r="A2622" s="141"/>
    </row>
    <row r="2623" spans="1:1">
      <c r="A2623" s="141"/>
    </row>
    <row r="2624" spans="1:1">
      <c r="A2624" s="141"/>
    </row>
    <row r="2625" spans="1:1">
      <c r="A2625" s="141"/>
    </row>
    <row r="2626" spans="1:1">
      <c r="A2626" s="141"/>
    </row>
    <row r="2627" spans="1:1">
      <c r="A2627" s="141"/>
    </row>
    <row r="2628" spans="1:1">
      <c r="A2628" s="141"/>
    </row>
    <row r="2629" spans="1:1">
      <c r="A2629" s="141"/>
    </row>
    <row r="2630" spans="1:1">
      <c r="A2630" s="141"/>
    </row>
    <row r="2631" spans="1:1">
      <c r="A2631" s="141"/>
    </row>
    <row r="2632" spans="1:1">
      <c r="A2632" s="141"/>
    </row>
    <row r="2633" spans="1:1">
      <c r="A2633" s="141"/>
    </row>
    <row r="2634" spans="1:1">
      <c r="A2634" s="141"/>
    </row>
    <row r="2635" spans="1:1">
      <c r="A2635" s="141"/>
    </row>
    <row r="2636" spans="1:1">
      <c r="A2636" s="141"/>
    </row>
    <row r="2637" spans="1:1">
      <c r="A2637" s="141"/>
    </row>
    <row r="2638" spans="1:1">
      <c r="A2638" s="141"/>
    </row>
    <row r="2639" spans="1:1">
      <c r="A2639" s="141"/>
    </row>
    <row r="2640" spans="1:1">
      <c r="A2640" s="141"/>
    </row>
    <row r="2641" spans="1:1">
      <c r="A2641" s="141"/>
    </row>
    <row r="2642" spans="1:1">
      <c r="A2642" s="141"/>
    </row>
    <row r="2643" spans="1:1">
      <c r="A2643" s="141"/>
    </row>
    <row r="2644" spans="1:1">
      <c r="A2644" s="141"/>
    </row>
    <row r="2645" spans="1:1">
      <c r="A2645" s="141"/>
    </row>
    <row r="2646" spans="1:1">
      <c r="A2646" s="141"/>
    </row>
    <row r="2647" spans="1:1">
      <c r="A2647" s="141"/>
    </row>
    <row r="2648" spans="1:1">
      <c r="A2648" s="141"/>
    </row>
    <row r="2649" spans="1:1">
      <c r="A2649" s="141"/>
    </row>
    <row r="2650" spans="1:1">
      <c r="A2650" s="141"/>
    </row>
    <row r="2651" spans="1:1">
      <c r="A2651" s="141"/>
    </row>
    <row r="2652" spans="1:1">
      <c r="A2652" s="141"/>
    </row>
    <row r="2653" spans="1:1">
      <c r="A2653" s="141"/>
    </row>
    <row r="2654" spans="1:1">
      <c r="A2654" s="141"/>
    </row>
    <row r="2655" spans="1:1">
      <c r="A2655" s="141"/>
    </row>
    <row r="2656" spans="1:1">
      <c r="A2656" s="141"/>
    </row>
    <row r="2657" spans="1:1">
      <c r="A2657" s="141"/>
    </row>
    <row r="2658" spans="1:1">
      <c r="A2658" s="141"/>
    </row>
    <row r="2659" spans="1:1">
      <c r="A2659" s="141"/>
    </row>
    <row r="2660" spans="1:1">
      <c r="A2660" s="141"/>
    </row>
    <row r="2661" spans="1:1">
      <c r="A2661" s="141"/>
    </row>
    <row r="2662" spans="1:1">
      <c r="A2662" s="141"/>
    </row>
    <row r="2663" spans="1:1">
      <c r="A2663" s="141"/>
    </row>
    <row r="2664" spans="1:1">
      <c r="A2664" s="141"/>
    </row>
    <row r="2665" spans="1:1">
      <c r="A2665" s="141"/>
    </row>
    <row r="2666" spans="1:1">
      <c r="A2666" s="141"/>
    </row>
    <row r="2667" spans="1:1">
      <c r="A2667" s="141"/>
    </row>
    <row r="2668" spans="1:1">
      <c r="A2668" s="141"/>
    </row>
    <row r="2669" spans="1:1">
      <c r="A2669" s="141"/>
    </row>
    <row r="2670" spans="1:1">
      <c r="A2670" s="141"/>
    </row>
    <row r="2671" spans="1:1">
      <c r="A2671" s="141"/>
    </row>
    <row r="2672" spans="1:1">
      <c r="A2672" s="141"/>
    </row>
    <row r="2673" spans="1:1">
      <c r="A2673" s="141"/>
    </row>
    <row r="2674" spans="1:1">
      <c r="A2674" s="141"/>
    </row>
    <row r="2675" spans="1:1">
      <c r="A2675" s="141"/>
    </row>
    <row r="2676" spans="1:1">
      <c r="A2676" s="141"/>
    </row>
    <row r="2677" spans="1:1">
      <c r="A2677" s="141"/>
    </row>
    <row r="2678" spans="1:1">
      <c r="A2678" s="141"/>
    </row>
    <row r="2679" spans="1:1">
      <c r="A2679" s="141"/>
    </row>
    <row r="2680" spans="1:1">
      <c r="A2680" s="141"/>
    </row>
    <row r="2681" spans="1:1">
      <c r="A2681" s="141"/>
    </row>
    <row r="2682" spans="1:1">
      <c r="A2682" s="141"/>
    </row>
    <row r="2683" spans="1:1">
      <c r="A2683" s="141"/>
    </row>
    <row r="2684" spans="1:1">
      <c r="A2684" s="141"/>
    </row>
    <row r="2685" spans="1:1">
      <c r="A2685" s="141"/>
    </row>
    <row r="2686" spans="1:1">
      <c r="A2686" s="141"/>
    </row>
    <row r="2687" spans="1:1">
      <c r="A2687" s="141"/>
    </row>
    <row r="2688" spans="1:1">
      <c r="A2688" s="141"/>
    </row>
    <row r="2689" spans="1:1">
      <c r="A2689" s="141"/>
    </row>
    <row r="2690" spans="1:1">
      <c r="A2690" s="141"/>
    </row>
    <row r="2691" spans="1:1">
      <c r="A2691" s="141"/>
    </row>
    <row r="2692" spans="1:1">
      <c r="A2692" s="141"/>
    </row>
    <row r="2693" spans="1:1">
      <c r="A2693" s="141"/>
    </row>
    <row r="2694" spans="1:1">
      <c r="A2694" s="141"/>
    </row>
    <row r="2695" spans="1:1">
      <c r="A2695" s="141"/>
    </row>
    <row r="2696" spans="1:1">
      <c r="A2696" s="141"/>
    </row>
    <row r="2697" spans="1:1">
      <c r="A2697" s="141"/>
    </row>
    <row r="2698" spans="1:1">
      <c r="A2698" s="141"/>
    </row>
    <row r="2699" spans="1:1">
      <c r="A2699" s="141"/>
    </row>
    <row r="2700" spans="1:1">
      <c r="A2700" s="141"/>
    </row>
    <row r="2701" spans="1:1">
      <c r="A2701" s="141"/>
    </row>
    <row r="2702" spans="1:1">
      <c r="A2702" s="141"/>
    </row>
    <row r="2703" spans="1:1">
      <c r="A2703" s="141"/>
    </row>
    <row r="2704" spans="1:1">
      <c r="A2704" s="141"/>
    </row>
    <row r="2705" spans="1:1">
      <c r="A2705" s="141"/>
    </row>
    <row r="2706" spans="1:1">
      <c r="A2706" s="141"/>
    </row>
    <row r="2707" spans="1:1">
      <c r="A2707" s="141"/>
    </row>
    <row r="2708" spans="1:1">
      <c r="A2708" s="141"/>
    </row>
    <row r="2709" spans="1:1">
      <c r="A2709" s="141"/>
    </row>
    <row r="2710" spans="1:1">
      <c r="A2710" s="141"/>
    </row>
    <row r="2711" spans="1:1">
      <c r="A2711" s="141"/>
    </row>
    <row r="2712" spans="1:1">
      <c r="A2712" s="141"/>
    </row>
    <row r="2713" spans="1:1">
      <c r="A2713" s="141"/>
    </row>
    <row r="2714" spans="1:1">
      <c r="A2714" s="141"/>
    </row>
    <row r="2715" spans="1:1">
      <c r="A2715" s="141"/>
    </row>
    <row r="2716" spans="1:1">
      <c r="A2716" s="141"/>
    </row>
    <row r="2717" spans="1:1">
      <c r="A2717" s="141"/>
    </row>
    <row r="2718" spans="1:1">
      <c r="A2718" s="141"/>
    </row>
    <row r="2719" spans="1:1">
      <c r="A2719" s="141"/>
    </row>
    <row r="2720" spans="1:1">
      <c r="A2720" s="141"/>
    </row>
    <row r="2721" spans="1:1">
      <c r="A2721" s="141"/>
    </row>
    <row r="2722" spans="1:1">
      <c r="A2722" s="141"/>
    </row>
    <row r="2723" spans="1:1">
      <c r="A2723" s="141"/>
    </row>
    <row r="2724" spans="1:1">
      <c r="A2724" s="141"/>
    </row>
    <row r="2725" spans="1:1">
      <c r="A2725" s="141"/>
    </row>
    <row r="2726" spans="1:1">
      <c r="A2726" s="141"/>
    </row>
    <row r="2727" spans="1:1">
      <c r="A2727" s="141"/>
    </row>
    <row r="2728" spans="1:1">
      <c r="A2728" s="141"/>
    </row>
    <row r="2729" spans="1:1">
      <c r="A2729" s="141"/>
    </row>
    <row r="2730" spans="1:1">
      <c r="A2730" s="141"/>
    </row>
    <row r="2731" spans="1:1">
      <c r="A2731" s="141"/>
    </row>
    <row r="2732" spans="1:1">
      <c r="A2732" s="141"/>
    </row>
    <row r="2733" spans="1:1">
      <c r="A2733" s="141"/>
    </row>
    <row r="2734" spans="1:1">
      <c r="A2734" s="141"/>
    </row>
    <row r="2735" spans="1:1">
      <c r="A2735" s="141"/>
    </row>
    <row r="2736" spans="1:1">
      <c r="A2736" s="141"/>
    </row>
    <row r="2737" spans="1:1">
      <c r="A2737" s="141"/>
    </row>
    <row r="2738" spans="1:1">
      <c r="A2738" s="141"/>
    </row>
    <row r="2739" spans="1:1">
      <c r="A2739" s="141"/>
    </row>
    <row r="2740" spans="1:1">
      <c r="A2740" s="141"/>
    </row>
    <row r="2741" spans="1:1">
      <c r="A2741" s="141"/>
    </row>
    <row r="2742" spans="1:1">
      <c r="A2742" s="141"/>
    </row>
    <row r="2743" spans="1:1">
      <c r="A2743" s="141"/>
    </row>
    <row r="2744" spans="1:1">
      <c r="A2744" s="141"/>
    </row>
    <row r="2745" spans="1:1">
      <c r="A2745" s="141"/>
    </row>
    <row r="2746" spans="1:1">
      <c r="A2746" s="141"/>
    </row>
    <row r="2747" spans="1:1">
      <c r="A2747" s="141"/>
    </row>
    <row r="2748" spans="1:1">
      <c r="A2748" s="141"/>
    </row>
    <row r="2749" spans="1:1">
      <c r="A2749" s="141"/>
    </row>
    <row r="2750" spans="1:1">
      <c r="A2750" s="141"/>
    </row>
    <row r="2751" spans="1:1">
      <c r="A2751" s="141"/>
    </row>
    <row r="2752" spans="1:1">
      <c r="A2752" s="141"/>
    </row>
    <row r="2753" spans="1:1">
      <c r="A2753" s="141"/>
    </row>
    <row r="2754" spans="1:1">
      <c r="A2754" s="141"/>
    </row>
    <row r="2755" spans="1:1">
      <c r="A2755" s="141"/>
    </row>
    <row r="2756" spans="1:1">
      <c r="A2756" s="141"/>
    </row>
    <row r="2757" spans="1:1">
      <c r="A2757" s="141"/>
    </row>
    <row r="2758" spans="1:1">
      <c r="A2758" s="141"/>
    </row>
    <row r="2759" spans="1:1">
      <c r="A2759" s="141"/>
    </row>
    <row r="2760" spans="1:1">
      <c r="A2760" s="141"/>
    </row>
    <row r="2761" spans="1:1">
      <c r="A2761" s="141"/>
    </row>
    <row r="2762" spans="1:1">
      <c r="A2762" s="141"/>
    </row>
    <row r="2763" spans="1:1">
      <c r="A2763" s="141"/>
    </row>
    <row r="2764" spans="1:1">
      <c r="A2764" s="141"/>
    </row>
    <row r="2765" spans="1:1">
      <c r="A2765" s="141"/>
    </row>
    <row r="2766" spans="1:1">
      <c r="A2766" s="141"/>
    </row>
    <row r="2767" spans="1:1">
      <c r="A2767" s="141"/>
    </row>
    <row r="2768" spans="1:1">
      <c r="A2768" s="141"/>
    </row>
    <row r="2769" spans="1:1">
      <c r="A2769" s="141"/>
    </row>
    <row r="2770" spans="1:1">
      <c r="A2770" s="141"/>
    </row>
    <row r="2771" spans="1:1">
      <c r="A2771" s="141"/>
    </row>
    <row r="2772" spans="1:1">
      <c r="A2772" s="141"/>
    </row>
    <row r="2773" spans="1:1">
      <c r="A2773" s="141"/>
    </row>
    <row r="2774" spans="1:1">
      <c r="A2774" s="141"/>
    </row>
    <row r="2775" spans="1:1">
      <c r="A2775" s="141"/>
    </row>
    <row r="2776" spans="1:1">
      <c r="A2776" s="141"/>
    </row>
    <row r="2777" spans="1:1">
      <c r="A2777" s="141"/>
    </row>
    <row r="2778" spans="1:1">
      <c r="A2778" s="141"/>
    </row>
    <row r="2779" spans="1:1">
      <c r="A2779" s="141"/>
    </row>
    <row r="2780" spans="1:1">
      <c r="A2780" s="141"/>
    </row>
    <row r="2781" spans="1:1">
      <c r="A2781" s="141"/>
    </row>
    <row r="2782" spans="1:1">
      <c r="A2782" s="141"/>
    </row>
    <row r="2783" spans="1:1">
      <c r="A2783" s="141"/>
    </row>
    <row r="2784" spans="1:1">
      <c r="A2784" s="141"/>
    </row>
    <row r="2785" spans="1:1">
      <c r="A2785" s="141"/>
    </row>
    <row r="2786" spans="1:1">
      <c r="A2786" s="141"/>
    </row>
    <row r="2787" spans="1:1">
      <c r="A2787" s="141"/>
    </row>
    <row r="2788" spans="1:1">
      <c r="A2788" s="141"/>
    </row>
    <row r="2789" spans="1:1">
      <c r="A2789" s="141"/>
    </row>
    <row r="2790" spans="1:1">
      <c r="A2790" s="141"/>
    </row>
    <row r="2791" spans="1:1">
      <c r="A2791" s="141"/>
    </row>
    <row r="2792" spans="1:1">
      <c r="A2792" s="141"/>
    </row>
    <row r="2793" spans="1:1">
      <c r="A2793" s="141"/>
    </row>
    <row r="2794" spans="1:1">
      <c r="A2794" s="141"/>
    </row>
    <row r="2795" spans="1:1">
      <c r="A2795" s="141"/>
    </row>
    <row r="2796" spans="1:1">
      <c r="A2796" s="141"/>
    </row>
    <row r="2797" spans="1:1">
      <c r="A2797" s="141"/>
    </row>
    <row r="2798" spans="1:1">
      <c r="A2798" s="141"/>
    </row>
    <row r="2799" spans="1:1">
      <c r="A2799" s="141"/>
    </row>
    <row r="2800" spans="1:1">
      <c r="A2800" s="141"/>
    </row>
    <row r="2801" spans="1:1">
      <c r="A2801" s="141"/>
    </row>
    <row r="2802" spans="1:1">
      <c r="A2802" s="141"/>
    </row>
    <row r="2803" spans="1:1">
      <c r="A2803" s="141"/>
    </row>
    <row r="2804" spans="1:1">
      <c r="A2804" s="141"/>
    </row>
    <row r="2805" spans="1:1">
      <c r="A2805" s="141"/>
    </row>
    <row r="2806" spans="1:1">
      <c r="A2806" s="141"/>
    </row>
    <row r="2807" spans="1:1">
      <c r="A2807" s="141"/>
    </row>
    <row r="2808" spans="1:1">
      <c r="A2808" s="141"/>
    </row>
    <row r="2809" spans="1:1">
      <c r="A2809" s="141"/>
    </row>
    <row r="2810" spans="1:1">
      <c r="A2810" s="141"/>
    </row>
    <row r="2811" spans="1:1">
      <c r="A2811" s="141"/>
    </row>
    <row r="2812" spans="1:1">
      <c r="A2812" s="141"/>
    </row>
    <row r="2813" spans="1:1">
      <c r="A2813" s="141"/>
    </row>
    <row r="2814" spans="1:1">
      <c r="A2814" s="141"/>
    </row>
    <row r="2815" spans="1:1">
      <c r="A2815" s="141"/>
    </row>
    <row r="2816" spans="1:1">
      <c r="A2816" s="141"/>
    </row>
    <row r="2817" spans="1:1">
      <c r="A2817" s="141"/>
    </row>
    <row r="2818" spans="1:1">
      <c r="A2818" s="141"/>
    </row>
    <row r="2819" spans="1:1">
      <c r="A2819" s="141"/>
    </row>
    <row r="2820" spans="1:1">
      <c r="A2820" s="141"/>
    </row>
    <row r="2821" spans="1:1">
      <c r="A2821" s="141"/>
    </row>
    <row r="2822" spans="1:1">
      <c r="A2822" s="141"/>
    </row>
    <row r="2823" spans="1:1">
      <c r="A2823" s="141"/>
    </row>
    <row r="2824" spans="1:1">
      <c r="A2824" s="141"/>
    </row>
    <row r="2825" spans="1:1">
      <c r="A2825" s="141"/>
    </row>
    <row r="2826" spans="1:1">
      <c r="A2826" s="141"/>
    </row>
    <row r="2827" spans="1:1">
      <c r="A2827" s="141"/>
    </row>
    <row r="2828" spans="1:1">
      <c r="A2828" s="141"/>
    </row>
    <row r="2829" spans="1:1">
      <c r="A2829" s="141"/>
    </row>
    <row r="2830" spans="1:1">
      <c r="A2830" s="141"/>
    </row>
    <row r="2831" spans="1:1">
      <c r="A2831" s="141"/>
    </row>
    <row r="2832" spans="1:1">
      <c r="A2832" s="141"/>
    </row>
    <row r="2833" spans="1:1">
      <c r="A2833" s="141"/>
    </row>
    <row r="2834" spans="1:1">
      <c r="A2834" s="141"/>
    </row>
    <row r="2835" spans="1:1">
      <c r="A2835" s="141"/>
    </row>
    <row r="2836" spans="1:1">
      <c r="A2836" s="141"/>
    </row>
    <row r="2837" spans="1:1">
      <c r="A2837" s="141"/>
    </row>
    <row r="2838" spans="1:1">
      <c r="A2838" s="141"/>
    </row>
    <row r="2839" spans="1:1">
      <c r="A2839" s="141"/>
    </row>
    <row r="2840" spans="1:1">
      <c r="A2840" s="141"/>
    </row>
    <row r="2841" spans="1:1">
      <c r="A2841" s="141"/>
    </row>
    <row r="2842" spans="1:1">
      <c r="A2842" s="141"/>
    </row>
    <row r="2843" spans="1:1">
      <c r="A2843" s="141"/>
    </row>
    <row r="2844" spans="1:1">
      <c r="A2844" s="141"/>
    </row>
    <row r="2845" spans="1:1">
      <c r="A2845" s="141"/>
    </row>
    <row r="2846" spans="1:1">
      <c r="A2846" s="141"/>
    </row>
    <row r="2847" spans="1:1">
      <c r="A2847" s="141"/>
    </row>
    <row r="2848" spans="1:1">
      <c r="A2848" s="141"/>
    </row>
    <row r="2849" spans="1:1">
      <c r="A2849" s="141"/>
    </row>
    <row r="2850" spans="1:1">
      <c r="A2850" s="141"/>
    </row>
    <row r="2851" spans="1:1">
      <c r="A2851" s="141"/>
    </row>
    <row r="2852" spans="1:1">
      <c r="A2852" s="141"/>
    </row>
    <row r="2853" spans="1:1">
      <c r="A2853" s="141"/>
    </row>
    <row r="2854" spans="1:1">
      <c r="A2854" s="141"/>
    </row>
    <row r="2855" spans="1:1">
      <c r="A2855" s="141"/>
    </row>
    <row r="2856" spans="1:1">
      <c r="A2856" s="141"/>
    </row>
    <row r="2857" spans="1:1">
      <c r="A2857" s="141"/>
    </row>
    <row r="2858" spans="1:1">
      <c r="A2858" s="141"/>
    </row>
    <row r="2859" spans="1:1">
      <c r="A2859" s="141"/>
    </row>
    <row r="2860" spans="1:1">
      <c r="A2860" s="141"/>
    </row>
    <row r="2861" spans="1:1">
      <c r="A2861" s="141"/>
    </row>
    <row r="2862" spans="1:1">
      <c r="A2862" s="141"/>
    </row>
    <row r="2863" spans="1:1">
      <c r="A2863" s="141"/>
    </row>
    <row r="2864" spans="1:1">
      <c r="A2864" s="141"/>
    </row>
    <row r="2865" spans="1:1">
      <c r="A2865" s="141"/>
    </row>
    <row r="2866" spans="1:1">
      <c r="A2866" s="141"/>
    </row>
    <row r="2867" spans="1:1">
      <c r="A2867" s="141"/>
    </row>
    <row r="2868" spans="1:1">
      <c r="A2868" s="141"/>
    </row>
    <row r="2869" spans="1:1">
      <c r="A2869" s="141"/>
    </row>
    <row r="2870" spans="1:1">
      <c r="A2870" s="141"/>
    </row>
    <row r="2871" spans="1:1">
      <c r="A2871" s="141"/>
    </row>
    <row r="2872" spans="1:1">
      <c r="A2872" s="141"/>
    </row>
    <row r="2873" spans="1:1">
      <c r="A2873" s="141"/>
    </row>
    <row r="2874" spans="1:1">
      <c r="A2874" s="141"/>
    </row>
    <row r="2875" spans="1:1">
      <c r="A2875" s="141"/>
    </row>
    <row r="2876" spans="1:1">
      <c r="A2876" s="141"/>
    </row>
    <row r="2877" spans="1:1">
      <c r="A2877" s="141"/>
    </row>
    <row r="2878" spans="1:1">
      <c r="A2878" s="141"/>
    </row>
    <row r="2879" spans="1:1">
      <c r="A2879" s="141"/>
    </row>
    <row r="2880" spans="1:1">
      <c r="A2880" s="141"/>
    </row>
    <row r="2881" spans="1:1">
      <c r="A2881" s="141"/>
    </row>
    <row r="2882" spans="1:1">
      <c r="A2882" s="141"/>
    </row>
    <row r="2883" spans="1:1">
      <c r="A2883" s="141"/>
    </row>
    <row r="2884" spans="1:1">
      <c r="A2884" s="141"/>
    </row>
    <row r="2885" spans="1:1">
      <c r="A2885" s="141"/>
    </row>
    <row r="2886" spans="1:1">
      <c r="A2886" s="141"/>
    </row>
    <row r="2887" spans="1:1">
      <c r="A2887" s="141"/>
    </row>
    <row r="2888" spans="1:1">
      <c r="A2888" s="141"/>
    </row>
    <row r="2889" spans="1:1">
      <c r="A2889" s="141"/>
    </row>
    <row r="2890" spans="1:1">
      <c r="A2890" s="141"/>
    </row>
    <row r="2891" spans="1:1">
      <c r="A2891" s="141"/>
    </row>
    <row r="2892" spans="1:1">
      <c r="A2892" s="141"/>
    </row>
    <row r="2893" spans="1:1">
      <c r="A2893" s="141"/>
    </row>
    <row r="2894" spans="1:1">
      <c r="A2894" s="141"/>
    </row>
    <row r="2895" spans="1:1">
      <c r="A2895" s="141"/>
    </row>
    <row r="2896" spans="1:1">
      <c r="A2896" s="141"/>
    </row>
    <row r="2897" spans="1:1">
      <c r="A2897" s="141"/>
    </row>
    <row r="2898" spans="1:1">
      <c r="A2898" s="141"/>
    </row>
    <row r="2899" spans="1:1">
      <c r="A2899" s="141"/>
    </row>
    <row r="2900" spans="1:1">
      <c r="A2900" s="141"/>
    </row>
    <row r="2901" spans="1:1">
      <c r="A2901" s="141"/>
    </row>
    <row r="2902" spans="1:1">
      <c r="A2902" s="141"/>
    </row>
    <row r="2903" spans="1:1">
      <c r="A2903" s="141"/>
    </row>
    <row r="2904" spans="1:1">
      <c r="A2904" s="141"/>
    </row>
    <row r="2905" spans="1:1">
      <c r="A2905" s="141"/>
    </row>
    <row r="2906" spans="1:1">
      <c r="A2906" s="141"/>
    </row>
    <row r="2907" spans="1:1">
      <c r="A2907" s="141"/>
    </row>
    <row r="2908" spans="1:1">
      <c r="A2908" s="141"/>
    </row>
    <row r="2909" spans="1:1">
      <c r="A2909" s="141"/>
    </row>
    <row r="2910" spans="1:1">
      <c r="A2910" s="141"/>
    </row>
    <row r="2911" spans="1:1">
      <c r="A2911" s="141"/>
    </row>
    <row r="2912" spans="1:1">
      <c r="A2912" s="141"/>
    </row>
    <row r="2913" spans="1:1">
      <c r="A2913" s="141"/>
    </row>
    <row r="2914" spans="1:1">
      <c r="A2914" s="141"/>
    </row>
    <row r="2915" spans="1:1">
      <c r="A2915" s="141"/>
    </row>
    <row r="2916" spans="1:1">
      <c r="A2916" s="141"/>
    </row>
    <row r="2917" spans="1:1">
      <c r="A2917" s="141"/>
    </row>
    <row r="2918" spans="1:1">
      <c r="A2918" s="141"/>
    </row>
    <row r="2919" spans="1:1">
      <c r="A2919" s="141"/>
    </row>
    <row r="2920" spans="1:1">
      <c r="A2920" s="141"/>
    </row>
    <row r="2921" spans="1:1">
      <c r="A2921" s="141"/>
    </row>
    <row r="2922" spans="1:1">
      <c r="A2922" s="141"/>
    </row>
    <row r="2923" spans="1:1">
      <c r="A2923" s="141"/>
    </row>
    <row r="2924" spans="1:1">
      <c r="A2924" s="141"/>
    </row>
    <row r="2925" spans="1:1">
      <c r="A2925" s="141"/>
    </row>
    <row r="2926" spans="1:1">
      <c r="A2926" s="141"/>
    </row>
    <row r="2927" spans="1:1">
      <c r="A2927" s="141"/>
    </row>
    <row r="2928" spans="1:1">
      <c r="A2928" s="141"/>
    </row>
    <row r="2929" spans="1:1">
      <c r="A2929" s="141"/>
    </row>
    <row r="2930" spans="1:1">
      <c r="A2930" s="141"/>
    </row>
    <row r="2931" spans="1:1">
      <c r="A2931" s="141"/>
    </row>
    <row r="2932" spans="1:1">
      <c r="A2932" s="141"/>
    </row>
    <row r="2933" spans="1:1">
      <c r="A2933" s="141"/>
    </row>
    <row r="2934" spans="1:1">
      <c r="A2934" s="141"/>
    </row>
    <row r="2935" spans="1:1">
      <c r="A2935" s="141"/>
    </row>
    <row r="2936" spans="1:1">
      <c r="A2936" s="141"/>
    </row>
    <row r="2937" spans="1:1">
      <c r="A2937" s="141"/>
    </row>
    <row r="2938" spans="1:1">
      <c r="A2938" s="141"/>
    </row>
    <row r="2939" spans="1:1">
      <c r="A2939" s="141"/>
    </row>
    <row r="2940" spans="1:1">
      <c r="A2940" s="141"/>
    </row>
    <row r="2941" spans="1:1">
      <c r="A2941" s="141"/>
    </row>
    <row r="2942" spans="1:1">
      <c r="A2942" s="141"/>
    </row>
    <row r="2943" spans="1:1">
      <c r="A2943" s="141"/>
    </row>
    <row r="2944" spans="1:1">
      <c r="A2944" s="141"/>
    </row>
    <row r="2945" spans="1:1">
      <c r="A2945" s="141"/>
    </row>
    <row r="2946" spans="1:1">
      <c r="A2946" s="141"/>
    </row>
    <row r="2947" spans="1:1">
      <c r="A2947" s="141"/>
    </row>
    <row r="2948" spans="1:1">
      <c r="A2948" s="141"/>
    </row>
    <row r="2949" spans="1:1">
      <c r="A2949" s="141"/>
    </row>
    <row r="2950" spans="1:1">
      <c r="A2950" s="141"/>
    </row>
    <row r="2951" spans="1:1">
      <c r="A2951" s="141"/>
    </row>
    <row r="2952" spans="1:1">
      <c r="A2952" s="141"/>
    </row>
    <row r="2953" spans="1:1">
      <c r="A2953" s="141"/>
    </row>
    <row r="2954" spans="1:1">
      <c r="A2954" s="141"/>
    </row>
    <row r="2955" spans="1:1">
      <c r="A2955" s="141"/>
    </row>
    <row r="2956" spans="1:1">
      <c r="A2956" s="141"/>
    </row>
    <row r="2957" spans="1:1">
      <c r="A2957" s="141"/>
    </row>
    <row r="2958" spans="1:1">
      <c r="A2958" s="141"/>
    </row>
    <row r="2959" spans="1:1">
      <c r="A2959" s="141"/>
    </row>
    <row r="2960" spans="1:1">
      <c r="A2960" s="141"/>
    </row>
    <row r="2961" spans="1:1">
      <c r="A2961" s="141"/>
    </row>
    <row r="2962" spans="1:1">
      <c r="A2962" s="141"/>
    </row>
    <row r="2963" spans="1:1">
      <c r="A2963" s="141"/>
    </row>
    <row r="2964" spans="1:1">
      <c r="A2964" s="141"/>
    </row>
    <row r="2965" spans="1:1">
      <c r="A2965" s="141"/>
    </row>
    <row r="2966" spans="1:1">
      <c r="A2966" s="141"/>
    </row>
    <row r="2967" spans="1:1">
      <c r="A2967" s="141"/>
    </row>
    <row r="2968" spans="1:1">
      <c r="A2968" s="141"/>
    </row>
    <row r="2969" spans="1:1">
      <c r="A2969" s="141"/>
    </row>
    <row r="2970" spans="1:1">
      <c r="A2970" s="141"/>
    </row>
    <row r="2971" spans="1:1">
      <c r="A2971" s="141"/>
    </row>
    <row r="2972" spans="1:1">
      <c r="A2972" s="141"/>
    </row>
    <row r="2973" spans="1:1">
      <c r="A2973" s="141"/>
    </row>
    <row r="2974" spans="1:1">
      <c r="A2974" s="141"/>
    </row>
    <row r="2975" spans="1:1">
      <c r="A2975" s="141"/>
    </row>
    <row r="2976" spans="1:1">
      <c r="A2976" s="141"/>
    </row>
    <row r="2977" spans="1:1">
      <c r="A2977" s="141"/>
    </row>
    <row r="2978" spans="1:1">
      <c r="A2978" s="141"/>
    </row>
    <row r="2979" spans="1:1">
      <c r="A2979" s="141"/>
    </row>
    <row r="2980" spans="1:1">
      <c r="A2980" s="141"/>
    </row>
    <row r="2981" spans="1:1">
      <c r="A2981" s="141"/>
    </row>
    <row r="2982" spans="1:1">
      <c r="A2982" s="141"/>
    </row>
    <row r="2983" spans="1:1">
      <c r="A2983" s="141"/>
    </row>
    <row r="2984" spans="1:1">
      <c r="A2984" s="141"/>
    </row>
    <row r="2985" spans="1:1">
      <c r="A2985" s="141"/>
    </row>
    <row r="2986" spans="1:1">
      <c r="A2986" s="141"/>
    </row>
    <row r="2987" spans="1:1">
      <c r="A2987" s="141"/>
    </row>
    <row r="2988" spans="1:1">
      <c r="A2988" s="141"/>
    </row>
    <row r="2989" spans="1:1">
      <c r="A2989" s="141"/>
    </row>
    <row r="2990" spans="1:1">
      <c r="A2990" s="141"/>
    </row>
    <row r="2991" spans="1:1">
      <c r="A2991" s="141"/>
    </row>
    <row r="2992" spans="1:1">
      <c r="A2992" s="141"/>
    </row>
    <row r="2993" spans="1:1">
      <c r="A2993" s="141"/>
    </row>
    <row r="2994" spans="1:1">
      <c r="A2994" s="141"/>
    </row>
    <row r="2995" spans="1:1">
      <c r="A2995" s="141"/>
    </row>
    <row r="2996" spans="1:1">
      <c r="A2996" s="141"/>
    </row>
    <row r="2997" spans="1:1">
      <c r="A2997" s="141"/>
    </row>
    <row r="2998" spans="1:1">
      <c r="A2998" s="141"/>
    </row>
    <row r="2999" spans="1:1">
      <c r="A2999" s="141"/>
    </row>
    <row r="3000" spans="1:1">
      <c r="A3000" s="141"/>
    </row>
    <row r="3001" spans="1:1">
      <c r="A3001" s="141"/>
    </row>
    <row r="3002" spans="1:1">
      <c r="A3002" s="141"/>
    </row>
    <row r="3003" spans="1:1">
      <c r="A3003" s="141"/>
    </row>
    <row r="3004" spans="1:1">
      <c r="A3004" s="141"/>
    </row>
    <row r="3005" spans="1:1">
      <c r="A3005" s="141"/>
    </row>
    <row r="3006" spans="1:1">
      <c r="A3006" s="141"/>
    </row>
    <row r="3007" spans="1:1">
      <c r="A3007" s="141"/>
    </row>
    <row r="3008" spans="1:1">
      <c r="A3008" s="141"/>
    </row>
    <row r="3009" spans="1:1">
      <c r="A3009" s="141"/>
    </row>
    <row r="3010" spans="1:1">
      <c r="A3010" s="141"/>
    </row>
    <row r="3011" spans="1:1">
      <c r="A3011" s="141"/>
    </row>
    <row r="3012" spans="1:1">
      <c r="A3012" s="141"/>
    </row>
    <row r="3013" spans="1:1">
      <c r="A3013" s="141"/>
    </row>
    <row r="3014" spans="1:1">
      <c r="A3014" s="141"/>
    </row>
    <row r="3015" spans="1:1">
      <c r="A3015" s="141"/>
    </row>
    <row r="3016" spans="1:1">
      <c r="A3016" s="141"/>
    </row>
    <row r="3017" spans="1:1">
      <c r="A3017" s="141"/>
    </row>
    <row r="3018" spans="1:1">
      <c r="A3018" s="141"/>
    </row>
    <row r="3019" spans="1:1">
      <c r="A3019" s="141"/>
    </row>
    <row r="3020" spans="1:1">
      <c r="A3020" s="141"/>
    </row>
    <row r="3021" spans="1:1">
      <c r="A3021" s="141"/>
    </row>
    <row r="3022" spans="1:1">
      <c r="A3022" s="141"/>
    </row>
    <row r="3023" spans="1:1">
      <c r="A3023" s="141"/>
    </row>
    <row r="3024" spans="1:1">
      <c r="A3024" s="141"/>
    </row>
    <row r="3025" spans="1:1">
      <c r="A3025" s="141"/>
    </row>
    <row r="3026" spans="1:1">
      <c r="A3026" s="141"/>
    </row>
    <row r="3027" spans="1:1">
      <c r="A3027" s="141"/>
    </row>
    <row r="3028" spans="1:1">
      <c r="A3028" s="141"/>
    </row>
    <row r="3029" spans="1:1">
      <c r="A3029" s="141"/>
    </row>
    <row r="3030" spans="1:1">
      <c r="A3030" s="141"/>
    </row>
    <row r="3031" spans="1:1">
      <c r="A3031" s="141"/>
    </row>
    <row r="3032" spans="1:1">
      <c r="A3032" s="141"/>
    </row>
    <row r="3033" spans="1:1">
      <c r="A3033" s="141"/>
    </row>
    <row r="3034" spans="1:1">
      <c r="A3034" s="141"/>
    </row>
    <row r="3035" spans="1:1">
      <c r="A3035" s="141"/>
    </row>
    <row r="3036" spans="1:1">
      <c r="A3036" s="141"/>
    </row>
    <row r="3037" spans="1:1">
      <c r="A3037" s="141"/>
    </row>
    <row r="3038" spans="1:1">
      <c r="A3038" s="141"/>
    </row>
    <row r="3039" spans="1:1">
      <c r="A3039" s="141"/>
    </row>
    <row r="3040" spans="1:1">
      <c r="A3040" s="141"/>
    </row>
    <row r="3041" spans="1:1">
      <c r="A3041" s="141"/>
    </row>
    <row r="3042" spans="1:1">
      <c r="A3042" s="141"/>
    </row>
    <row r="3043" spans="1:1">
      <c r="A3043" s="141"/>
    </row>
    <row r="3044" spans="1:1">
      <c r="A3044" s="141"/>
    </row>
    <row r="3045" spans="1:1">
      <c r="A3045" s="141"/>
    </row>
    <row r="3046" spans="1:1">
      <c r="A3046" s="141"/>
    </row>
    <row r="3047" spans="1:1">
      <c r="A3047" s="141"/>
    </row>
    <row r="3048" spans="1:1">
      <c r="A3048" s="141"/>
    </row>
    <row r="3049" spans="1:1">
      <c r="A3049" s="141"/>
    </row>
    <row r="3050" spans="1:1">
      <c r="A3050" s="141"/>
    </row>
    <row r="3051" spans="1:1">
      <c r="A3051" s="141"/>
    </row>
    <row r="3052" spans="1:1">
      <c r="A3052" s="141"/>
    </row>
    <row r="3053" spans="1:1">
      <c r="A3053" s="141"/>
    </row>
    <row r="3054" spans="1:1">
      <c r="A3054" s="141"/>
    </row>
    <row r="3055" spans="1:1">
      <c r="A3055" s="141"/>
    </row>
    <row r="3056" spans="1:1">
      <c r="A3056" s="141"/>
    </row>
    <row r="3057" spans="1:1">
      <c r="A3057" s="141"/>
    </row>
    <row r="3058" spans="1:1">
      <c r="A3058" s="141"/>
    </row>
    <row r="3059" spans="1:1">
      <c r="A3059" s="141"/>
    </row>
    <row r="3060" spans="1:1">
      <c r="A3060" s="141"/>
    </row>
    <row r="3061" spans="1:1">
      <c r="A3061" s="141"/>
    </row>
    <row r="3062" spans="1:1">
      <c r="A3062" s="141"/>
    </row>
    <row r="3063" spans="1:1">
      <c r="A3063" s="141"/>
    </row>
    <row r="3064" spans="1:1">
      <c r="A3064" s="141"/>
    </row>
    <row r="3065" spans="1:1">
      <c r="A3065" s="141"/>
    </row>
    <row r="3066" spans="1:1">
      <c r="A3066" s="141"/>
    </row>
    <row r="3067" spans="1:1">
      <c r="A3067" s="141"/>
    </row>
    <row r="3068" spans="1:1">
      <c r="A3068" s="141"/>
    </row>
    <row r="3069" spans="1:1">
      <c r="A3069" s="141"/>
    </row>
    <row r="3070" spans="1:1">
      <c r="A3070" s="141"/>
    </row>
    <row r="3071" spans="1:1">
      <c r="A3071" s="141"/>
    </row>
    <row r="3072" spans="1:1">
      <c r="A3072" s="141"/>
    </row>
    <row r="3073" spans="1:1">
      <c r="A3073" s="141"/>
    </row>
    <row r="3074" spans="1:1">
      <c r="A3074" s="141"/>
    </row>
    <row r="3075" spans="1:1">
      <c r="A3075" s="141"/>
    </row>
    <row r="3076" spans="1:1">
      <c r="A3076" s="141"/>
    </row>
    <row r="3077" spans="1:1">
      <c r="A3077" s="141"/>
    </row>
    <row r="3078" spans="1:1">
      <c r="A3078" s="141"/>
    </row>
    <row r="3079" spans="1:1">
      <c r="A3079" s="141"/>
    </row>
    <row r="3080" spans="1:1">
      <c r="A3080" s="141"/>
    </row>
    <row r="3081" spans="1:1">
      <c r="A3081" s="141"/>
    </row>
    <row r="3082" spans="1:1">
      <c r="A3082" s="141"/>
    </row>
    <row r="3083" spans="1:1">
      <c r="A3083" s="141"/>
    </row>
    <row r="3084" spans="1:1">
      <c r="A3084" s="141"/>
    </row>
    <row r="3085" spans="1:1">
      <c r="A3085" s="141"/>
    </row>
    <row r="3086" spans="1:1">
      <c r="A3086" s="141"/>
    </row>
    <row r="3087" spans="1:1">
      <c r="A3087" s="141"/>
    </row>
    <row r="3088" spans="1:1">
      <c r="A3088" s="141"/>
    </row>
    <row r="3089" spans="1:1">
      <c r="A3089" s="141"/>
    </row>
    <row r="3090" spans="1:1">
      <c r="A3090" s="141"/>
    </row>
    <row r="3091" spans="1:1">
      <c r="A3091" s="141"/>
    </row>
    <row r="3092" spans="1:1">
      <c r="A3092" s="141"/>
    </row>
    <row r="3093" spans="1:1">
      <c r="A3093" s="141"/>
    </row>
    <row r="3094" spans="1:1">
      <c r="A3094" s="141"/>
    </row>
    <row r="3095" spans="1:1">
      <c r="A3095" s="141"/>
    </row>
    <row r="3096" spans="1:1">
      <c r="A3096" s="141"/>
    </row>
    <row r="3097" spans="1:1">
      <c r="A3097" s="141"/>
    </row>
    <row r="3098" spans="1:1">
      <c r="A3098" s="141"/>
    </row>
    <row r="3099" spans="1:1">
      <c r="A3099" s="141"/>
    </row>
    <row r="3100" spans="1:1">
      <c r="A3100" s="141"/>
    </row>
    <row r="3101" spans="1:1">
      <c r="A3101" s="141"/>
    </row>
    <row r="3102" spans="1:1">
      <c r="A3102" s="141"/>
    </row>
    <row r="3103" spans="1:1">
      <c r="A3103" s="141"/>
    </row>
    <row r="3104" spans="1:1">
      <c r="A3104" s="141"/>
    </row>
    <row r="3105" spans="1:1">
      <c r="A3105" s="141"/>
    </row>
  </sheetData>
  <sheetProtection selectLockedCells="1"/>
  <protectedRanges>
    <protectedRange sqref="P83 P81:V82" name="区域1"/>
  </protectedRanges>
  <mergeCells count="217">
    <mergeCell ref="AB49:AB50"/>
    <mergeCell ref="AC49:AC50"/>
    <mergeCell ref="AD49:AD50"/>
    <mergeCell ref="R62:S62"/>
    <mergeCell ref="V59:W59"/>
    <mergeCell ref="V72:W72"/>
    <mergeCell ref="R63:S63"/>
    <mergeCell ref="R61:S61"/>
    <mergeCell ref="V61:W61"/>
    <mergeCell ref="V67:W67"/>
    <mergeCell ref="V65:W65"/>
    <mergeCell ref="R65:S65"/>
    <mergeCell ref="R66:S66"/>
    <mergeCell ref="V66:W66"/>
    <mergeCell ref="X69:Y69"/>
    <mergeCell ref="V70:W70"/>
    <mergeCell ref="V69:W69"/>
    <mergeCell ref="X70:Y70"/>
    <mergeCell ref="X71:Y71"/>
    <mergeCell ref="U49:W49"/>
    <mergeCell ref="V58:W58"/>
    <mergeCell ref="V60:W60"/>
    <mergeCell ref="X65:Y65"/>
    <mergeCell ref="X68:Y68"/>
    <mergeCell ref="P76:Q76"/>
    <mergeCell ref="P75:Q75"/>
    <mergeCell ref="V71:W71"/>
    <mergeCell ref="E74:F74"/>
    <mergeCell ref="G76:L76"/>
    <mergeCell ref="H69:I69"/>
    <mergeCell ref="H70:I70"/>
    <mergeCell ref="A76:B76"/>
    <mergeCell ref="E76:F76"/>
    <mergeCell ref="J72:N72"/>
    <mergeCell ref="H71:I71"/>
    <mergeCell ref="H72:I72"/>
    <mergeCell ref="J70:N70"/>
    <mergeCell ref="E75:F75"/>
    <mergeCell ref="A1:Z1"/>
    <mergeCell ref="R74:T74"/>
    <mergeCell ref="G75:H75"/>
    <mergeCell ref="G74:H74"/>
    <mergeCell ref="R71:S71"/>
    <mergeCell ref="R72:S72"/>
    <mergeCell ref="P74:Q74"/>
    <mergeCell ref="P73:Q73"/>
    <mergeCell ref="R75:T75"/>
    <mergeCell ref="R59:S59"/>
    <mergeCell ref="R67:S67"/>
    <mergeCell ref="R58:S58"/>
    <mergeCell ref="R60:S60"/>
    <mergeCell ref="V54:W54"/>
    <mergeCell ref="O70:O72"/>
    <mergeCell ref="R64:S64"/>
    <mergeCell ref="H59:I59"/>
    <mergeCell ref="A73:B73"/>
    <mergeCell ref="L73:M73"/>
    <mergeCell ref="A75:B75"/>
    <mergeCell ref="B68:C72"/>
    <mergeCell ref="H60:I60"/>
    <mergeCell ref="H61:I61"/>
    <mergeCell ref="H62:I62"/>
    <mergeCell ref="B60:C63"/>
    <mergeCell ref="D55:F55"/>
    <mergeCell ref="D56:F56"/>
    <mergeCell ref="D57:F57"/>
    <mergeCell ref="D58:F58"/>
    <mergeCell ref="D59:F59"/>
    <mergeCell ref="J68:N68"/>
    <mergeCell ref="J69:N69"/>
    <mergeCell ref="J58:N58"/>
    <mergeCell ref="J59:N59"/>
    <mergeCell ref="H55:I55"/>
    <mergeCell ref="H56:I56"/>
    <mergeCell ref="H57:I57"/>
    <mergeCell ref="B64:C67"/>
    <mergeCell ref="H63:I63"/>
    <mergeCell ref="H64:I64"/>
    <mergeCell ref="H65:I65"/>
    <mergeCell ref="H66:I66"/>
    <mergeCell ref="H67:I67"/>
    <mergeCell ref="H68:I68"/>
    <mergeCell ref="J60:N60"/>
    <mergeCell ref="J61:N61"/>
    <mergeCell ref="J62:N62"/>
    <mergeCell ref="H58:I58"/>
    <mergeCell ref="X67:Y67"/>
    <mergeCell ref="P51:Q65"/>
    <mergeCell ref="P66:Q72"/>
    <mergeCell ref="R70:S70"/>
    <mergeCell ref="V62:W62"/>
    <mergeCell ref="J71:N71"/>
    <mergeCell ref="J52:N52"/>
    <mergeCell ref="J53:N53"/>
    <mergeCell ref="J54:N54"/>
    <mergeCell ref="J55:N55"/>
    <mergeCell ref="J56:N56"/>
    <mergeCell ref="J57:N57"/>
    <mergeCell ref="H52:I52"/>
    <mergeCell ref="H53:I53"/>
    <mergeCell ref="H54:I54"/>
    <mergeCell ref="V51:W51"/>
    <mergeCell ref="R53:S53"/>
    <mergeCell ref="V64:W64"/>
    <mergeCell ref="V50:W50"/>
    <mergeCell ref="X72:Y72"/>
    <mergeCell ref="R69:S69"/>
    <mergeCell ref="R68:S68"/>
    <mergeCell ref="V68:W68"/>
    <mergeCell ref="V63:W63"/>
    <mergeCell ref="V55:W55"/>
    <mergeCell ref="R56:S56"/>
    <mergeCell ref="V56:W56"/>
    <mergeCell ref="R54:S54"/>
    <mergeCell ref="R55:S55"/>
    <mergeCell ref="V57:W57"/>
    <mergeCell ref="V52:W52"/>
    <mergeCell ref="R51:S51"/>
    <mergeCell ref="V53:W53"/>
    <mergeCell ref="R52:S52"/>
    <mergeCell ref="H50:I50"/>
    <mergeCell ref="X66:Y66"/>
    <mergeCell ref="AA47:AB47"/>
    <mergeCell ref="AA48:AB48"/>
    <mergeCell ref="C48:F48"/>
    <mergeCell ref="M39:N39"/>
    <mergeCell ref="M40:N40"/>
    <mergeCell ref="B51:C59"/>
    <mergeCell ref="R48:T48"/>
    <mergeCell ref="M48:N48"/>
    <mergeCell ref="A48:B48"/>
    <mergeCell ref="A49:B49"/>
    <mergeCell ref="R50:S50"/>
    <mergeCell ref="O49:Q49"/>
    <mergeCell ref="M49:N49"/>
    <mergeCell ref="R49:T49"/>
    <mergeCell ref="B50:C50"/>
    <mergeCell ref="P50:Q50"/>
    <mergeCell ref="R57:S57"/>
    <mergeCell ref="D51:F51"/>
    <mergeCell ref="D52:F52"/>
    <mergeCell ref="D53:F53"/>
    <mergeCell ref="D54:F54"/>
    <mergeCell ref="O48:Q48"/>
    <mergeCell ref="A47:W47"/>
    <mergeCell ref="C49:F49"/>
    <mergeCell ref="S2:U2"/>
    <mergeCell ref="Q2:R2"/>
    <mergeCell ref="A2:B2"/>
    <mergeCell ref="C2:E2"/>
    <mergeCell ref="X2:Z2"/>
    <mergeCell ref="G37:I37"/>
    <mergeCell ref="V2:W2"/>
    <mergeCell ref="R3:T3"/>
    <mergeCell ref="L2:M2"/>
    <mergeCell ref="N2:P2"/>
    <mergeCell ref="H2:K2"/>
    <mergeCell ref="F2:G2"/>
    <mergeCell ref="M36:N36"/>
    <mergeCell ref="M37:N38"/>
    <mergeCell ref="G38:I38"/>
    <mergeCell ref="X3:Z3"/>
    <mergeCell ref="V48:W48"/>
    <mergeCell ref="J48:L48"/>
    <mergeCell ref="G48:I48"/>
    <mergeCell ref="G36:I36"/>
    <mergeCell ref="I3:K3"/>
    <mergeCell ref="U3:W3"/>
    <mergeCell ref="A38:C38"/>
    <mergeCell ref="A40:C40"/>
    <mergeCell ref="A39:C39"/>
    <mergeCell ref="A3:B3"/>
    <mergeCell ref="C3:E3"/>
    <mergeCell ref="F46:G46"/>
    <mergeCell ref="G42:H42"/>
    <mergeCell ref="A42:C42"/>
    <mergeCell ref="A43:C43"/>
    <mergeCell ref="A44:C44"/>
    <mergeCell ref="A45:C45"/>
    <mergeCell ref="M42:N42"/>
    <mergeCell ref="M41:N41"/>
    <mergeCell ref="G49:I49"/>
    <mergeCell ref="J49:L49"/>
    <mergeCell ref="J51:N51"/>
    <mergeCell ref="A46:C46"/>
    <mergeCell ref="O3:Q3"/>
    <mergeCell ref="F3:H3"/>
    <mergeCell ref="L3:N3"/>
    <mergeCell ref="A36:C36"/>
    <mergeCell ref="A37:C37"/>
    <mergeCell ref="D46:E46"/>
    <mergeCell ref="H46:L46"/>
    <mergeCell ref="H51:I51"/>
    <mergeCell ref="F79:G79"/>
    <mergeCell ref="F81:G81"/>
    <mergeCell ref="F83:G83"/>
    <mergeCell ref="F85:G85"/>
    <mergeCell ref="F87:G87"/>
    <mergeCell ref="F89:G89"/>
    <mergeCell ref="G39:H39"/>
    <mergeCell ref="G40:H40"/>
    <mergeCell ref="M43:N43"/>
    <mergeCell ref="M44:N44"/>
    <mergeCell ref="M45:N45"/>
    <mergeCell ref="G43:H43"/>
    <mergeCell ref="G44:H44"/>
    <mergeCell ref="G45:H45"/>
    <mergeCell ref="D68:F68"/>
    <mergeCell ref="D69:F69"/>
    <mergeCell ref="D70:F70"/>
    <mergeCell ref="J63:N63"/>
    <mergeCell ref="J64:N64"/>
    <mergeCell ref="J65:N65"/>
    <mergeCell ref="J66:N66"/>
    <mergeCell ref="J67:N67"/>
    <mergeCell ref="D50:F50"/>
    <mergeCell ref="J50:N50"/>
  </mergeCells>
  <phoneticPr fontId="7" type="noConversion"/>
  <conditionalFormatting sqref="AE36:AE65">
    <cfRule type="duplicateValues" dxfId="6" priority="8"/>
  </conditionalFormatting>
  <conditionalFormatting sqref="AE45 AE36 AE49:AE54 AE56:AE71">
    <cfRule type="duplicateValues" dxfId="5" priority="6"/>
  </conditionalFormatting>
  <conditionalFormatting sqref="AE38:AE39">
    <cfRule type="duplicateValues" dxfId="4" priority="5"/>
  </conditionalFormatting>
  <conditionalFormatting sqref="AE37">
    <cfRule type="duplicateValues" dxfId="3" priority="4"/>
  </conditionalFormatting>
  <conditionalFormatting sqref="AE40:AE44">
    <cfRule type="duplicateValues" dxfId="2" priority="3"/>
  </conditionalFormatting>
  <conditionalFormatting sqref="AE46:AE48">
    <cfRule type="duplicateValues" dxfId="1" priority="2"/>
  </conditionalFormatting>
  <conditionalFormatting sqref="AE72:AE73 AE55">
    <cfRule type="duplicateValues" dxfId="0" priority="1"/>
  </conditionalFormatting>
  <dataValidations count="6">
    <dataValidation type="list" allowBlank="1" showInputMessage="1" showErrorMessage="1" sqref="J94:K94">
      <formula1>$V$56:$V$57</formula1>
    </dataValidation>
    <dataValidation type="list" allowBlank="1" showInputMessage="1" showErrorMessage="1" sqref="C3:E3">
      <formula1>$C$80:$C$91</formula1>
    </dataValidation>
    <dataValidation type="list" allowBlank="1" showInputMessage="1" showErrorMessage="1" sqref="B64:C67">
      <formula1>$R$80:$R$85</formula1>
    </dataValidation>
    <dataValidation type="list" allowBlank="1" showInputMessage="1" showErrorMessage="1" sqref="B5:D20 B23:D32">
      <formula1>$A$106:$A$3105</formula1>
    </dataValidation>
    <dataValidation type="list" allowBlank="1" showInputMessage="1" showErrorMessage="1" sqref="AB2">
      <formula1>$AE$35:$AE$73</formula1>
    </dataValidation>
    <dataValidation type="list" allowBlank="1" showInputMessage="1" showErrorMessage="1" sqref="AD2">
      <formula1>$AH$35:$AH$38</formula1>
    </dataValidation>
  </dataValidations>
  <printOptions horizontalCentered="1"/>
  <pageMargins left="0.39370078740157483" right="0.39370078740157483" top="0.11811023622047245" bottom="0.11811023622047245" header="0.51181102362204722" footer="0.51181102362204722"/>
  <pageSetup paperSize="9" scale="85" orientation="landscape" horizontalDpi="180" verticalDpi="180" r:id="rId1"/>
  <headerFooter alignWithMargins="0">
    <oddFooter>&amp;L
&amp;C
&amp;R共&amp;N页  第&amp;P页</oddFooter>
  </headerFooter>
  <rowBreaks count="1" manualBreakCount="1">
    <brk id="46" max="25" man="1"/>
  </rowBreaks>
</worksheet>
</file>

<file path=xl/worksheets/sheet4.xml><?xml version="1.0" encoding="utf-8"?>
<worksheet xmlns="http://schemas.openxmlformats.org/spreadsheetml/2006/main" xmlns:r="http://schemas.openxmlformats.org/officeDocument/2006/relationships">
  <sheetPr codeName="Sheet3">
    <tabColor rgb="FFFF0000"/>
  </sheetPr>
  <dimension ref="A1:XFC1048576"/>
  <sheetViews>
    <sheetView view="pageBreakPreview" topLeftCell="A13" zoomScaleSheetLayoutView="100" workbookViewId="0">
      <selection activeCell="C27" sqref="C27:D27"/>
    </sheetView>
  </sheetViews>
  <sheetFormatPr defaultRowHeight="15" customHeight="1"/>
  <cols>
    <col min="1" max="1" width="3.75" style="737" customWidth="1"/>
    <col min="2" max="2" width="3.625" style="737" customWidth="1"/>
    <col min="3" max="3" width="7.75" style="737" customWidth="1"/>
    <col min="4" max="4" width="12.625" style="737" customWidth="1"/>
    <col min="5" max="5" width="6.625" style="737" customWidth="1"/>
    <col min="6" max="6" width="6.875" style="737" customWidth="1"/>
    <col min="7" max="7" width="5" style="750" customWidth="1"/>
    <col min="8" max="8" width="3.625" style="737" customWidth="1"/>
    <col min="9" max="9" width="6.625" style="737" customWidth="1"/>
    <col min="10" max="10" width="1.625" style="737" customWidth="1"/>
    <col min="11" max="12" width="3.625" style="737" customWidth="1"/>
    <col min="13" max="13" width="5.625" style="737" customWidth="1"/>
    <col min="14" max="14" width="9.875" style="737" customWidth="1"/>
    <col min="15" max="15" width="6" style="737" customWidth="1"/>
    <col min="16" max="16" width="6.75" style="737" customWidth="1"/>
    <col min="17" max="17" width="6.625" style="737" customWidth="1"/>
    <col min="18" max="18" width="3.625" style="737" customWidth="1"/>
    <col min="19" max="19" width="6.625" style="737" customWidth="1"/>
    <col min="20" max="20" width="13.125" style="736" customWidth="1"/>
    <col min="21" max="21" width="7.75" style="736" customWidth="1"/>
    <col min="22" max="22" width="17.625" style="732" customWidth="1"/>
    <col min="23" max="23" width="4.875" style="732" customWidth="1"/>
    <col min="24" max="24" width="9.25" style="732" customWidth="1"/>
    <col min="25" max="25" width="18.5" style="736" customWidth="1"/>
    <col min="26" max="26" width="9.875" style="736" customWidth="1"/>
    <col min="27" max="28" width="10" style="736" customWidth="1"/>
    <col min="29" max="29" width="6.625" style="736" customWidth="1"/>
    <col min="30" max="30" width="6.5" style="736" customWidth="1"/>
    <col min="31" max="31" width="9" style="736"/>
    <col min="32" max="32" width="8.5" style="736" customWidth="1"/>
    <col min="33" max="33" width="6.375" style="736" customWidth="1"/>
    <col min="34" max="34" width="5.75" style="736" customWidth="1"/>
    <col min="35" max="35" width="12.625" style="736" customWidth="1"/>
    <col min="36" max="36" width="8.375" style="732" customWidth="1"/>
    <col min="37" max="37" width="24.875" style="736" customWidth="1"/>
    <col min="38" max="38" width="9" style="736"/>
    <col min="39" max="39" width="37.5" style="736" customWidth="1"/>
    <col min="40" max="40" width="9" style="736"/>
    <col min="41" max="16384" width="9" style="737"/>
  </cols>
  <sheetData>
    <row r="1" spans="1:33" ht="30" customHeight="1">
      <c r="A1" s="1133" t="str">
        <f>T1&amp;柜体!B3</f>
        <v>领料单——左岸都市II</v>
      </c>
      <c r="B1" s="1133"/>
      <c r="C1" s="1133"/>
      <c r="D1" s="1133"/>
      <c r="E1" s="1133"/>
      <c r="F1" s="1133"/>
      <c r="G1" s="1133"/>
      <c r="H1" s="1133"/>
      <c r="I1" s="1133"/>
      <c r="J1" s="731"/>
      <c r="K1" s="1133" t="str">
        <f>T2&amp;柜体!B3</f>
        <v>装箱清单——左岸都市II</v>
      </c>
      <c r="L1" s="1133"/>
      <c r="M1" s="1133"/>
      <c r="N1" s="1133"/>
      <c r="O1" s="1133"/>
      <c r="P1" s="1133"/>
      <c r="Q1" s="1133"/>
      <c r="R1" s="1133"/>
      <c r="S1" s="1133"/>
      <c r="T1" s="795" t="s">
        <v>1763</v>
      </c>
      <c r="U1" s="707" t="s">
        <v>1634</v>
      </c>
      <c r="V1" s="706"/>
      <c r="X1" s="732" t="s">
        <v>1635</v>
      </c>
      <c r="Y1" s="733" t="s">
        <v>1636</v>
      </c>
      <c r="Z1" s="734">
        <f>+Z2*2</f>
        <v>2</v>
      </c>
      <c r="AA1" s="735" t="s">
        <v>1637</v>
      </c>
      <c r="AE1" s="736" t="s">
        <v>1638</v>
      </c>
      <c r="AF1" s="736" t="s">
        <v>1639</v>
      </c>
      <c r="AG1" s="736" t="s">
        <v>1640</v>
      </c>
    </row>
    <row r="2" spans="1:33" ht="14.1" customHeight="1">
      <c r="A2" s="1126" t="s">
        <v>1697</v>
      </c>
      <c r="B2" s="1095"/>
      <c r="C2" s="1095"/>
      <c r="D2" s="1095" t="str">
        <f>下料单!C2</f>
        <v>杜鹃</v>
      </c>
      <c r="E2" s="1095"/>
      <c r="F2" s="1128" t="s">
        <v>1698</v>
      </c>
      <c r="G2" s="1095"/>
      <c r="H2" s="1095" t="str">
        <f>+下料单!S2</f>
        <v>西安</v>
      </c>
      <c r="I2" s="1078"/>
      <c r="J2" s="1099"/>
      <c r="K2" s="1080" t="s">
        <v>1697</v>
      </c>
      <c r="L2" s="1095"/>
      <c r="M2" s="1095"/>
      <c r="N2" s="1095" t="str">
        <f>D2</f>
        <v>杜鹃</v>
      </c>
      <c r="O2" s="1095"/>
      <c r="P2" s="1095" t="s">
        <v>1698</v>
      </c>
      <c r="Q2" s="1095"/>
      <c r="R2" s="1095" t="str">
        <f>H2</f>
        <v>西安</v>
      </c>
      <c r="S2" s="1140"/>
      <c r="T2" s="795" t="s">
        <v>1764</v>
      </c>
      <c r="U2" s="707" t="s">
        <v>1641</v>
      </c>
      <c r="V2" s="706"/>
      <c r="X2" s="732" t="s">
        <v>1642</v>
      </c>
      <c r="Y2" s="733" t="s">
        <v>1643</v>
      </c>
      <c r="Z2" s="734">
        <v>1</v>
      </c>
      <c r="AA2" s="735" t="s">
        <v>1644</v>
      </c>
      <c r="AE2" s="738" t="s">
        <v>775</v>
      </c>
      <c r="AF2" s="738" t="s">
        <v>1645</v>
      </c>
      <c r="AG2" s="739" t="s">
        <v>1646</v>
      </c>
    </row>
    <row r="3" spans="1:33" ht="14.1" customHeight="1">
      <c r="A3" s="1094" t="s">
        <v>1699</v>
      </c>
      <c r="B3" s="1069"/>
      <c r="C3" s="1069"/>
      <c r="D3" s="1069" t="str">
        <f>下料单!H2</f>
        <v>S400383705</v>
      </c>
      <c r="E3" s="1081"/>
      <c r="F3" s="730" t="s">
        <v>1757</v>
      </c>
      <c r="G3" s="1082">
        <f>下料单!N2</f>
        <v>0</v>
      </c>
      <c r="H3" s="1082"/>
      <c r="I3" s="1082"/>
      <c r="J3" s="1099"/>
      <c r="K3" s="1083" t="s">
        <v>1699</v>
      </c>
      <c r="L3" s="1069"/>
      <c r="M3" s="1069"/>
      <c r="N3" s="1069" t="str">
        <f>D3</f>
        <v>S400383705</v>
      </c>
      <c r="O3" s="1069"/>
      <c r="P3" s="730" t="s">
        <v>1757</v>
      </c>
      <c r="Q3" s="1082">
        <f>G3</f>
        <v>0</v>
      </c>
      <c r="R3" s="1082"/>
      <c r="S3" s="1142"/>
      <c r="T3" s="717" t="s">
        <v>1647</v>
      </c>
      <c r="U3" s="713"/>
      <c r="V3" s="714"/>
      <c r="W3" s="740"/>
      <c r="Y3" s="733" t="s">
        <v>1648</v>
      </c>
      <c r="Z3" s="734">
        <f>+Z2</f>
        <v>1</v>
      </c>
      <c r="AA3" s="735" t="s">
        <v>1649</v>
      </c>
      <c r="AB3" s="1116" t="s">
        <v>1650</v>
      </c>
      <c r="AE3" s="738" t="s">
        <v>776</v>
      </c>
      <c r="AF3" s="738" t="s">
        <v>699</v>
      </c>
      <c r="AG3" s="738" t="s">
        <v>777</v>
      </c>
    </row>
    <row r="4" spans="1:33" ht="14.1" customHeight="1">
      <c r="A4" s="760" t="s">
        <v>1700</v>
      </c>
      <c r="B4" s="761" t="s">
        <v>1701</v>
      </c>
      <c r="C4" s="1089" t="s">
        <v>1702</v>
      </c>
      <c r="D4" s="1089"/>
      <c r="E4" s="1089" t="s">
        <v>1703</v>
      </c>
      <c r="F4" s="1127"/>
      <c r="G4" s="761" t="s">
        <v>1704</v>
      </c>
      <c r="H4" s="761" t="s">
        <v>1705</v>
      </c>
      <c r="I4" s="786" t="s">
        <v>1706</v>
      </c>
      <c r="J4" s="1099"/>
      <c r="K4" s="794" t="s">
        <v>1700</v>
      </c>
      <c r="L4" s="761" t="s">
        <v>1701</v>
      </c>
      <c r="M4" s="1089" t="s">
        <v>1707</v>
      </c>
      <c r="N4" s="1089"/>
      <c r="O4" s="1089" t="s">
        <v>1708</v>
      </c>
      <c r="P4" s="1089"/>
      <c r="Q4" s="761" t="s">
        <v>1704</v>
      </c>
      <c r="R4" s="761" t="s">
        <v>1705</v>
      </c>
      <c r="S4" s="762" t="s">
        <v>1706</v>
      </c>
      <c r="T4" s="718" t="s">
        <v>1651</v>
      </c>
      <c r="U4" s="709">
        <f>(下料单!E21*12+下料单!E33*14)</f>
        <v>12</v>
      </c>
      <c r="V4" s="715" t="s">
        <v>1652</v>
      </c>
      <c r="W4" s="741">
        <f>$U$3*12</f>
        <v>0</v>
      </c>
      <c r="Y4" s="733" t="s">
        <v>1653</v>
      </c>
      <c r="Z4" s="734">
        <f>+Z2</f>
        <v>1</v>
      </c>
      <c r="AA4" s="735" t="s">
        <v>1649</v>
      </c>
      <c r="AB4" s="1117"/>
      <c r="AE4" s="738" t="s">
        <v>778</v>
      </c>
      <c r="AF4" s="738" t="s">
        <v>1645</v>
      </c>
      <c r="AG4" s="739" t="s">
        <v>1654</v>
      </c>
    </row>
    <row r="5" spans="1:33" ht="14.1" customHeight="1">
      <c r="A5" s="1096" t="s">
        <v>1631</v>
      </c>
      <c r="B5" s="1095">
        <v>1</v>
      </c>
      <c r="C5" s="1101" t="str">
        <f>+下料单!A80</f>
        <v>暖白双贴三聚氰胺E0级刨花板</v>
      </c>
      <c r="D5" s="1101"/>
      <c r="E5" s="1095" t="str">
        <f>+IF(C5="进口樱桃双贴三聚氰胺E0级刨花板","16*1830*2440","16*1220*2440")</f>
        <v>16*1220*2440</v>
      </c>
      <c r="F5" s="1095"/>
      <c r="G5" s="1102">
        <f>+下料单!A88</f>
        <v>0.46088062703219917</v>
      </c>
      <c r="H5" s="1095" t="s">
        <v>1709</v>
      </c>
      <c r="I5" s="1078"/>
      <c r="J5" s="1099"/>
      <c r="K5" s="1110" t="s">
        <v>1710</v>
      </c>
      <c r="L5" s="766">
        <v>1</v>
      </c>
      <c r="M5" s="1095" t="s">
        <v>1711</v>
      </c>
      <c r="N5" s="1095"/>
      <c r="O5" s="1095"/>
      <c r="P5" s="1095"/>
      <c r="Q5" s="783">
        <f>$U$4-$W$4</f>
        <v>12</v>
      </c>
      <c r="R5" s="766" t="s">
        <v>1712</v>
      </c>
      <c r="S5" s="768"/>
      <c r="T5" s="719" t="s">
        <v>1656</v>
      </c>
      <c r="U5" s="712">
        <f>(下料单!E21*22+下料单!E33*28)</f>
        <v>22</v>
      </c>
      <c r="V5" s="716" t="s">
        <v>1657</v>
      </c>
      <c r="W5" s="742">
        <f>$U$3*22</f>
        <v>0</v>
      </c>
      <c r="Y5" s="743"/>
      <c r="AE5" s="738" t="s">
        <v>779</v>
      </c>
      <c r="AF5" s="738" t="s">
        <v>1645</v>
      </c>
      <c r="AG5" s="738" t="s">
        <v>780</v>
      </c>
    </row>
    <row r="6" spans="1:33" ht="14.1" customHeight="1">
      <c r="A6" s="1097"/>
      <c r="B6" s="1069"/>
      <c r="C6" s="1074"/>
      <c r="D6" s="1074"/>
      <c r="E6" s="1069"/>
      <c r="F6" s="1069"/>
      <c r="G6" s="1103"/>
      <c r="H6" s="1069"/>
      <c r="I6" s="1081"/>
      <c r="J6" s="1099"/>
      <c r="K6" s="1111"/>
      <c r="L6" s="751">
        <v>2</v>
      </c>
      <c r="M6" s="1074" t="s">
        <v>1713</v>
      </c>
      <c r="N6" s="1069"/>
      <c r="O6" s="1069" t="s">
        <v>1756</v>
      </c>
      <c r="P6" s="1069"/>
      <c r="Q6" s="725">
        <f>$U$5-$W$5</f>
        <v>22</v>
      </c>
      <c r="R6" s="751" t="s">
        <v>1714</v>
      </c>
      <c r="S6" s="763"/>
      <c r="T6" s="707" t="s">
        <v>1658</v>
      </c>
      <c r="U6" s="707"/>
      <c r="V6" s="707"/>
      <c r="AE6" s="738" t="s">
        <v>781</v>
      </c>
      <c r="AF6" s="738" t="s">
        <v>782</v>
      </c>
      <c r="AG6" s="738" t="s">
        <v>783</v>
      </c>
    </row>
    <row r="7" spans="1:33" ht="14.1" customHeight="1">
      <c r="A7" s="1097"/>
      <c r="B7" s="1069">
        <v>2</v>
      </c>
      <c r="C7" s="1069" t="str">
        <f>+下料单!A81</f>
        <v>暖白双贴三聚氰胺E1级中密度板</v>
      </c>
      <c r="D7" s="1069"/>
      <c r="E7" s="1069" t="s">
        <v>1768</v>
      </c>
      <c r="F7" s="1069"/>
      <c r="G7" s="1103">
        <f>下料单!AF34</f>
        <v>0</v>
      </c>
      <c r="H7" s="1069" t="s">
        <v>1709</v>
      </c>
      <c r="I7" s="1081"/>
      <c r="J7" s="1099"/>
      <c r="K7" s="1111"/>
      <c r="L7" s="751">
        <v>3</v>
      </c>
      <c r="M7" s="1069" t="s">
        <v>1715</v>
      </c>
      <c r="N7" s="1069"/>
      <c r="O7" s="1130" t="str">
        <f>+下料单!A87</f>
        <v>白色</v>
      </c>
      <c r="P7" s="1130"/>
      <c r="Q7" s="751">
        <f>下料单!$T$34*12</f>
        <v>0</v>
      </c>
      <c r="R7" s="751" t="s">
        <v>1714</v>
      </c>
      <c r="S7" s="763"/>
      <c r="T7" s="707" t="s">
        <v>1659</v>
      </c>
      <c r="U7" s="707"/>
      <c r="V7" s="707"/>
      <c r="AE7" s="738" t="s">
        <v>784</v>
      </c>
      <c r="AF7" s="738" t="s">
        <v>782</v>
      </c>
      <c r="AG7" s="738" t="s">
        <v>783</v>
      </c>
    </row>
    <row r="8" spans="1:33" ht="14.1" customHeight="1">
      <c r="A8" s="1097"/>
      <c r="B8" s="1069"/>
      <c r="C8" s="1069"/>
      <c r="D8" s="1069"/>
      <c r="E8" s="1069"/>
      <c r="F8" s="1069"/>
      <c r="G8" s="1103"/>
      <c r="H8" s="1069"/>
      <c r="I8" s="1081"/>
      <c r="J8" s="1099"/>
      <c r="K8" s="1111"/>
      <c r="L8" s="751">
        <v>4</v>
      </c>
      <c r="M8" s="1074" t="s">
        <v>1716</v>
      </c>
      <c r="N8" s="1069"/>
      <c r="O8" s="1069"/>
      <c r="P8" s="1069"/>
      <c r="Q8" s="751">
        <v>8</v>
      </c>
      <c r="R8" s="751" t="s">
        <v>1714</v>
      </c>
      <c r="S8" s="763"/>
      <c r="T8" s="707"/>
      <c r="U8" s="707"/>
      <c r="V8" s="707"/>
      <c r="AE8" s="738" t="s">
        <v>785</v>
      </c>
      <c r="AF8" s="738" t="s">
        <v>707</v>
      </c>
      <c r="AG8" s="738" t="s">
        <v>786</v>
      </c>
    </row>
    <row r="9" spans="1:33" ht="14.1" customHeight="1">
      <c r="A9" s="1097"/>
      <c r="B9" s="1069">
        <v>3</v>
      </c>
      <c r="C9" s="1069" t="str">
        <f>C5</f>
        <v>暖白双贴三聚氰胺E0级刨花板</v>
      </c>
      <c r="D9" s="1069"/>
      <c r="E9" s="1069" t="s">
        <v>1717</v>
      </c>
      <c r="F9" s="1069"/>
      <c r="G9" s="1103">
        <f>下料单!AC44</f>
        <v>0</v>
      </c>
      <c r="H9" s="1069" t="s">
        <v>1709</v>
      </c>
      <c r="I9" s="1081"/>
      <c r="J9" s="1099"/>
      <c r="K9" s="1111"/>
      <c r="L9" s="751">
        <v>5</v>
      </c>
      <c r="M9" s="1074"/>
      <c r="N9" s="1074"/>
      <c r="O9" s="1069"/>
      <c r="P9" s="1069"/>
      <c r="Q9" s="725"/>
      <c r="R9" s="751"/>
      <c r="S9" s="763"/>
      <c r="T9" s="707"/>
      <c r="U9" s="707"/>
      <c r="V9" s="707"/>
      <c r="X9" s="724"/>
      <c r="AE9" s="738" t="s">
        <v>787</v>
      </c>
      <c r="AF9" s="738" t="s">
        <v>719</v>
      </c>
      <c r="AG9" s="738" t="s">
        <v>788</v>
      </c>
    </row>
    <row r="10" spans="1:33" ht="14.1" customHeight="1">
      <c r="A10" s="1097"/>
      <c r="B10" s="1069"/>
      <c r="C10" s="1069"/>
      <c r="D10" s="1069"/>
      <c r="E10" s="1069"/>
      <c r="F10" s="1069"/>
      <c r="G10" s="1103"/>
      <c r="H10" s="1069"/>
      <c r="I10" s="1081"/>
      <c r="J10" s="1099"/>
      <c r="K10" s="1111"/>
      <c r="L10" s="751">
        <v>6</v>
      </c>
      <c r="M10" s="1070"/>
      <c r="N10" s="1071"/>
      <c r="O10" s="1071"/>
      <c r="P10" s="1072"/>
      <c r="Q10" s="826"/>
      <c r="R10" s="827"/>
      <c r="S10" s="775"/>
      <c r="T10" s="707"/>
      <c r="U10" s="707"/>
      <c r="V10" s="706"/>
      <c r="AE10" s="738" t="s">
        <v>789</v>
      </c>
      <c r="AF10" s="738" t="s">
        <v>1645</v>
      </c>
      <c r="AG10" s="738" t="s">
        <v>1660</v>
      </c>
    </row>
    <row r="11" spans="1:33" ht="14.1" customHeight="1">
      <c r="A11" s="1097"/>
      <c r="B11" s="1069">
        <v>4</v>
      </c>
      <c r="C11" s="1069" t="str">
        <f>C5</f>
        <v>暖白双贴三聚氰胺E0级刨花板</v>
      </c>
      <c r="D11" s="1069"/>
      <c r="E11" s="1069" t="s">
        <v>1718</v>
      </c>
      <c r="F11" s="1069"/>
      <c r="G11" s="1103">
        <f>下料单!AC46</f>
        <v>0</v>
      </c>
      <c r="H11" s="1069" t="s">
        <v>1709</v>
      </c>
      <c r="I11" s="1113"/>
      <c r="J11" s="1099"/>
      <c r="K11" s="1111"/>
      <c r="L11" s="751">
        <v>7</v>
      </c>
      <c r="M11" s="1105"/>
      <c r="N11" s="1106"/>
      <c r="O11" s="1106"/>
      <c r="P11" s="1107"/>
      <c r="Q11" s="826"/>
      <c r="R11" s="827"/>
      <c r="S11" s="763"/>
      <c r="T11" s="705" t="s">
        <v>1483</v>
      </c>
      <c r="U11" s="710"/>
      <c r="V11" s="710"/>
      <c r="W11" s="737"/>
      <c r="AE11" s="738" t="s">
        <v>790</v>
      </c>
      <c r="AF11" s="738" t="s">
        <v>1645</v>
      </c>
      <c r="AG11" s="738" t="s">
        <v>1661</v>
      </c>
    </row>
    <row r="12" spans="1:33" ht="14.1" customHeight="1">
      <c r="A12" s="1097"/>
      <c r="B12" s="1069"/>
      <c r="C12" s="1069"/>
      <c r="D12" s="1069"/>
      <c r="E12" s="1069"/>
      <c r="F12" s="1069"/>
      <c r="G12" s="1103"/>
      <c r="H12" s="1069"/>
      <c r="I12" s="1114"/>
      <c r="J12" s="1099"/>
      <c r="K12" s="1111"/>
      <c r="L12" s="751">
        <v>8</v>
      </c>
      <c r="M12" s="1105"/>
      <c r="N12" s="1106"/>
      <c r="O12" s="1106"/>
      <c r="P12" s="1107"/>
      <c r="Q12" s="826"/>
      <c r="R12" s="827"/>
      <c r="S12" s="775"/>
      <c r="T12" s="705" t="s">
        <v>1484</v>
      </c>
      <c r="U12" s="710"/>
      <c r="V12" s="710"/>
      <c r="W12" s="737"/>
      <c r="AE12" s="738" t="s">
        <v>791</v>
      </c>
      <c r="AF12" s="738" t="s">
        <v>702</v>
      </c>
      <c r="AG12" s="738" t="s">
        <v>792</v>
      </c>
    </row>
    <row r="13" spans="1:33" ht="14.1" customHeight="1">
      <c r="A13" s="1097"/>
      <c r="B13" s="751"/>
      <c r="C13" s="1081"/>
      <c r="D13" s="1083"/>
      <c r="E13" s="1081"/>
      <c r="F13" s="1083"/>
      <c r="G13" s="752"/>
      <c r="H13" s="751"/>
      <c r="I13" s="759"/>
      <c r="J13" s="1099"/>
      <c r="K13" s="1111"/>
      <c r="L13" s="751">
        <v>9</v>
      </c>
      <c r="M13" s="1074"/>
      <c r="N13" s="1074"/>
      <c r="O13" s="1069"/>
      <c r="P13" s="1069"/>
      <c r="Q13" s="725"/>
      <c r="R13" s="825"/>
      <c r="S13" s="763"/>
      <c r="T13" s="710" t="s">
        <v>1485</v>
      </c>
      <c r="U13" s="710"/>
      <c r="V13" s="710"/>
      <c r="W13" s="737"/>
      <c r="AE13" s="738" t="s">
        <v>793</v>
      </c>
      <c r="AF13" s="738" t="s">
        <v>738</v>
      </c>
      <c r="AG13" s="738" t="s">
        <v>794</v>
      </c>
    </row>
    <row r="14" spans="1:33" ht="14.1" customHeight="1">
      <c r="A14" s="1098"/>
      <c r="B14" s="764"/>
      <c r="C14" s="1129"/>
      <c r="D14" s="1129"/>
      <c r="E14" s="1076"/>
      <c r="F14" s="1076"/>
      <c r="G14" s="765"/>
      <c r="H14" s="764"/>
      <c r="I14" s="787"/>
      <c r="J14" s="1099"/>
      <c r="K14" s="1111"/>
      <c r="L14" s="751">
        <v>10</v>
      </c>
      <c r="M14" s="1069"/>
      <c r="N14" s="1069"/>
      <c r="O14" s="1069"/>
      <c r="P14" s="1069"/>
      <c r="Q14" s="751"/>
      <c r="R14" s="751"/>
      <c r="S14" s="763"/>
      <c r="T14" s="710" t="s">
        <v>1486</v>
      </c>
      <c r="U14" s="710"/>
      <c r="V14" s="710"/>
      <c r="W14" s="737"/>
      <c r="AE14" s="738" t="s">
        <v>795</v>
      </c>
      <c r="AF14" s="738" t="s">
        <v>719</v>
      </c>
      <c r="AG14" s="738" t="s">
        <v>796</v>
      </c>
    </row>
    <row r="15" spans="1:33" ht="14.1" customHeight="1">
      <c r="A15" s="1096" t="s">
        <v>1719</v>
      </c>
      <c r="B15" s="766">
        <v>1</v>
      </c>
      <c r="C15" s="1095" t="str">
        <f>+下料单!$A$82</f>
        <v>暖白PVC封边条</v>
      </c>
      <c r="D15" s="1095"/>
      <c r="E15" s="1095" t="s">
        <v>1720</v>
      </c>
      <c r="F15" s="1095"/>
      <c r="G15" s="767">
        <f>下料单!$AD$34+下料单!$AD$40</f>
        <v>11.606</v>
      </c>
      <c r="H15" s="766" t="s">
        <v>1721</v>
      </c>
      <c r="I15" s="781"/>
      <c r="J15" s="1099"/>
      <c r="K15" s="1111"/>
      <c r="L15" s="751">
        <v>11</v>
      </c>
      <c r="M15" s="1069"/>
      <c r="N15" s="1069"/>
      <c r="O15" s="1069"/>
      <c r="P15" s="1069"/>
      <c r="Q15" s="751"/>
      <c r="R15" s="751"/>
      <c r="S15" s="763"/>
      <c r="T15" s="710" t="s">
        <v>1663</v>
      </c>
      <c r="U15" s="710"/>
      <c r="V15" s="710"/>
      <c r="W15" s="737"/>
      <c r="AE15" s="738" t="s">
        <v>797</v>
      </c>
      <c r="AF15" s="738" t="s">
        <v>719</v>
      </c>
      <c r="AG15" s="738" t="s">
        <v>792</v>
      </c>
    </row>
    <row r="16" spans="1:33" ht="14.1" customHeight="1">
      <c r="A16" s="1097"/>
      <c r="B16" s="751">
        <v>2</v>
      </c>
      <c r="C16" s="1069"/>
      <c r="D16" s="1069"/>
      <c r="E16" s="1069" t="s">
        <v>1722</v>
      </c>
      <c r="F16" s="1069"/>
      <c r="G16" s="752">
        <f>下料单!$AD$44</f>
        <v>0</v>
      </c>
      <c r="H16" s="751" t="s">
        <v>1721</v>
      </c>
      <c r="I16" s="759"/>
      <c r="J16" s="1099"/>
      <c r="K16" s="1111"/>
      <c r="L16" s="751">
        <v>12</v>
      </c>
      <c r="M16" s="1069"/>
      <c r="N16" s="1069"/>
      <c r="O16" s="1069"/>
      <c r="P16" s="1069"/>
      <c r="Q16" s="751"/>
      <c r="R16" s="751"/>
      <c r="S16" s="784" t="s">
        <v>1723</v>
      </c>
      <c r="T16" s="710" t="s">
        <v>1664</v>
      </c>
      <c r="U16" s="710"/>
      <c r="V16" s="710"/>
      <c r="W16" s="737"/>
      <c r="AE16" s="738" t="s">
        <v>798</v>
      </c>
      <c r="AF16" s="738" t="s">
        <v>699</v>
      </c>
      <c r="AG16" s="738" t="s">
        <v>796</v>
      </c>
    </row>
    <row r="17" spans="1:33" ht="14.1" customHeight="1">
      <c r="A17" s="1097"/>
      <c r="B17" s="751">
        <v>3</v>
      </c>
      <c r="C17" s="1069"/>
      <c r="D17" s="1069"/>
      <c r="E17" s="1069" t="s">
        <v>1724</v>
      </c>
      <c r="F17" s="1069"/>
      <c r="G17" s="752">
        <f>下料单!$AD$46</f>
        <v>0</v>
      </c>
      <c r="H17" s="751" t="s">
        <v>1721</v>
      </c>
      <c r="I17" s="759"/>
      <c r="J17" s="1099"/>
      <c r="K17" s="1111"/>
      <c r="L17" s="751">
        <v>13</v>
      </c>
      <c r="M17" s="1069"/>
      <c r="N17" s="1069"/>
      <c r="O17" s="1069"/>
      <c r="P17" s="1069"/>
      <c r="Q17" s="751"/>
      <c r="R17" s="751"/>
      <c r="S17" s="763"/>
      <c r="T17" s="710" t="s">
        <v>1665</v>
      </c>
      <c r="U17" s="710"/>
      <c r="V17" s="710"/>
      <c r="W17" s="737"/>
      <c r="AE17" s="738" t="s">
        <v>697</v>
      </c>
      <c r="AF17" s="738" t="s">
        <v>1645</v>
      </c>
      <c r="AG17" s="738" t="s">
        <v>1666</v>
      </c>
    </row>
    <row r="18" spans="1:33" ht="14.1" customHeight="1">
      <c r="A18" s="1097"/>
      <c r="B18" s="751">
        <v>4</v>
      </c>
      <c r="C18" s="1069" t="s">
        <v>1726</v>
      </c>
      <c r="D18" s="1069"/>
      <c r="E18" s="1069" t="s">
        <v>1727</v>
      </c>
      <c r="F18" s="1069"/>
      <c r="G18" s="726">
        <f>G15*5+G16*4.1+G17*5.5</f>
        <v>58.03</v>
      </c>
      <c r="H18" s="751" t="s">
        <v>1728</v>
      </c>
      <c r="I18" s="759"/>
      <c r="J18" s="1099"/>
      <c r="K18" s="1111"/>
      <c r="L18" s="751">
        <v>14</v>
      </c>
      <c r="M18" s="1069"/>
      <c r="N18" s="1069"/>
      <c r="O18" s="1069"/>
      <c r="P18" s="1069"/>
      <c r="Q18" s="751"/>
      <c r="R18" s="751"/>
      <c r="S18" s="763"/>
      <c r="T18" s="710" t="s">
        <v>1667</v>
      </c>
      <c r="U18" s="710"/>
      <c r="V18" s="710"/>
      <c r="W18" s="737"/>
      <c r="AE18" s="738" t="s">
        <v>698</v>
      </c>
      <c r="AF18" s="744" t="s">
        <v>699</v>
      </c>
      <c r="AG18" s="738" t="s">
        <v>700</v>
      </c>
    </row>
    <row r="19" spans="1:33" ht="14.1" customHeight="1">
      <c r="A19" s="1097"/>
      <c r="B19" s="751">
        <v>5</v>
      </c>
      <c r="C19" s="1069" t="s">
        <v>1729</v>
      </c>
      <c r="D19" s="1069"/>
      <c r="E19" s="1069" t="s">
        <v>1730</v>
      </c>
      <c r="F19" s="1069"/>
      <c r="G19" s="726"/>
      <c r="H19" s="751" t="s">
        <v>1728</v>
      </c>
      <c r="I19" s="759"/>
      <c r="J19" s="1099"/>
      <c r="K19" s="1111"/>
      <c r="L19" s="751">
        <v>15</v>
      </c>
      <c r="M19" s="1069"/>
      <c r="N19" s="1069"/>
      <c r="O19" s="1069"/>
      <c r="P19" s="1069"/>
      <c r="Q19" s="751"/>
      <c r="R19" s="751"/>
      <c r="S19" s="763"/>
      <c r="T19" s="710" t="s">
        <v>1668</v>
      </c>
      <c r="U19" s="710"/>
      <c r="V19" s="710"/>
      <c r="W19" s="737"/>
      <c r="AC19" s="732" t="s">
        <v>1669</v>
      </c>
      <c r="AE19" s="738" t="s">
        <v>701</v>
      </c>
      <c r="AF19" s="738" t="s">
        <v>702</v>
      </c>
      <c r="AG19" s="738" t="s">
        <v>703</v>
      </c>
    </row>
    <row r="20" spans="1:33" ht="14.1" customHeight="1">
      <c r="A20" s="1098"/>
      <c r="B20" s="761"/>
      <c r="C20" s="1089"/>
      <c r="D20" s="1089"/>
      <c r="E20" s="1089"/>
      <c r="F20" s="1089"/>
      <c r="G20" s="761"/>
      <c r="H20" s="761"/>
      <c r="I20" s="788"/>
      <c r="J20" s="1099"/>
      <c r="K20" s="1111"/>
      <c r="L20" s="751">
        <v>16</v>
      </c>
      <c r="M20" s="1069"/>
      <c r="N20" s="1069"/>
      <c r="O20" s="1069"/>
      <c r="P20" s="1069"/>
      <c r="Q20" s="751"/>
      <c r="R20" s="751"/>
      <c r="S20" s="763"/>
      <c r="T20" s="710" t="s">
        <v>1774</v>
      </c>
      <c r="U20" s="710"/>
      <c r="V20" s="710"/>
      <c r="W20" s="737"/>
      <c r="AC20" s="732" t="s">
        <v>1806</v>
      </c>
      <c r="AE20" s="745" t="s">
        <v>704</v>
      </c>
      <c r="AF20" s="745" t="s">
        <v>705</v>
      </c>
      <c r="AG20" s="739"/>
    </row>
    <row r="21" spans="1:33" ht="14.1" customHeight="1">
      <c r="A21" s="1136" t="s">
        <v>1759</v>
      </c>
      <c r="B21" s="800">
        <v>1</v>
      </c>
      <c r="C21" s="1095"/>
      <c r="D21" s="1095"/>
      <c r="E21" s="1095"/>
      <c r="F21" s="1095"/>
      <c r="G21" s="800"/>
      <c r="H21" s="800"/>
      <c r="I21" s="802"/>
      <c r="J21" s="1099"/>
      <c r="K21" s="1111"/>
      <c r="L21" s="751">
        <v>17</v>
      </c>
      <c r="M21" s="1069"/>
      <c r="N21" s="1069"/>
      <c r="O21" s="1069"/>
      <c r="P21" s="1069"/>
      <c r="Q21" s="751"/>
      <c r="R21" s="751"/>
      <c r="S21" s="763"/>
      <c r="T21" s="710" t="s">
        <v>1775</v>
      </c>
      <c r="U21" s="710"/>
      <c r="V21" s="710"/>
      <c r="W21" s="737"/>
      <c r="AC21" s="732" t="s">
        <v>1671</v>
      </c>
      <c r="AE21" s="745" t="s">
        <v>706</v>
      </c>
      <c r="AF21" s="745" t="s">
        <v>707</v>
      </c>
      <c r="AG21" s="745" t="s">
        <v>708</v>
      </c>
    </row>
    <row r="22" spans="1:33" ht="14.1" customHeight="1">
      <c r="A22" s="1137"/>
      <c r="B22" s="798">
        <v>2</v>
      </c>
      <c r="C22" s="1069"/>
      <c r="D22" s="1069"/>
      <c r="E22" s="1069"/>
      <c r="F22" s="1069"/>
      <c r="G22" s="798"/>
      <c r="H22" s="798"/>
      <c r="I22" s="801"/>
      <c r="J22" s="1099"/>
      <c r="K22" s="1111"/>
      <c r="L22" s="751">
        <v>18</v>
      </c>
      <c r="M22" s="1069"/>
      <c r="N22" s="1069"/>
      <c r="O22" s="1069"/>
      <c r="P22" s="1069"/>
      <c r="Q22" s="751"/>
      <c r="R22" s="751"/>
      <c r="S22" s="763"/>
      <c r="T22" s="710" t="s">
        <v>1776</v>
      </c>
      <c r="U22" s="710"/>
      <c r="V22" s="710"/>
      <c r="W22" s="737"/>
      <c r="AE22" s="745" t="s">
        <v>709</v>
      </c>
      <c r="AF22" s="745" t="s">
        <v>710</v>
      </c>
      <c r="AG22" s="745" t="s">
        <v>708</v>
      </c>
    </row>
    <row r="23" spans="1:33" ht="14.1" customHeight="1">
      <c r="A23" s="1137"/>
      <c r="B23" s="798">
        <v>3</v>
      </c>
      <c r="C23" s="1069"/>
      <c r="D23" s="1069"/>
      <c r="E23" s="1069"/>
      <c r="F23" s="1069"/>
      <c r="G23" s="798"/>
      <c r="H23" s="798"/>
      <c r="I23" s="801"/>
      <c r="J23" s="1099"/>
      <c r="K23" s="1111"/>
      <c r="L23" s="751">
        <v>19</v>
      </c>
      <c r="M23" s="1069" t="s">
        <v>1735</v>
      </c>
      <c r="N23" s="1069"/>
      <c r="O23" s="1069"/>
      <c r="P23" s="1069"/>
      <c r="Q23" s="751">
        <v>4</v>
      </c>
      <c r="R23" s="751" t="s">
        <v>1714</v>
      </c>
      <c r="S23" s="785"/>
      <c r="T23" s="708" t="s">
        <v>1777</v>
      </c>
      <c r="U23" s="710"/>
      <c r="V23" s="710"/>
      <c r="W23" s="737"/>
      <c r="AE23" s="745" t="s">
        <v>711</v>
      </c>
      <c r="AF23" s="745" t="s">
        <v>707</v>
      </c>
      <c r="AG23" s="745" t="s">
        <v>712</v>
      </c>
    </row>
    <row r="24" spans="1:33" ht="14.1" customHeight="1">
      <c r="A24" s="1138"/>
      <c r="B24" s="799">
        <v>4</v>
      </c>
      <c r="C24" s="1134"/>
      <c r="D24" s="1134"/>
      <c r="E24" s="1134"/>
      <c r="F24" s="1134"/>
      <c r="G24" s="805"/>
      <c r="H24" s="806"/>
      <c r="I24" s="807"/>
      <c r="J24" s="1099"/>
      <c r="K24" s="1111"/>
      <c r="L24" s="751">
        <v>20</v>
      </c>
      <c r="M24" s="1069" t="s">
        <v>1736</v>
      </c>
      <c r="N24" s="1069"/>
      <c r="O24" s="1069" t="str">
        <f>+下料单!A86</f>
        <v>白色</v>
      </c>
      <c r="P24" s="1069"/>
      <c r="Q24" s="751">
        <f>下料单!E33*14</f>
        <v>0</v>
      </c>
      <c r="R24" s="751" t="s">
        <v>1714</v>
      </c>
      <c r="S24" s="763"/>
      <c r="T24" s="708" t="s">
        <v>1778</v>
      </c>
      <c r="U24" s="710"/>
      <c r="V24" s="710"/>
      <c r="W24" s="737"/>
      <c r="AE24" s="745" t="s">
        <v>713</v>
      </c>
      <c r="AF24" s="745" t="s">
        <v>707</v>
      </c>
      <c r="AG24" s="745" t="s">
        <v>714</v>
      </c>
    </row>
    <row r="25" spans="1:33" ht="14.1" customHeight="1">
      <c r="A25" s="1143" t="s">
        <v>1760</v>
      </c>
      <c r="B25" s="797">
        <v>1</v>
      </c>
      <c r="C25" s="1086"/>
      <c r="D25" s="1086"/>
      <c r="E25" s="1141"/>
      <c r="F25" s="1141"/>
      <c r="G25" s="803"/>
      <c r="H25" s="797"/>
      <c r="I25" s="804"/>
      <c r="J25" s="1099"/>
      <c r="K25" s="1111"/>
      <c r="L25" s="751">
        <v>21</v>
      </c>
      <c r="M25" s="1069" t="s">
        <v>1737</v>
      </c>
      <c r="N25" s="1069"/>
      <c r="O25" s="1069"/>
      <c r="P25" s="1069"/>
      <c r="Q25" s="751">
        <v>1</v>
      </c>
      <c r="R25" s="751" t="s">
        <v>1714</v>
      </c>
      <c r="S25" s="763"/>
      <c r="T25" s="708" t="s">
        <v>1779</v>
      </c>
      <c r="U25" s="710"/>
      <c r="V25" s="710"/>
      <c r="W25" s="737"/>
      <c r="AE25" s="745" t="s">
        <v>715</v>
      </c>
      <c r="AF25" s="745" t="s">
        <v>710</v>
      </c>
      <c r="AG25" s="745" t="s">
        <v>714</v>
      </c>
    </row>
    <row r="26" spans="1:33" ht="14.1" customHeight="1">
      <c r="A26" s="1143"/>
      <c r="B26" s="797">
        <v>2</v>
      </c>
      <c r="C26" s="1069"/>
      <c r="D26" s="1069"/>
      <c r="E26" s="1069"/>
      <c r="F26" s="1069"/>
      <c r="G26" s="751"/>
      <c r="H26" s="751"/>
      <c r="I26" s="763"/>
      <c r="J26" s="1099"/>
      <c r="K26" s="1111"/>
      <c r="L26" s="751">
        <v>22</v>
      </c>
      <c r="M26" s="1069" t="s">
        <v>1738</v>
      </c>
      <c r="N26" s="1069"/>
      <c r="O26" s="1069" t="s">
        <v>1739</v>
      </c>
      <c r="P26" s="1069"/>
      <c r="Q26" s="751">
        <f>Q22*4+(Q33+Q40+Q42+Q41+Q43+Q44)*4+(G58+G59+G60+G61)*20+下料单!Z34*5</f>
        <v>16</v>
      </c>
      <c r="R26" s="751" t="s">
        <v>1714</v>
      </c>
      <c r="S26" s="763"/>
      <c r="T26" s="707"/>
      <c r="U26" s="707"/>
      <c r="V26" s="706"/>
      <c r="AE26" s="745" t="s">
        <v>716</v>
      </c>
      <c r="AF26" s="745" t="s">
        <v>717</v>
      </c>
      <c r="AG26" s="745" t="s">
        <v>714</v>
      </c>
    </row>
    <row r="27" spans="1:33" ht="14.1" customHeight="1">
      <c r="A27" s="1143"/>
      <c r="B27" s="797">
        <v>3</v>
      </c>
      <c r="C27" s="1069"/>
      <c r="D27" s="1069"/>
      <c r="E27" s="1069"/>
      <c r="F27" s="1069"/>
      <c r="G27" s="751"/>
      <c r="H27" s="751"/>
      <c r="I27" s="771"/>
      <c r="J27" s="1099"/>
      <c r="K27" s="1111"/>
      <c r="L27" s="751">
        <v>23</v>
      </c>
      <c r="M27" s="1069" t="s">
        <v>1738</v>
      </c>
      <c r="N27" s="1069"/>
      <c r="O27" s="1069" t="s">
        <v>1740</v>
      </c>
      <c r="P27" s="1069"/>
      <c r="Q27" s="751">
        <v>30</v>
      </c>
      <c r="R27" s="751" t="s">
        <v>1714</v>
      </c>
      <c r="S27" s="763"/>
      <c r="T27" s="707"/>
      <c r="U27" s="707"/>
      <c r="V27" s="706"/>
      <c r="X27" s="732" t="s">
        <v>1673</v>
      </c>
      <c r="AE27" s="745" t="s">
        <v>718</v>
      </c>
      <c r="AF27" s="745" t="s">
        <v>719</v>
      </c>
      <c r="AG27" s="745" t="s">
        <v>720</v>
      </c>
    </row>
    <row r="28" spans="1:33" ht="14.1" customHeight="1">
      <c r="A28" s="1143"/>
      <c r="B28" s="797">
        <v>4</v>
      </c>
      <c r="C28" s="1069"/>
      <c r="D28" s="1069"/>
      <c r="E28" s="1069"/>
      <c r="F28" s="1069"/>
      <c r="G28" s="752"/>
      <c r="H28" s="751"/>
      <c r="I28" s="771"/>
      <c r="J28" s="1099"/>
      <c r="K28" s="1111"/>
      <c r="L28" s="751">
        <v>24</v>
      </c>
      <c r="M28" s="1069" t="s">
        <v>1738</v>
      </c>
      <c r="N28" s="1069"/>
      <c r="O28" s="1069" t="s">
        <v>1741</v>
      </c>
      <c r="P28" s="1069"/>
      <c r="Q28" s="751">
        <f>Q31*3</f>
        <v>3</v>
      </c>
      <c r="R28" s="751" t="s">
        <v>1714</v>
      </c>
      <c r="S28" s="763"/>
      <c r="T28" s="707" t="s">
        <v>1674</v>
      </c>
      <c r="U28" s="707" t="s">
        <v>1670</v>
      </c>
      <c r="V28" s="706">
        <f>(G50+G51+G52+G53)*22</f>
        <v>0</v>
      </c>
      <c r="AE28" s="745" t="s">
        <v>721</v>
      </c>
      <c r="AF28" s="745" t="s">
        <v>707</v>
      </c>
      <c r="AG28" s="745" t="s">
        <v>722</v>
      </c>
    </row>
    <row r="29" spans="1:33" ht="14.1" customHeight="1">
      <c r="A29" s="1143"/>
      <c r="B29" s="797">
        <v>5</v>
      </c>
      <c r="C29" s="1069"/>
      <c r="D29" s="1069"/>
      <c r="E29" s="1069"/>
      <c r="F29" s="1069"/>
      <c r="G29" s="752"/>
      <c r="H29" s="751"/>
      <c r="I29" s="771"/>
      <c r="J29" s="1099"/>
      <c r="K29" s="1111"/>
      <c r="L29" s="751">
        <v>25</v>
      </c>
      <c r="M29" s="1069"/>
      <c r="N29" s="1069"/>
      <c r="O29" s="1119"/>
      <c r="P29" s="1119"/>
      <c r="Q29" s="751"/>
      <c r="R29" s="751"/>
      <c r="S29" s="763"/>
      <c r="T29" s="707" t="s">
        <v>1675</v>
      </c>
      <c r="U29" s="707" t="s">
        <v>1670</v>
      </c>
      <c r="V29" s="706" t="e">
        <f>(G35+Q40+Q42+Q41)*4+(Q43+Q44+#REF!+#REF!+G59+G60+G61)*22+下料单!Z34*3</f>
        <v>#REF!</v>
      </c>
      <c r="AE29" s="745" t="s">
        <v>723</v>
      </c>
      <c r="AF29" s="745" t="s">
        <v>710</v>
      </c>
      <c r="AG29" s="745" t="s">
        <v>722</v>
      </c>
    </row>
    <row r="30" spans="1:33" ht="14.1" customHeight="1">
      <c r="A30" s="1143"/>
      <c r="B30" s="797">
        <v>6</v>
      </c>
      <c r="C30" s="1069"/>
      <c r="D30" s="1069"/>
      <c r="E30" s="1119"/>
      <c r="F30" s="1119"/>
      <c r="G30" s="752"/>
      <c r="H30" s="751"/>
      <c r="I30" s="771"/>
      <c r="J30" s="1099"/>
      <c r="K30" s="1111"/>
      <c r="L30" s="751">
        <v>26</v>
      </c>
      <c r="M30" s="1069" t="str">
        <f>IF(G30&gt;0,"铝踢脚板卡子","木制踢脚板卡子底座")</f>
        <v>木制踢脚板卡子底座</v>
      </c>
      <c r="N30" s="1069"/>
      <c r="O30" s="1069"/>
      <c r="P30" s="1069"/>
      <c r="Q30" s="751">
        <f>Q33/2+2</f>
        <v>2</v>
      </c>
      <c r="R30" s="751" t="s">
        <v>1714</v>
      </c>
      <c r="S30" s="763"/>
      <c r="T30" s="707" t="s">
        <v>1675</v>
      </c>
      <c r="U30" s="707" t="s">
        <v>1670</v>
      </c>
      <c r="V30" s="706"/>
      <c r="Y30" s="746"/>
      <c r="AE30" s="745" t="s">
        <v>724</v>
      </c>
      <c r="AF30" s="745" t="s">
        <v>717</v>
      </c>
      <c r="AG30" s="745" t="s">
        <v>722</v>
      </c>
    </row>
    <row r="31" spans="1:33" ht="14.1" customHeight="1">
      <c r="A31" s="1143"/>
      <c r="B31" s="797">
        <v>7</v>
      </c>
      <c r="C31" s="1069" t="s">
        <v>1753</v>
      </c>
      <c r="D31" s="1069"/>
      <c r="E31" s="1069" t="s">
        <v>1754</v>
      </c>
      <c r="F31" s="1069"/>
      <c r="G31" s="752">
        <f>+$U$35/0.9</f>
        <v>0.85222222222222221</v>
      </c>
      <c r="H31" s="751" t="s">
        <v>1721</v>
      </c>
      <c r="I31" s="771"/>
      <c r="J31" s="1099"/>
      <c r="K31" s="1111"/>
      <c r="L31" s="751">
        <v>27</v>
      </c>
      <c r="M31" s="1120" t="s">
        <v>2156</v>
      </c>
      <c r="N31" s="1120"/>
      <c r="O31" s="1120"/>
      <c r="P31" s="1120"/>
      <c r="Q31" s="753">
        <v>1</v>
      </c>
      <c r="R31" s="753" t="s">
        <v>1712</v>
      </c>
      <c r="S31" s="763"/>
      <c r="T31" s="707" t="s">
        <v>1676</v>
      </c>
      <c r="U31" s="707" t="s">
        <v>1662</v>
      </c>
      <c r="V31" s="706"/>
      <c r="Y31" s="746"/>
      <c r="AE31" s="745" t="s">
        <v>725</v>
      </c>
      <c r="AF31" s="745" t="s">
        <v>726</v>
      </c>
      <c r="AG31" s="745" t="s">
        <v>722</v>
      </c>
    </row>
    <row r="32" spans="1:33" ht="14.1" customHeight="1">
      <c r="A32" s="1143"/>
      <c r="B32" s="797">
        <v>8</v>
      </c>
      <c r="C32" s="1069"/>
      <c r="D32" s="1069"/>
      <c r="E32" s="1069"/>
      <c r="F32" s="1069"/>
      <c r="G32" s="1069"/>
      <c r="H32" s="1069"/>
      <c r="I32" s="771"/>
      <c r="J32" s="1099"/>
      <c r="K32" s="1111"/>
      <c r="L32" s="751">
        <v>28</v>
      </c>
      <c r="M32" s="1069" t="s">
        <v>1725</v>
      </c>
      <c r="N32" s="1069"/>
      <c r="O32" s="1069" t="s">
        <v>2157</v>
      </c>
      <c r="P32" s="1069"/>
      <c r="Q32" s="751">
        <v>2</v>
      </c>
      <c r="R32" s="753" t="s">
        <v>1712</v>
      </c>
      <c r="S32" s="763"/>
      <c r="T32" s="707"/>
      <c r="U32" s="707"/>
      <c r="V32" s="706"/>
      <c r="AE32" s="745" t="s">
        <v>727</v>
      </c>
      <c r="AF32" s="745" t="s">
        <v>728</v>
      </c>
      <c r="AG32" s="745" t="s">
        <v>722</v>
      </c>
    </row>
    <row r="33" spans="1:33" ht="14.1" customHeight="1">
      <c r="A33" s="1144"/>
      <c r="B33" s="799">
        <v>9</v>
      </c>
      <c r="C33" s="1089"/>
      <c r="D33" s="1089"/>
      <c r="E33" s="1108"/>
      <c r="F33" s="1109"/>
      <c r="G33" s="1089"/>
      <c r="H33" s="1089"/>
      <c r="I33" s="774"/>
      <c r="J33" s="1099"/>
      <c r="K33" s="1111"/>
      <c r="L33" s="751">
        <v>29</v>
      </c>
      <c r="M33" s="1069"/>
      <c r="N33" s="1069"/>
      <c r="O33" s="1119"/>
      <c r="P33" s="1119"/>
      <c r="Q33" s="751"/>
      <c r="R33" s="753"/>
      <c r="S33" s="772"/>
      <c r="T33" s="711"/>
      <c r="U33" s="711">
        <f>+SUM(下料单!AC51:AC65)/1000</f>
        <v>0</v>
      </c>
      <c r="V33" s="711"/>
      <c r="AE33" s="745" t="s">
        <v>729</v>
      </c>
      <c r="AF33" s="745" t="s">
        <v>707</v>
      </c>
      <c r="AG33" s="745" t="s">
        <v>730</v>
      </c>
    </row>
    <row r="34" spans="1:33" ht="14.1" customHeight="1">
      <c r="A34" s="1096" t="s">
        <v>1731</v>
      </c>
      <c r="B34" s="766">
        <v>1</v>
      </c>
      <c r="C34" s="1095" t="s">
        <v>1732</v>
      </c>
      <c r="D34" s="1095"/>
      <c r="E34" s="1095"/>
      <c r="F34" s="1095"/>
      <c r="G34" s="766">
        <f>IF(I34&gt;15,3,IF(AND(I34&gt;9,I34&lt;16),2,IF(AND(I34&gt;2,I34&lt;10),1.5,IF(I34&lt;3,1,""))))</f>
        <v>1</v>
      </c>
      <c r="H34" s="766" t="s">
        <v>1733</v>
      </c>
      <c r="I34" s="789">
        <f>下料单!$E$34</f>
        <v>1</v>
      </c>
      <c r="J34" s="1099"/>
      <c r="K34" s="1111"/>
      <c r="L34" s="751">
        <v>30</v>
      </c>
      <c r="M34" s="1069"/>
      <c r="N34" s="1069"/>
      <c r="O34" s="1069"/>
      <c r="P34" s="1069"/>
      <c r="Q34" s="751"/>
      <c r="R34" s="753"/>
      <c r="S34" s="763"/>
      <c r="T34" s="707"/>
      <c r="U34" s="711">
        <f>+SUM(下料单!AB51:AB59)/1000</f>
        <v>0</v>
      </c>
      <c r="V34" s="711"/>
      <c r="Y34" s="736" t="s">
        <v>523</v>
      </c>
      <c r="AE34" s="745" t="s">
        <v>731</v>
      </c>
      <c r="AF34" s="745" t="s">
        <v>699</v>
      </c>
      <c r="AG34" s="745" t="s">
        <v>732</v>
      </c>
    </row>
    <row r="35" spans="1:33" ht="14.1" customHeight="1">
      <c r="A35" s="1097"/>
      <c r="B35" s="751">
        <v>2</v>
      </c>
      <c r="C35" s="1069" t="s">
        <v>1734</v>
      </c>
      <c r="D35" s="1069"/>
      <c r="E35" s="1069"/>
      <c r="F35" s="1069"/>
      <c r="G35" s="752">
        <v>4</v>
      </c>
      <c r="H35" s="751" t="s">
        <v>1714</v>
      </c>
      <c r="I35" s="759"/>
      <c r="J35" s="1099"/>
      <c r="K35" s="1111"/>
      <c r="L35" s="751">
        <v>31</v>
      </c>
      <c r="M35" s="1069" t="s">
        <v>1743</v>
      </c>
      <c r="N35" s="1069"/>
      <c r="O35" s="1069" t="s">
        <v>1744</v>
      </c>
      <c r="P35" s="1069"/>
      <c r="Q35" s="751">
        <v>1</v>
      </c>
      <c r="R35" s="753" t="s">
        <v>1745</v>
      </c>
      <c r="S35" s="763"/>
      <c r="T35" s="711"/>
      <c r="U35" s="711">
        <f>+SUM(下料单!AD51:AD57)/1000</f>
        <v>0.76700000000000002</v>
      </c>
      <c r="V35" s="711"/>
      <c r="Y35" s="736" t="s">
        <v>1678</v>
      </c>
      <c r="AE35" s="745" t="s">
        <v>733</v>
      </c>
      <c r="AF35" s="745" t="s">
        <v>719</v>
      </c>
      <c r="AG35" s="745" t="s">
        <v>732</v>
      </c>
    </row>
    <row r="36" spans="1:33" ht="14.1" customHeight="1">
      <c r="A36" s="1097"/>
      <c r="B36" s="751">
        <v>3</v>
      </c>
      <c r="C36" s="1069" t="str">
        <f>+IF(I36=0,"","铝箔板")</f>
        <v>铝箔板</v>
      </c>
      <c r="D36" s="1069"/>
      <c r="E36" s="1069"/>
      <c r="F36" s="1069"/>
      <c r="G36" s="727">
        <f>IF(I36=0,"",I36*0.7/1000)</f>
        <v>0.56000000000000005</v>
      </c>
      <c r="H36" s="751" t="str">
        <f>+IF(I36=0,"","平米")</f>
        <v>平米</v>
      </c>
      <c r="I36" s="790">
        <v>800</v>
      </c>
      <c r="J36" s="1099"/>
      <c r="K36" s="1111"/>
      <c r="L36" s="751">
        <v>32</v>
      </c>
      <c r="M36" s="1069"/>
      <c r="N36" s="1069"/>
      <c r="O36" s="1069"/>
      <c r="P36" s="1069"/>
      <c r="Q36" s="751"/>
      <c r="R36" s="753"/>
      <c r="S36" s="771"/>
      <c r="T36" s="707"/>
      <c r="U36" s="711"/>
      <c r="V36" s="706"/>
      <c r="Y36" s="736" t="e">
        <f>VLOOKUP(M51,Y38:Z41,2,FALSE)</f>
        <v>#N/A</v>
      </c>
      <c r="AE36" s="745" t="s">
        <v>734</v>
      </c>
      <c r="AF36" s="745" t="s">
        <v>707</v>
      </c>
      <c r="AG36" s="745" t="s">
        <v>732</v>
      </c>
    </row>
    <row r="37" spans="1:33" ht="14.1" customHeight="1">
      <c r="A37" s="1097"/>
      <c r="B37" s="751">
        <v>4</v>
      </c>
      <c r="C37" s="1074" t="str">
        <f>+IF(I36=0,"","铝箔板压条(2.2M/支)")</f>
        <v>铝箔板压条(2.2M/支)</v>
      </c>
      <c r="D37" s="1135"/>
      <c r="E37" s="1069"/>
      <c r="F37" s="1069"/>
      <c r="G37" s="751">
        <f>++IF(I36=0,"",1)</f>
        <v>1</v>
      </c>
      <c r="H37" s="751" t="str">
        <f>+IF(I36=0,"","根")</f>
        <v>根</v>
      </c>
      <c r="I37" s="759"/>
      <c r="J37" s="1099"/>
      <c r="K37" s="1111"/>
      <c r="L37" s="751">
        <v>33</v>
      </c>
      <c r="M37" s="1073"/>
      <c r="N37" s="1073"/>
      <c r="O37" s="1073"/>
      <c r="P37" s="1073"/>
      <c r="Q37" s="755"/>
      <c r="R37" s="829"/>
      <c r="S37" s="771"/>
      <c r="T37" s="707"/>
      <c r="U37" s="707"/>
      <c r="V37" s="706"/>
      <c r="AE37" s="745" t="s">
        <v>735</v>
      </c>
      <c r="AF37" s="745" t="s">
        <v>710</v>
      </c>
      <c r="AG37" s="745" t="s">
        <v>732</v>
      </c>
    </row>
    <row r="38" spans="1:33" ht="14.1" customHeight="1">
      <c r="A38" s="1097"/>
      <c r="B38" s="751">
        <v>5</v>
      </c>
      <c r="C38" s="1069" t="str">
        <f>+IF(I36=0,"","国产双面胶15mm")</f>
        <v>国产双面胶15mm</v>
      </c>
      <c r="D38" s="1069"/>
      <c r="E38" s="1069"/>
      <c r="F38" s="1069"/>
      <c r="G38" s="751" t="str">
        <f>+IF(I36=0,"","0.5")</f>
        <v>0.5</v>
      </c>
      <c r="H38" s="751" t="str">
        <f>+IF(I36=0,"","卷")</f>
        <v>卷</v>
      </c>
      <c r="I38" s="759"/>
      <c r="J38" s="1099"/>
      <c r="K38" s="1112"/>
      <c r="L38" s="761"/>
      <c r="M38" s="1076"/>
      <c r="N38" s="1076"/>
      <c r="O38" s="1076"/>
      <c r="P38" s="1076"/>
      <c r="Q38" s="764"/>
      <c r="R38" s="761"/>
      <c r="S38" s="774"/>
      <c r="T38" s="707"/>
      <c r="U38" s="707"/>
      <c r="Y38" s="736" t="s">
        <v>1679</v>
      </c>
      <c r="Z38" s="736" t="s">
        <v>1680</v>
      </c>
      <c r="AB38" s="736" t="s">
        <v>1681</v>
      </c>
      <c r="AE38" s="745" t="s">
        <v>736</v>
      </c>
      <c r="AF38" s="745" t="s">
        <v>717</v>
      </c>
      <c r="AG38" s="745" t="s">
        <v>732</v>
      </c>
    </row>
    <row r="39" spans="1:33" ht="14.1" customHeight="1">
      <c r="A39" s="1097"/>
      <c r="B39" s="751">
        <v>6</v>
      </c>
      <c r="C39" s="1115"/>
      <c r="D39" s="1115"/>
      <c r="E39" s="1120"/>
      <c r="F39" s="1120"/>
      <c r="G39" s="753"/>
      <c r="H39" s="753"/>
      <c r="I39" s="759"/>
      <c r="J39" s="1099"/>
      <c r="K39" s="1123" t="s">
        <v>1746</v>
      </c>
      <c r="L39" s="1095" t="s">
        <v>1747</v>
      </c>
      <c r="M39" s="1095" t="s">
        <v>1807</v>
      </c>
      <c r="N39" s="1095"/>
      <c r="O39" s="1095"/>
      <c r="P39" s="1095"/>
      <c r="Q39" s="849">
        <v>2</v>
      </c>
      <c r="R39" s="849" t="s">
        <v>1808</v>
      </c>
      <c r="S39" s="770"/>
      <c r="T39" s="707"/>
      <c r="U39" s="707"/>
      <c r="V39" s="831"/>
      <c r="Y39" s="736" t="s">
        <v>1682</v>
      </c>
      <c r="Z39" s="736" t="s">
        <v>1683</v>
      </c>
      <c r="AE39" s="745" t="s">
        <v>737</v>
      </c>
      <c r="AF39" s="745" t="s">
        <v>738</v>
      </c>
      <c r="AG39" s="745" t="s">
        <v>739</v>
      </c>
    </row>
    <row r="40" spans="1:33" ht="14.1" customHeight="1">
      <c r="A40" s="1097"/>
      <c r="B40" s="751">
        <v>7</v>
      </c>
      <c r="C40" s="1069"/>
      <c r="D40" s="1069"/>
      <c r="E40" s="1069"/>
      <c r="F40" s="1069"/>
      <c r="G40" s="751"/>
      <c r="H40" s="753"/>
      <c r="I40" s="759"/>
      <c r="J40" s="1099"/>
      <c r="K40" s="1124"/>
      <c r="L40" s="1069"/>
      <c r="M40" s="1069" t="s">
        <v>1748</v>
      </c>
      <c r="N40" s="1069"/>
      <c r="O40" s="1069"/>
      <c r="P40" s="1069"/>
      <c r="Q40" s="751">
        <v>4</v>
      </c>
      <c r="R40" s="751" t="s">
        <v>1712</v>
      </c>
      <c r="S40" s="771"/>
      <c r="T40" s="707"/>
      <c r="U40" s="707"/>
      <c r="Y40" s="736" t="s">
        <v>1684</v>
      </c>
      <c r="Z40" s="736" t="s">
        <v>1683</v>
      </c>
      <c r="AB40" s="736" t="s">
        <v>1672</v>
      </c>
      <c r="AE40" s="745" t="s">
        <v>740</v>
      </c>
      <c r="AF40" s="745" t="s">
        <v>738</v>
      </c>
      <c r="AG40" s="745" t="s">
        <v>741</v>
      </c>
    </row>
    <row r="41" spans="1:33" ht="14.1" customHeight="1">
      <c r="A41" s="1097"/>
      <c r="B41" s="751">
        <v>8</v>
      </c>
      <c r="C41" s="1069"/>
      <c r="D41" s="1069"/>
      <c r="E41" s="1069"/>
      <c r="F41" s="1069"/>
      <c r="G41" s="727"/>
      <c r="H41" s="751"/>
      <c r="I41" s="759"/>
      <c r="J41" s="1099"/>
      <c r="K41" s="1124"/>
      <c r="L41" s="1069"/>
      <c r="M41" s="1069"/>
      <c r="N41" s="1069"/>
      <c r="O41" s="1069"/>
      <c r="P41" s="1069"/>
      <c r="Q41" s="751"/>
      <c r="R41" s="751"/>
      <c r="S41" s="771"/>
      <c r="T41" s="707"/>
      <c r="U41" s="707"/>
      <c r="Y41" s="736" t="s">
        <v>1685</v>
      </c>
      <c r="Z41" s="736" t="s">
        <v>1680</v>
      </c>
      <c r="AE41" s="745" t="s">
        <v>742</v>
      </c>
      <c r="AF41" s="745" t="s">
        <v>699</v>
      </c>
      <c r="AG41" s="745" t="s">
        <v>743</v>
      </c>
    </row>
    <row r="42" spans="1:33" ht="14.1" customHeight="1">
      <c r="A42" s="1097"/>
      <c r="B42" s="751">
        <v>9</v>
      </c>
      <c r="C42" s="1069"/>
      <c r="D42" s="1069"/>
      <c r="E42" s="1069"/>
      <c r="F42" s="1069"/>
      <c r="G42" s="751"/>
      <c r="H42" s="751"/>
      <c r="I42" s="759"/>
      <c r="J42" s="1099"/>
      <c r="K42" s="1124"/>
      <c r="L42" s="1069"/>
      <c r="M42" s="1069"/>
      <c r="N42" s="1069"/>
      <c r="O42" s="1069"/>
      <c r="P42" s="1069"/>
      <c r="Q42" s="751"/>
      <c r="R42" s="751"/>
      <c r="S42" s="771"/>
      <c r="T42" s="707"/>
      <c r="U42" s="707"/>
      <c r="V42" s="706"/>
      <c r="AE42" s="745" t="s">
        <v>744</v>
      </c>
      <c r="AF42" s="745" t="s">
        <v>707</v>
      </c>
      <c r="AG42" s="745" t="s">
        <v>745</v>
      </c>
    </row>
    <row r="43" spans="1:33" ht="14.1" customHeight="1">
      <c r="A43" s="1097"/>
      <c r="B43" s="751">
        <v>10</v>
      </c>
      <c r="C43" s="1069"/>
      <c r="D43" s="1069"/>
      <c r="E43" s="1069"/>
      <c r="F43" s="1069"/>
      <c r="G43" s="751"/>
      <c r="H43" s="751"/>
      <c r="I43" s="759"/>
      <c r="J43" s="1099"/>
      <c r="K43" s="1124"/>
      <c r="L43" s="1069"/>
      <c r="M43" s="1120"/>
      <c r="N43" s="1120"/>
      <c r="O43" s="1120"/>
      <c r="P43" s="1120"/>
      <c r="Q43" s="751"/>
      <c r="R43" s="751"/>
      <c r="S43" s="776"/>
      <c r="T43" s="707"/>
      <c r="U43" s="707"/>
      <c r="V43" s="706"/>
      <c r="AE43" s="745" t="s">
        <v>746</v>
      </c>
      <c r="AF43" s="745" t="s">
        <v>707</v>
      </c>
      <c r="AG43" s="745" t="s">
        <v>747</v>
      </c>
    </row>
    <row r="44" spans="1:33" ht="14.1" customHeight="1">
      <c r="A44" s="1097"/>
      <c r="B44" s="751">
        <v>11</v>
      </c>
      <c r="C44" s="1069"/>
      <c r="D44" s="1069"/>
      <c r="E44" s="1069"/>
      <c r="F44" s="1069"/>
      <c r="G44" s="728"/>
      <c r="H44" s="751"/>
      <c r="I44" s="759"/>
      <c r="J44" s="1099"/>
      <c r="K44" s="1124"/>
      <c r="L44" s="1069"/>
      <c r="M44" s="1120"/>
      <c r="N44" s="1120"/>
      <c r="O44" s="1120"/>
      <c r="P44" s="1120"/>
      <c r="Q44" s="751"/>
      <c r="R44" s="751"/>
      <c r="S44" s="776"/>
      <c r="T44" s="707"/>
      <c r="U44" s="707"/>
      <c r="V44" s="706"/>
      <c r="AE44" s="745" t="s">
        <v>748</v>
      </c>
      <c r="AF44" s="745" t="s">
        <v>1686</v>
      </c>
      <c r="AG44" s="745" t="s">
        <v>1687</v>
      </c>
    </row>
    <row r="45" spans="1:33" ht="14.45" customHeight="1">
      <c r="A45" s="1097"/>
      <c r="B45" s="755"/>
      <c r="C45" s="1118"/>
      <c r="D45" s="1118"/>
      <c r="E45" s="1118"/>
      <c r="F45" s="1118"/>
      <c r="G45" s="754"/>
      <c r="H45" s="755"/>
      <c r="I45" s="791"/>
      <c r="J45" s="1099"/>
      <c r="K45" s="1124"/>
      <c r="L45" s="1069"/>
      <c r="M45" s="1075"/>
      <c r="N45" s="1075"/>
      <c r="O45" s="1075"/>
      <c r="P45" s="1075"/>
      <c r="Q45" s="827"/>
      <c r="R45" s="827"/>
      <c r="S45" s="776"/>
      <c r="T45" s="707"/>
      <c r="U45" s="707"/>
      <c r="V45" s="706"/>
      <c r="AE45" s="745" t="s">
        <v>749</v>
      </c>
      <c r="AF45" s="745" t="s">
        <v>707</v>
      </c>
      <c r="AG45" s="745" t="s">
        <v>750</v>
      </c>
    </row>
    <row r="46" spans="1:33" ht="14.45" customHeight="1">
      <c r="A46" s="1097"/>
      <c r="B46" s="755"/>
      <c r="C46" s="1118"/>
      <c r="D46" s="1118"/>
      <c r="E46" s="1118"/>
      <c r="F46" s="1118"/>
      <c r="G46" s="754"/>
      <c r="H46" s="755"/>
      <c r="I46" s="791"/>
      <c r="J46" s="1099"/>
      <c r="K46" s="1124"/>
      <c r="L46" s="730" t="s">
        <v>1750</v>
      </c>
      <c r="M46" s="1069"/>
      <c r="N46" s="1069"/>
      <c r="O46" s="1069"/>
      <c r="P46" s="1069"/>
      <c r="Q46" s="751"/>
      <c r="R46" s="751"/>
      <c r="S46" s="776"/>
      <c r="T46" s="707"/>
      <c r="U46" s="707"/>
      <c r="V46" s="706"/>
      <c r="AE46" s="745" t="s">
        <v>751</v>
      </c>
      <c r="AF46" s="745" t="s">
        <v>710</v>
      </c>
      <c r="AG46" s="745" t="s">
        <v>750</v>
      </c>
    </row>
    <row r="47" spans="1:33" ht="14.45" customHeight="1">
      <c r="A47" s="1098"/>
      <c r="B47" s="764"/>
      <c r="C47" s="1076"/>
      <c r="D47" s="1076"/>
      <c r="E47" s="1076"/>
      <c r="F47" s="1076"/>
      <c r="G47" s="765"/>
      <c r="H47" s="764"/>
      <c r="I47" s="787"/>
      <c r="J47" s="1099"/>
      <c r="K47" s="1124"/>
      <c r="L47" s="730"/>
      <c r="M47" s="1069"/>
      <c r="N47" s="1069"/>
      <c r="O47" s="1069"/>
      <c r="P47" s="1069"/>
      <c r="Q47" s="751"/>
      <c r="R47" s="751"/>
      <c r="S47" s="1104"/>
      <c r="T47" s="707"/>
      <c r="U47" s="707"/>
      <c r="AE47" s="745" t="s">
        <v>752</v>
      </c>
      <c r="AF47" s="745" t="s">
        <v>717</v>
      </c>
      <c r="AG47" s="745" t="s">
        <v>750</v>
      </c>
    </row>
    <row r="48" spans="1:33" ht="14.45" customHeight="1">
      <c r="A48" s="1096" t="s">
        <v>1742</v>
      </c>
      <c r="B48" s="1078"/>
      <c r="C48" s="1079"/>
      <c r="D48" s="1080"/>
      <c r="E48" s="1095"/>
      <c r="F48" s="1095"/>
      <c r="G48" s="769"/>
      <c r="H48" s="766"/>
      <c r="I48" s="780"/>
      <c r="J48" s="1099"/>
      <c r="K48" s="1124"/>
      <c r="L48" s="730"/>
      <c r="M48" s="1075"/>
      <c r="N48" s="1075"/>
      <c r="O48" s="1075"/>
      <c r="P48" s="1075"/>
      <c r="Q48" s="828"/>
      <c r="R48" s="828"/>
      <c r="S48" s="1104"/>
      <c r="T48" s="707"/>
      <c r="U48" s="707"/>
      <c r="V48" s="706"/>
      <c r="AE48" s="745" t="s">
        <v>752</v>
      </c>
      <c r="AF48" s="745" t="s">
        <v>717</v>
      </c>
      <c r="AG48" s="745" t="s">
        <v>750</v>
      </c>
    </row>
    <row r="49" spans="1:36" ht="14.1" customHeight="1">
      <c r="A49" s="1097"/>
      <c r="B49" s="1081"/>
      <c r="C49" s="1082"/>
      <c r="D49" s="1083"/>
      <c r="E49" s="1069"/>
      <c r="F49" s="1069"/>
      <c r="G49" s="726"/>
      <c r="H49" s="751"/>
      <c r="I49" s="782"/>
      <c r="J49" s="1099"/>
      <c r="K49" s="1124"/>
      <c r="L49" s="1131" t="s">
        <v>1751</v>
      </c>
      <c r="M49" s="1069"/>
      <c r="N49" s="1069"/>
      <c r="O49" s="1119"/>
      <c r="P49" s="1119"/>
      <c r="Q49" s="751"/>
      <c r="R49" s="751"/>
      <c r="S49" s="777"/>
      <c r="T49" s="707"/>
      <c r="U49" s="707"/>
      <c r="V49" s="706"/>
      <c r="AE49" s="745" t="s">
        <v>753</v>
      </c>
      <c r="AF49" s="745" t="s">
        <v>726</v>
      </c>
      <c r="AG49" s="745" t="s">
        <v>750</v>
      </c>
    </row>
    <row r="50" spans="1:36" ht="14.1" customHeight="1">
      <c r="A50" s="1097"/>
      <c r="B50" s="1131" t="s">
        <v>26</v>
      </c>
      <c r="C50" s="1069"/>
      <c r="D50" s="1069"/>
      <c r="E50" s="1069"/>
      <c r="F50" s="1069"/>
      <c r="G50" s="751"/>
      <c r="H50" s="751"/>
      <c r="I50" s="759"/>
      <c r="J50" s="1099"/>
      <c r="K50" s="1124"/>
      <c r="L50" s="1132"/>
      <c r="M50" s="1069"/>
      <c r="N50" s="1069"/>
      <c r="O50" s="1069"/>
      <c r="P50" s="1069"/>
      <c r="Q50" s="751"/>
      <c r="R50" s="751"/>
      <c r="S50" s="771"/>
      <c r="T50" s="707"/>
      <c r="U50" s="707"/>
      <c r="V50" s="1121"/>
      <c r="W50" s="1121"/>
      <c r="X50" s="1121"/>
      <c r="Y50" s="1121"/>
      <c r="AE50" s="745" t="s">
        <v>1688</v>
      </c>
      <c r="AF50" s="745" t="s">
        <v>1686</v>
      </c>
      <c r="AG50" s="745" t="s">
        <v>754</v>
      </c>
    </row>
    <row r="51" spans="1:36" ht="14.1" customHeight="1">
      <c r="A51" s="1097"/>
      <c r="B51" s="1131"/>
      <c r="C51" s="1069"/>
      <c r="D51" s="1069"/>
      <c r="E51" s="1069"/>
      <c r="F51" s="1069"/>
      <c r="G51" s="751"/>
      <c r="H51" s="751"/>
      <c r="I51" s="759"/>
      <c r="J51" s="1099"/>
      <c r="K51" s="1124"/>
      <c r="L51" s="1132"/>
      <c r="M51" s="1069"/>
      <c r="N51" s="1069"/>
      <c r="O51" s="1069"/>
      <c r="P51" s="1069"/>
      <c r="Q51" s="751"/>
      <c r="R51" s="751"/>
      <c r="S51" s="771"/>
      <c r="T51" s="707"/>
      <c r="U51" s="707"/>
      <c r="V51" s="706"/>
      <c r="AE51" s="745" t="s">
        <v>1689</v>
      </c>
      <c r="AF51" s="745" t="s">
        <v>1686</v>
      </c>
      <c r="AG51" s="745" t="s">
        <v>755</v>
      </c>
    </row>
    <row r="52" spans="1:36" ht="14.1" customHeight="1">
      <c r="A52" s="1097"/>
      <c r="B52" s="1131"/>
      <c r="C52" s="1069"/>
      <c r="D52" s="1069"/>
      <c r="E52" s="1069"/>
      <c r="F52" s="1069"/>
      <c r="G52" s="751"/>
      <c r="H52" s="751"/>
      <c r="I52" s="759"/>
      <c r="J52" s="1099"/>
      <c r="K52" s="1124"/>
      <c r="L52" s="1090" t="s">
        <v>1770</v>
      </c>
      <c r="M52" s="1069"/>
      <c r="N52" s="1069"/>
      <c r="O52" s="1069"/>
      <c r="P52" s="1069"/>
      <c r="Q52" s="824"/>
      <c r="R52" s="824"/>
      <c r="S52" s="771"/>
      <c r="T52" s="707"/>
      <c r="U52" s="707" t="s">
        <v>1677</v>
      </c>
      <c r="V52" s="706"/>
      <c r="AE52" s="745" t="s">
        <v>756</v>
      </c>
      <c r="AF52" s="745" t="s">
        <v>719</v>
      </c>
      <c r="AG52" s="745" t="s">
        <v>757</v>
      </c>
    </row>
    <row r="53" spans="1:36" ht="14.1" customHeight="1">
      <c r="A53" s="1097"/>
      <c r="B53" s="1131"/>
      <c r="C53" s="1069"/>
      <c r="D53" s="1069"/>
      <c r="E53" s="1069"/>
      <c r="F53" s="1069"/>
      <c r="G53" s="751"/>
      <c r="H53" s="751"/>
      <c r="I53" s="759"/>
      <c r="J53" s="1099"/>
      <c r="K53" s="1124"/>
      <c r="L53" s="1090"/>
      <c r="M53" s="1069"/>
      <c r="N53" s="1069"/>
      <c r="O53" s="1069"/>
      <c r="P53" s="1069"/>
      <c r="Q53" s="824"/>
      <c r="R53" s="824"/>
      <c r="S53" s="771"/>
      <c r="T53" s="707"/>
      <c r="U53" s="707" t="s">
        <v>1690</v>
      </c>
      <c r="V53" s="706"/>
      <c r="AE53" s="745" t="s">
        <v>758</v>
      </c>
      <c r="AF53" s="745" t="s">
        <v>719</v>
      </c>
      <c r="AG53" s="745" t="s">
        <v>757</v>
      </c>
    </row>
    <row r="54" spans="1:36" ht="14.1" customHeight="1">
      <c r="A54" s="1097"/>
      <c r="B54" s="1131"/>
      <c r="C54" s="1070"/>
      <c r="D54" s="1071"/>
      <c r="E54" s="1071"/>
      <c r="F54" s="1072"/>
      <c r="G54" s="827"/>
      <c r="H54" s="827"/>
      <c r="I54" s="759"/>
      <c r="J54" s="1099"/>
      <c r="K54" s="1124"/>
      <c r="L54" s="1090"/>
      <c r="M54" s="1070"/>
      <c r="N54" s="1071"/>
      <c r="O54" s="1071"/>
      <c r="P54" s="1072"/>
      <c r="Q54" s="846"/>
      <c r="R54" s="846"/>
      <c r="S54" s="771"/>
      <c r="T54" s="707"/>
      <c r="U54" s="707"/>
      <c r="V54" s="706"/>
      <c r="AE54" s="745" t="s">
        <v>759</v>
      </c>
      <c r="AF54" s="745" t="s">
        <v>707</v>
      </c>
      <c r="AG54" s="745" t="s">
        <v>760</v>
      </c>
    </row>
    <row r="55" spans="1:36" ht="14.1" customHeight="1">
      <c r="A55" s="1097"/>
      <c r="B55" s="1131"/>
      <c r="C55" s="1070"/>
      <c r="D55" s="1071"/>
      <c r="E55" s="1071"/>
      <c r="F55" s="1072"/>
      <c r="G55" s="827"/>
      <c r="H55" s="827"/>
      <c r="I55" s="782"/>
      <c r="J55" s="1099"/>
      <c r="K55" s="1124"/>
      <c r="L55" s="1090"/>
      <c r="M55" s="1070"/>
      <c r="N55" s="1071"/>
      <c r="O55" s="1071"/>
      <c r="P55" s="1072"/>
      <c r="Q55" s="846"/>
      <c r="R55" s="846"/>
      <c r="S55" s="778"/>
      <c r="T55" s="707"/>
      <c r="U55" s="707"/>
      <c r="V55" s="706"/>
      <c r="AE55" s="745" t="s">
        <v>761</v>
      </c>
      <c r="AF55" s="745" t="s">
        <v>707</v>
      </c>
      <c r="AG55" s="745" t="s">
        <v>762</v>
      </c>
    </row>
    <row r="56" spans="1:36" ht="14.1" customHeight="1">
      <c r="A56" s="1097"/>
      <c r="B56" s="1069" t="s">
        <v>1747</v>
      </c>
      <c r="C56" s="1118"/>
      <c r="D56" s="1118"/>
      <c r="E56" s="1118"/>
      <c r="F56" s="1118"/>
      <c r="G56" s="755"/>
      <c r="H56" s="751"/>
      <c r="I56" s="792"/>
      <c r="J56" s="1099"/>
      <c r="K56" s="1124"/>
      <c r="L56" s="1091"/>
      <c r="M56" s="1069"/>
      <c r="N56" s="1069"/>
      <c r="O56" s="1069"/>
      <c r="P56" s="1069"/>
      <c r="Q56" s="751"/>
      <c r="R56" s="751"/>
      <c r="S56" s="778"/>
      <c r="AE56" s="745" t="s">
        <v>763</v>
      </c>
      <c r="AF56" s="745">
        <v>160</v>
      </c>
      <c r="AG56" s="745" t="s">
        <v>764</v>
      </c>
    </row>
    <row r="57" spans="1:36" ht="14.1" customHeight="1">
      <c r="A57" s="1097"/>
      <c r="B57" s="1069"/>
      <c r="C57" s="1069"/>
      <c r="D57" s="1069"/>
      <c r="E57" s="1069"/>
      <c r="F57" s="1069"/>
      <c r="G57" s="751"/>
      <c r="H57" s="751"/>
      <c r="I57" s="792"/>
      <c r="J57" s="1099"/>
      <c r="K57" s="1124"/>
      <c r="L57" s="1090" t="s">
        <v>1752</v>
      </c>
      <c r="M57" s="1122"/>
      <c r="N57" s="1122"/>
      <c r="O57" s="1122"/>
      <c r="P57" s="1122"/>
      <c r="Q57" s="751"/>
      <c r="R57" s="751"/>
      <c r="S57" s="776"/>
      <c r="AE57" s="745" t="s">
        <v>765</v>
      </c>
      <c r="AF57" s="745" t="s">
        <v>738</v>
      </c>
      <c r="AG57" s="745" t="s">
        <v>766</v>
      </c>
    </row>
    <row r="58" spans="1:36" s="736" customFormat="1" ht="14.1" customHeight="1">
      <c r="A58" s="1097"/>
      <c r="B58" s="1069" t="s">
        <v>1749</v>
      </c>
      <c r="C58" s="1118"/>
      <c r="D58" s="1118"/>
      <c r="E58" s="1118"/>
      <c r="F58" s="1118"/>
      <c r="G58" s="755"/>
      <c r="H58" s="751"/>
      <c r="I58" s="782"/>
      <c r="J58" s="1099"/>
      <c r="K58" s="1124"/>
      <c r="L58" s="1090"/>
      <c r="M58" s="1088"/>
      <c r="N58" s="1088"/>
      <c r="O58" s="1088"/>
      <c r="P58" s="1088"/>
      <c r="Q58" s="753"/>
      <c r="R58" s="753"/>
      <c r="S58" s="778"/>
      <c r="V58" s="732"/>
      <c r="W58" s="732"/>
      <c r="X58" s="732"/>
      <c r="AE58" s="745" t="s">
        <v>767</v>
      </c>
      <c r="AF58" s="745" t="s">
        <v>738</v>
      </c>
      <c r="AG58" s="745" t="s">
        <v>768</v>
      </c>
      <c r="AJ58" s="732"/>
    </row>
    <row r="59" spans="1:36" s="736" customFormat="1" ht="14.1" customHeight="1">
      <c r="A59" s="1097"/>
      <c r="B59" s="1069"/>
      <c r="C59" s="1120"/>
      <c r="D59" s="1120"/>
      <c r="E59" s="1120"/>
      <c r="F59" s="1120"/>
      <c r="G59" s="753"/>
      <c r="H59" s="751"/>
      <c r="I59" s="782"/>
      <c r="J59" s="1099"/>
      <c r="K59" s="1124"/>
      <c r="L59" s="1090"/>
      <c r="M59" s="1088"/>
      <c r="N59" s="1088"/>
      <c r="O59" s="1088"/>
      <c r="P59" s="1088"/>
      <c r="Q59" s="751"/>
      <c r="R59" s="751"/>
      <c r="S59" s="776"/>
      <c r="V59" s="732"/>
      <c r="W59" s="732"/>
      <c r="X59" s="732"/>
      <c r="AE59" s="745" t="s">
        <v>769</v>
      </c>
      <c r="AF59" s="745" t="s">
        <v>738</v>
      </c>
      <c r="AG59" s="745" t="s">
        <v>770</v>
      </c>
      <c r="AJ59" s="732"/>
    </row>
    <row r="60" spans="1:36" s="736" customFormat="1" ht="14.1" customHeight="1">
      <c r="A60" s="1097"/>
      <c r="B60" s="1069"/>
      <c r="C60" s="1120"/>
      <c r="D60" s="1120"/>
      <c r="E60" s="1120"/>
      <c r="F60" s="1120"/>
      <c r="G60" s="753"/>
      <c r="H60" s="753"/>
      <c r="I60" s="782"/>
      <c r="J60" s="1099"/>
      <c r="K60" s="1124"/>
      <c r="L60" s="1090"/>
      <c r="M60" s="1088"/>
      <c r="N60" s="1088"/>
      <c r="O60" s="1088"/>
      <c r="P60" s="1088"/>
      <c r="Q60" s="751"/>
      <c r="R60" s="751"/>
      <c r="S60" s="776"/>
      <c r="V60" s="732"/>
      <c r="W60" s="732"/>
      <c r="X60" s="732"/>
      <c r="AE60" s="745" t="s">
        <v>771</v>
      </c>
      <c r="AF60" s="745" t="s">
        <v>738</v>
      </c>
      <c r="AG60" s="745" t="s">
        <v>772</v>
      </c>
      <c r="AJ60" s="732"/>
    </row>
    <row r="61" spans="1:36" s="736" customFormat="1" ht="14.1" customHeight="1">
      <c r="A61" s="1098"/>
      <c r="B61" s="1089"/>
      <c r="C61" s="1093"/>
      <c r="D61" s="1093"/>
      <c r="E61" s="1093"/>
      <c r="F61" s="1093"/>
      <c r="G61" s="773"/>
      <c r="H61" s="773"/>
      <c r="I61" s="793"/>
      <c r="J61" s="1099"/>
      <c r="K61" s="1125"/>
      <c r="L61" s="1091"/>
      <c r="M61" s="1092"/>
      <c r="N61" s="1092"/>
      <c r="O61" s="1092"/>
      <c r="P61" s="1092"/>
      <c r="Q61" s="761"/>
      <c r="R61" s="761"/>
      <c r="S61" s="779"/>
      <c r="V61" s="732"/>
      <c r="W61" s="732"/>
      <c r="X61" s="732"/>
      <c r="AE61" s="745" t="s">
        <v>773</v>
      </c>
      <c r="AF61" s="745" t="s">
        <v>707</v>
      </c>
      <c r="AG61" s="745" t="s">
        <v>774</v>
      </c>
      <c r="AJ61" s="732"/>
    </row>
    <row r="62" spans="1:36" s="736" customFormat="1" ht="12.95" customHeight="1">
      <c r="A62" s="1139" t="s">
        <v>1758</v>
      </c>
      <c r="B62" s="1139"/>
      <c r="C62" s="1139"/>
      <c r="D62" s="1139"/>
      <c r="E62" s="1139"/>
      <c r="F62" s="1139"/>
      <c r="G62" s="1139"/>
      <c r="H62" s="1139"/>
      <c r="I62" s="1139"/>
      <c r="J62" s="1100"/>
      <c r="K62" s="1139" t="s">
        <v>1761</v>
      </c>
      <c r="L62" s="1139"/>
      <c r="M62" s="1139"/>
      <c r="N62" s="1139"/>
      <c r="O62" s="1139"/>
      <c r="P62" s="1139"/>
      <c r="Q62" s="1139"/>
      <c r="R62" s="1139"/>
      <c r="S62" s="1139"/>
      <c r="V62" s="732"/>
      <c r="W62" s="732"/>
      <c r="X62" s="732"/>
      <c r="AJ62" s="732"/>
    </row>
    <row r="63" spans="1:36" s="736" customFormat="1" ht="12.95" customHeight="1">
      <c r="A63" s="1139"/>
      <c r="B63" s="1139"/>
      <c r="C63" s="1139"/>
      <c r="D63" s="1139"/>
      <c r="E63" s="1139"/>
      <c r="F63" s="1139"/>
      <c r="G63" s="1139"/>
      <c r="H63" s="1139"/>
      <c r="I63" s="1139"/>
      <c r="J63" s="1100"/>
      <c r="K63" s="1139"/>
      <c r="L63" s="1139"/>
      <c r="M63" s="1139"/>
      <c r="N63" s="1139"/>
      <c r="O63" s="1139"/>
      <c r="P63" s="1139"/>
      <c r="Q63" s="1139"/>
      <c r="R63" s="1139"/>
      <c r="S63" s="1139"/>
      <c r="V63" s="732"/>
      <c r="W63" s="732"/>
      <c r="X63" s="732"/>
      <c r="AJ63" s="732"/>
    </row>
    <row r="64" spans="1:36" s="736" customFormat="1" ht="15" customHeight="1">
      <c r="G64" s="747"/>
      <c r="R64" s="748"/>
      <c r="S64" s="737"/>
      <c r="V64" s="732"/>
      <c r="W64" s="732"/>
      <c r="X64" s="732"/>
      <c r="AJ64" s="732"/>
    </row>
    <row r="65" spans="1:36" s="736" customFormat="1" ht="15" customHeight="1">
      <c r="A65" s="736" t="s">
        <v>1691</v>
      </c>
      <c r="G65" s="732"/>
      <c r="L65" s="1077" t="s">
        <v>1762</v>
      </c>
      <c r="M65" s="1077"/>
      <c r="N65" s="1077"/>
      <c r="O65" s="1077"/>
      <c r="P65" s="1077"/>
      <c r="V65" s="732"/>
      <c r="W65" s="732"/>
      <c r="X65" s="732"/>
      <c r="AJ65" s="732"/>
    </row>
    <row r="66" spans="1:36" s="736" customFormat="1" ht="15" customHeight="1">
      <c r="G66" s="732"/>
      <c r="L66" s="1077"/>
      <c r="M66" s="1077"/>
      <c r="N66" s="1077"/>
      <c r="O66" s="1077"/>
      <c r="P66" s="1077"/>
      <c r="V66" s="732"/>
      <c r="AJ66" s="732"/>
    </row>
    <row r="67" spans="1:36" s="736" customFormat="1" ht="15" customHeight="1">
      <c r="G67" s="732"/>
      <c r="L67" s="1077"/>
      <c r="M67" s="1077"/>
      <c r="N67" s="1077"/>
      <c r="O67" s="1077"/>
      <c r="P67" s="1077"/>
      <c r="V67" s="732"/>
      <c r="AJ67" s="732"/>
    </row>
    <row r="68" spans="1:36" s="736" customFormat="1" ht="15" customHeight="1">
      <c r="B68" s="1084" t="s">
        <v>1692</v>
      </c>
      <c r="C68" s="1069"/>
      <c r="D68" s="1069"/>
      <c r="E68" s="1069"/>
      <c r="F68" s="1069"/>
      <c r="G68" s="729"/>
      <c r="H68" s="729"/>
      <c r="L68" s="1077"/>
      <c r="M68" s="1077"/>
      <c r="N68" s="1077"/>
      <c r="O68" s="1077"/>
      <c r="P68" s="1077"/>
      <c r="V68" s="732"/>
      <c r="AJ68" s="732"/>
    </row>
    <row r="69" spans="1:36" s="736" customFormat="1" ht="15" customHeight="1">
      <c r="B69" s="1085"/>
      <c r="C69" s="1069" t="s">
        <v>1693</v>
      </c>
      <c r="D69" s="1069"/>
      <c r="E69" s="1069"/>
      <c r="F69" s="1069"/>
      <c r="G69" s="729"/>
      <c r="H69" s="729" t="s">
        <v>1655</v>
      </c>
      <c r="L69" s="1077"/>
      <c r="M69" s="1077"/>
      <c r="N69" s="1077"/>
      <c r="O69" s="1077"/>
      <c r="P69" s="1077"/>
      <c r="V69" s="732"/>
      <c r="AJ69" s="732"/>
    </row>
    <row r="70" spans="1:36" s="736" customFormat="1" ht="15" customHeight="1">
      <c r="B70" s="1085"/>
      <c r="C70" s="1069" t="s">
        <v>1694</v>
      </c>
      <c r="D70" s="1069"/>
      <c r="E70" s="1087" t="s">
        <v>1695</v>
      </c>
      <c r="F70" s="1087"/>
      <c r="G70" s="729"/>
      <c r="H70" s="729" t="s">
        <v>1655</v>
      </c>
      <c r="L70" s="1077"/>
      <c r="M70" s="1077"/>
      <c r="N70" s="1077"/>
      <c r="O70" s="1077"/>
      <c r="P70" s="1077"/>
      <c r="V70" s="732"/>
      <c r="AJ70" s="732"/>
    </row>
    <row r="71" spans="1:36" s="736" customFormat="1" ht="15" customHeight="1">
      <c r="B71" s="1085"/>
      <c r="C71" s="1069"/>
      <c r="D71" s="1069"/>
      <c r="E71" s="1069"/>
      <c r="F71" s="1069"/>
      <c r="G71" s="729"/>
      <c r="H71" s="729"/>
      <c r="L71" s="1077"/>
      <c r="M71" s="1077"/>
      <c r="N71" s="1077"/>
      <c r="O71" s="1077"/>
      <c r="P71" s="1077"/>
      <c r="V71" s="732"/>
      <c r="AJ71" s="732"/>
    </row>
    <row r="72" spans="1:36" s="736" customFormat="1" ht="15" customHeight="1">
      <c r="B72" s="1086"/>
      <c r="C72" s="1069"/>
      <c r="D72" s="1069"/>
      <c r="E72" s="1069"/>
      <c r="F72" s="1069"/>
      <c r="G72" s="729"/>
      <c r="H72" s="729"/>
      <c r="L72" s="1077"/>
      <c r="M72" s="1077"/>
      <c r="N72" s="1077"/>
      <c r="O72" s="1077"/>
      <c r="P72" s="1077"/>
      <c r="V72" s="732"/>
      <c r="AJ72" s="732"/>
    </row>
    <row r="73" spans="1:36" s="736" customFormat="1" ht="15" customHeight="1">
      <c r="B73" s="749" t="s">
        <v>1632</v>
      </c>
      <c r="C73" s="749"/>
      <c r="D73" s="749"/>
      <c r="E73" s="749"/>
      <c r="F73" s="749"/>
      <c r="G73" s="749"/>
      <c r="H73" s="749"/>
      <c r="L73" s="1077"/>
      <c r="M73" s="1077"/>
      <c r="N73" s="1077"/>
      <c r="O73" s="1077"/>
      <c r="P73" s="1077"/>
      <c r="V73" s="732"/>
      <c r="AJ73" s="732"/>
    </row>
    <row r="74" spans="1:36" s="736" customFormat="1" ht="15" customHeight="1">
      <c r="B74" s="749" t="s">
        <v>1633</v>
      </c>
      <c r="C74" s="749"/>
      <c r="D74" s="749"/>
      <c r="E74" s="749"/>
      <c r="F74" s="749"/>
      <c r="G74" s="749"/>
      <c r="H74" s="749"/>
      <c r="L74" s="1077"/>
      <c r="M74" s="1077"/>
      <c r="N74" s="1077"/>
      <c r="O74" s="1077"/>
      <c r="P74" s="1077"/>
      <c r="V74" s="732"/>
      <c r="AJ74" s="732"/>
    </row>
    <row r="75" spans="1:36" s="736" customFormat="1" ht="15" customHeight="1">
      <c r="B75" s="749"/>
      <c r="C75" s="749"/>
      <c r="D75" s="749"/>
      <c r="E75" s="749"/>
      <c r="F75" s="749"/>
      <c r="G75" s="749"/>
      <c r="H75" s="749"/>
      <c r="L75" s="1077"/>
      <c r="M75" s="1077"/>
      <c r="N75" s="1077"/>
      <c r="O75" s="1077"/>
      <c r="P75" s="1077"/>
      <c r="V75" s="732"/>
      <c r="AJ75" s="732"/>
    </row>
    <row r="76" spans="1:36" s="736" customFormat="1" ht="15" customHeight="1">
      <c r="B76" s="749"/>
      <c r="C76" s="749"/>
      <c r="D76" s="749"/>
      <c r="E76" s="749"/>
      <c r="F76" s="749"/>
      <c r="G76" s="749"/>
      <c r="H76" s="749"/>
      <c r="L76" s="796"/>
      <c r="M76" s="796"/>
      <c r="N76" s="796"/>
      <c r="O76" s="796"/>
      <c r="P76" s="796"/>
      <c r="V76" s="732"/>
      <c r="AJ76" s="732"/>
    </row>
    <row r="77" spans="1:36" s="736" customFormat="1" ht="15" customHeight="1">
      <c r="V77" s="732"/>
      <c r="AJ77" s="732"/>
    </row>
    <row r="78" spans="1:36" s="736" customFormat="1" ht="15" customHeight="1">
      <c r="V78" s="732"/>
      <c r="AJ78" s="732"/>
    </row>
    <row r="79" spans="1:36" s="736" customFormat="1" ht="15" customHeight="1">
      <c r="V79" s="732"/>
      <c r="AJ79" s="732"/>
    </row>
    <row r="80" spans="1:36" s="736" customFormat="1" ht="15" customHeight="1">
      <c r="V80" s="732"/>
      <c r="AJ80" s="732"/>
    </row>
    <row r="81" spans="22:36" s="736" customFormat="1" ht="15" customHeight="1">
      <c r="V81" s="732"/>
      <c r="AJ81" s="732"/>
    </row>
    <row r="82" spans="22:36" s="736" customFormat="1" ht="15" customHeight="1">
      <c r="V82" s="732"/>
      <c r="AJ82" s="732"/>
    </row>
    <row r="83" spans="22:36" s="736" customFormat="1" ht="15" customHeight="1">
      <c r="V83" s="732"/>
      <c r="AJ83" s="732"/>
    </row>
    <row r="84" spans="22:36" s="736" customFormat="1" ht="15" customHeight="1">
      <c r="V84" s="732"/>
      <c r="AJ84" s="732"/>
    </row>
    <row r="85" spans="22:36" s="736" customFormat="1" ht="15" customHeight="1">
      <c r="V85" s="732"/>
      <c r="AJ85" s="732"/>
    </row>
    <row r="86" spans="22:36" s="736" customFormat="1" ht="15" customHeight="1">
      <c r="V86" s="732"/>
      <c r="AJ86" s="732"/>
    </row>
    <row r="87" spans="22:36" s="736" customFormat="1" ht="15" customHeight="1">
      <c r="V87" s="732"/>
      <c r="AJ87" s="732"/>
    </row>
    <row r="88" spans="22:36" s="736" customFormat="1" ht="15" customHeight="1">
      <c r="V88" s="732"/>
      <c r="AJ88" s="732"/>
    </row>
    <row r="89" spans="22:36" s="736" customFormat="1" ht="15" customHeight="1">
      <c r="V89" s="732"/>
      <c r="AJ89" s="732"/>
    </row>
    <row r="90" spans="22:36" s="736" customFormat="1" ht="15" customHeight="1">
      <c r="V90" s="732"/>
      <c r="AJ90" s="732"/>
    </row>
    <row r="91" spans="22:36" s="736" customFormat="1" ht="15" customHeight="1">
      <c r="V91" s="732"/>
      <c r="AJ91" s="732"/>
    </row>
    <row r="92" spans="22:36" s="736" customFormat="1" ht="15" customHeight="1">
      <c r="V92" s="732"/>
      <c r="AJ92" s="732"/>
    </row>
    <row r="93" spans="22:36" s="736" customFormat="1" ht="15" customHeight="1">
      <c r="V93" s="732"/>
      <c r="AJ93" s="732"/>
    </row>
    <row r="94" spans="22:36" s="736" customFormat="1" ht="15" customHeight="1">
      <c r="V94" s="732"/>
      <c r="W94" s="732"/>
      <c r="X94" s="732"/>
      <c r="AJ94" s="732"/>
    </row>
    <row r="95" spans="22:36" s="736" customFormat="1" ht="15" customHeight="1">
      <c r="V95" s="732"/>
      <c r="W95" s="732"/>
      <c r="X95" s="732"/>
      <c r="AJ95" s="732"/>
    </row>
    <row r="96" spans="22:36" s="736" customFormat="1" ht="15" customHeight="1">
      <c r="V96" s="732"/>
      <c r="W96" s="732"/>
      <c r="X96" s="732"/>
      <c r="AJ96" s="732"/>
    </row>
    <row r="97" spans="7:36" s="736" customFormat="1" ht="15" customHeight="1">
      <c r="G97" s="732"/>
      <c r="V97" s="732"/>
      <c r="W97" s="732"/>
      <c r="X97" s="732"/>
      <c r="AJ97" s="732"/>
    </row>
    <row r="98" spans="7:36" s="736" customFormat="1" ht="15" customHeight="1">
      <c r="G98" s="732"/>
      <c r="V98" s="732"/>
      <c r="W98" s="732"/>
      <c r="X98" s="732"/>
      <c r="AJ98" s="732"/>
    </row>
    <row r="99" spans="7:36" s="736" customFormat="1" ht="15" customHeight="1">
      <c r="G99" s="732"/>
      <c r="V99" s="732"/>
      <c r="W99" s="732"/>
      <c r="X99" s="732"/>
      <c r="AJ99" s="732"/>
    </row>
    <row r="100" spans="7:36" s="736" customFormat="1" ht="15" customHeight="1">
      <c r="G100" s="732"/>
      <c r="V100" s="732"/>
      <c r="W100" s="732"/>
      <c r="X100" s="732"/>
      <c r="AJ100" s="732"/>
    </row>
    <row r="101" spans="7:36" s="736" customFormat="1" ht="15" customHeight="1">
      <c r="G101" s="732"/>
      <c r="V101" s="732"/>
      <c r="W101" s="732"/>
      <c r="X101" s="732"/>
      <c r="AJ101" s="732"/>
    </row>
    <row r="102" spans="7:36" s="736" customFormat="1" ht="15" customHeight="1">
      <c r="G102" s="732"/>
      <c r="V102" s="732"/>
      <c r="W102" s="732"/>
      <c r="X102" s="732"/>
      <c r="AJ102" s="732"/>
    </row>
    <row r="103" spans="7:36" s="736" customFormat="1" ht="15" customHeight="1">
      <c r="G103" s="732"/>
      <c r="V103" s="732"/>
      <c r="W103" s="732"/>
      <c r="X103" s="732"/>
      <c r="AJ103" s="732"/>
    </row>
    <row r="104" spans="7:36" s="736" customFormat="1" ht="15" customHeight="1">
      <c r="G104" s="732"/>
      <c r="V104" s="732"/>
      <c r="W104" s="732"/>
      <c r="X104" s="732"/>
      <c r="AJ104" s="732"/>
    </row>
    <row r="105" spans="7:36" s="736" customFormat="1" ht="15" customHeight="1">
      <c r="G105" s="732"/>
      <c r="V105" s="732"/>
      <c r="W105" s="732"/>
      <c r="X105" s="732"/>
      <c r="AJ105" s="732"/>
    </row>
    <row r="106" spans="7:36" s="736" customFormat="1" ht="15" customHeight="1">
      <c r="G106" s="732"/>
      <c r="V106" s="732"/>
      <c r="W106" s="732"/>
      <c r="X106" s="732"/>
      <c r="AJ106" s="732"/>
    </row>
    <row r="107" spans="7:36" s="736" customFormat="1" ht="15" customHeight="1">
      <c r="G107" s="732"/>
      <c r="V107" s="732"/>
      <c r="W107" s="732"/>
      <c r="X107" s="732"/>
      <c r="AJ107" s="732"/>
    </row>
    <row r="108" spans="7:36" s="736" customFormat="1" ht="15" customHeight="1">
      <c r="G108" s="732"/>
      <c r="V108" s="732"/>
      <c r="W108" s="732"/>
      <c r="X108" s="732"/>
      <c r="AJ108" s="732"/>
    </row>
    <row r="109" spans="7:36" s="736" customFormat="1" ht="15" customHeight="1">
      <c r="G109" s="732"/>
      <c r="V109" s="732"/>
      <c r="W109" s="732"/>
      <c r="X109" s="732"/>
      <c r="AJ109" s="732"/>
    </row>
    <row r="110" spans="7:36" s="736" customFormat="1" ht="15" customHeight="1">
      <c r="G110" s="732"/>
      <c r="V110" s="732"/>
      <c r="W110" s="732"/>
      <c r="X110" s="732"/>
      <c r="AJ110" s="732"/>
    </row>
    <row r="111" spans="7:36" s="736" customFormat="1" ht="15" customHeight="1">
      <c r="G111" s="732"/>
      <c r="V111" s="732"/>
      <c r="W111" s="732"/>
      <c r="X111" s="732"/>
      <c r="AJ111" s="732"/>
    </row>
    <row r="112" spans="7:36" s="736" customFormat="1" ht="15" customHeight="1">
      <c r="G112" s="732"/>
      <c r="V112" s="732"/>
      <c r="W112" s="732"/>
      <c r="X112" s="732"/>
      <c r="AJ112" s="732"/>
    </row>
    <row r="113" spans="7:36" s="736" customFormat="1" ht="15" customHeight="1">
      <c r="G113" s="732"/>
      <c r="V113" s="732"/>
      <c r="W113" s="732"/>
      <c r="X113" s="732"/>
      <c r="AJ113" s="732"/>
    </row>
    <row r="114" spans="7:36" s="736" customFormat="1" ht="15" customHeight="1">
      <c r="G114" s="732"/>
      <c r="V114" s="732"/>
      <c r="W114" s="732"/>
      <c r="X114" s="732"/>
      <c r="AJ114" s="732"/>
    </row>
    <row r="115" spans="7:36" s="736" customFormat="1" ht="15" customHeight="1">
      <c r="G115" s="732"/>
      <c r="V115" s="732"/>
      <c r="W115" s="732"/>
      <c r="X115" s="732"/>
      <c r="AJ115" s="732"/>
    </row>
    <row r="116" spans="7:36" s="736" customFormat="1" ht="15" customHeight="1">
      <c r="G116" s="732"/>
      <c r="V116" s="732"/>
      <c r="W116" s="732"/>
      <c r="X116" s="732"/>
      <c r="AJ116" s="732"/>
    </row>
    <row r="117" spans="7:36" s="736" customFormat="1" ht="15" customHeight="1">
      <c r="G117" s="732"/>
      <c r="V117" s="732"/>
      <c r="W117" s="732"/>
      <c r="X117" s="732"/>
      <c r="AJ117" s="732"/>
    </row>
    <row r="118" spans="7:36" s="736" customFormat="1" ht="15" customHeight="1">
      <c r="G118" s="732"/>
      <c r="V118" s="732"/>
      <c r="W118" s="732"/>
      <c r="X118" s="732"/>
      <c r="AJ118" s="732"/>
    </row>
    <row r="119" spans="7:36" s="736" customFormat="1" ht="15" customHeight="1">
      <c r="G119" s="732"/>
      <c r="V119" s="732"/>
      <c r="W119" s="732"/>
      <c r="X119" s="732"/>
      <c r="AJ119" s="732"/>
    </row>
    <row r="120" spans="7:36" s="736" customFormat="1" ht="15" customHeight="1">
      <c r="G120" s="732"/>
      <c r="V120" s="732"/>
      <c r="W120" s="732"/>
      <c r="X120" s="732"/>
      <c r="AJ120" s="732"/>
    </row>
    <row r="121" spans="7:36" s="736" customFormat="1" ht="15" customHeight="1">
      <c r="G121" s="732"/>
      <c r="V121" s="732"/>
      <c r="W121" s="732"/>
      <c r="X121" s="732"/>
      <c r="AJ121" s="732"/>
    </row>
    <row r="122" spans="7:36" s="736" customFormat="1" ht="15" customHeight="1">
      <c r="G122" s="732"/>
      <c r="V122" s="732"/>
      <c r="W122" s="732"/>
      <c r="X122" s="732"/>
      <c r="AJ122" s="732"/>
    </row>
    <row r="123" spans="7:36" s="736" customFormat="1" ht="15" customHeight="1">
      <c r="G123" s="732"/>
      <c r="V123" s="732"/>
      <c r="W123" s="732"/>
      <c r="X123" s="732"/>
      <c r="AJ123" s="732"/>
    </row>
    <row r="124" spans="7:36" s="736" customFormat="1" ht="15" customHeight="1">
      <c r="G124" s="732"/>
      <c r="V124" s="732"/>
      <c r="W124" s="732"/>
      <c r="X124" s="732"/>
      <c r="AJ124" s="732"/>
    </row>
    <row r="125" spans="7:36" s="736" customFormat="1" ht="15" customHeight="1">
      <c r="G125" s="732"/>
      <c r="V125" s="732"/>
      <c r="W125" s="732"/>
      <c r="X125" s="732"/>
      <c r="AJ125" s="732"/>
    </row>
    <row r="126" spans="7:36" s="736" customFormat="1" ht="15" customHeight="1">
      <c r="G126" s="732"/>
      <c r="V126" s="732"/>
      <c r="W126" s="732"/>
      <c r="X126" s="732"/>
      <c r="AJ126" s="732"/>
    </row>
    <row r="127" spans="7:36" s="736" customFormat="1" ht="15" customHeight="1">
      <c r="G127" s="732"/>
      <c r="V127" s="732"/>
      <c r="W127" s="732"/>
      <c r="X127" s="732"/>
      <c r="AJ127" s="732"/>
    </row>
    <row r="128" spans="7:36" s="736" customFormat="1" ht="15" customHeight="1">
      <c r="G128" s="732"/>
      <c r="V128" s="732"/>
      <c r="W128" s="732"/>
      <c r="X128" s="732"/>
      <c r="AJ128" s="732"/>
    </row>
    <row r="129" spans="7:36" s="736" customFormat="1" ht="15" customHeight="1">
      <c r="G129" s="732"/>
      <c r="V129" s="732"/>
      <c r="W129" s="732"/>
      <c r="X129" s="732"/>
      <c r="AJ129" s="732"/>
    </row>
    <row r="130" spans="7:36" s="736" customFormat="1" ht="15" customHeight="1">
      <c r="G130" s="732"/>
      <c r="V130" s="732"/>
      <c r="W130" s="732"/>
      <c r="X130" s="732"/>
      <c r="AJ130" s="732"/>
    </row>
    <row r="131" spans="7:36" s="736" customFormat="1" ht="15" customHeight="1">
      <c r="G131" s="732"/>
      <c r="V131" s="732"/>
      <c r="W131" s="732"/>
      <c r="X131" s="732"/>
      <c r="AJ131" s="732"/>
    </row>
    <row r="132" spans="7:36" s="736" customFormat="1" ht="15" customHeight="1">
      <c r="G132" s="732"/>
      <c r="V132" s="732"/>
      <c r="W132" s="732"/>
      <c r="X132" s="732"/>
      <c r="AJ132" s="732"/>
    </row>
    <row r="133" spans="7:36" s="736" customFormat="1" ht="15" customHeight="1">
      <c r="G133" s="732"/>
      <c r="V133" s="732"/>
      <c r="W133" s="732"/>
      <c r="X133" s="732"/>
      <c r="AJ133" s="732"/>
    </row>
    <row r="134" spans="7:36" s="736" customFormat="1" ht="15" customHeight="1">
      <c r="G134" s="732"/>
      <c r="V134" s="732"/>
      <c r="W134" s="732"/>
      <c r="X134" s="732"/>
      <c r="AJ134" s="732"/>
    </row>
    <row r="135" spans="7:36" s="736" customFormat="1" ht="15" customHeight="1">
      <c r="G135" s="732"/>
      <c r="V135" s="732"/>
      <c r="W135" s="732"/>
      <c r="X135" s="732"/>
      <c r="AJ135" s="732"/>
    </row>
    <row r="136" spans="7:36" s="736" customFormat="1" ht="15" customHeight="1">
      <c r="G136" s="732"/>
      <c r="V136" s="732"/>
      <c r="W136" s="732"/>
      <c r="X136" s="732"/>
      <c r="AJ136" s="732"/>
    </row>
    <row r="137" spans="7:36" s="736" customFormat="1" ht="15" customHeight="1">
      <c r="G137" s="732"/>
      <c r="V137" s="732"/>
      <c r="W137" s="732"/>
      <c r="X137" s="732"/>
      <c r="AJ137" s="732"/>
    </row>
    <row r="138" spans="7:36" s="736" customFormat="1" ht="15" customHeight="1">
      <c r="G138" s="732"/>
      <c r="V138" s="732"/>
      <c r="W138" s="732"/>
      <c r="X138" s="732"/>
      <c r="AJ138" s="732"/>
    </row>
    <row r="139" spans="7:36" s="736" customFormat="1" ht="15" customHeight="1">
      <c r="G139" s="732"/>
      <c r="V139" s="732"/>
      <c r="W139" s="732"/>
      <c r="X139" s="732"/>
      <c r="AJ139" s="732"/>
    </row>
    <row r="140" spans="7:36" s="736" customFormat="1" ht="15" customHeight="1">
      <c r="G140" s="732"/>
      <c r="V140" s="732"/>
      <c r="W140" s="732"/>
      <c r="X140" s="732"/>
      <c r="AJ140" s="732"/>
    </row>
    <row r="141" spans="7:36" s="736" customFormat="1" ht="15" customHeight="1">
      <c r="G141" s="732"/>
      <c r="V141" s="732"/>
      <c r="W141" s="732"/>
      <c r="X141" s="732"/>
      <c r="AJ141" s="732"/>
    </row>
    <row r="142" spans="7:36" s="736" customFormat="1" ht="15" customHeight="1">
      <c r="G142" s="732"/>
      <c r="V142" s="732"/>
      <c r="W142" s="732"/>
      <c r="X142" s="732"/>
      <c r="AJ142" s="732"/>
    </row>
    <row r="143" spans="7:36" s="736" customFormat="1" ht="15" customHeight="1">
      <c r="G143" s="732"/>
      <c r="V143" s="732"/>
      <c r="W143" s="732"/>
      <c r="X143" s="732"/>
      <c r="AJ143" s="732"/>
    </row>
    <row r="144" spans="7:36" s="736" customFormat="1" ht="15" customHeight="1">
      <c r="G144" s="732"/>
      <c r="V144" s="732"/>
      <c r="W144" s="732"/>
      <c r="X144" s="732"/>
      <c r="AJ144" s="732"/>
    </row>
    <row r="145" spans="7:36" s="736" customFormat="1" ht="15" customHeight="1">
      <c r="G145" s="732"/>
      <c r="V145" s="732"/>
      <c r="W145" s="732"/>
      <c r="X145" s="732"/>
      <c r="AJ145" s="732"/>
    </row>
    <row r="146" spans="7:36" s="736" customFormat="1" ht="15" customHeight="1">
      <c r="G146" s="732"/>
      <c r="V146" s="732"/>
      <c r="W146" s="732"/>
      <c r="X146" s="732"/>
      <c r="AJ146" s="732"/>
    </row>
    <row r="147" spans="7:36" s="736" customFormat="1" ht="15" customHeight="1">
      <c r="G147" s="732"/>
      <c r="V147" s="732"/>
      <c r="W147" s="732"/>
      <c r="X147" s="732"/>
      <c r="AJ147" s="732"/>
    </row>
    <row r="148" spans="7:36" s="736" customFormat="1" ht="15" customHeight="1">
      <c r="G148" s="732"/>
      <c r="V148" s="732"/>
      <c r="W148" s="732"/>
      <c r="X148" s="732"/>
      <c r="AJ148" s="732"/>
    </row>
    <row r="149" spans="7:36" s="736" customFormat="1" ht="15" customHeight="1">
      <c r="G149" s="732"/>
      <c r="V149" s="732"/>
      <c r="W149" s="732"/>
      <c r="X149" s="732"/>
      <c r="AJ149" s="732"/>
    </row>
    <row r="150" spans="7:36" s="736" customFormat="1" ht="15" customHeight="1">
      <c r="G150" s="732"/>
      <c r="V150" s="732"/>
      <c r="W150" s="732"/>
      <c r="X150" s="732"/>
      <c r="AJ150" s="732"/>
    </row>
    <row r="151" spans="7:36" s="736" customFormat="1" ht="15" customHeight="1">
      <c r="G151" s="732"/>
      <c r="V151" s="732"/>
      <c r="W151" s="732"/>
      <c r="X151" s="732"/>
      <c r="AJ151" s="732"/>
    </row>
    <row r="152" spans="7:36" s="736" customFormat="1" ht="15" customHeight="1">
      <c r="G152" s="732"/>
      <c r="V152" s="732"/>
      <c r="W152" s="732"/>
      <c r="X152" s="732"/>
      <c r="AJ152" s="732"/>
    </row>
    <row r="153" spans="7:36" s="736" customFormat="1" ht="15" customHeight="1">
      <c r="G153" s="732"/>
      <c r="V153" s="732"/>
      <c r="W153" s="732"/>
      <c r="X153" s="732"/>
      <c r="AJ153" s="732"/>
    </row>
    <row r="154" spans="7:36" s="736" customFormat="1" ht="15" customHeight="1">
      <c r="G154" s="732"/>
      <c r="V154" s="732"/>
      <c r="W154" s="732"/>
      <c r="X154" s="732"/>
      <c r="AJ154" s="732"/>
    </row>
    <row r="155" spans="7:36" s="736" customFormat="1" ht="15" customHeight="1">
      <c r="G155" s="732"/>
      <c r="V155" s="732"/>
      <c r="W155" s="732"/>
      <c r="X155" s="732"/>
      <c r="AJ155" s="732"/>
    </row>
    <row r="156" spans="7:36" s="736" customFormat="1" ht="15" customHeight="1">
      <c r="G156" s="732"/>
      <c r="V156" s="732"/>
      <c r="W156" s="732"/>
      <c r="X156" s="732"/>
      <c r="AJ156" s="732"/>
    </row>
    <row r="157" spans="7:36" s="736" customFormat="1" ht="15" customHeight="1">
      <c r="G157" s="732"/>
      <c r="V157" s="732"/>
      <c r="W157" s="732"/>
      <c r="X157" s="732"/>
      <c r="AJ157" s="732"/>
    </row>
    <row r="158" spans="7:36" s="736" customFormat="1" ht="15" customHeight="1">
      <c r="G158" s="732"/>
      <c r="V158" s="732"/>
      <c r="W158" s="732"/>
      <c r="X158" s="732"/>
      <c r="AJ158" s="732"/>
    </row>
    <row r="159" spans="7:36" s="736" customFormat="1" ht="15" customHeight="1">
      <c r="G159" s="732"/>
      <c r="V159" s="732"/>
      <c r="W159" s="732"/>
      <c r="X159" s="732"/>
      <c r="AJ159" s="732"/>
    </row>
    <row r="160" spans="7:36" s="736" customFormat="1" ht="15" customHeight="1">
      <c r="G160" s="732"/>
      <c r="V160" s="732"/>
      <c r="W160" s="732"/>
      <c r="X160" s="732"/>
      <c r="AJ160" s="732"/>
    </row>
    <row r="161" spans="7:36" s="736" customFormat="1" ht="15" customHeight="1">
      <c r="G161" s="732"/>
      <c r="V161" s="732"/>
      <c r="W161" s="732"/>
      <c r="X161" s="732"/>
      <c r="AJ161" s="732"/>
    </row>
    <row r="162" spans="7:36" s="736" customFormat="1" ht="15" customHeight="1">
      <c r="G162" s="732"/>
      <c r="V162" s="732"/>
      <c r="W162" s="732"/>
      <c r="X162" s="732"/>
      <c r="AJ162" s="732"/>
    </row>
    <row r="163" spans="7:36" s="736" customFormat="1" ht="15" customHeight="1">
      <c r="G163" s="732"/>
      <c r="V163" s="732"/>
      <c r="W163" s="732"/>
      <c r="X163" s="732"/>
      <c r="AJ163" s="732"/>
    </row>
    <row r="164" spans="7:36" s="736" customFormat="1" ht="15" customHeight="1">
      <c r="G164" s="732"/>
      <c r="V164" s="732"/>
      <c r="W164" s="732"/>
      <c r="X164" s="732"/>
      <c r="AJ164" s="732"/>
    </row>
    <row r="165" spans="7:36" s="736" customFormat="1" ht="15" customHeight="1">
      <c r="G165" s="732"/>
      <c r="V165" s="732"/>
      <c r="W165" s="732"/>
      <c r="X165" s="732"/>
      <c r="AJ165" s="732"/>
    </row>
    <row r="166" spans="7:36" s="736" customFormat="1" ht="15" customHeight="1">
      <c r="G166" s="732"/>
      <c r="V166" s="732"/>
      <c r="W166" s="732"/>
      <c r="X166" s="732"/>
      <c r="AJ166" s="732"/>
    </row>
    <row r="167" spans="7:36" s="736" customFormat="1" ht="15" customHeight="1">
      <c r="G167" s="732"/>
      <c r="V167" s="732"/>
      <c r="W167" s="732"/>
      <c r="X167" s="732"/>
      <c r="AJ167" s="732"/>
    </row>
    <row r="168" spans="7:36" s="736" customFormat="1" ht="15" customHeight="1">
      <c r="G168" s="732"/>
      <c r="V168" s="732"/>
      <c r="W168" s="732"/>
      <c r="X168" s="732"/>
      <c r="AJ168" s="732"/>
    </row>
    <row r="169" spans="7:36" s="736" customFormat="1" ht="15" customHeight="1">
      <c r="G169" s="732"/>
      <c r="V169" s="732"/>
      <c r="W169" s="732"/>
      <c r="X169" s="732"/>
      <c r="AJ169" s="732"/>
    </row>
    <row r="170" spans="7:36" s="736" customFormat="1" ht="15" customHeight="1">
      <c r="G170" s="732"/>
      <c r="V170" s="732"/>
      <c r="W170" s="732"/>
      <c r="X170" s="732"/>
      <c r="AJ170" s="732"/>
    </row>
    <row r="171" spans="7:36" s="736" customFormat="1" ht="15" customHeight="1">
      <c r="G171" s="732"/>
      <c r="V171" s="732"/>
      <c r="W171" s="732"/>
      <c r="X171" s="732"/>
      <c r="AJ171" s="732"/>
    </row>
    <row r="172" spans="7:36" s="736" customFormat="1" ht="15" customHeight="1">
      <c r="G172" s="732"/>
      <c r="V172" s="732"/>
      <c r="W172" s="732"/>
      <c r="X172" s="732"/>
      <c r="AJ172" s="732"/>
    </row>
    <row r="173" spans="7:36" s="736" customFormat="1" ht="15" customHeight="1">
      <c r="G173" s="732"/>
      <c r="V173" s="732"/>
      <c r="W173" s="732"/>
      <c r="X173" s="732"/>
      <c r="AJ173" s="732"/>
    </row>
    <row r="174" spans="7:36" s="736" customFormat="1" ht="15" customHeight="1">
      <c r="G174" s="732"/>
      <c r="V174" s="732"/>
      <c r="W174" s="732"/>
      <c r="X174" s="732"/>
      <c r="AJ174" s="732"/>
    </row>
    <row r="175" spans="7:36" s="736" customFormat="1" ht="15" customHeight="1">
      <c r="G175" s="732"/>
      <c r="V175" s="732"/>
      <c r="W175" s="732"/>
      <c r="X175" s="732"/>
      <c r="AJ175" s="732"/>
    </row>
    <row r="176" spans="7:36" s="736" customFormat="1" ht="15" customHeight="1">
      <c r="G176" s="732"/>
      <c r="V176" s="732"/>
      <c r="W176" s="732"/>
      <c r="X176" s="732"/>
      <c r="AJ176" s="732"/>
    </row>
    <row r="177" spans="7:36" s="736" customFormat="1" ht="15" customHeight="1">
      <c r="G177" s="732"/>
      <c r="V177" s="732"/>
      <c r="W177" s="732"/>
      <c r="X177" s="732"/>
      <c r="AJ177" s="732"/>
    </row>
    <row r="178" spans="7:36" s="736" customFormat="1" ht="15" customHeight="1">
      <c r="G178" s="732"/>
      <c r="V178" s="732"/>
      <c r="W178" s="732"/>
      <c r="X178" s="732"/>
      <c r="AJ178" s="732"/>
    </row>
    <row r="179" spans="7:36" s="736" customFormat="1" ht="15" customHeight="1">
      <c r="G179" s="732"/>
      <c r="V179" s="732"/>
      <c r="W179" s="732"/>
      <c r="X179" s="732"/>
      <c r="AJ179" s="732"/>
    </row>
    <row r="180" spans="7:36" s="736" customFormat="1" ht="15" customHeight="1">
      <c r="G180" s="732"/>
      <c r="V180" s="732"/>
      <c r="W180" s="732"/>
      <c r="X180" s="732"/>
      <c r="AJ180" s="732"/>
    </row>
    <row r="181" spans="7:36" s="736" customFormat="1" ht="15" customHeight="1">
      <c r="G181" s="732"/>
      <c r="V181" s="732"/>
      <c r="W181" s="732"/>
      <c r="X181" s="732"/>
      <c r="AJ181" s="732"/>
    </row>
    <row r="182" spans="7:36" s="736" customFormat="1" ht="15" customHeight="1">
      <c r="G182" s="732"/>
      <c r="V182" s="732"/>
      <c r="W182" s="732"/>
      <c r="X182" s="732"/>
      <c r="AJ182" s="732"/>
    </row>
    <row r="183" spans="7:36" s="736" customFormat="1" ht="15" customHeight="1">
      <c r="G183" s="732"/>
      <c r="V183" s="732"/>
      <c r="W183" s="732"/>
      <c r="X183" s="732"/>
      <c r="AJ183" s="732"/>
    </row>
    <row r="184" spans="7:36" s="736" customFormat="1" ht="15" customHeight="1">
      <c r="G184" s="732"/>
      <c r="V184" s="732"/>
      <c r="W184" s="732"/>
      <c r="X184" s="732"/>
      <c r="AJ184" s="732"/>
    </row>
    <row r="185" spans="7:36" s="736" customFormat="1" ht="15" customHeight="1">
      <c r="G185" s="732"/>
      <c r="V185" s="732"/>
      <c r="W185" s="732"/>
      <c r="X185" s="732"/>
      <c r="AJ185" s="732"/>
    </row>
    <row r="186" spans="7:36" s="736" customFormat="1" ht="15" customHeight="1">
      <c r="G186" s="732"/>
      <c r="V186" s="732"/>
      <c r="W186" s="732"/>
      <c r="X186" s="732"/>
      <c r="AJ186" s="732"/>
    </row>
    <row r="187" spans="7:36" s="736" customFormat="1" ht="15" customHeight="1">
      <c r="G187" s="732"/>
      <c r="V187" s="732"/>
      <c r="W187" s="732"/>
      <c r="X187" s="732"/>
      <c r="AJ187" s="732"/>
    </row>
    <row r="188" spans="7:36" s="736" customFormat="1" ht="15" customHeight="1">
      <c r="G188" s="732"/>
      <c r="V188" s="732"/>
      <c r="W188" s="732"/>
      <c r="X188" s="732"/>
      <c r="AJ188" s="732"/>
    </row>
    <row r="189" spans="7:36" s="736" customFormat="1" ht="15" customHeight="1">
      <c r="G189" s="732"/>
      <c r="V189" s="732"/>
      <c r="W189" s="732"/>
      <c r="X189" s="732"/>
      <c r="AJ189" s="732"/>
    </row>
    <row r="190" spans="7:36" s="736" customFormat="1" ht="15" customHeight="1">
      <c r="G190" s="732"/>
      <c r="V190" s="732"/>
      <c r="W190" s="732"/>
      <c r="X190" s="732"/>
      <c r="AJ190" s="732"/>
    </row>
    <row r="191" spans="7:36" s="736" customFormat="1" ht="15" customHeight="1">
      <c r="G191" s="732"/>
      <c r="V191" s="732"/>
      <c r="W191" s="732"/>
      <c r="X191" s="732"/>
      <c r="AJ191" s="732"/>
    </row>
    <row r="192" spans="7:36" s="736" customFormat="1" ht="15" customHeight="1">
      <c r="G192" s="732"/>
      <c r="V192" s="732"/>
      <c r="W192" s="732"/>
      <c r="X192" s="732"/>
      <c r="AJ192" s="732"/>
    </row>
    <row r="193" spans="7:36" s="736" customFormat="1" ht="15" customHeight="1">
      <c r="G193" s="732"/>
      <c r="V193" s="732"/>
      <c r="W193" s="732"/>
      <c r="X193" s="732"/>
      <c r="AJ193" s="732"/>
    </row>
    <row r="194" spans="7:36" s="736" customFormat="1" ht="15" customHeight="1">
      <c r="G194" s="732"/>
      <c r="V194" s="732"/>
      <c r="W194" s="732"/>
      <c r="X194" s="732"/>
      <c r="AJ194" s="732"/>
    </row>
    <row r="195" spans="7:36" s="736" customFormat="1" ht="15" customHeight="1">
      <c r="G195" s="732"/>
      <c r="V195" s="732"/>
      <c r="W195" s="732"/>
      <c r="X195" s="732"/>
      <c r="AJ195" s="732"/>
    </row>
    <row r="196" spans="7:36" s="736" customFormat="1" ht="15" customHeight="1">
      <c r="G196" s="732"/>
      <c r="V196" s="732"/>
      <c r="W196" s="732"/>
      <c r="X196" s="732"/>
      <c r="AJ196" s="732"/>
    </row>
    <row r="197" spans="7:36" s="736" customFormat="1" ht="15" customHeight="1">
      <c r="G197" s="732"/>
      <c r="V197" s="732"/>
      <c r="W197" s="732"/>
      <c r="X197" s="732"/>
      <c r="AJ197" s="732"/>
    </row>
    <row r="198" spans="7:36" s="736" customFormat="1" ht="15" customHeight="1">
      <c r="G198" s="732"/>
      <c r="V198" s="732"/>
      <c r="W198" s="732"/>
      <c r="X198" s="732"/>
      <c r="AJ198" s="732"/>
    </row>
    <row r="199" spans="7:36" s="736" customFormat="1" ht="15" customHeight="1">
      <c r="G199" s="732"/>
      <c r="V199" s="732"/>
      <c r="W199" s="732"/>
      <c r="X199" s="732"/>
      <c r="AJ199" s="732"/>
    </row>
    <row r="200" spans="7:36" s="736" customFormat="1" ht="15" customHeight="1">
      <c r="G200" s="732"/>
      <c r="V200" s="732"/>
      <c r="W200" s="732"/>
      <c r="X200" s="732"/>
      <c r="AJ200" s="732"/>
    </row>
    <row r="201" spans="7:36" s="736" customFormat="1" ht="15" customHeight="1">
      <c r="G201" s="732"/>
      <c r="V201" s="732"/>
      <c r="W201" s="732"/>
      <c r="X201" s="732"/>
      <c r="AJ201" s="732"/>
    </row>
    <row r="202" spans="7:36" s="736" customFormat="1" ht="15" customHeight="1">
      <c r="G202" s="732"/>
      <c r="V202" s="732"/>
      <c r="W202" s="732"/>
      <c r="X202" s="732"/>
      <c r="AJ202" s="732"/>
    </row>
    <row r="203" spans="7:36" s="736" customFormat="1" ht="15" customHeight="1">
      <c r="G203" s="732"/>
      <c r="V203" s="732"/>
      <c r="W203" s="732"/>
      <c r="X203" s="732"/>
      <c r="AJ203" s="732"/>
    </row>
    <row r="204" spans="7:36" s="736" customFormat="1" ht="15" customHeight="1">
      <c r="G204" s="732"/>
      <c r="V204" s="732"/>
      <c r="W204" s="732"/>
      <c r="X204" s="732"/>
      <c r="AJ204" s="732"/>
    </row>
    <row r="205" spans="7:36" s="736" customFormat="1" ht="15" customHeight="1">
      <c r="G205" s="732"/>
      <c r="V205" s="732"/>
      <c r="W205" s="732"/>
      <c r="X205" s="732"/>
      <c r="AJ205" s="732"/>
    </row>
    <row r="206" spans="7:36" s="736" customFormat="1" ht="15" customHeight="1">
      <c r="G206" s="732"/>
      <c r="V206" s="732"/>
      <c r="W206" s="732"/>
      <c r="X206" s="732"/>
      <c r="AJ206" s="732"/>
    </row>
    <row r="207" spans="7:36" s="736" customFormat="1" ht="15" customHeight="1">
      <c r="G207" s="732"/>
      <c r="V207" s="732"/>
      <c r="W207" s="732"/>
      <c r="X207" s="732"/>
      <c r="AJ207" s="732"/>
    </row>
    <row r="208" spans="7:36" s="736" customFormat="1" ht="15" customHeight="1">
      <c r="G208" s="732"/>
      <c r="V208" s="732"/>
      <c r="W208" s="732"/>
      <c r="X208" s="732"/>
      <c r="AJ208" s="732"/>
    </row>
    <row r="209" spans="7:36" s="736" customFormat="1" ht="15" customHeight="1">
      <c r="G209" s="732"/>
      <c r="V209" s="732"/>
      <c r="W209" s="732"/>
      <c r="X209" s="732"/>
      <c r="AJ209" s="732"/>
    </row>
    <row r="210" spans="7:36" s="736" customFormat="1" ht="15" customHeight="1">
      <c r="G210" s="732"/>
      <c r="V210" s="732"/>
      <c r="W210" s="732"/>
      <c r="X210" s="732"/>
      <c r="AJ210" s="732"/>
    </row>
    <row r="211" spans="7:36" s="736" customFormat="1" ht="15" customHeight="1">
      <c r="G211" s="732"/>
      <c r="V211" s="732"/>
      <c r="W211" s="732"/>
      <c r="X211" s="732"/>
      <c r="AJ211" s="732"/>
    </row>
    <row r="212" spans="7:36" s="736" customFormat="1" ht="15" customHeight="1">
      <c r="G212" s="732"/>
      <c r="V212" s="732"/>
      <c r="W212" s="732"/>
      <c r="X212" s="732"/>
      <c r="AJ212" s="732"/>
    </row>
    <row r="213" spans="7:36" s="736" customFormat="1" ht="15" customHeight="1">
      <c r="G213" s="732"/>
      <c r="V213" s="732"/>
      <c r="W213" s="732"/>
      <c r="X213" s="732"/>
      <c r="AJ213" s="732"/>
    </row>
    <row r="214" spans="7:36" s="736" customFormat="1" ht="15" customHeight="1">
      <c r="G214" s="732"/>
      <c r="V214" s="732"/>
      <c r="W214" s="732"/>
      <c r="X214" s="732"/>
      <c r="AJ214" s="732"/>
    </row>
    <row r="215" spans="7:36" s="736" customFormat="1" ht="15" customHeight="1">
      <c r="G215" s="732"/>
      <c r="V215" s="732"/>
      <c r="W215" s="732"/>
      <c r="X215" s="732"/>
      <c r="AJ215" s="732"/>
    </row>
    <row r="216" spans="7:36" s="736" customFormat="1" ht="15" customHeight="1">
      <c r="G216" s="732"/>
      <c r="V216" s="732"/>
      <c r="W216" s="732"/>
      <c r="X216" s="732"/>
      <c r="AJ216" s="732"/>
    </row>
    <row r="217" spans="7:36" s="736" customFormat="1" ht="15" customHeight="1">
      <c r="G217" s="732"/>
      <c r="V217" s="732"/>
      <c r="W217" s="732"/>
      <c r="X217" s="732"/>
      <c r="AJ217" s="732"/>
    </row>
    <row r="218" spans="7:36" s="736" customFormat="1" ht="15" customHeight="1">
      <c r="G218" s="732"/>
      <c r="V218" s="732"/>
      <c r="W218" s="732"/>
      <c r="X218" s="732"/>
      <c r="AJ218" s="732"/>
    </row>
    <row r="219" spans="7:36" s="736" customFormat="1" ht="15" customHeight="1">
      <c r="G219" s="732"/>
      <c r="V219" s="732"/>
      <c r="W219" s="732"/>
      <c r="X219" s="732"/>
      <c r="AJ219" s="732"/>
    </row>
    <row r="220" spans="7:36" s="736" customFormat="1" ht="15" customHeight="1">
      <c r="G220" s="732"/>
      <c r="V220" s="732"/>
      <c r="W220" s="732"/>
      <c r="X220" s="732"/>
      <c r="AJ220" s="732"/>
    </row>
    <row r="221" spans="7:36" s="736" customFormat="1" ht="15" customHeight="1">
      <c r="G221" s="732"/>
      <c r="V221" s="732"/>
      <c r="W221" s="732"/>
      <c r="X221" s="732"/>
      <c r="AJ221" s="732"/>
    </row>
    <row r="222" spans="7:36" s="736" customFormat="1" ht="15" customHeight="1">
      <c r="G222" s="732"/>
      <c r="V222" s="732"/>
      <c r="W222" s="732"/>
      <c r="X222" s="732"/>
      <c r="AJ222" s="732"/>
    </row>
    <row r="223" spans="7:36" s="736" customFormat="1" ht="15" customHeight="1">
      <c r="G223" s="732"/>
      <c r="V223" s="732"/>
      <c r="W223" s="732"/>
      <c r="X223" s="732"/>
      <c r="AJ223" s="732"/>
    </row>
    <row r="224" spans="7:36" s="736" customFormat="1" ht="15" customHeight="1">
      <c r="G224" s="732"/>
      <c r="V224" s="732"/>
      <c r="W224" s="732"/>
      <c r="X224" s="732"/>
      <c r="AJ224" s="732"/>
    </row>
    <row r="225" spans="7:36" s="736" customFormat="1" ht="15" customHeight="1">
      <c r="G225" s="732"/>
      <c r="V225" s="732"/>
      <c r="W225" s="732"/>
      <c r="X225" s="732"/>
      <c r="AJ225" s="732"/>
    </row>
    <row r="226" spans="7:36" s="736" customFormat="1" ht="15" customHeight="1">
      <c r="G226" s="732"/>
      <c r="V226" s="732"/>
      <c r="W226" s="732"/>
      <c r="X226" s="732"/>
      <c r="AJ226" s="732"/>
    </row>
    <row r="227" spans="7:36" s="736" customFormat="1" ht="15" customHeight="1">
      <c r="G227" s="732"/>
      <c r="V227" s="732"/>
      <c r="W227" s="732"/>
      <c r="X227" s="732"/>
      <c r="AJ227" s="732"/>
    </row>
    <row r="228" spans="7:36" s="736" customFormat="1" ht="15" customHeight="1">
      <c r="G228" s="732"/>
      <c r="V228" s="732"/>
      <c r="W228" s="732"/>
      <c r="X228" s="732"/>
      <c r="AJ228" s="732"/>
    </row>
    <row r="229" spans="7:36" s="736" customFormat="1" ht="15" customHeight="1">
      <c r="G229" s="732"/>
      <c r="V229" s="732"/>
      <c r="W229" s="732"/>
      <c r="X229" s="732"/>
      <c r="AJ229" s="732"/>
    </row>
    <row r="230" spans="7:36" s="736" customFormat="1" ht="15" customHeight="1">
      <c r="G230" s="732"/>
      <c r="V230" s="732"/>
      <c r="W230" s="732"/>
      <c r="X230" s="732"/>
      <c r="AJ230" s="732"/>
    </row>
    <row r="231" spans="7:36" s="736" customFormat="1" ht="15" customHeight="1">
      <c r="G231" s="732"/>
      <c r="V231" s="732"/>
      <c r="W231" s="732"/>
      <c r="X231" s="732"/>
      <c r="AJ231" s="732"/>
    </row>
    <row r="232" spans="7:36" s="736" customFormat="1" ht="15" customHeight="1">
      <c r="G232" s="732"/>
      <c r="V232" s="732"/>
      <c r="W232" s="732"/>
      <c r="X232" s="732"/>
      <c r="AJ232" s="732"/>
    </row>
    <row r="233" spans="7:36" s="736" customFormat="1" ht="15" customHeight="1">
      <c r="G233" s="732"/>
      <c r="V233" s="732"/>
      <c r="W233" s="732"/>
      <c r="X233" s="732"/>
      <c r="AJ233" s="732"/>
    </row>
    <row r="234" spans="7:36" s="736" customFormat="1" ht="15" customHeight="1">
      <c r="G234" s="732"/>
      <c r="V234" s="732"/>
      <c r="W234" s="732"/>
      <c r="X234" s="732"/>
      <c r="AJ234" s="732"/>
    </row>
    <row r="235" spans="7:36" s="736" customFormat="1" ht="15" customHeight="1">
      <c r="G235" s="732"/>
      <c r="V235" s="732"/>
      <c r="W235" s="732"/>
      <c r="X235" s="732"/>
      <c r="AJ235" s="732"/>
    </row>
    <row r="236" spans="7:36" s="736" customFormat="1" ht="15" customHeight="1">
      <c r="G236" s="732"/>
      <c r="V236" s="732"/>
      <c r="W236" s="732"/>
      <c r="X236" s="732"/>
      <c r="AJ236" s="732"/>
    </row>
    <row r="237" spans="7:36" s="736" customFormat="1" ht="15" customHeight="1">
      <c r="G237" s="732"/>
      <c r="V237" s="732"/>
      <c r="W237" s="732"/>
      <c r="X237" s="732"/>
      <c r="AJ237" s="732"/>
    </row>
    <row r="238" spans="7:36" s="736" customFormat="1" ht="15" customHeight="1">
      <c r="G238" s="732"/>
      <c r="V238" s="732"/>
      <c r="W238" s="732"/>
      <c r="X238" s="732"/>
      <c r="AJ238" s="732"/>
    </row>
    <row r="239" spans="7:36" s="736" customFormat="1" ht="15" customHeight="1">
      <c r="G239" s="732"/>
      <c r="V239" s="732"/>
      <c r="W239" s="732"/>
      <c r="X239" s="732"/>
      <c r="AJ239" s="732"/>
    </row>
    <row r="240" spans="7:36" s="736" customFormat="1" ht="15" customHeight="1">
      <c r="G240" s="732"/>
      <c r="V240" s="732"/>
      <c r="W240" s="732"/>
      <c r="X240" s="732"/>
      <c r="AJ240" s="732"/>
    </row>
    <row r="241" spans="7:36" s="736" customFormat="1" ht="15" customHeight="1">
      <c r="G241" s="732"/>
      <c r="V241" s="732"/>
      <c r="W241" s="732"/>
      <c r="X241" s="732"/>
      <c r="AJ241" s="732"/>
    </row>
    <row r="242" spans="7:36" s="736" customFormat="1" ht="15" customHeight="1">
      <c r="G242" s="732"/>
      <c r="V242" s="732"/>
      <c r="W242" s="732"/>
      <c r="X242" s="732"/>
      <c r="AJ242" s="732"/>
    </row>
    <row r="243" spans="7:36" s="736" customFormat="1" ht="15" customHeight="1">
      <c r="G243" s="732"/>
      <c r="V243" s="732"/>
      <c r="W243" s="732"/>
      <c r="X243" s="732"/>
      <c r="AJ243" s="732"/>
    </row>
    <row r="244" spans="7:36" s="736" customFormat="1" ht="15" customHeight="1">
      <c r="G244" s="732"/>
      <c r="V244" s="732"/>
      <c r="W244" s="732"/>
      <c r="X244" s="732"/>
      <c r="AJ244" s="732"/>
    </row>
    <row r="245" spans="7:36" s="736" customFormat="1" ht="15" customHeight="1">
      <c r="G245" s="732"/>
      <c r="V245" s="732"/>
      <c r="W245" s="732"/>
      <c r="X245" s="732"/>
      <c r="AJ245" s="732"/>
    </row>
    <row r="246" spans="7:36" s="736" customFormat="1" ht="15" customHeight="1">
      <c r="G246" s="732"/>
      <c r="V246" s="732"/>
      <c r="W246" s="732"/>
      <c r="X246" s="732"/>
      <c r="AJ246" s="732"/>
    </row>
    <row r="247" spans="7:36" s="736" customFormat="1" ht="15" customHeight="1">
      <c r="G247" s="732"/>
      <c r="V247" s="732"/>
      <c r="W247" s="732"/>
      <c r="X247" s="732"/>
      <c r="AJ247" s="732"/>
    </row>
    <row r="248" spans="7:36" s="736" customFormat="1" ht="15" customHeight="1">
      <c r="G248" s="732"/>
      <c r="V248" s="732"/>
      <c r="W248" s="732"/>
      <c r="X248" s="732"/>
      <c r="AJ248" s="732"/>
    </row>
    <row r="249" spans="7:36" s="736" customFormat="1" ht="15" customHeight="1">
      <c r="G249" s="732"/>
      <c r="V249" s="732"/>
      <c r="W249" s="732"/>
      <c r="X249" s="732"/>
      <c r="AJ249" s="732"/>
    </row>
    <row r="250" spans="7:36" s="736" customFormat="1" ht="15" customHeight="1">
      <c r="G250" s="732"/>
      <c r="V250" s="732"/>
      <c r="W250" s="732"/>
      <c r="X250" s="732"/>
      <c r="AJ250" s="732"/>
    </row>
    <row r="251" spans="7:36" s="736" customFormat="1" ht="15" customHeight="1">
      <c r="G251" s="732"/>
      <c r="V251" s="732"/>
      <c r="W251" s="732"/>
      <c r="X251" s="732"/>
      <c r="AJ251" s="732"/>
    </row>
    <row r="252" spans="7:36" s="736" customFormat="1" ht="15" customHeight="1">
      <c r="G252" s="732"/>
      <c r="V252" s="732"/>
      <c r="W252" s="732"/>
      <c r="X252" s="732"/>
      <c r="AJ252" s="732"/>
    </row>
    <row r="253" spans="7:36" s="736" customFormat="1" ht="15" customHeight="1">
      <c r="G253" s="732"/>
      <c r="V253" s="732"/>
      <c r="W253" s="732"/>
      <c r="X253" s="732"/>
      <c r="AJ253" s="732"/>
    </row>
    <row r="254" spans="7:36" s="736" customFormat="1" ht="15" customHeight="1">
      <c r="G254" s="732"/>
      <c r="V254" s="732"/>
      <c r="W254" s="732"/>
      <c r="X254" s="732"/>
      <c r="AJ254" s="732"/>
    </row>
    <row r="255" spans="7:36" s="736" customFormat="1" ht="15" customHeight="1">
      <c r="G255" s="732"/>
      <c r="V255" s="732"/>
      <c r="W255" s="732"/>
      <c r="X255" s="732"/>
      <c r="AJ255" s="732"/>
    </row>
    <row r="256" spans="7:36" s="736" customFormat="1" ht="15" customHeight="1">
      <c r="G256" s="732"/>
      <c r="V256" s="732"/>
      <c r="W256" s="732"/>
      <c r="X256" s="732"/>
      <c r="AJ256" s="732"/>
    </row>
    <row r="257" spans="7:36" s="736" customFormat="1" ht="15" customHeight="1">
      <c r="G257" s="732"/>
      <c r="V257" s="732"/>
      <c r="W257" s="732"/>
      <c r="X257" s="732"/>
      <c r="AJ257" s="732"/>
    </row>
    <row r="258" spans="7:36" s="736" customFormat="1" ht="15" customHeight="1">
      <c r="G258" s="732"/>
      <c r="V258" s="732"/>
      <c r="W258" s="732"/>
      <c r="X258" s="732"/>
      <c r="AJ258" s="732"/>
    </row>
    <row r="259" spans="7:36" s="736" customFormat="1" ht="15" customHeight="1">
      <c r="G259" s="732"/>
      <c r="V259" s="732"/>
      <c r="W259" s="732"/>
      <c r="X259" s="732"/>
      <c r="AJ259" s="732"/>
    </row>
    <row r="260" spans="7:36" s="736" customFormat="1" ht="15" customHeight="1">
      <c r="G260" s="732"/>
      <c r="V260" s="732"/>
      <c r="W260" s="732"/>
      <c r="X260" s="732"/>
      <c r="AJ260" s="732"/>
    </row>
    <row r="261" spans="7:36" s="736" customFormat="1" ht="15" customHeight="1">
      <c r="G261" s="732"/>
      <c r="V261" s="732"/>
      <c r="W261" s="732"/>
      <c r="X261" s="732"/>
      <c r="AJ261" s="732"/>
    </row>
    <row r="262" spans="7:36" s="736" customFormat="1" ht="15" customHeight="1">
      <c r="G262" s="732"/>
      <c r="V262" s="732"/>
      <c r="W262" s="732"/>
      <c r="X262" s="732"/>
      <c r="AJ262" s="732"/>
    </row>
    <row r="263" spans="7:36" s="736" customFormat="1" ht="15" customHeight="1">
      <c r="G263" s="732"/>
      <c r="V263" s="732"/>
      <c r="W263" s="732"/>
      <c r="X263" s="732"/>
      <c r="AJ263" s="732"/>
    </row>
    <row r="264" spans="7:36" s="736" customFormat="1" ht="15" customHeight="1">
      <c r="G264" s="732"/>
      <c r="V264" s="732"/>
      <c r="W264" s="732"/>
      <c r="X264" s="732"/>
      <c r="AJ264" s="732"/>
    </row>
    <row r="265" spans="7:36" s="736" customFormat="1" ht="15" customHeight="1">
      <c r="G265" s="732"/>
      <c r="V265" s="732"/>
      <c r="W265" s="732"/>
      <c r="X265" s="732"/>
      <c r="AJ265" s="732"/>
    </row>
    <row r="266" spans="7:36" s="736" customFormat="1" ht="15" customHeight="1">
      <c r="G266" s="732"/>
      <c r="V266" s="732"/>
      <c r="W266" s="732"/>
      <c r="X266" s="732"/>
      <c r="AJ266" s="732"/>
    </row>
    <row r="267" spans="7:36" s="736" customFormat="1" ht="15" customHeight="1">
      <c r="G267" s="732"/>
      <c r="V267" s="732"/>
      <c r="W267" s="732"/>
      <c r="X267" s="732"/>
      <c r="AJ267" s="732"/>
    </row>
    <row r="268" spans="7:36" s="736" customFormat="1" ht="15" customHeight="1">
      <c r="G268" s="732"/>
      <c r="V268" s="732"/>
      <c r="W268" s="732"/>
      <c r="X268" s="732"/>
      <c r="AJ268" s="732"/>
    </row>
    <row r="269" spans="7:36" s="736" customFormat="1" ht="15" customHeight="1">
      <c r="G269" s="732"/>
      <c r="V269" s="732"/>
      <c r="W269" s="732"/>
      <c r="X269" s="732"/>
      <c r="AJ269" s="732"/>
    </row>
    <row r="270" spans="7:36" s="736" customFormat="1" ht="15" customHeight="1">
      <c r="G270" s="732"/>
      <c r="V270" s="732"/>
      <c r="W270" s="732"/>
      <c r="X270" s="732"/>
      <c r="AJ270" s="732"/>
    </row>
    <row r="271" spans="7:36" s="736" customFormat="1" ht="15" customHeight="1">
      <c r="G271" s="732"/>
      <c r="V271" s="732"/>
      <c r="W271" s="732"/>
      <c r="X271" s="732"/>
      <c r="AJ271" s="732"/>
    </row>
    <row r="272" spans="7:36" s="736" customFormat="1" ht="15" customHeight="1">
      <c r="G272" s="732"/>
      <c r="V272" s="732"/>
      <c r="W272" s="732"/>
      <c r="X272" s="732"/>
      <c r="AJ272" s="732"/>
    </row>
    <row r="273" spans="7:36" s="736" customFormat="1" ht="15" customHeight="1">
      <c r="G273" s="732"/>
      <c r="V273" s="732"/>
      <c r="W273" s="732"/>
      <c r="X273" s="732"/>
      <c r="AJ273" s="732"/>
    </row>
    <row r="274" spans="7:36" s="736" customFormat="1" ht="15" customHeight="1">
      <c r="G274" s="732"/>
      <c r="V274" s="732"/>
      <c r="W274" s="732"/>
      <c r="X274" s="732"/>
      <c r="AJ274" s="732"/>
    </row>
    <row r="275" spans="7:36" s="736" customFormat="1" ht="15" customHeight="1">
      <c r="G275" s="732"/>
      <c r="V275" s="732"/>
      <c r="W275" s="732"/>
      <c r="X275" s="732"/>
      <c r="AJ275" s="732"/>
    </row>
    <row r="276" spans="7:36" s="736" customFormat="1" ht="15" customHeight="1">
      <c r="G276" s="732"/>
      <c r="V276" s="732"/>
      <c r="W276" s="732"/>
      <c r="X276" s="732"/>
      <c r="AJ276" s="732"/>
    </row>
    <row r="277" spans="7:36" s="736" customFormat="1" ht="15" customHeight="1">
      <c r="G277" s="732"/>
      <c r="V277" s="732"/>
      <c r="W277" s="732"/>
      <c r="X277" s="732"/>
      <c r="AJ277" s="732"/>
    </row>
    <row r="278" spans="7:36" s="736" customFormat="1" ht="15" customHeight="1">
      <c r="G278" s="732"/>
      <c r="V278" s="732"/>
      <c r="W278" s="732"/>
      <c r="X278" s="732"/>
      <c r="AJ278" s="732"/>
    </row>
    <row r="279" spans="7:36" s="736" customFormat="1" ht="15" customHeight="1">
      <c r="G279" s="732"/>
      <c r="V279" s="732"/>
      <c r="W279" s="732"/>
      <c r="X279" s="732"/>
      <c r="AJ279" s="732"/>
    </row>
    <row r="280" spans="7:36" s="736" customFormat="1" ht="15" customHeight="1">
      <c r="G280" s="732"/>
      <c r="V280" s="732"/>
      <c r="W280" s="732"/>
      <c r="X280" s="732"/>
      <c r="AJ280" s="732"/>
    </row>
    <row r="281" spans="7:36" s="736" customFormat="1" ht="15" customHeight="1">
      <c r="G281" s="732"/>
      <c r="V281" s="732"/>
      <c r="W281" s="732"/>
      <c r="X281" s="732"/>
      <c r="AJ281" s="732"/>
    </row>
    <row r="282" spans="7:36" s="736" customFormat="1" ht="15" customHeight="1">
      <c r="G282" s="732"/>
      <c r="V282" s="732"/>
      <c r="W282" s="732"/>
      <c r="X282" s="732"/>
      <c r="AJ282" s="732"/>
    </row>
    <row r="283" spans="7:36" s="736" customFormat="1" ht="15" customHeight="1">
      <c r="G283" s="732"/>
      <c r="V283" s="732"/>
      <c r="W283" s="732"/>
      <c r="X283" s="732"/>
      <c r="AJ283" s="732"/>
    </row>
    <row r="284" spans="7:36" s="736" customFormat="1" ht="15" customHeight="1">
      <c r="G284" s="732"/>
      <c r="V284" s="732"/>
      <c r="W284" s="732"/>
      <c r="X284" s="732"/>
      <c r="AJ284" s="732"/>
    </row>
    <row r="285" spans="7:36" s="736" customFormat="1" ht="15" customHeight="1">
      <c r="G285" s="732"/>
      <c r="V285" s="732"/>
      <c r="W285" s="732"/>
      <c r="X285" s="732"/>
      <c r="AJ285" s="732"/>
    </row>
    <row r="286" spans="7:36" s="736" customFormat="1" ht="15" customHeight="1">
      <c r="G286" s="732"/>
      <c r="V286" s="732"/>
      <c r="W286" s="732"/>
      <c r="X286" s="732"/>
      <c r="AJ286" s="732"/>
    </row>
    <row r="287" spans="7:36" s="736" customFormat="1" ht="15" customHeight="1">
      <c r="G287" s="732"/>
      <c r="V287" s="732"/>
      <c r="W287" s="732"/>
      <c r="X287" s="732"/>
      <c r="AJ287" s="732"/>
    </row>
    <row r="288" spans="7:36" s="736" customFormat="1" ht="15" customHeight="1">
      <c r="G288" s="732"/>
      <c r="V288" s="732"/>
      <c r="W288" s="732"/>
      <c r="X288" s="732"/>
      <c r="AJ288" s="732"/>
    </row>
    <row r="289" spans="7:36" s="736" customFormat="1" ht="15" customHeight="1">
      <c r="G289" s="732"/>
      <c r="V289" s="732"/>
      <c r="W289" s="732"/>
      <c r="X289" s="732"/>
      <c r="AJ289" s="732"/>
    </row>
    <row r="290" spans="7:36" s="736" customFormat="1" ht="15" customHeight="1">
      <c r="G290" s="732"/>
      <c r="V290" s="732"/>
      <c r="W290" s="732"/>
      <c r="X290" s="732"/>
      <c r="AJ290" s="732"/>
    </row>
    <row r="291" spans="7:36" s="736" customFormat="1" ht="15" customHeight="1">
      <c r="G291" s="732"/>
      <c r="V291" s="732"/>
      <c r="W291" s="732"/>
      <c r="X291" s="732"/>
      <c r="AJ291" s="732"/>
    </row>
    <row r="292" spans="7:36" s="736" customFormat="1" ht="15" customHeight="1">
      <c r="G292" s="732"/>
      <c r="V292" s="732"/>
      <c r="W292" s="732"/>
      <c r="X292" s="732"/>
      <c r="AJ292" s="732"/>
    </row>
    <row r="293" spans="7:36" s="736" customFormat="1" ht="15" customHeight="1">
      <c r="G293" s="732"/>
      <c r="V293" s="732"/>
      <c r="W293" s="732"/>
      <c r="X293" s="732"/>
      <c r="AJ293" s="732"/>
    </row>
    <row r="294" spans="7:36" s="736" customFormat="1" ht="15" customHeight="1">
      <c r="G294" s="732"/>
      <c r="V294" s="732"/>
      <c r="W294" s="732"/>
      <c r="X294" s="732"/>
      <c r="AJ294" s="732"/>
    </row>
    <row r="295" spans="7:36" s="736" customFormat="1" ht="15" customHeight="1">
      <c r="G295" s="732"/>
      <c r="V295" s="732"/>
      <c r="W295" s="732"/>
      <c r="X295" s="732"/>
      <c r="AJ295" s="732"/>
    </row>
    <row r="296" spans="7:36" s="736" customFormat="1" ht="15" customHeight="1">
      <c r="G296" s="732"/>
      <c r="V296" s="732"/>
      <c r="W296" s="732"/>
      <c r="X296" s="732"/>
      <c r="AJ296" s="732"/>
    </row>
    <row r="297" spans="7:36" s="736" customFormat="1" ht="15" customHeight="1">
      <c r="G297" s="732"/>
      <c r="V297" s="732"/>
      <c r="W297" s="732"/>
      <c r="X297" s="732"/>
      <c r="AJ297" s="732"/>
    </row>
    <row r="298" spans="7:36" s="736" customFormat="1" ht="15" customHeight="1">
      <c r="G298" s="732"/>
      <c r="V298" s="732"/>
      <c r="W298" s="732"/>
      <c r="X298" s="732"/>
      <c r="AJ298" s="732"/>
    </row>
    <row r="299" spans="7:36" s="736" customFormat="1" ht="15" customHeight="1">
      <c r="G299" s="732"/>
      <c r="V299" s="732"/>
      <c r="W299" s="732"/>
      <c r="X299" s="732"/>
      <c r="AJ299" s="732"/>
    </row>
    <row r="300" spans="7:36" s="736" customFormat="1" ht="15" customHeight="1">
      <c r="G300" s="732"/>
      <c r="V300" s="732"/>
      <c r="W300" s="732"/>
      <c r="X300" s="732"/>
      <c r="AJ300" s="732"/>
    </row>
    <row r="301" spans="7:36" s="736" customFormat="1" ht="15" customHeight="1">
      <c r="G301" s="732"/>
      <c r="V301" s="732"/>
      <c r="W301" s="732"/>
      <c r="X301" s="732"/>
      <c r="AJ301" s="732"/>
    </row>
    <row r="302" spans="7:36" s="736" customFormat="1" ht="15" customHeight="1">
      <c r="G302" s="732"/>
      <c r="V302" s="732"/>
      <c r="W302" s="732"/>
      <c r="X302" s="732"/>
      <c r="AJ302" s="732"/>
    </row>
    <row r="303" spans="7:36" s="736" customFormat="1" ht="15" customHeight="1">
      <c r="G303" s="732"/>
      <c r="V303" s="732"/>
      <c r="W303" s="732"/>
      <c r="X303" s="732"/>
      <c r="AJ303" s="732"/>
    </row>
    <row r="304" spans="7:36" s="736" customFormat="1" ht="15" customHeight="1">
      <c r="G304" s="732"/>
      <c r="V304" s="732"/>
      <c r="W304" s="732"/>
      <c r="X304" s="732"/>
      <c r="AJ304" s="732"/>
    </row>
    <row r="305" spans="7:36" s="736" customFormat="1" ht="15" customHeight="1">
      <c r="G305" s="732"/>
      <c r="V305" s="732"/>
      <c r="W305" s="732"/>
      <c r="X305" s="732"/>
      <c r="AJ305" s="732"/>
    </row>
    <row r="306" spans="7:36" s="736" customFormat="1" ht="15" customHeight="1">
      <c r="G306" s="732"/>
      <c r="V306" s="732"/>
      <c r="W306" s="732"/>
      <c r="X306" s="732"/>
      <c r="AJ306" s="732"/>
    </row>
    <row r="307" spans="7:36" s="736" customFormat="1" ht="15" customHeight="1">
      <c r="G307" s="732"/>
      <c r="V307" s="732"/>
      <c r="W307" s="732"/>
      <c r="X307" s="732"/>
      <c r="AJ307" s="732"/>
    </row>
    <row r="308" spans="7:36" s="736" customFormat="1" ht="15" customHeight="1">
      <c r="G308" s="732"/>
      <c r="V308" s="732"/>
      <c r="W308" s="732"/>
      <c r="X308" s="732"/>
      <c r="AJ308" s="732"/>
    </row>
    <row r="309" spans="7:36" s="736" customFormat="1" ht="15" customHeight="1">
      <c r="G309" s="732"/>
      <c r="V309" s="732"/>
      <c r="W309" s="732"/>
      <c r="X309" s="732"/>
      <c r="AJ309" s="732"/>
    </row>
    <row r="310" spans="7:36" s="736" customFormat="1" ht="15" customHeight="1">
      <c r="G310" s="732"/>
      <c r="V310" s="732"/>
      <c r="W310" s="732"/>
      <c r="X310" s="732"/>
      <c r="AJ310" s="732"/>
    </row>
    <row r="311" spans="7:36" s="736" customFormat="1" ht="15" customHeight="1">
      <c r="G311" s="732"/>
      <c r="V311" s="732"/>
      <c r="W311" s="732"/>
      <c r="X311" s="732"/>
      <c r="AJ311" s="732"/>
    </row>
    <row r="312" spans="7:36" s="736" customFormat="1" ht="15" customHeight="1">
      <c r="G312" s="732"/>
      <c r="V312" s="732"/>
      <c r="W312" s="732"/>
      <c r="X312" s="732"/>
      <c r="AJ312" s="732"/>
    </row>
    <row r="313" spans="7:36" s="736" customFormat="1" ht="15" customHeight="1">
      <c r="G313" s="732"/>
      <c r="V313" s="732"/>
      <c r="W313" s="732"/>
      <c r="X313" s="732"/>
      <c r="AJ313" s="732"/>
    </row>
    <row r="314" spans="7:36" s="736" customFormat="1" ht="15" customHeight="1">
      <c r="G314" s="732"/>
      <c r="V314" s="732"/>
      <c r="W314" s="732"/>
      <c r="X314" s="732"/>
      <c r="AJ314" s="732"/>
    </row>
    <row r="315" spans="7:36" s="736" customFormat="1" ht="15" customHeight="1">
      <c r="G315" s="732"/>
      <c r="V315" s="732"/>
      <c r="W315" s="732"/>
      <c r="X315" s="732"/>
      <c r="AJ315" s="732"/>
    </row>
    <row r="316" spans="7:36" s="736" customFormat="1" ht="15" customHeight="1">
      <c r="G316" s="732"/>
      <c r="V316" s="732"/>
      <c r="W316" s="732"/>
      <c r="X316" s="732"/>
      <c r="AJ316" s="732"/>
    </row>
    <row r="317" spans="7:36" s="736" customFormat="1" ht="15" customHeight="1">
      <c r="G317" s="732"/>
      <c r="V317" s="732"/>
      <c r="W317" s="732"/>
      <c r="X317" s="732"/>
      <c r="AJ317" s="732"/>
    </row>
    <row r="318" spans="7:36" s="736" customFormat="1" ht="15" customHeight="1">
      <c r="G318" s="732"/>
      <c r="V318" s="732"/>
      <c r="W318" s="732"/>
      <c r="X318" s="732"/>
      <c r="AJ318" s="732"/>
    </row>
    <row r="319" spans="7:36" s="736" customFormat="1" ht="15" customHeight="1">
      <c r="G319" s="732"/>
      <c r="V319" s="732"/>
      <c r="W319" s="732"/>
      <c r="X319" s="732"/>
      <c r="AJ319" s="732"/>
    </row>
    <row r="320" spans="7:36" s="736" customFormat="1" ht="15" customHeight="1">
      <c r="G320" s="732"/>
      <c r="V320" s="732"/>
      <c r="W320" s="732"/>
      <c r="X320" s="732"/>
      <c r="AJ320" s="732"/>
    </row>
    <row r="321" spans="7:36" s="736" customFormat="1" ht="15" customHeight="1">
      <c r="G321" s="732"/>
      <c r="V321" s="732"/>
      <c r="W321" s="732"/>
      <c r="X321" s="732"/>
      <c r="AJ321" s="732"/>
    </row>
    <row r="322" spans="7:36" s="736" customFormat="1" ht="15" customHeight="1">
      <c r="G322" s="732"/>
      <c r="V322" s="732"/>
      <c r="W322" s="732"/>
      <c r="X322" s="732"/>
      <c r="AJ322" s="732"/>
    </row>
    <row r="323" spans="7:36" s="736" customFormat="1" ht="15" customHeight="1">
      <c r="G323" s="732"/>
      <c r="V323" s="732"/>
      <c r="W323" s="732"/>
      <c r="X323" s="732"/>
      <c r="AJ323" s="732"/>
    </row>
    <row r="324" spans="7:36" s="736" customFormat="1" ht="15" customHeight="1">
      <c r="G324" s="732"/>
      <c r="V324" s="732"/>
      <c r="W324" s="732"/>
      <c r="X324" s="732"/>
      <c r="AJ324" s="732"/>
    </row>
    <row r="325" spans="7:36" s="736" customFormat="1" ht="15" customHeight="1">
      <c r="G325" s="732"/>
      <c r="V325" s="732"/>
      <c r="W325" s="732"/>
      <c r="X325" s="732"/>
      <c r="AJ325" s="732"/>
    </row>
    <row r="326" spans="7:36" s="736" customFormat="1" ht="15" customHeight="1">
      <c r="G326" s="732"/>
      <c r="V326" s="732"/>
      <c r="W326" s="732"/>
      <c r="X326" s="732"/>
      <c r="AJ326" s="732"/>
    </row>
    <row r="327" spans="7:36" s="736" customFormat="1" ht="15" customHeight="1">
      <c r="G327" s="732"/>
      <c r="V327" s="732"/>
      <c r="W327" s="732"/>
      <c r="X327" s="732"/>
      <c r="AJ327" s="732"/>
    </row>
    <row r="328" spans="7:36" s="736" customFormat="1" ht="15" customHeight="1">
      <c r="G328" s="732"/>
      <c r="V328" s="732"/>
      <c r="W328" s="732"/>
      <c r="X328" s="732"/>
      <c r="AJ328" s="732"/>
    </row>
    <row r="329" spans="7:36" s="736" customFormat="1" ht="15" customHeight="1">
      <c r="G329" s="732"/>
      <c r="V329" s="732"/>
      <c r="W329" s="732"/>
      <c r="X329" s="732"/>
      <c r="AJ329" s="732"/>
    </row>
    <row r="330" spans="7:36" s="736" customFormat="1" ht="15" customHeight="1">
      <c r="G330" s="732"/>
      <c r="V330" s="732"/>
      <c r="W330" s="732"/>
      <c r="X330" s="732"/>
      <c r="AJ330" s="732"/>
    </row>
    <row r="331" spans="7:36" s="736" customFormat="1" ht="15" customHeight="1">
      <c r="G331" s="732"/>
      <c r="V331" s="732"/>
      <c r="W331" s="732"/>
      <c r="X331" s="732"/>
      <c r="AJ331" s="732"/>
    </row>
    <row r="332" spans="7:36" s="736" customFormat="1" ht="15" customHeight="1">
      <c r="G332" s="732"/>
      <c r="V332" s="732"/>
      <c r="W332" s="732"/>
      <c r="X332" s="732"/>
      <c r="AJ332" s="732"/>
    </row>
    <row r="333" spans="7:36" s="736" customFormat="1" ht="15" customHeight="1">
      <c r="G333" s="732"/>
      <c r="V333" s="732"/>
      <c r="W333" s="732"/>
      <c r="X333" s="732"/>
      <c r="AJ333" s="732"/>
    </row>
    <row r="334" spans="7:36" s="736" customFormat="1" ht="15" customHeight="1">
      <c r="G334" s="732"/>
      <c r="V334" s="732"/>
      <c r="W334" s="732"/>
      <c r="X334" s="732"/>
      <c r="AJ334" s="732"/>
    </row>
    <row r="335" spans="7:36" s="736" customFormat="1" ht="15" customHeight="1">
      <c r="G335" s="732"/>
      <c r="V335" s="732"/>
      <c r="W335" s="732"/>
      <c r="X335" s="732"/>
      <c r="AJ335" s="732"/>
    </row>
    <row r="336" spans="7:36" s="736" customFormat="1" ht="15" customHeight="1">
      <c r="G336" s="732"/>
      <c r="V336" s="732"/>
      <c r="W336" s="732"/>
      <c r="X336" s="732"/>
      <c r="AJ336" s="732"/>
    </row>
    <row r="337" spans="1:36" s="736" customFormat="1" ht="15" customHeight="1">
      <c r="G337" s="732"/>
      <c r="V337" s="732"/>
      <c r="W337" s="732"/>
      <c r="X337" s="732"/>
      <c r="AJ337" s="732"/>
    </row>
    <row r="338" spans="1:36" s="736" customFormat="1" ht="15" customHeight="1">
      <c r="G338" s="732"/>
      <c r="V338" s="732"/>
      <c r="W338" s="732"/>
      <c r="X338" s="732"/>
      <c r="AJ338" s="732"/>
    </row>
    <row r="339" spans="1:36" s="736" customFormat="1" ht="15" customHeight="1">
      <c r="G339" s="732"/>
      <c r="V339" s="732"/>
      <c r="W339" s="732"/>
      <c r="X339" s="732"/>
      <c r="AJ339" s="732"/>
    </row>
    <row r="340" spans="1:36" ht="15" customHeight="1">
      <c r="A340" s="736"/>
      <c r="B340" s="736"/>
      <c r="C340" s="736"/>
      <c r="D340" s="736"/>
      <c r="E340" s="736"/>
      <c r="F340" s="736"/>
      <c r="G340" s="732"/>
      <c r="H340" s="736"/>
      <c r="I340" s="736"/>
      <c r="J340" s="736"/>
      <c r="K340" s="736"/>
      <c r="L340" s="736"/>
      <c r="M340" s="736"/>
      <c r="N340" s="736"/>
      <c r="O340" s="736"/>
      <c r="P340" s="736"/>
      <c r="Q340" s="736"/>
      <c r="R340" s="736"/>
      <c r="S340" s="736"/>
    </row>
    <row r="341" spans="1:36" ht="15" customHeight="1">
      <c r="A341" s="736"/>
      <c r="B341" s="736"/>
      <c r="C341" s="736"/>
      <c r="D341" s="736"/>
      <c r="E341" s="736"/>
      <c r="F341" s="736"/>
      <c r="G341" s="732"/>
      <c r="H341" s="736"/>
      <c r="I341" s="736"/>
      <c r="J341" s="736"/>
      <c r="K341" s="736"/>
      <c r="L341" s="736"/>
      <c r="M341" s="736"/>
      <c r="N341" s="736"/>
      <c r="O341" s="736"/>
      <c r="P341" s="736"/>
      <c r="Q341" s="736"/>
      <c r="R341" s="736"/>
      <c r="S341" s="736"/>
    </row>
    <row r="342" spans="1:36" ht="15" customHeight="1">
      <c r="A342" s="736"/>
      <c r="B342" s="736"/>
      <c r="C342" s="736"/>
      <c r="D342" s="736"/>
      <c r="E342" s="736"/>
      <c r="F342" s="736"/>
      <c r="G342" s="732"/>
      <c r="H342" s="736"/>
      <c r="I342" s="736"/>
      <c r="J342" s="736"/>
      <c r="K342" s="736"/>
      <c r="L342" s="736"/>
      <c r="M342" s="736"/>
      <c r="N342" s="736"/>
      <c r="O342" s="736"/>
      <c r="P342" s="736"/>
      <c r="Q342" s="736"/>
      <c r="R342" s="736"/>
      <c r="S342" s="736"/>
    </row>
    <row r="343" spans="1:36" ht="15" customHeight="1">
      <c r="A343" s="736"/>
      <c r="B343" s="736"/>
      <c r="C343" s="736"/>
      <c r="D343" s="736"/>
      <c r="E343" s="736"/>
      <c r="F343" s="736"/>
      <c r="G343" s="732"/>
      <c r="H343" s="736"/>
      <c r="I343" s="736"/>
      <c r="J343" s="736"/>
      <c r="K343" s="736"/>
      <c r="L343" s="736"/>
      <c r="M343" s="736"/>
      <c r="N343" s="736"/>
      <c r="O343" s="736"/>
      <c r="P343" s="736"/>
      <c r="Q343" s="736"/>
      <c r="R343" s="736"/>
      <c r="S343" s="736"/>
    </row>
    <row r="344" spans="1:36" ht="15" customHeight="1">
      <c r="A344" s="736"/>
      <c r="B344" s="736"/>
      <c r="C344" s="736"/>
      <c r="D344" s="736"/>
      <c r="E344" s="736"/>
      <c r="F344" s="736"/>
      <c r="G344" s="732"/>
      <c r="H344" s="736"/>
      <c r="I344" s="736"/>
      <c r="J344" s="736"/>
      <c r="K344" s="736"/>
      <c r="L344" s="736"/>
      <c r="M344" s="736"/>
      <c r="N344" s="736"/>
      <c r="O344" s="736"/>
      <c r="P344" s="736"/>
      <c r="Q344" s="736"/>
      <c r="R344" s="736"/>
      <c r="S344" s="736"/>
    </row>
    <row r="345" spans="1:36" ht="15" customHeight="1">
      <c r="A345" s="736"/>
      <c r="B345" s="736"/>
      <c r="C345" s="736"/>
      <c r="D345" s="736"/>
      <c r="E345" s="736"/>
      <c r="F345" s="736"/>
      <c r="G345" s="732"/>
      <c r="H345" s="736"/>
      <c r="I345" s="736"/>
      <c r="J345" s="736"/>
      <c r="K345" s="736"/>
      <c r="L345" s="736"/>
      <c r="M345" s="736"/>
      <c r="N345" s="736"/>
      <c r="O345" s="736"/>
      <c r="P345" s="736"/>
      <c r="Q345" s="736"/>
      <c r="R345" s="736"/>
      <c r="S345" s="736"/>
    </row>
    <row r="346" spans="1:36" ht="15" customHeight="1">
      <c r="B346" s="736"/>
      <c r="C346" s="736"/>
      <c r="D346" s="736"/>
      <c r="E346" s="736"/>
      <c r="F346" s="736"/>
      <c r="G346" s="732"/>
      <c r="H346" s="736"/>
      <c r="I346" s="736"/>
      <c r="J346" s="736"/>
      <c r="L346" s="736"/>
      <c r="M346" s="736"/>
      <c r="N346" s="736"/>
      <c r="O346" s="736"/>
      <c r="P346" s="736"/>
      <c r="Q346" s="736"/>
      <c r="R346" s="736"/>
      <c r="S346" s="736"/>
    </row>
    <row r="1048576" spans="16383:16383" ht="15" customHeight="1">
      <c r="XFC1048576" s="737" t="s">
        <v>1696</v>
      </c>
    </row>
  </sheetData>
  <dataConsolidate/>
  <mergeCells count="263">
    <mergeCell ref="A62:I63"/>
    <mergeCell ref="K62:S63"/>
    <mergeCell ref="K2:M2"/>
    <mergeCell ref="P2:Q2"/>
    <mergeCell ref="R2:S2"/>
    <mergeCell ref="K3:M3"/>
    <mergeCell ref="E59:F59"/>
    <mergeCell ref="E60:F60"/>
    <mergeCell ref="E61:F61"/>
    <mergeCell ref="E25:F25"/>
    <mergeCell ref="E31:F31"/>
    <mergeCell ref="E30:F30"/>
    <mergeCell ref="E29:F29"/>
    <mergeCell ref="E32:F32"/>
    <mergeCell ref="O49:P49"/>
    <mergeCell ref="H2:I2"/>
    <mergeCell ref="E53:F53"/>
    <mergeCell ref="G3:I3"/>
    <mergeCell ref="E51:F51"/>
    <mergeCell ref="Q3:S3"/>
    <mergeCell ref="E15:F15"/>
    <mergeCell ref="I7:I8"/>
    <mergeCell ref="M10:P10"/>
    <mergeCell ref="A25:A33"/>
    <mergeCell ref="A1:I1"/>
    <mergeCell ref="K1:S1"/>
    <mergeCell ref="C40:D40"/>
    <mergeCell ref="C50:D50"/>
    <mergeCell ref="C25:D25"/>
    <mergeCell ref="C24:D24"/>
    <mergeCell ref="E24:F24"/>
    <mergeCell ref="C23:D23"/>
    <mergeCell ref="A48:A61"/>
    <mergeCell ref="B50:B55"/>
    <mergeCell ref="E16:F16"/>
    <mergeCell ref="E20:F20"/>
    <mergeCell ref="C34:D34"/>
    <mergeCell ref="C36:D36"/>
    <mergeCell ref="C37:D37"/>
    <mergeCell ref="C38:D38"/>
    <mergeCell ref="C56:F56"/>
    <mergeCell ref="C58:D58"/>
    <mergeCell ref="E44:F44"/>
    <mergeCell ref="A21:A24"/>
    <mergeCell ref="E13:F13"/>
    <mergeCell ref="G7:G8"/>
    <mergeCell ref="E49:F49"/>
    <mergeCell ref="C47:D47"/>
    <mergeCell ref="C14:D14"/>
    <mergeCell ref="E14:F14"/>
    <mergeCell ref="A34:A47"/>
    <mergeCell ref="O7:P7"/>
    <mergeCell ref="L52:L56"/>
    <mergeCell ref="L49:L51"/>
    <mergeCell ref="M21:N21"/>
    <mergeCell ref="M15:N15"/>
    <mergeCell ref="O17:P17"/>
    <mergeCell ref="O28:P28"/>
    <mergeCell ref="O27:P27"/>
    <mergeCell ref="O24:P24"/>
    <mergeCell ref="O30:P30"/>
    <mergeCell ref="O29:P29"/>
    <mergeCell ref="M23:N23"/>
    <mergeCell ref="C13:D13"/>
    <mergeCell ref="C30:D30"/>
    <mergeCell ref="C27:D27"/>
    <mergeCell ref="C31:D31"/>
    <mergeCell ref="M11:P11"/>
    <mergeCell ref="O53:P53"/>
    <mergeCell ref="O50:P50"/>
    <mergeCell ref="O51:P51"/>
    <mergeCell ref="A2:C2"/>
    <mergeCell ref="D2:E2"/>
    <mergeCell ref="M8:N8"/>
    <mergeCell ref="E34:F34"/>
    <mergeCell ref="N2:O2"/>
    <mergeCell ref="C4:D4"/>
    <mergeCell ref="E4:F4"/>
    <mergeCell ref="F2:G2"/>
    <mergeCell ref="E40:F40"/>
    <mergeCell ref="C18:D18"/>
    <mergeCell ref="C15:D17"/>
    <mergeCell ref="C32:D33"/>
    <mergeCell ref="E26:F26"/>
    <mergeCell ref="C21:D21"/>
    <mergeCell ref="E21:F21"/>
    <mergeCell ref="C22:D22"/>
    <mergeCell ref="M34:N34"/>
    <mergeCell ref="C20:D20"/>
    <mergeCell ref="M5:N5"/>
    <mergeCell ref="A15:A20"/>
    <mergeCell ref="E18:F18"/>
    <mergeCell ref="E35:F35"/>
    <mergeCell ref="O6:P6"/>
    <mergeCell ref="O8:P8"/>
    <mergeCell ref="V50:Y50"/>
    <mergeCell ref="O4:P4"/>
    <mergeCell ref="C9:D10"/>
    <mergeCell ref="E9:F10"/>
    <mergeCell ref="G9:G10"/>
    <mergeCell ref="H9:H10"/>
    <mergeCell ref="C59:D59"/>
    <mergeCell ref="C60:D60"/>
    <mergeCell ref="E39:F39"/>
    <mergeCell ref="E58:F58"/>
    <mergeCell ref="M57:P57"/>
    <mergeCell ref="M39:P39"/>
    <mergeCell ref="M47:P47"/>
    <mergeCell ref="M41:P41"/>
    <mergeCell ref="O32:P32"/>
    <mergeCell ref="M53:N53"/>
    <mergeCell ref="E48:F48"/>
    <mergeCell ref="M31:N31"/>
    <mergeCell ref="E28:F28"/>
    <mergeCell ref="M28:N28"/>
    <mergeCell ref="M29:N29"/>
    <mergeCell ref="E41:F41"/>
    <mergeCell ref="M30:N30"/>
    <mergeCell ref="G32:G33"/>
    <mergeCell ref="AB3:AB4"/>
    <mergeCell ref="E27:F27"/>
    <mergeCell ref="M4:N4"/>
    <mergeCell ref="N3:O3"/>
    <mergeCell ref="E45:F45"/>
    <mergeCell ref="E46:F46"/>
    <mergeCell ref="E47:F47"/>
    <mergeCell ref="M32:N32"/>
    <mergeCell ref="O36:P36"/>
    <mergeCell ref="O33:P33"/>
    <mergeCell ref="O19:P19"/>
    <mergeCell ref="O21:P21"/>
    <mergeCell ref="M17:N17"/>
    <mergeCell ref="M22:N22"/>
    <mergeCell ref="O31:P31"/>
    <mergeCell ref="O35:P35"/>
    <mergeCell ref="K39:K61"/>
    <mergeCell ref="H32:H33"/>
    <mergeCell ref="M56:P56"/>
    <mergeCell ref="E43:F43"/>
    <mergeCell ref="M42:P42"/>
    <mergeCell ref="M43:P43"/>
    <mergeCell ref="M44:P44"/>
    <mergeCell ref="M51:N51"/>
    <mergeCell ref="E7:F8"/>
    <mergeCell ref="L39:L45"/>
    <mergeCell ref="H7:H8"/>
    <mergeCell ref="E17:F17"/>
    <mergeCell ref="M7:N7"/>
    <mergeCell ref="M19:N19"/>
    <mergeCell ref="M33:N33"/>
    <mergeCell ref="M26:N26"/>
    <mergeCell ref="C54:F54"/>
    <mergeCell ref="C35:D35"/>
    <mergeCell ref="C46:D46"/>
    <mergeCell ref="C51:D51"/>
    <mergeCell ref="C52:D52"/>
    <mergeCell ref="C53:D53"/>
    <mergeCell ref="C45:D45"/>
    <mergeCell ref="M50:N50"/>
    <mergeCell ref="M49:N49"/>
    <mergeCell ref="E52:F52"/>
    <mergeCell ref="E50:F50"/>
    <mergeCell ref="C41:D41"/>
    <mergeCell ref="M38:N38"/>
    <mergeCell ref="M36:N36"/>
    <mergeCell ref="E36:F36"/>
    <mergeCell ref="C43:D43"/>
    <mergeCell ref="S47:S48"/>
    <mergeCell ref="E42:F42"/>
    <mergeCell ref="M12:P12"/>
    <mergeCell ref="M20:N20"/>
    <mergeCell ref="O52:P52"/>
    <mergeCell ref="M48:P48"/>
    <mergeCell ref="C57:D57"/>
    <mergeCell ref="O15:P15"/>
    <mergeCell ref="M24:N24"/>
    <mergeCell ref="M40:P40"/>
    <mergeCell ref="E22:F22"/>
    <mergeCell ref="C11:D12"/>
    <mergeCell ref="E11:F12"/>
    <mergeCell ref="G11:G12"/>
    <mergeCell ref="H11:H12"/>
    <mergeCell ref="E33:F33"/>
    <mergeCell ref="M46:P46"/>
    <mergeCell ref="C29:D29"/>
    <mergeCell ref="C28:D28"/>
    <mergeCell ref="M16:N16"/>
    <mergeCell ref="K5:K38"/>
    <mergeCell ref="O16:P16"/>
    <mergeCell ref="I11:I12"/>
    <mergeCell ref="C39:D39"/>
    <mergeCell ref="A3:C3"/>
    <mergeCell ref="D3:E3"/>
    <mergeCell ref="O5:P5"/>
    <mergeCell ref="M6:N6"/>
    <mergeCell ref="B5:B6"/>
    <mergeCell ref="B7:B8"/>
    <mergeCell ref="B9:B10"/>
    <mergeCell ref="A5:A14"/>
    <mergeCell ref="O13:P13"/>
    <mergeCell ref="J2:J63"/>
    <mergeCell ref="B11:B12"/>
    <mergeCell ref="C5:D6"/>
    <mergeCell ref="E5:F6"/>
    <mergeCell ref="G5:G6"/>
    <mergeCell ref="H5:H6"/>
    <mergeCell ref="I5:I6"/>
    <mergeCell ref="C7:D8"/>
    <mergeCell ref="E19:F19"/>
    <mergeCell ref="E37:F37"/>
    <mergeCell ref="E38:F38"/>
    <mergeCell ref="E23:F23"/>
    <mergeCell ref="O14:P14"/>
    <mergeCell ref="M13:N13"/>
    <mergeCell ref="C19:D19"/>
    <mergeCell ref="L65:P75"/>
    <mergeCell ref="B48:D48"/>
    <mergeCell ref="B49:D49"/>
    <mergeCell ref="B68:B72"/>
    <mergeCell ref="C68:D68"/>
    <mergeCell ref="E68:F68"/>
    <mergeCell ref="C69:D69"/>
    <mergeCell ref="E69:F69"/>
    <mergeCell ref="C70:D70"/>
    <mergeCell ref="E70:F70"/>
    <mergeCell ref="C71:D71"/>
    <mergeCell ref="E71:F71"/>
    <mergeCell ref="C72:F72"/>
    <mergeCell ref="M60:P60"/>
    <mergeCell ref="B58:B61"/>
    <mergeCell ref="M52:N52"/>
    <mergeCell ref="L57:L61"/>
    <mergeCell ref="M61:P61"/>
    <mergeCell ref="M54:P54"/>
    <mergeCell ref="M55:P55"/>
    <mergeCell ref="M58:P58"/>
    <mergeCell ref="M59:P59"/>
    <mergeCell ref="C61:D61"/>
    <mergeCell ref="B56:B57"/>
    <mergeCell ref="O9:P9"/>
    <mergeCell ref="E57:F57"/>
    <mergeCell ref="C55:F55"/>
    <mergeCell ref="M37:N37"/>
    <mergeCell ref="M9:N9"/>
    <mergeCell ref="M27:N27"/>
    <mergeCell ref="M25:N25"/>
    <mergeCell ref="M14:N14"/>
    <mergeCell ref="M18:N18"/>
    <mergeCell ref="O20:P20"/>
    <mergeCell ref="M45:P45"/>
    <mergeCell ref="O37:P37"/>
    <mergeCell ref="O38:P38"/>
    <mergeCell ref="O23:P23"/>
    <mergeCell ref="O18:P18"/>
    <mergeCell ref="O26:P26"/>
    <mergeCell ref="O34:P34"/>
    <mergeCell ref="O22:P22"/>
    <mergeCell ref="O25:P25"/>
    <mergeCell ref="I9:I10"/>
    <mergeCell ref="C26:D26"/>
    <mergeCell ref="C44:D44"/>
    <mergeCell ref="C42:D42"/>
    <mergeCell ref="M35:N35"/>
  </mergeCells>
  <phoneticPr fontId="7" type="noConversion"/>
  <dataValidations count="4">
    <dataValidation type="list" allowBlank="1" showInputMessage="1" showErrorMessage="1" sqref="C35">
      <formula1>$AB$37:$AB$41</formula1>
    </dataValidation>
    <dataValidation type="list" allowBlank="1" showInputMessage="1" showErrorMessage="1" sqref="O33:P33">
      <formula1>$AC$19:$AC$23</formula1>
    </dataValidation>
    <dataValidation type="list" allowBlank="1" showInputMessage="1" showErrorMessage="1" sqref="O35:P35">
      <formula1>$U$52:$U$53</formula1>
    </dataValidation>
    <dataValidation type="list" allowBlank="1" showInputMessage="1" showErrorMessage="1" sqref="M51:N51">
      <formula1>$Y$38:$Y$41</formula1>
    </dataValidation>
  </dataValidations>
  <printOptions horizontalCentered="1"/>
  <pageMargins left="7.874015748031496E-2" right="7.874015748031496E-2" top="7.874015748031496E-2" bottom="7.874015748031496E-2" header="0" footer="0"/>
  <pageSetup paperSize="9" scale="85" orientation="portrait" horizontalDpi="180" verticalDpi="180" r:id="rId1"/>
  <headerFooter alignWithMargins="0">
    <oddFooter xml:space="preserve">&amp;L
&amp;C
</oddFooter>
  </headerFooter>
  <colBreaks count="1" manualBreakCount="1">
    <brk id="19" max="1048575" man="1"/>
  </colBreaks>
  <legacyDrawing r:id="rId2"/>
</worksheet>
</file>

<file path=xl/worksheets/sheet5.xml><?xml version="1.0" encoding="utf-8"?>
<worksheet xmlns="http://schemas.openxmlformats.org/spreadsheetml/2006/main" xmlns:r="http://schemas.openxmlformats.org/officeDocument/2006/relationships">
  <dimension ref="A1:H34"/>
  <sheetViews>
    <sheetView topLeftCell="B19" workbookViewId="0">
      <selection activeCell="G32" sqref="G32"/>
    </sheetView>
  </sheetViews>
  <sheetFormatPr defaultRowHeight="21"/>
  <cols>
    <col min="1" max="1" width="12.25" style="19" customWidth="1"/>
    <col min="2" max="2" width="13.25" style="19" customWidth="1"/>
    <col min="3" max="3" width="9.25" style="19" customWidth="1"/>
    <col min="4" max="4" width="12.375" style="19" customWidth="1"/>
    <col min="5" max="5" width="9.625" style="19" customWidth="1"/>
    <col min="6" max="6" width="9.25" style="19" customWidth="1"/>
    <col min="7" max="7" width="13.125" style="19" customWidth="1"/>
    <col min="8" max="8" width="10.25" style="19" customWidth="1"/>
    <col min="9" max="16384" width="9" style="18"/>
  </cols>
  <sheetData>
    <row r="1" spans="1:8" ht="33">
      <c r="A1" s="1147" t="s">
        <v>91</v>
      </c>
      <c r="B1" s="1147"/>
      <c r="C1" s="1147"/>
      <c r="D1" s="1147"/>
      <c r="E1" s="1147"/>
      <c r="F1" s="1147"/>
      <c r="G1" s="1147"/>
      <c r="H1" s="1147"/>
    </row>
    <row r="2" spans="1:8" ht="21.95" customHeight="1">
      <c r="B2" s="28" t="s">
        <v>59</v>
      </c>
      <c r="E2" s="1148" t="s">
        <v>92</v>
      </c>
      <c r="F2" s="1148"/>
      <c r="G2" s="1149">
        <f>下料单!G2</f>
        <v>0</v>
      </c>
      <c r="H2" s="1149"/>
    </row>
    <row r="3" spans="1:8" ht="21" customHeight="1">
      <c r="A3" s="17" t="s">
        <v>42</v>
      </c>
      <c r="B3" s="1150" t="str">
        <f>下料单!C2</f>
        <v>杜鹃</v>
      </c>
      <c r="C3" s="1146"/>
      <c r="D3" s="17" t="s">
        <v>93</v>
      </c>
      <c r="E3" s="1150"/>
      <c r="F3" s="1146"/>
      <c r="G3" s="17" t="s">
        <v>94</v>
      </c>
      <c r="H3" s="21">
        <f>下料单!N2</f>
        <v>0</v>
      </c>
    </row>
    <row r="4" spans="1:8" ht="21" customHeight="1">
      <c r="A4" s="17" t="s">
        <v>53</v>
      </c>
      <c r="B4" s="1145" t="str">
        <f>下料单!S2</f>
        <v>西安</v>
      </c>
      <c r="C4" s="1146"/>
      <c r="D4" s="17" t="s">
        <v>95</v>
      </c>
      <c r="E4" s="1145"/>
      <c r="F4" s="1146"/>
      <c r="G4" s="17" t="s">
        <v>96</v>
      </c>
      <c r="H4" s="21"/>
    </row>
    <row r="5" spans="1:8" ht="21" customHeight="1">
      <c r="A5" s="17" t="s">
        <v>97</v>
      </c>
      <c r="B5" s="17" t="s">
        <v>98</v>
      </c>
      <c r="C5" s="17" t="s">
        <v>99</v>
      </c>
      <c r="D5" s="17" t="s">
        <v>100</v>
      </c>
      <c r="E5" s="17" t="s">
        <v>101</v>
      </c>
      <c r="F5" s="17" t="s">
        <v>102</v>
      </c>
      <c r="G5" s="17" t="s">
        <v>103</v>
      </c>
      <c r="H5" s="17" t="s">
        <v>104</v>
      </c>
    </row>
    <row r="6" spans="1:8" ht="21" customHeight="1">
      <c r="A6" s="17" t="s">
        <v>105</v>
      </c>
      <c r="B6" s="1151">
        <f>下料单!E21</f>
        <v>1</v>
      </c>
      <c r="C6" s="1152"/>
      <c r="D6" s="17" t="s">
        <v>106</v>
      </c>
      <c r="E6" s="1151">
        <f>下料单!E33</f>
        <v>0</v>
      </c>
      <c r="F6" s="1152"/>
      <c r="G6" s="17" t="s">
        <v>107</v>
      </c>
      <c r="H6" s="17"/>
    </row>
    <row r="7" spans="1:8" ht="21" customHeight="1">
      <c r="A7" s="17" t="s">
        <v>108</v>
      </c>
      <c r="B7" s="1151">
        <f>下料单!Z36</f>
        <v>5</v>
      </c>
      <c r="C7" s="1152"/>
      <c r="D7" s="17" t="s">
        <v>109</v>
      </c>
      <c r="E7" s="1151"/>
      <c r="F7" s="1152"/>
      <c r="G7" s="17" t="s">
        <v>110</v>
      </c>
      <c r="H7" s="17"/>
    </row>
    <row r="8" spans="1:8" s="19" customFormat="1" ht="21" customHeight="1">
      <c r="A8" s="17" t="s">
        <v>11</v>
      </c>
      <c r="B8" s="17" t="s">
        <v>111</v>
      </c>
      <c r="C8" s="17" t="s">
        <v>112</v>
      </c>
      <c r="D8" s="17" t="s">
        <v>113</v>
      </c>
      <c r="E8" s="17" t="s">
        <v>114</v>
      </c>
      <c r="F8" s="17" t="s">
        <v>115</v>
      </c>
      <c r="G8" s="17" t="s">
        <v>116</v>
      </c>
      <c r="H8" s="17" t="s">
        <v>10</v>
      </c>
    </row>
    <row r="9" spans="1:8" ht="21" customHeight="1">
      <c r="A9" s="22">
        <v>1</v>
      </c>
      <c r="B9" s="17" t="s">
        <v>117</v>
      </c>
      <c r="C9" s="23">
        <f>下料单!Z37</f>
        <v>5</v>
      </c>
      <c r="D9" s="24"/>
      <c r="E9" s="24"/>
      <c r="F9" s="24"/>
      <c r="G9" s="24"/>
      <c r="H9" s="24"/>
    </row>
    <row r="10" spans="1:8" ht="21" customHeight="1">
      <c r="A10" s="22">
        <v>2</v>
      </c>
      <c r="B10" s="17" t="s">
        <v>118</v>
      </c>
      <c r="C10" s="23">
        <f>下料单!Z38</f>
        <v>4</v>
      </c>
      <c r="D10" s="24"/>
      <c r="E10" s="24"/>
      <c r="F10" s="24"/>
      <c r="G10" s="24"/>
      <c r="H10" s="24"/>
    </row>
    <row r="11" spans="1:8" ht="21" customHeight="1">
      <c r="A11" s="22">
        <v>3</v>
      </c>
      <c r="B11" s="17" t="s">
        <v>119</v>
      </c>
      <c r="C11" s="23">
        <f>下料单!Z39</f>
        <v>0</v>
      </c>
      <c r="D11" s="24"/>
      <c r="E11" s="24"/>
      <c r="F11" s="24"/>
      <c r="G11" s="24"/>
      <c r="H11" s="24"/>
    </row>
    <row r="12" spans="1:8" ht="21" customHeight="1">
      <c r="A12" s="22">
        <v>4</v>
      </c>
      <c r="B12" s="17" t="s">
        <v>120</v>
      </c>
      <c r="C12" s="23" t="s">
        <v>140</v>
      </c>
      <c r="D12" s="24"/>
      <c r="E12" s="24"/>
      <c r="F12" s="24"/>
      <c r="G12" s="24"/>
      <c r="H12" s="24"/>
    </row>
    <row r="13" spans="1:8" ht="21" customHeight="1">
      <c r="A13" s="22">
        <v>5</v>
      </c>
      <c r="B13" s="17" t="s">
        <v>89</v>
      </c>
      <c r="C13" s="23"/>
      <c r="D13" s="24"/>
      <c r="E13" s="24"/>
      <c r="F13" s="24"/>
      <c r="G13" s="24"/>
      <c r="H13" s="24"/>
    </row>
    <row r="14" spans="1:8" ht="21" customHeight="1">
      <c r="A14" s="22">
        <v>6</v>
      </c>
      <c r="B14" s="17" t="s">
        <v>121</v>
      </c>
      <c r="C14" s="23"/>
      <c r="D14" s="24"/>
      <c r="E14" s="24"/>
      <c r="F14" s="24"/>
      <c r="G14" s="24"/>
      <c r="H14" s="24"/>
    </row>
    <row r="15" spans="1:8" ht="21" customHeight="1">
      <c r="A15" s="22">
        <v>7</v>
      </c>
      <c r="B15" s="17" t="s">
        <v>122</v>
      </c>
      <c r="C15" s="23"/>
      <c r="D15" s="24"/>
      <c r="E15" s="24"/>
      <c r="F15" s="24"/>
      <c r="G15" s="24"/>
      <c r="H15" s="24"/>
    </row>
    <row r="16" spans="1:8" ht="21" customHeight="1">
      <c r="A16" s="22">
        <v>8</v>
      </c>
      <c r="B16" s="17" t="s">
        <v>123</v>
      </c>
      <c r="C16" s="23"/>
      <c r="D16" s="24"/>
      <c r="E16" s="24"/>
      <c r="F16" s="24"/>
      <c r="G16" s="24"/>
      <c r="H16" s="24"/>
    </row>
    <row r="17" spans="1:8" ht="21" customHeight="1">
      <c r="A17" s="22">
        <v>9</v>
      </c>
      <c r="B17" s="17" t="s">
        <v>124</v>
      </c>
      <c r="C17" s="23"/>
      <c r="D17" s="24"/>
      <c r="E17" s="24"/>
      <c r="F17" s="24"/>
      <c r="G17" s="24"/>
      <c r="H17" s="24"/>
    </row>
    <row r="18" spans="1:8" ht="21" customHeight="1">
      <c r="A18" s="22">
        <v>10</v>
      </c>
      <c r="B18" s="17" t="s">
        <v>125</v>
      </c>
      <c r="C18" s="23">
        <f>B6+E6</f>
        <v>1</v>
      </c>
      <c r="D18" s="24"/>
      <c r="E18" s="24"/>
      <c r="F18" s="24"/>
      <c r="G18" s="24"/>
      <c r="H18" s="24"/>
    </row>
    <row r="19" spans="1:8" ht="21" customHeight="1">
      <c r="A19" s="22">
        <v>11</v>
      </c>
      <c r="B19" s="17" t="s">
        <v>126</v>
      </c>
      <c r="C19" s="23" t="e">
        <f>领料单!Q44+领料单!#REF!+领料单!#REF!+领料单!G59+领料单!G60+领料单!G61</f>
        <v>#REF!</v>
      </c>
      <c r="D19" s="24"/>
      <c r="E19" s="24"/>
      <c r="F19" s="24"/>
      <c r="G19" s="24"/>
      <c r="H19" s="24"/>
    </row>
    <row r="20" spans="1:8" ht="21" customHeight="1">
      <c r="A20" s="22">
        <v>12</v>
      </c>
      <c r="B20" s="17" t="s">
        <v>127</v>
      </c>
      <c r="C20" s="23"/>
      <c r="D20" s="24"/>
      <c r="E20" s="24"/>
      <c r="F20" s="24"/>
      <c r="G20" s="24"/>
      <c r="H20" s="24"/>
    </row>
    <row r="21" spans="1:8" ht="21" customHeight="1">
      <c r="A21" s="22">
        <v>13</v>
      </c>
      <c r="B21" s="17" t="s">
        <v>128</v>
      </c>
      <c r="C21" s="23"/>
      <c r="D21" s="24"/>
      <c r="E21" s="24"/>
      <c r="F21" s="24"/>
      <c r="G21" s="24"/>
      <c r="H21" s="24"/>
    </row>
    <row r="22" spans="1:8" ht="21" customHeight="1">
      <c r="A22" s="22">
        <v>14</v>
      </c>
      <c r="B22" s="17" t="s">
        <v>129</v>
      </c>
      <c r="C22" s="23"/>
      <c r="D22" s="24"/>
      <c r="E22" s="24"/>
      <c r="F22" s="24"/>
      <c r="G22" s="24"/>
      <c r="H22" s="24"/>
    </row>
    <row r="23" spans="1:8" ht="21" customHeight="1">
      <c r="A23" s="22">
        <v>15</v>
      </c>
      <c r="B23" s="17" t="s">
        <v>130</v>
      </c>
      <c r="C23" s="23">
        <f>(领料单!Q40+领料单!Q42+领料单!Q41)/2</f>
        <v>2</v>
      </c>
      <c r="D23" s="24"/>
      <c r="E23" s="24"/>
      <c r="F23" s="24"/>
      <c r="G23" s="24"/>
      <c r="H23" s="24"/>
    </row>
    <row r="24" spans="1:8" ht="21" customHeight="1">
      <c r="A24" s="22">
        <v>16</v>
      </c>
      <c r="B24" s="17" t="s">
        <v>131</v>
      </c>
      <c r="C24" s="23"/>
      <c r="D24" s="24"/>
      <c r="E24" s="24"/>
      <c r="F24" s="24"/>
      <c r="G24" s="24"/>
      <c r="H24" s="24"/>
    </row>
    <row r="25" spans="1:8" ht="21" customHeight="1">
      <c r="A25" s="22">
        <v>17</v>
      </c>
      <c r="B25" s="17" t="s">
        <v>132</v>
      </c>
      <c r="C25" s="23"/>
      <c r="D25" s="24"/>
      <c r="E25" s="24"/>
      <c r="F25" s="24"/>
      <c r="G25" s="24"/>
      <c r="H25" s="24"/>
    </row>
    <row r="26" spans="1:8" ht="21" customHeight="1">
      <c r="A26" s="22">
        <v>18</v>
      </c>
      <c r="B26" s="17" t="s">
        <v>133</v>
      </c>
      <c r="C26" s="23">
        <f>领料单!G22/2</f>
        <v>0</v>
      </c>
      <c r="D26" s="24"/>
      <c r="E26" s="24"/>
      <c r="F26" s="24"/>
      <c r="G26" s="24"/>
      <c r="H26" s="24"/>
    </row>
    <row r="27" spans="1:8" ht="21" customHeight="1">
      <c r="A27" s="22">
        <v>19</v>
      </c>
      <c r="B27" s="17" t="s">
        <v>134</v>
      </c>
      <c r="C27" s="23"/>
      <c r="D27" s="24"/>
      <c r="E27" s="24"/>
      <c r="F27" s="24"/>
      <c r="G27" s="24"/>
      <c r="H27" s="24"/>
    </row>
    <row r="28" spans="1:8" ht="21" customHeight="1">
      <c r="A28" s="22">
        <v>20</v>
      </c>
      <c r="B28" s="17" t="s">
        <v>135</v>
      </c>
      <c r="C28" s="23"/>
      <c r="D28" s="24"/>
      <c r="E28" s="24"/>
      <c r="F28" s="24"/>
      <c r="G28" s="24"/>
      <c r="H28" s="24"/>
    </row>
    <row r="29" spans="1:8" ht="21" customHeight="1">
      <c r="A29" s="22">
        <v>21</v>
      </c>
      <c r="B29" s="17" t="s">
        <v>136</v>
      </c>
      <c r="C29" s="23"/>
      <c r="D29" s="24"/>
      <c r="E29" s="24"/>
      <c r="F29" s="24"/>
      <c r="G29" s="24"/>
      <c r="H29" s="24"/>
    </row>
    <row r="30" spans="1:8" ht="21" customHeight="1">
      <c r="A30" s="22">
        <v>22</v>
      </c>
      <c r="B30" s="17" t="s">
        <v>137</v>
      </c>
      <c r="C30" s="87">
        <f>下料单!E34*1.2</f>
        <v>1.2</v>
      </c>
      <c r="D30" s="24"/>
      <c r="E30" s="24"/>
      <c r="F30" s="24"/>
      <c r="G30" s="24"/>
      <c r="H30" s="24"/>
    </row>
    <row r="31" spans="1:8" ht="21" customHeight="1">
      <c r="A31" s="25"/>
      <c r="B31" s="25"/>
      <c r="C31" s="26"/>
      <c r="D31" s="26"/>
      <c r="E31" s="26"/>
      <c r="F31" s="26"/>
      <c r="G31" s="26"/>
      <c r="H31" s="25"/>
    </row>
    <row r="32" spans="1:8" ht="21" customHeight="1">
      <c r="A32" s="1154" t="s">
        <v>138</v>
      </c>
      <c r="B32" s="1154"/>
      <c r="C32" s="20"/>
      <c r="F32" s="19" t="s">
        <v>139</v>
      </c>
      <c r="G32" s="86" t="s">
        <v>391</v>
      </c>
    </row>
    <row r="33" spans="1:8" ht="21" customHeight="1">
      <c r="A33" s="27"/>
      <c r="B33" s="27"/>
      <c r="C33" s="25"/>
      <c r="G33" s="25"/>
    </row>
    <row r="34" spans="1:8" ht="21" customHeight="1">
      <c r="F34" s="19" t="s">
        <v>39</v>
      </c>
      <c r="G34" s="1153" t="str">
        <f>B4</f>
        <v>西安</v>
      </c>
      <c r="H34" s="1153"/>
    </row>
  </sheetData>
  <mergeCells count="13">
    <mergeCell ref="B6:C6"/>
    <mergeCell ref="E6:F6"/>
    <mergeCell ref="G34:H34"/>
    <mergeCell ref="B7:C7"/>
    <mergeCell ref="E7:F7"/>
    <mergeCell ref="A32:B32"/>
    <mergeCell ref="E4:F4"/>
    <mergeCell ref="B4:C4"/>
    <mergeCell ref="A1:H1"/>
    <mergeCell ref="E2:F2"/>
    <mergeCell ref="G2:H2"/>
    <mergeCell ref="B3:C3"/>
    <mergeCell ref="E3:F3"/>
  </mergeCells>
  <phoneticPr fontId="7" type="noConversion"/>
  <printOptions horizontalCentered="1"/>
  <pageMargins left="7.874015748031496E-2" right="7.874015748031496E-2" top="0.78740157480314965" bottom="0.39370078740157483" header="0.51181102362204722" footer="0.51181102362204722"/>
  <pageSetup paperSize="9" orientation="portrait" verticalDpi="1200" r:id="rId1"/>
  <headerFooter alignWithMargins="0"/>
</worksheet>
</file>

<file path=xl/worksheets/sheet6.xml><?xml version="1.0" encoding="utf-8"?>
<worksheet xmlns="http://schemas.openxmlformats.org/spreadsheetml/2006/main" xmlns:r="http://schemas.openxmlformats.org/officeDocument/2006/relationships">
  <dimension ref="A1:AF115"/>
  <sheetViews>
    <sheetView view="pageBreakPreview" zoomScale="115" zoomScaleSheetLayoutView="115" workbookViewId="0">
      <selection activeCell="H3" sqref="H3"/>
    </sheetView>
  </sheetViews>
  <sheetFormatPr defaultRowHeight="15" customHeight="1"/>
  <cols>
    <col min="1" max="1" width="12.75" style="56" customWidth="1"/>
    <col min="2" max="2" width="15.625" style="56" customWidth="1"/>
    <col min="3" max="4" width="6" style="56" customWidth="1"/>
    <col min="5" max="6" width="8.125" style="56" customWidth="1"/>
    <col min="7" max="7" width="15.875" style="56" bestFit="1" customWidth="1"/>
    <col min="8" max="8" width="31" style="56" bestFit="1" customWidth="1"/>
    <col min="9" max="9" width="5" style="55" bestFit="1" customWidth="1"/>
    <col min="10" max="11" width="5" style="64" hidden="1" customWidth="1"/>
    <col min="12" max="12" width="16.125" style="56" hidden="1" customWidth="1"/>
    <col min="13" max="13" width="19.875" style="56" hidden="1" customWidth="1"/>
    <col min="14" max="14" width="4.875" style="56" hidden="1" customWidth="1"/>
    <col min="15" max="15" width="26.375" style="56" hidden="1" customWidth="1"/>
    <col min="16" max="17" width="14.5" style="56" hidden="1" customWidth="1"/>
    <col min="18" max="21" width="10" style="63" hidden="1" customWidth="1"/>
    <col min="22" max="22" width="11.125" style="63" hidden="1" customWidth="1"/>
    <col min="23" max="23" width="10" style="63" hidden="1" customWidth="1"/>
    <col min="24" max="24" width="7.375" style="55" hidden="1" customWidth="1"/>
    <col min="25" max="27" width="0" style="56" hidden="1" customWidth="1"/>
    <col min="28" max="28" width="34.125" style="56" hidden="1" customWidth="1"/>
    <col min="29" max="44" width="0" style="56" hidden="1" customWidth="1"/>
    <col min="45" max="16384" width="9" style="56"/>
  </cols>
  <sheetData>
    <row r="1" spans="1:32" s="33" customFormat="1" ht="15" customHeight="1">
      <c r="A1" s="1198" t="s">
        <v>149</v>
      </c>
      <c r="B1" s="1198"/>
      <c r="C1" s="1198"/>
      <c r="D1" s="1198"/>
      <c r="E1" s="1198"/>
      <c r="F1" s="1198"/>
      <c r="G1" s="1198"/>
      <c r="H1" s="1198"/>
      <c r="I1" s="1198"/>
      <c r="J1" s="31"/>
      <c r="K1" s="31"/>
      <c r="L1" s="31"/>
      <c r="M1" s="31"/>
      <c r="N1" s="31"/>
      <c r="O1" s="31"/>
      <c r="P1" s="31"/>
      <c r="Q1" s="31"/>
      <c r="R1" s="31"/>
      <c r="S1" s="31"/>
      <c r="T1" s="31"/>
      <c r="U1" s="31"/>
      <c r="V1" s="31"/>
      <c r="W1" s="31"/>
      <c r="X1" s="32"/>
    </row>
    <row r="2" spans="1:32" s="33" customFormat="1" ht="15" customHeight="1">
      <c r="A2" s="34" t="s">
        <v>150</v>
      </c>
      <c r="B2" s="34">
        <f>下料单!G2</f>
        <v>0</v>
      </c>
      <c r="C2" s="1198" t="s">
        <v>151</v>
      </c>
      <c r="D2" s="1198"/>
      <c r="E2" s="1198" t="str">
        <f>下料单!C2</f>
        <v>杜鹃</v>
      </c>
      <c r="F2" s="1198"/>
      <c r="G2" s="34" t="s">
        <v>152</v>
      </c>
      <c r="H2" s="65" t="str">
        <f>下料单!S2</f>
        <v>西安</v>
      </c>
      <c r="I2" s="34"/>
      <c r="J2" s="31"/>
      <c r="K2" s="31"/>
      <c r="L2" s="31"/>
      <c r="M2" s="31"/>
      <c r="N2" s="31"/>
      <c r="O2" s="31"/>
      <c r="P2" s="31"/>
      <c r="Q2" s="31"/>
      <c r="R2" s="31"/>
      <c r="S2" s="31"/>
      <c r="T2" s="31"/>
      <c r="U2" s="31"/>
      <c r="V2" s="31"/>
      <c r="W2" s="31"/>
      <c r="X2" s="32"/>
    </row>
    <row r="3" spans="1:32" s="33" customFormat="1" ht="15" customHeight="1" thickBot="1">
      <c r="A3" s="34" t="s">
        <v>153</v>
      </c>
      <c r="B3" s="34">
        <f>领料单!Q2</f>
        <v>0</v>
      </c>
      <c r="C3" s="1199" t="s">
        <v>154</v>
      </c>
      <c r="D3" s="1199"/>
      <c r="E3" s="1199">
        <f>下料单!N2</f>
        <v>0</v>
      </c>
      <c r="F3" s="1199"/>
      <c r="G3" s="34" t="s">
        <v>155</v>
      </c>
      <c r="H3" s="65">
        <f>下料单!X2</f>
        <v>0</v>
      </c>
      <c r="I3" s="34"/>
      <c r="J3" s="31"/>
      <c r="K3" s="31"/>
      <c r="L3" s="31"/>
      <c r="M3" s="31"/>
      <c r="N3" s="31"/>
      <c r="O3" s="31"/>
      <c r="P3" s="31"/>
      <c r="Q3" s="31"/>
      <c r="R3" s="31"/>
      <c r="S3" s="31"/>
      <c r="T3" s="31"/>
      <c r="U3" s="31"/>
      <c r="V3" s="31"/>
      <c r="W3" s="31"/>
      <c r="X3" s="32"/>
    </row>
    <row r="4" spans="1:32" s="33" customFormat="1" ht="15" customHeight="1">
      <c r="A4" s="1201" t="s">
        <v>156</v>
      </c>
      <c r="B4" s="1203" t="s">
        <v>157</v>
      </c>
      <c r="C4" s="1223" t="s">
        <v>158</v>
      </c>
      <c r="D4" s="1223"/>
      <c r="E4" s="1223"/>
      <c r="F4" s="1224" t="s">
        <v>159</v>
      </c>
      <c r="G4" s="1223" t="s">
        <v>160</v>
      </c>
      <c r="H4" s="1223"/>
      <c r="I4" s="1226"/>
      <c r="J4" s="1217" t="s">
        <v>161</v>
      </c>
      <c r="K4" s="1218"/>
      <c r="L4" s="1219" t="s">
        <v>162</v>
      </c>
      <c r="M4" s="1220"/>
      <c r="N4" s="1220"/>
      <c r="R4" s="1221" t="s">
        <v>163</v>
      </c>
      <c r="S4" s="1211" t="s">
        <v>164</v>
      </c>
      <c r="T4" s="1211" t="s">
        <v>165</v>
      </c>
      <c r="U4" s="1211" t="s">
        <v>166</v>
      </c>
      <c r="V4" s="1211" t="s">
        <v>167</v>
      </c>
      <c r="W4" s="1213" t="s">
        <v>168</v>
      </c>
      <c r="X4" s="1215" t="s">
        <v>169</v>
      </c>
    </row>
    <row r="5" spans="1:32" s="41" customFormat="1" ht="15" customHeight="1" thickBot="1">
      <c r="A5" s="1202"/>
      <c r="B5" s="1204"/>
      <c r="C5" s="35" t="s">
        <v>170</v>
      </c>
      <c r="D5" s="35" t="s">
        <v>171</v>
      </c>
      <c r="E5" s="35" t="s">
        <v>172</v>
      </c>
      <c r="F5" s="1225"/>
      <c r="G5" s="35" t="s">
        <v>173</v>
      </c>
      <c r="H5" s="35" t="s">
        <v>157</v>
      </c>
      <c r="I5" s="36" t="s">
        <v>56</v>
      </c>
      <c r="J5" s="37" t="s">
        <v>174</v>
      </c>
      <c r="K5" s="38" t="s">
        <v>175</v>
      </c>
      <c r="L5" s="39" t="s">
        <v>173</v>
      </c>
      <c r="M5" s="40" t="s">
        <v>157</v>
      </c>
      <c r="N5" s="40" t="s">
        <v>56</v>
      </c>
      <c r="R5" s="1222"/>
      <c r="S5" s="1212"/>
      <c r="T5" s="1212"/>
      <c r="U5" s="1212"/>
      <c r="V5" s="1212"/>
      <c r="W5" s="1214"/>
      <c r="X5" s="1215"/>
    </row>
    <row r="6" spans="1:32" s="70" customFormat="1" ht="15" customHeight="1">
      <c r="A6" s="1185"/>
      <c r="B6" s="1182" t="s">
        <v>176</v>
      </c>
      <c r="C6" s="1155">
        <v>300</v>
      </c>
      <c r="D6" s="1155">
        <v>560</v>
      </c>
      <c r="E6" s="1155">
        <v>720</v>
      </c>
      <c r="F6" s="1227">
        <v>1</v>
      </c>
      <c r="G6" s="81" t="s">
        <v>361</v>
      </c>
      <c r="H6" s="81" t="s">
        <v>362</v>
      </c>
      <c r="I6" s="82">
        <f>F6</f>
        <v>1</v>
      </c>
      <c r="J6" s="77" t="e">
        <f>I6*#REF!</f>
        <v>#REF!</v>
      </c>
      <c r="K6" s="67"/>
      <c r="L6" s="68"/>
      <c r="M6" s="68"/>
      <c r="N6" s="68"/>
      <c r="O6" s="68"/>
      <c r="P6" s="68"/>
      <c r="Q6" s="69" t="e">
        <f t="shared" ref="Q6:Q11" si="0">J6*560*720/1000000/0.9</f>
        <v>#REF!</v>
      </c>
      <c r="R6" s="69"/>
      <c r="S6" s="69"/>
    </row>
    <row r="7" spans="1:32" s="70" customFormat="1" ht="15" customHeight="1">
      <c r="A7" s="1186"/>
      <c r="B7" s="1183"/>
      <c r="C7" s="1156"/>
      <c r="D7" s="1156"/>
      <c r="E7" s="1156"/>
      <c r="F7" s="1228"/>
      <c r="G7" s="66" t="s">
        <v>183</v>
      </c>
      <c r="H7" s="66" t="s">
        <v>184</v>
      </c>
      <c r="I7" s="83">
        <f>F6</f>
        <v>1</v>
      </c>
      <c r="J7" s="77" t="e">
        <f>I7*#REF!</f>
        <v>#REF!</v>
      </c>
      <c r="K7" s="67"/>
      <c r="L7" s="68"/>
      <c r="M7" s="68"/>
      <c r="N7" s="68"/>
      <c r="O7" s="68"/>
      <c r="P7" s="68"/>
      <c r="Q7" s="69" t="e">
        <f t="shared" si="0"/>
        <v>#REF!</v>
      </c>
      <c r="R7" s="69"/>
      <c r="S7" s="69"/>
    </row>
    <row r="8" spans="1:32" s="70" customFormat="1" ht="15" customHeight="1">
      <c r="A8" s="1186"/>
      <c r="B8" s="1183"/>
      <c r="C8" s="1156"/>
      <c r="D8" s="1156"/>
      <c r="E8" s="1156"/>
      <c r="F8" s="1228"/>
      <c r="G8" s="66" t="s">
        <v>286</v>
      </c>
      <c r="H8" s="66" t="s">
        <v>287</v>
      </c>
      <c r="I8" s="83">
        <f>F6</f>
        <v>1</v>
      </c>
      <c r="J8" s="77" t="e">
        <f>I8*#REF!</f>
        <v>#REF!</v>
      </c>
      <c r="K8" s="67"/>
      <c r="L8" s="68"/>
      <c r="M8" s="68"/>
      <c r="N8" s="68"/>
      <c r="O8" s="68"/>
      <c r="P8" s="68"/>
      <c r="Q8" s="69" t="e">
        <f t="shared" si="0"/>
        <v>#REF!</v>
      </c>
      <c r="R8" s="69"/>
      <c r="S8" s="69"/>
    </row>
    <row r="9" spans="1:32" s="70" customFormat="1" ht="15" customHeight="1">
      <c r="A9" s="1186"/>
      <c r="B9" s="1183"/>
      <c r="C9" s="1156"/>
      <c r="D9" s="1156"/>
      <c r="E9" s="1156"/>
      <c r="F9" s="1228"/>
      <c r="G9" s="66" t="s">
        <v>363</v>
      </c>
      <c r="H9" s="66" t="s">
        <v>364</v>
      </c>
      <c r="I9" s="83">
        <f>F6</f>
        <v>1</v>
      </c>
      <c r="J9" s="77" t="e">
        <f>I9*#REF!</f>
        <v>#REF!</v>
      </c>
      <c r="K9" s="67"/>
      <c r="L9" s="68"/>
      <c r="M9" s="68"/>
      <c r="N9" s="68"/>
      <c r="O9" s="68"/>
      <c r="P9" s="68"/>
      <c r="Q9" s="69" t="e">
        <f t="shared" si="0"/>
        <v>#REF!</v>
      </c>
      <c r="R9" s="69"/>
      <c r="S9" s="69"/>
    </row>
    <row r="10" spans="1:32" s="70" customFormat="1" ht="15" customHeight="1">
      <c r="A10" s="1186"/>
      <c r="B10" s="1183"/>
      <c r="C10" s="1156"/>
      <c r="D10" s="1156"/>
      <c r="E10" s="1156"/>
      <c r="F10" s="1228"/>
      <c r="G10" s="66" t="s">
        <v>290</v>
      </c>
      <c r="H10" s="66" t="s">
        <v>291</v>
      </c>
      <c r="I10" s="83">
        <f>F6</f>
        <v>1</v>
      </c>
      <c r="J10" s="77" t="e">
        <f>I10*#REF!</f>
        <v>#REF!</v>
      </c>
      <c r="K10" s="67"/>
      <c r="L10" s="68"/>
      <c r="M10" s="68"/>
      <c r="N10" s="68"/>
      <c r="O10" s="68"/>
      <c r="P10" s="68"/>
      <c r="Q10" s="69" t="e">
        <f t="shared" si="0"/>
        <v>#REF!</v>
      </c>
      <c r="R10" s="69"/>
      <c r="S10" s="69"/>
    </row>
    <row r="11" spans="1:32" s="70" customFormat="1" ht="15" customHeight="1" thickBot="1">
      <c r="A11" s="1186"/>
      <c r="B11" s="1183"/>
      <c r="C11" s="1157"/>
      <c r="D11" s="1157"/>
      <c r="E11" s="1157"/>
      <c r="F11" s="1228"/>
      <c r="G11" s="66" t="s">
        <v>294</v>
      </c>
      <c r="H11" s="66" t="s">
        <v>295</v>
      </c>
      <c r="I11" s="83">
        <f>F6*2</f>
        <v>2</v>
      </c>
      <c r="J11" s="77" t="e">
        <f>I11*#REF!</f>
        <v>#REF!</v>
      </c>
      <c r="K11" s="67"/>
      <c r="L11" s="68"/>
      <c r="M11" s="68"/>
      <c r="N11" s="68"/>
      <c r="O11" s="68"/>
      <c r="P11" s="68"/>
      <c r="Q11" s="69" t="e">
        <f t="shared" si="0"/>
        <v>#REF!</v>
      </c>
      <c r="R11" s="69"/>
      <c r="S11" s="69"/>
    </row>
    <row r="12" spans="1:32" s="33" customFormat="1" ht="15" customHeight="1">
      <c r="A12" s="1186"/>
      <c r="B12" s="1183"/>
      <c r="C12" s="1155">
        <v>450</v>
      </c>
      <c r="D12" s="1155">
        <v>560</v>
      </c>
      <c r="E12" s="1155">
        <v>720</v>
      </c>
      <c r="F12" s="1155">
        <v>1</v>
      </c>
      <c r="G12" s="42" t="s">
        <v>177</v>
      </c>
      <c r="H12" s="42" t="s">
        <v>178</v>
      </c>
      <c r="I12" s="43">
        <f>F12</f>
        <v>1</v>
      </c>
      <c r="J12" s="1216">
        <v>35</v>
      </c>
      <c r="K12" s="44">
        <f>I12*J12</f>
        <v>35</v>
      </c>
      <c r="L12" s="45" t="s">
        <v>179</v>
      </c>
      <c r="M12" s="46" t="s">
        <v>180</v>
      </c>
      <c r="N12" s="46">
        <v>1</v>
      </c>
      <c r="O12" s="47" t="s">
        <v>181</v>
      </c>
      <c r="P12" s="47" t="s">
        <v>182</v>
      </c>
      <c r="Q12" s="48">
        <v>24</v>
      </c>
      <c r="R12" s="49">
        <f>K12*560*720/1000000/0.9</f>
        <v>15.68</v>
      </c>
      <c r="S12" s="50">
        <f>K12*((560+720)*2+40)/1000</f>
        <v>91</v>
      </c>
      <c r="T12" s="50">
        <f>S12-U12</f>
        <v>25.200000000000003</v>
      </c>
      <c r="U12" s="50">
        <f>S12-0.72*K12</f>
        <v>65.8</v>
      </c>
      <c r="V12" s="1170">
        <f>J12*11</f>
        <v>385</v>
      </c>
      <c r="W12" s="51">
        <f>K12*560*720*16/1000000000</f>
        <v>0.22579199999999999</v>
      </c>
      <c r="X12" s="32">
        <v>0</v>
      </c>
    </row>
    <row r="13" spans="1:32" s="33" customFormat="1" ht="15" customHeight="1">
      <c r="A13" s="1186"/>
      <c r="B13" s="1183"/>
      <c r="C13" s="1156"/>
      <c r="D13" s="1156"/>
      <c r="E13" s="1156"/>
      <c r="F13" s="1156"/>
      <c r="G13" s="46" t="s">
        <v>183</v>
      </c>
      <c r="H13" s="46" t="s">
        <v>184</v>
      </c>
      <c r="I13" s="52">
        <f>F12</f>
        <v>1</v>
      </c>
      <c r="J13" s="1168"/>
      <c r="K13" s="44">
        <f>I13*J12</f>
        <v>35</v>
      </c>
      <c r="L13" s="45" t="s">
        <v>185</v>
      </c>
      <c r="M13" s="46" t="s">
        <v>186</v>
      </c>
      <c r="N13" s="46">
        <v>1</v>
      </c>
      <c r="O13" s="47" t="s">
        <v>187</v>
      </c>
      <c r="P13" s="47" t="s">
        <v>182</v>
      </c>
      <c r="Q13" s="48">
        <v>24</v>
      </c>
      <c r="R13" s="49">
        <f>K13*560*720/1000000/0.9</f>
        <v>15.68</v>
      </c>
      <c r="S13" s="50">
        <f t="shared" ref="S13:S56" si="1">K13*((560+720)*2+40)/1000</f>
        <v>91</v>
      </c>
      <c r="T13" s="50">
        <f t="shared" ref="T13:T99" si="2">S13-U13</f>
        <v>25.200000000000003</v>
      </c>
      <c r="U13" s="50">
        <f t="shared" ref="U13:U94" si="3">S13-0.72*K13</f>
        <v>65.8</v>
      </c>
      <c r="V13" s="1171"/>
      <c r="W13" s="51">
        <f t="shared" ref="W13:W56" si="4">K13*560*720*16/1000000000</f>
        <v>0.22579199999999999</v>
      </c>
      <c r="X13" s="53">
        <v>0</v>
      </c>
      <c r="AB13" s="54" t="s">
        <v>188</v>
      </c>
      <c r="AC13" s="30" t="s">
        <v>182</v>
      </c>
      <c r="AD13" s="30">
        <v>147</v>
      </c>
      <c r="AE13" s="33">
        <f>AD13/AF13</f>
        <v>36.75</v>
      </c>
      <c r="AF13" s="33">
        <v>4</v>
      </c>
    </row>
    <row r="14" spans="1:32" ht="15" customHeight="1">
      <c r="A14" s="1186"/>
      <c r="B14" s="1183"/>
      <c r="C14" s="1156"/>
      <c r="D14" s="1156"/>
      <c r="E14" s="1156"/>
      <c r="F14" s="1156"/>
      <c r="G14" s="46" t="s">
        <v>189</v>
      </c>
      <c r="H14" s="46" t="s">
        <v>190</v>
      </c>
      <c r="I14" s="52">
        <f>F12</f>
        <v>1</v>
      </c>
      <c r="J14" s="1168"/>
      <c r="K14" s="44">
        <f>I14*J12</f>
        <v>35</v>
      </c>
      <c r="L14" s="45" t="s">
        <v>191</v>
      </c>
      <c r="M14" s="46" t="s">
        <v>192</v>
      </c>
      <c r="N14" s="46">
        <v>1</v>
      </c>
      <c r="O14" s="47" t="s">
        <v>193</v>
      </c>
      <c r="P14" s="47" t="s">
        <v>182</v>
      </c>
      <c r="Q14" s="48">
        <v>20</v>
      </c>
      <c r="R14" s="49">
        <f>K14*560*417/1000000/0.9</f>
        <v>9.0813333333333333</v>
      </c>
      <c r="S14" s="50">
        <f>K14*((560+417)*2+40)/1000</f>
        <v>69.790000000000006</v>
      </c>
      <c r="T14" s="50">
        <f t="shared" si="2"/>
        <v>14.594999999999999</v>
      </c>
      <c r="U14" s="50">
        <f>S14-0.417*K14</f>
        <v>55.195000000000007</v>
      </c>
      <c r="V14" s="1171"/>
      <c r="W14" s="51">
        <f>K14*560*417*16/1000000000</f>
        <v>0.1307712</v>
      </c>
      <c r="X14" s="55">
        <v>1</v>
      </c>
      <c r="Y14" s="33"/>
      <c r="Z14" s="33"/>
      <c r="AB14" s="54" t="s">
        <v>194</v>
      </c>
      <c r="AC14" s="30" t="s">
        <v>182</v>
      </c>
      <c r="AD14" s="30">
        <v>142</v>
      </c>
      <c r="AE14" s="33">
        <f t="shared" ref="AE14:AE28" si="5">AD14/AF14</f>
        <v>35.5</v>
      </c>
      <c r="AF14" s="33">
        <v>4</v>
      </c>
    </row>
    <row r="15" spans="1:32" ht="15" customHeight="1">
      <c r="A15" s="1186"/>
      <c r="B15" s="1183"/>
      <c r="C15" s="1156"/>
      <c r="D15" s="1156"/>
      <c r="E15" s="1156"/>
      <c r="F15" s="1156"/>
      <c r="G15" s="46" t="s">
        <v>195</v>
      </c>
      <c r="H15" s="46" t="s">
        <v>196</v>
      </c>
      <c r="I15" s="52">
        <f>F12</f>
        <v>1</v>
      </c>
      <c r="J15" s="1168"/>
      <c r="K15" s="44">
        <f>I15*J12</f>
        <v>35</v>
      </c>
      <c r="L15" s="45" t="s">
        <v>197</v>
      </c>
      <c r="M15" s="46" t="s">
        <v>198</v>
      </c>
      <c r="N15" s="46">
        <v>1</v>
      </c>
      <c r="O15" s="47"/>
      <c r="P15" s="47"/>
      <c r="Q15" s="48"/>
      <c r="R15" s="49">
        <f>K15*514*416/1000000/0.9</f>
        <v>8.315377777777778</v>
      </c>
      <c r="S15" s="50">
        <f>K15*((514+416)*2+40)/1000</f>
        <v>66.5</v>
      </c>
      <c r="T15" s="50">
        <f t="shared" si="2"/>
        <v>14.560000000000002</v>
      </c>
      <c r="U15" s="50">
        <f>S15-0.416*K15</f>
        <v>51.94</v>
      </c>
      <c r="V15" s="1171"/>
      <c r="W15" s="51">
        <f>K15*514*416*16/1000000000</f>
        <v>0.11974144</v>
      </c>
      <c r="X15" s="55">
        <v>0</v>
      </c>
      <c r="Y15" s="33"/>
      <c r="Z15" s="33"/>
      <c r="AB15" s="54" t="s">
        <v>199</v>
      </c>
      <c r="AC15" s="30" t="s">
        <v>182</v>
      </c>
      <c r="AD15" s="30">
        <v>140</v>
      </c>
      <c r="AE15" s="33">
        <f t="shared" si="5"/>
        <v>35</v>
      </c>
      <c r="AF15" s="33">
        <v>4</v>
      </c>
    </row>
    <row r="16" spans="1:32" ht="15" customHeight="1">
      <c r="A16" s="1186"/>
      <c r="B16" s="1183"/>
      <c r="C16" s="1156"/>
      <c r="D16" s="1156"/>
      <c r="E16" s="1156"/>
      <c r="F16" s="1156"/>
      <c r="G16" s="46" t="s">
        <v>200</v>
      </c>
      <c r="H16" s="46" t="s">
        <v>201</v>
      </c>
      <c r="I16" s="52">
        <f>F12</f>
        <v>1</v>
      </c>
      <c r="J16" s="1168"/>
      <c r="K16" s="44">
        <f>I16*J12</f>
        <v>35</v>
      </c>
      <c r="L16" s="45" t="s">
        <v>202</v>
      </c>
      <c r="M16" s="46" t="s">
        <v>203</v>
      </c>
      <c r="N16" s="46">
        <v>1</v>
      </c>
      <c r="O16" s="47"/>
      <c r="P16" s="47"/>
      <c r="Q16" s="48"/>
      <c r="R16" s="49">
        <f>K16*708*428/1000000/0.9</f>
        <v>11.784266666666667</v>
      </c>
      <c r="S16" s="50"/>
      <c r="T16" s="50"/>
      <c r="U16" s="50"/>
      <c r="V16" s="1171"/>
      <c r="W16" s="51">
        <f>K16*708*428*3/1000000000</f>
        <v>3.1817520000000002E-2</v>
      </c>
      <c r="X16" s="55">
        <v>1</v>
      </c>
      <c r="Y16" s="33"/>
      <c r="Z16" s="33"/>
      <c r="AB16" s="54" t="s">
        <v>204</v>
      </c>
      <c r="AC16" s="30" t="s">
        <v>182</v>
      </c>
      <c r="AD16" s="30">
        <v>136</v>
      </c>
      <c r="AE16" s="33">
        <f t="shared" si="5"/>
        <v>34</v>
      </c>
      <c r="AF16" s="33">
        <v>4</v>
      </c>
    </row>
    <row r="17" spans="1:32" ht="15" customHeight="1" thickBot="1">
      <c r="A17" s="1186"/>
      <c r="B17" s="1183"/>
      <c r="C17" s="1157"/>
      <c r="D17" s="1157"/>
      <c r="E17" s="1157"/>
      <c r="F17" s="1157"/>
      <c r="G17" s="57" t="s">
        <v>205</v>
      </c>
      <c r="H17" s="57" t="s">
        <v>206</v>
      </c>
      <c r="I17" s="58">
        <f>F12*2</f>
        <v>2</v>
      </c>
      <c r="J17" s="1169"/>
      <c r="K17" s="59">
        <f>I17*J12</f>
        <v>70</v>
      </c>
      <c r="L17" s="45" t="s">
        <v>207</v>
      </c>
      <c r="M17" s="46" t="s">
        <v>208</v>
      </c>
      <c r="N17" s="46">
        <v>2</v>
      </c>
      <c r="O17" s="47"/>
      <c r="P17" s="47"/>
      <c r="Q17" s="48"/>
      <c r="R17" s="49">
        <f>K17*88*417/1000000/0.9</f>
        <v>2.854133333333333</v>
      </c>
      <c r="S17" s="50">
        <f>K17*((88+417)+10)/1000</f>
        <v>36.049999999999997</v>
      </c>
      <c r="T17" s="50">
        <f t="shared" si="2"/>
        <v>29.189999999999998</v>
      </c>
      <c r="U17" s="50">
        <f>S17-0.417*K17</f>
        <v>6.8599999999999994</v>
      </c>
      <c r="V17" s="1172"/>
      <c r="W17" s="51">
        <f>K17*88*417*16/1000000000</f>
        <v>4.109952E-2</v>
      </c>
      <c r="X17" s="55">
        <v>1</v>
      </c>
      <c r="Y17" s="33"/>
      <c r="Z17" s="33"/>
      <c r="AB17" s="54" t="s">
        <v>209</v>
      </c>
      <c r="AC17" s="30" t="s">
        <v>182</v>
      </c>
      <c r="AD17" s="30">
        <v>117</v>
      </c>
      <c r="AE17" s="33">
        <f t="shared" si="5"/>
        <v>29.25</v>
      </c>
      <c r="AF17" s="33">
        <v>4</v>
      </c>
    </row>
    <row r="18" spans="1:32" customFormat="1" ht="15" customHeight="1">
      <c r="A18" s="1186"/>
      <c r="B18" s="1183"/>
      <c r="C18" s="1195">
        <v>600</v>
      </c>
      <c r="D18" s="1195">
        <v>560</v>
      </c>
      <c r="E18" s="1195">
        <v>720</v>
      </c>
      <c r="F18" s="1181">
        <v>1</v>
      </c>
      <c r="G18" s="66" t="s">
        <v>361</v>
      </c>
      <c r="H18" s="66" t="s">
        <v>362</v>
      </c>
      <c r="I18" s="83">
        <f>F18</f>
        <v>1</v>
      </c>
      <c r="J18" s="78" t="e">
        <f>I18*#REF!</f>
        <v>#REF!</v>
      </c>
      <c r="K18" s="67"/>
      <c r="L18" s="3"/>
      <c r="M18" s="3"/>
      <c r="N18" s="3"/>
      <c r="O18" s="3"/>
      <c r="P18" s="3"/>
      <c r="Q18" s="69" t="e">
        <f>J18*560*720/1000000/0.9</f>
        <v>#REF!</v>
      </c>
      <c r="R18" s="69"/>
      <c r="S18" s="69"/>
      <c r="T18" s="55">
        <v>1</v>
      </c>
    </row>
    <row r="19" spans="1:32" customFormat="1" ht="15" customHeight="1">
      <c r="A19" s="1186"/>
      <c r="B19" s="1183"/>
      <c r="C19" s="1196"/>
      <c r="D19" s="1196"/>
      <c r="E19" s="1196"/>
      <c r="F19" s="1181"/>
      <c r="G19" s="66" t="s">
        <v>183</v>
      </c>
      <c r="H19" s="66" t="s">
        <v>184</v>
      </c>
      <c r="I19" s="83">
        <f>F18</f>
        <v>1</v>
      </c>
      <c r="J19" s="78" t="e">
        <f>I19*#REF!</f>
        <v>#REF!</v>
      </c>
      <c r="K19" s="67"/>
      <c r="L19" s="3"/>
      <c r="M19" s="3"/>
      <c r="N19" s="3"/>
      <c r="O19" s="3"/>
      <c r="P19" s="3"/>
      <c r="Q19" s="69" t="e">
        <f>J19*560*720/1000000/0.9</f>
        <v>#REF!</v>
      </c>
      <c r="R19" s="69"/>
      <c r="S19" s="69"/>
      <c r="T19" s="55">
        <v>1</v>
      </c>
    </row>
    <row r="20" spans="1:32" customFormat="1" ht="15" customHeight="1">
      <c r="A20" s="1186"/>
      <c r="B20" s="1183"/>
      <c r="C20" s="1196"/>
      <c r="D20" s="1196"/>
      <c r="E20" s="1196"/>
      <c r="F20" s="1181"/>
      <c r="G20" s="66" t="s">
        <v>221</v>
      </c>
      <c r="H20" s="66" t="s">
        <v>222</v>
      </c>
      <c r="I20" s="83">
        <f>F18</f>
        <v>1</v>
      </c>
      <c r="J20" s="78" t="e">
        <f>I20*#REF!</f>
        <v>#REF!</v>
      </c>
      <c r="K20" s="67"/>
      <c r="L20" s="3"/>
      <c r="M20" s="3"/>
      <c r="N20" s="3"/>
      <c r="O20" s="3"/>
      <c r="P20" s="3"/>
      <c r="Q20" s="69" t="e">
        <f>J20*560*567/1000000/0.9</f>
        <v>#REF!</v>
      </c>
      <c r="R20" s="69"/>
      <c r="S20" s="69"/>
      <c r="T20" s="55">
        <v>0</v>
      </c>
    </row>
    <row r="21" spans="1:32" customFormat="1" ht="15" customHeight="1">
      <c r="A21" s="1186"/>
      <c r="B21" s="1183"/>
      <c r="C21" s="1196"/>
      <c r="D21" s="1196"/>
      <c r="E21" s="1196"/>
      <c r="F21" s="1181"/>
      <c r="G21" s="66" t="s">
        <v>365</v>
      </c>
      <c r="H21" s="66" t="s">
        <v>366</v>
      </c>
      <c r="I21" s="83">
        <f>F18</f>
        <v>1</v>
      </c>
      <c r="J21" s="78" t="e">
        <f>I21*#REF!</f>
        <v>#REF!</v>
      </c>
      <c r="K21" s="67"/>
      <c r="L21" s="3"/>
      <c r="M21" s="3"/>
      <c r="N21" s="3"/>
      <c r="O21" s="3"/>
      <c r="P21" s="3"/>
      <c r="Q21" s="69" t="e">
        <f>J21*514*566/1000000/0.9</f>
        <v>#REF!</v>
      </c>
      <c r="R21" s="69"/>
      <c r="S21" s="69"/>
      <c r="T21" s="55">
        <v>0</v>
      </c>
    </row>
    <row r="22" spans="1:32" customFormat="1" ht="15" customHeight="1">
      <c r="A22" s="1186"/>
      <c r="B22" s="1183"/>
      <c r="C22" s="1196"/>
      <c r="D22" s="1196"/>
      <c r="E22" s="1196"/>
      <c r="F22" s="1181"/>
      <c r="G22" s="66" t="s">
        <v>225</v>
      </c>
      <c r="H22" s="66" t="s">
        <v>226</v>
      </c>
      <c r="I22" s="83">
        <f>F18</f>
        <v>1</v>
      </c>
      <c r="J22" s="78" t="e">
        <f>I22*#REF!</f>
        <v>#REF!</v>
      </c>
      <c r="K22" s="67"/>
      <c r="L22" s="3"/>
      <c r="M22" s="3"/>
      <c r="N22" s="3"/>
      <c r="O22" s="3"/>
      <c r="P22" s="3"/>
      <c r="Q22" s="69" t="e">
        <f>J22*708*578/1000000/0.9</f>
        <v>#REF!</v>
      </c>
      <c r="R22" s="69"/>
      <c r="S22" s="69"/>
      <c r="T22" s="55">
        <v>0</v>
      </c>
    </row>
    <row r="23" spans="1:32" customFormat="1" ht="15" customHeight="1" thickBot="1">
      <c r="A23" s="1187"/>
      <c r="B23" s="1184"/>
      <c r="C23" s="1197"/>
      <c r="D23" s="1197"/>
      <c r="E23" s="1197"/>
      <c r="F23" s="1181"/>
      <c r="G23" s="66" t="s">
        <v>229</v>
      </c>
      <c r="H23" s="66" t="s">
        <v>230</v>
      </c>
      <c r="I23" s="83">
        <f>F18*2</f>
        <v>2</v>
      </c>
      <c r="J23" s="78" t="e">
        <f>I23*#REF!</f>
        <v>#REF!</v>
      </c>
      <c r="K23" s="67"/>
      <c r="L23" s="3"/>
      <c r="M23" s="3"/>
      <c r="N23" s="3"/>
      <c r="O23" s="3"/>
      <c r="P23" s="3"/>
      <c r="Q23" s="69" t="e">
        <f>J23*88*567/1000000/0.9</f>
        <v>#REF!</v>
      </c>
      <c r="R23" s="69" t="e">
        <f t="shared" ref="R23" si="6">J23*((88+417)+10)/1000</f>
        <v>#REF!</v>
      </c>
      <c r="S23" s="69" t="e">
        <f t="shared" ref="S23" si="7">J23*88*417*16/1000000000</f>
        <v>#REF!</v>
      </c>
      <c r="T23" s="55">
        <v>1</v>
      </c>
    </row>
    <row r="24" spans="1:32" ht="15" customHeight="1">
      <c r="A24" s="1173"/>
      <c r="B24" s="1176" t="s">
        <v>210</v>
      </c>
      <c r="C24" s="1155">
        <v>450</v>
      </c>
      <c r="D24" s="1155">
        <v>560</v>
      </c>
      <c r="E24" s="1155">
        <v>720</v>
      </c>
      <c r="F24" s="1155">
        <v>1</v>
      </c>
      <c r="G24" s="42" t="s">
        <v>211</v>
      </c>
      <c r="H24" s="42" t="s">
        <v>212</v>
      </c>
      <c r="I24" s="43">
        <f>F24</f>
        <v>1</v>
      </c>
      <c r="J24" s="1167">
        <v>25</v>
      </c>
      <c r="K24" s="44">
        <f>I24*J24</f>
        <v>25</v>
      </c>
      <c r="L24" s="45" t="s">
        <v>213</v>
      </c>
      <c r="M24" s="46" t="s">
        <v>214</v>
      </c>
      <c r="N24" s="46">
        <v>1</v>
      </c>
      <c r="R24" s="49">
        <f>K24*560*720/1000000/0.9</f>
        <v>11.2</v>
      </c>
      <c r="S24" s="50">
        <f t="shared" si="1"/>
        <v>65</v>
      </c>
      <c r="T24" s="50">
        <f t="shared" si="2"/>
        <v>18</v>
      </c>
      <c r="U24" s="50">
        <f>S24-0.72*K24</f>
        <v>47</v>
      </c>
      <c r="V24" s="1170">
        <f>J24*13</f>
        <v>325</v>
      </c>
      <c r="W24" s="51">
        <f t="shared" si="4"/>
        <v>0.16128000000000001</v>
      </c>
      <c r="X24" s="55">
        <v>1</v>
      </c>
      <c r="Y24" s="33"/>
      <c r="Z24" s="33"/>
      <c r="AB24" s="54" t="s">
        <v>215</v>
      </c>
      <c r="AC24" s="30" t="s">
        <v>182</v>
      </c>
      <c r="AD24" s="30">
        <v>105</v>
      </c>
      <c r="AE24" s="33">
        <f t="shared" si="5"/>
        <v>26.25</v>
      </c>
      <c r="AF24" s="33">
        <v>4</v>
      </c>
    </row>
    <row r="25" spans="1:32" ht="15" customHeight="1">
      <c r="A25" s="1174"/>
      <c r="B25" s="1177"/>
      <c r="C25" s="1156"/>
      <c r="D25" s="1156"/>
      <c r="E25" s="1156"/>
      <c r="F25" s="1156"/>
      <c r="G25" s="46" t="s">
        <v>216</v>
      </c>
      <c r="H25" s="46" t="s">
        <v>217</v>
      </c>
      <c r="I25" s="52">
        <f>F24</f>
        <v>1</v>
      </c>
      <c r="J25" s="1168"/>
      <c r="K25" s="44">
        <f>I25*J24</f>
        <v>25</v>
      </c>
      <c r="L25" s="45" t="s">
        <v>218</v>
      </c>
      <c r="M25" s="46" t="s">
        <v>219</v>
      </c>
      <c r="N25" s="46">
        <v>1</v>
      </c>
      <c r="R25" s="49">
        <f>K25*560*720/1000000/0.9</f>
        <v>11.2</v>
      </c>
      <c r="S25" s="50">
        <f t="shared" si="1"/>
        <v>65</v>
      </c>
      <c r="T25" s="50">
        <f t="shared" si="2"/>
        <v>18</v>
      </c>
      <c r="U25" s="50">
        <f t="shared" si="3"/>
        <v>47</v>
      </c>
      <c r="V25" s="1171"/>
      <c r="W25" s="51">
        <f t="shared" si="4"/>
        <v>0.16128000000000001</v>
      </c>
      <c r="X25" s="55">
        <v>1</v>
      </c>
      <c r="Y25" s="33"/>
      <c r="Z25" s="33"/>
      <c r="AB25" s="54" t="s">
        <v>220</v>
      </c>
      <c r="AC25" s="30" t="s">
        <v>182</v>
      </c>
      <c r="AD25" s="30">
        <v>98</v>
      </c>
      <c r="AE25" s="33">
        <f t="shared" si="5"/>
        <v>24.5</v>
      </c>
      <c r="AF25" s="33">
        <v>4</v>
      </c>
    </row>
    <row r="26" spans="1:32" ht="15" customHeight="1">
      <c r="A26" s="1174"/>
      <c r="B26" s="1177"/>
      <c r="C26" s="1156"/>
      <c r="D26" s="1156"/>
      <c r="E26" s="1156"/>
      <c r="F26" s="1156"/>
      <c r="G26" s="46" t="s">
        <v>189</v>
      </c>
      <c r="H26" s="46" t="s">
        <v>190</v>
      </c>
      <c r="I26" s="52">
        <f>F24</f>
        <v>1</v>
      </c>
      <c r="J26" s="1168"/>
      <c r="K26" s="44">
        <f>I26*J24</f>
        <v>25</v>
      </c>
      <c r="L26" s="45" t="s">
        <v>191</v>
      </c>
      <c r="M26" s="46" t="s">
        <v>192</v>
      </c>
      <c r="N26" s="46">
        <v>1</v>
      </c>
      <c r="R26" s="49">
        <f>K26*560*417/1000000/0.9</f>
        <v>6.4866666666666664</v>
      </c>
      <c r="S26" s="50">
        <f>K26*((560+417)*2+40)/1000</f>
        <v>49.85</v>
      </c>
      <c r="T26" s="50">
        <f t="shared" si="2"/>
        <v>10.424999999999997</v>
      </c>
      <c r="U26" s="50">
        <f>S26-0.417*K26</f>
        <v>39.425000000000004</v>
      </c>
      <c r="V26" s="1171"/>
      <c r="W26" s="51">
        <f>K26*560*417*16/1000000000</f>
        <v>9.3408000000000005E-2</v>
      </c>
      <c r="X26" s="55">
        <v>1</v>
      </c>
      <c r="Y26" s="33"/>
      <c r="Z26" s="33"/>
      <c r="AB26" s="54" t="s">
        <v>181</v>
      </c>
      <c r="AC26" s="30" t="s">
        <v>182</v>
      </c>
      <c r="AD26" s="30">
        <v>97</v>
      </c>
      <c r="AE26" s="33">
        <f t="shared" si="5"/>
        <v>24.25</v>
      </c>
      <c r="AF26" s="33">
        <v>4</v>
      </c>
    </row>
    <row r="27" spans="1:32" ht="15" customHeight="1">
      <c r="A27" s="1174"/>
      <c r="B27" s="1177"/>
      <c r="C27" s="1156"/>
      <c r="D27" s="1156"/>
      <c r="E27" s="1156"/>
      <c r="F27" s="1156"/>
      <c r="G27" s="46" t="s">
        <v>200</v>
      </c>
      <c r="H27" s="46" t="s">
        <v>201</v>
      </c>
      <c r="I27" s="52">
        <f>F24</f>
        <v>1</v>
      </c>
      <c r="J27" s="1168"/>
      <c r="K27" s="44">
        <f>I27*J24</f>
        <v>25</v>
      </c>
      <c r="L27" s="45" t="s">
        <v>202</v>
      </c>
      <c r="M27" s="46" t="s">
        <v>203</v>
      </c>
      <c r="N27" s="46">
        <v>1</v>
      </c>
      <c r="R27" s="49">
        <f>K27*708*428/1000000/0.9</f>
        <v>8.4173333333333336</v>
      </c>
      <c r="S27" s="50"/>
      <c r="T27" s="50"/>
      <c r="U27" s="50"/>
      <c r="V27" s="1171"/>
      <c r="W27" s="51">
        <f>K27*560*428*3/1000000000</f>
        <v>1.7975999999999999E-2</v>
      </c>
      <c r="X27" s="55">
        <v>1</v>
      </c>
      <c r="Y27" s="33"/>
      <c r="Z27" s="33"/>
      <c r="AB27" s="54" t="s">
        <v>187</v>
      </c>
      <c r="AC27" s="30" t="s">
        <v>182</v>
      </c>
      <c r="AD27" s="30">
        <v>97</v>
      </c>
      <c r="AE27" s="33">
        <f t="shared" si="5"/>
        <v>24.25</v>
      </c>
      <c r="AF27" s="33">
        <v>4</v>
      </c>
    </row>
    <row r="28" spans="1:32" ht="15" customHeight="1" thickBot="1">
      <c r="A28" s="1174"/>
      <c r="B28" s="1177"/>
      <c r="C28" s="1157"/>
      <c r="D28" s="1157"/>
      <c r="E28" s="1157"/>
      <c r="F28" s="1157"/>
      <c r="G28" s="57" t="s">
        <v>205</v>
      </c>
      <c r="H28" s="57" t="s">
        <v>206</v>
      </c>
      <c r="I28" s="58">
        <f>F24*3</f>
        <v>3</v>
      </c>
      <c r="J28" s="1169"/>
      <c r="K28" s="59">
        <f>I28*J24</f>
        <v>75</v>
      </c>
      <c r="L28" s="45" t="s">
        <v>207</v>
      </c>
      <c r="M28" s="46" t="s">
        <v>208</v>
      </c>
      <c r="N28" s="46">
        <v>3</v>
      </c>
      <c r="R28" s="49">
        <f>K28*88*417/1000000/0.9</f>
        <v>3.0580000000000003</v>
      </c>
      <c r="S28" s="50">
        <f>K28*((560+720)+10)/1000</f>
        <v>96.75</v>
      </c>
      <c r="T28" s="50">
        <f t="shared" si="2"/>
        <v>31.275000000000006</v>
      </c>
      <c r="U28" s="50">
        <f>S28-0.417*K28</f>
        <v>65.474999999999994</v>
      </c>
      <c r="V28" s="1172"/>
      <c r="W28" s="51">
        <f t="shared" si="4"/>
        <v>0.48383999999999999</v>
      </c>
      <c r="X28" s="55">
        <v>1</v>
      </c>
      <c r="Y28" s="33"/>
      <c r="Z28" s="33"/>
      <c r="AB28" s="54" t="s">
        <v>193</v>
      </c>
      <c r="AC28" s="30" t="s">
        <v>182</v>
      </c>
      <c r="AD28" s="30">
        <v>80</v>
      </c>
      <c r="AE28" s="33">
        <f t="shared" si="5"/>
        <v>20</v>
      </c>
      <c r="AF28" s="33">
        <v>4</v>
      </c>
    </row>
    <row r="29" spans="1:32" ht="15" customHeight="1">
      <c r="A29" s="1174"/>
      <c r="B29" s="1177"/>
      <c r="C29" s="1156">
        <v>600</v>
      </c>
      <c r="D29" s="1156">
        <v>560</v>
      </c>
      <c r="E29" s="1156">
        <v>720</v>
      </c>
      <c r="F29" s="1156">
        <v>1</v>
      </c>
      <c r="G29" s="89" t="s">
        <v>211</v>
      </c>
      <c r="H29" s="89" t="s">
        <v>212</v>
      </c>
      <c r="I29" s="90">
        <f>F29</f>
        <v>1</v>
      </c>
      <c r="J29" s="1167">
        <v>25</v>
      </c>
      <c r="K29" s="44">
        <f>I29*J29</f>
        <v>25</v>
      </c>
      <c r="L29" s="45" t="s">
        <v>213</v>
      </c>
      <c r="M29" s="46" t="s">
        <v>214</v>
      </c>
      <c r="N29" s="46">
        <v>1</v>
      </c>
      <c r="R29" s="49">
        <f>K29*560*720/1000000/0.9</f>
        <v>11.2</v>
      </c>
      <c r="S29" s="50">
        <f t="shared" si="1"/>
        <v>65</v>
      </c>
      <c r="T29" s="50">
        <f t="shared" si="2"/>
        <v>18</v>
      </c>
      <c r="U29" s="50">
        <f t="shared" si="3"/>
        <v>47</v>
      </c>
      <c r="V29" s="1170">
        <f>J29*13</f>
        <v>325</v>
      </c>
      <c r="W29" s="51">
        <f t="shared" si="4"/>
        <v>0.16128000000000001</v>
      </c>
      <c r="X29" s="55">
        <v>1</v>
      </c>
      <c r="Y29" s="33"/>
      <c r="Z29" s="33"/>
    </row>
    <row r="30" spans="1:32" ht="15" customHeight="1">
      <c r="A30" s="1174"/>
      <c r="B30" s="1177"/>
      <c r="C30" s="1156"/>
      <c r="D30" s="1156"/>
      <c r="E30" s="1156"/>
      <c r="F30" s="1156"/>
      <c r="G30" s="46" t="s">
        <v>216</v>
      </c>
      <c r="H30" s="46" t="s">
        <v>217</v>
      </c>
      <c r="I30" s="52">
        <f>F29</f>
        <v>1</v>
      </c>
      <c r="J30" s="1168"/>
      <c r="K30" s="44">
        <f>I30*J29</f>
        <v>25</v>
      </c>
      <c r="L30" s="45" t="s">
        <v>218</v>
      </c>
      <c r="M30" s="46" t="s">
        <v>219</v>
      </c>
      <c r="N30" s="46">
        <v>1</v>
      </c>
      <c r="R30" s="49">
        <f>K30*560*720/1000000/0.9</f>
        <v>11.2</v>
      </c>
      <c r="S30" s="50">
        <f t="shared" si="1"/>
        <v>65</v>
      </c>
      <c r="T30" s="50">
        <f t="shared" si="2"/>
        <v>18</v>
      </c>
      <c r="U30" s="50">
        <f t="shared" si="3"/>
        <v>47</v>
      </c>
      <c r="V30" s="1171"/>
      <c r="W30" s="51">
        <f t="shared" si="4"/>
        <v>0.16128000000000001</v>
      </c>
      <c r="X30" s="55">
        <v>1</v>
      </c>
      <c r="Y30" s="33"/>
      <c r="Z30" s="33"/>
    </row>
    <row r="31" spans="1:32" ht="15" customHeight="1">
      <c r="A31" s="1174"/>
      <c r="B31" s="1177"/>
      <c r="C31" s="1156"/>
      <c r="D31" s="1156"/>
      <c r="E31" s="1156"/>
      <c r="F31" s="1156"/>
      <c r="G31" s="46" t="s">
        <v>221</v>
      </c>
      <c r="H31" s="46" t="s">
        <v>222</v>
      </c>
      <c r="I31" s="52">
        <f>F29</f>
        <v>1</v>
      </c>
      <c r="J31" s="1168"/>
      <c r="K31" s="44">
        <f>I31*J29</f>
        <v>25</v>
      </c>
      <c r="L31" s="45" t="s">
        <v>223</v>
      </c>
      <c r="M31" s="46" t="s">
        <v>224</v>
      </c>
      <c r="N31" s="46">
        <v>1</v>
      </c>
      <c r="R31" s="49">
        <f>K31*560*567/1000000/0.9</f>
        <v>8.82</v>
      </c>
      <c r="S31" s="50">
        <f>K31*((560+567)*2+40)/1000</f>
        <v>57.35</v>
      </c>
      <c r="T31" s="50">
        <f t="shared" si="2"/>
        <v>14.174999999999997</v>
      </c>
      <c r="U31" s="50">
        <f>S31-0.567*K31</f>
        <v>43.175000000000004</v>
      </c>
      <c r="V31" s="1171"/>
      <c r="W31" s="51">
        <f>K31*560*567*16/1000000000</f>
        <v>0.12700800000000001</v>
      </c>
      <c r="X31" s="55">
        <v>0</v>
      </c>
      <c r="Y31" s="33"/>
      <c r="Z31" s="33"/>
    </row>
    <row r="32" spans="1:32" ht="15" customHeight="1">
      <c r="A32" s="1174"/>
      <c r="B32" s="1177"/>
      <c r="C32" s="1156"/>
      <c r="D32" s="1156"/>
      <c r="E32" s="1156"/>
      <c r="F32" s="1156"/>
      <c r="G32" s="46" t="s">
        <v>225</v>
      </c>
      <c r="H32" s="46" t="s">
        <v>226</v>
      </c>
      <c r="I32" s="52">
        <f>F29</f>
        <v>1</v>
      </c>
      <c r="J32" s="1168"/>
      <c r="K32" s="44">
        <f>I32*J29</f>
        <v>25</v>
      </c>
      <c r="L32" s="45" t="s">
        <v>227</v>
      </c>
      <c r="M32" s="46" t="s">
        <v>228</v>
      </c>
      <c r="N32" s="46">
        <v>1</v>
      </c>
      <c r="R32" s="49">
        <f>K32*708*578/1000000/0.9</f>
        <v>11.367333333333335</v>
      </c>
      <c r="S32" s="50"/>
      <c r="T32" s="50"/>
      <c r="U32" s="50"/>
      <c r="V32" s="1171"/>
      <c r="W32" s="51">
        <f>K32*708*578*3/1000000000</f>
        <v>3.0691800000000002E-2</v>
      </c>
      <c r="X32" s="55">
        <v>0</v>
      </c>
      <c r="Y32" s="33"/>
      <c r="Z32" s="33"/>
    </row>
    <row r="33" spans="1:26" ht="15" customHeight="1" thickBot="1">
      <c r="A33" s="1175"/>
      <c r="B33" s="1178"/>
      <c r="C33" s="1157"/>
      <c r="D33" s="1157"/>
      <c r="E33" s="1157"/>
      <c r="F33" s="1157"/>
      <c r="G33" s="57" t="s">
        <v>229</v>
      </c>
      <c r="H33" s="57" t="s">
        <v>230</v>
      </c>
      <c r="I33" s="58">
        <f>F29*3</f>
        <v>3</v>
      </c>
      <c r="J33" s="1169"/>
      <c r="K33" s="59">
        <f>I33*J29</f>
        <v>75</v>
      </c>
      <c r="L33" s="45" t="s">
        <v>231</v>
      </c>
      <c r="M33" s="46" t="s">
        <v>232</v>
      </c>
      <c r="N33" s="46">
        <v>3</v>
      </c>
      <c r="R33" s="49">
        <f>K33*88*567/1000000/0.9</f>
        <v>4.1579999999999995</v>
      </c>
      <c r="S33" s="50">
        <f>K33*((88+567)+10)/1000</f>
        <v>49.875</v>
      </c>
      <c r="T33" s="50">
        <f t="shared" si="2"/>
        <v>49.875</v>
      </c>
      <c r="U33" s="50"/>
      <c r="V33" s="1172"/>
      <c r="W33" s="51">
        <f t="shared" si="4"/>
        <v>0.48383999999999999</v>
      </c>
      <c r="X33" s="55">
        <v>1</v>
      </c>
      <c r="Y33" s="33"/>
      <c r="Z33" s="33"/>
    </row>
    <row r="34" spans="1:26" customFormat="1" ht="15" customHeight="1">
      <c r="A34" s="1173"/>
      <c r="B34" s="1176" t="s">
        <v>367</v>
      </c>
      <c r="C34" s="1155">
        <v>900</v>
      </c>
      <c r="D34" s="1155">
        <v>560</v>
      </c>
      <c r="E34" s="1155">
        <v>720</v>
      </c>
      <c r="F34" s="1200">
        <v>1</v>
      </c>
      <c r="G34" s="81" t="s">
        <v>361</v>
      </c>
      <c r="H34" s="81" t="s">
        <v>362</v>
      </c>
      <c r="I34" s="82">
        <f>F34</f>
        <v>1</v>
      </c>
      <c r="J34" s="78" t="e">
        <f>I34*#REF!</f>
        <v>#REF!</v>
      </c>
      <c r="K34" s="67"/>
      <c r="L34" s="3"/>
      <c r="M34" s="3"/>
      <c r="N34" s="3"/>
      <c r="O34" s="3"/>
      <c r="P34" s="3"/>
      <c r="Q34" s="69" t="e">
        <f t="shared" ref="Q34:Q35" si="8">J34*560*720/1000000/0.9</f>
        <v>#REF!</v>
      </c>
      <c r="R34" s="69"/>
      <c r="S34" s="69"/>
      <c r="T34" s="55">
        <v>1</v>
      </c>
    </row>
    <row r="35" spans="1:26" customFormat="1" ht="15" customHeight="1">
      <c r="A35" s="1174"/>
      <c r="B35" s="1177"/>
      <c r="C35" s="1156"/>
      <c r="D35" s="1156"/>
      <c r="E35" s="1156"/>
      <c r="F35" s="1181"/>
      <c r="G35" s="66" t="s">
        <v>183</v>
      </c>
      <c r="H35" s="66" t="s">
        <v>184</v>
      </c>
      <c r="I35" s="83">
        <f>F34</f>
        <v>1</v>
      </c>
      <c r="J35" s="78" t="e">
        <f>I35*#REF!</f>
        <v>#REF!</v>
      </c>
      <c r="K35" s="67"/>
      <c r="L35" s="3"/>
      <c r="M35" s="3"/>
      <c r="N35" s="3"/>
      <c r="O35" s="3"/>
      <c r="P35" s="3"/>
      <c r="Q35" s="69" t="e">
        <f t="shared" si="8"/>
        <v>#REF!</v>
      </c>
      <c r="R35" s="69"/>
      <c r="S35" s="69"/>
      <c r="T35" s="55">
        <v>1</v>
      </c>
    </row>
    <row r="36" spans="1:26" customFormat="1" ht="15" customHeight="1">
      <c r="A36" s="1174"/>
      <c r="B36" s="1177"/>
      <c r="C36" s="1156"/>
      <c r="D36" s="1156"/>
      <c r="E36" s="1156"/>
      <c r="F36" s="1181"/>
      <c r="G36" s="66" t="s">
        <v>368</v>
      </c>
      <c r="H36" s="66" t="s">
        <v>369</v>
      </c>
      <c r="I36" s="83">
        <f>F34</f>
        <v>1</v>
      </c>
      <c r="J36" s="78" t="e">
        <f>I36*#REF!</f>
        <v>#REF!</v>
      </c>
      <c r="K36" s="67"/>
      <c r="L36" s="3"/>
      <c r="M36" s="3"/>
      <c r="N36" s="3"/>
      <c r="O36" s="3"/>
      <c r="P36" s="3"/>
      <c r="Q36" s="69" t="e">
        <f>J36*560*867/1000000/0.9</f>
        <v>#REF!</v>
      </c>
      <c r="R36" s="69"/>
      <c r="S36" s="69"/>
      <c r="T36" s="55">
        <v>1</v>
      </c>
    </row>
    <row r="37" spans="1:26" customFormat="1" ht="15" customHeight="1">
      <c r="A37" s="1174"/>
      <c r="B37" s="1177"/>
      <c r="C37" s="1156"/>
      <c r="D37" s="1156"/>
      <c r="E37" s="1156"/>
      <c r="F37" s="1181"/>
      <c r="G37" s="66" t="s">
        <v>370</v>
      </c>
      <c r="H37" s="66" t="s">
        <v>371</v>
      </c>
      <c r="I37" s="83">
        <f>F34</f>
        <v>1</v>
      </c>
      <c r="J37" s="78" t="e">
        <f>I37*#REF!</f>
        <v>#REF!</v>
      </c>
      <c r="K37" s="67"/>
      <c r="L37" s="3"/>
      <c r="M37" s="3"/>
      <c r="N37" s="3"/>
      <c r="O37" s="3"/>
      <c r="P37" s="3"/>
      <c r="Q37" s="69" t="e">
        <f>J37*514*866/1000000/0.9</f>
        <v>#REF!</v>
      </c>
      <c r="R37" s="69"/>
      <c r="S37" s="69"/>
      <c r="T37" s="55">
        <v>0</v>
      </c>
    </row>
    <row r="38" spans="1:26" customFormat="1" ht="15" customHeight="1">
      <c r="A38" s="1174"/>
      <c r="B38" s="1177"/>
      <c r="C38" s="1156"/>
      <c r="D38" s="1156"/>
      <c r="E38" s="1156"/>
      <c r="F38" s="1181"/>
      <c r="G38" s="66" t="s">
        <v>372</v>
      </c>
      <c r="H38" s="66" t="s">
        <v>373</v>
      </c>
      <c r="I38" s="83">
        <f>F34</f>
        <v>1</v>
      </c>
      <c r="J38" s="78" t="e">
        <f>I38*#REF!</f>
        <v>#REF!</v>
      </c>
      <c r="K38" s="67"/>
      <c r="L38" s="3"/>
      <c r="M38" s="3"/>
      <c r="N38" s="3"/>
      <c r="O38" s="3"/>
      <c r="P38" s="3"/>
      <c r="Q38" s="69" t="e">
        <f>J38*708*878/1000000/0.9</f>
        <v>#REF!</v>
      </c>
      <c r="R38" s="69"/>
      <c r="S38" s="69"/>
      <c r="T38" s="55">
        <v>1</v>
      </c>
    </row>
    <row r="39" spans="1:26" customFormat="1" ht="15" customHeight="1" thickBot="1">
      <c r="A39" s="1175"/>
      <c r="B39" s="1178"/>
      <c r="C39" s="1157"/>
      <c r="D39" s="1157"/>
      <c r="E39" s="1157"/>
      <c r="F39" s="1188"/>
      <c r="G39" s="84" t="s">
        <v>246</v>
      </c>
      <c r="H39" s="84" t="s">
        <v>247</v>
      </c>
      <c r="I39" s="85">
        <f>F34*2</f>
        <v>2</v>
      </c>
      <c r="J39" s="78" t="e">
        <f>I39*#REF!</f>
        <v>#REF!</v>
      </c>
      <c r="K39" s="67"/>
      <c r="L39" s="3"/>
      <c r="M39" s="3"/>
      <c r="N39" s="3"/>
      <c r="O39" s="3"/>
      <c r="P39" s="3"/>
      <c r="Q39" s="69" t="e">
        <f>J39*88*867/1000000/0.9</f>
        <v>#REF!</v>
      </c>
      <c r="R39" s="69"/>
      <c r="S39" s="69"/>
      <c r="T39" s="55">
        <v>1</v>
      </c>
    </row>
    <row r="40" spans="1:26" ht="15" customHeight="1">
      <c r="A40" s="1158"/>
      <c r="B40" s="1161" t="s">
        <v>233</v>
      </c>
      <c r="C40" s="1164">
        <v>900</v>
      </c>
      <c r="D40" s="1164">
        <v>560</v>
      </c>
      <c r="E40" s="1164">
        <v>720</v>
      </c>
      <c r="F40" s="1164">
        <v>1</v>
      </c>
      <c r="G40" s="42" t="s">
        <v>234</v>
      </c>
      <c r="H40" s="42" t="s">
        <v>235</v>
      </c>
      <c r="I40" s="43">
        <f>F40</f>
        <v>1</v>
      </c>
      <c r="J40" s="1167">
        <v>40</v>
      </c>
      <c r="K40" s="44">
        <f>I40*J40</f>
        <v>40</v>
      </c>
      <c r="L40" s="45" t="s">
        <v>236</v>
      </c>
      <c r="M40" s="46" t="s">
        <v>237</v>
      </c>
      <c r="N40" s="46">
        <v>1</v>
      </c>
      <c r="R40" s="49">
        <f>K40*560*720/1000000/0.9</f>
        <v>17.919999999999998</v>
      </c>
      <c r="S40" s="50">
        <f t="shared" si="1"/>
        <v>104</v>
      </c>
      <c r="T40" s="50">
        <f t="shared" si="2"/>
        <v>28.799999999999997</v>
      </c>
      <c r="U40" s="50">
        <f t="shared" si="3"/>
        <v>75.2</v>
      </c>
      <c r="V40" s="1170">
        <f>J40*9</f>
        <v>360</v>
      </c>
      <c r="W40" s="51">
        <f t="shared" si="4"/>
        <v>0.258048</v>
      </c>
      <c r="X40" s="55">
        <v>0</v>
      </c>
      <c r="Y40" s="33"/>
      <c r="Z40" s="33"/>
    </row>
    <row r="41" spans="1:26" ht="15" customHeight="1">
      <c r="A41" s="1159"/>
      <c r="B41" s="1162"/>
      <c r="C41" s="1165"/>
      <c r="D41" s="1165"/>
      <c r="E41" s="1165"/>
      <c r="F41" s="1165"/>
      <c r="G41" s="46" t="s">
        <v>238</v>
      </c>
      <c r="H41" s="46" t="s">
        <v>239</v>
      </c>
      <c r="I41" s="52">
        <f>F40</f>
        <v>1</v>
      </c>
      <c r="J41" s="1168"/>
      <c r="K41" s="44">
        <f>I41*J40</f>
        <v>40</v>
      </c>
      <c r="L41" s="45" t="s">
        <v>240</v>
      </c>
      <c r="M41" s="46" t="s">
        <v>241</v>
      </c>
      <c r="N41" s="46">
        <v>1</v>
      </c>
      <c r="R41" s="49">
        <f>K41*560*720/1000000/0.9</f>
        <v>17.919999999999998</v>
      </c>
      <c r="S41" s="50">
        <f t="shared" si="1"/>
        <v>104</v>
      </c>
      <c r="T41" s="50">
        <f t="shared" si="2"/>
        <v>28.799999999999997</v>
      </c>
      <c r="U41" s="50">
        <f t="shared" si="3"/>
        <v>75.2</v>
      </c>
      <c r="V41" s="1171"/>
      <c r="W41" s="51">
        <f t="shared" si="4"/>
        <v>0.258048</v>
      </c>
      <c r="X41" s="55">
        <v>0</v>
      </c>
      <c r="Y41" s="33"/>
      <c r="Z41" s="33"/>
    </row>
    <row r="42" spans="1:26" ht="15" customHeight="1">
      <c r="A42" s="1159"/>
      <c r="B42" s="1162"/>
      <c r="C42" s="1165"/>
      <c r="D42" s="1165"/>
      <c r="E42" s="1165"/>
      <c r="F42" s="1165"/>
      <c r="G42" s="46" t="s">
        <v>242</v>
      </c>
      <c r="H42" s="46" t="s">
        <v>243</v>
      </c>
      <c r="I42" s="52">
        <f>F40</f>
        <v>1</v>
      </c>
      <c r="J42" s="1168"/>
      <c r="K42" s="44">
        <f>I42*J40</f>
        <v>40</v>
      </c>
      <c r="L42" s="45" t="s">
        <v>244</v>
      </c>
      <c r="M42" s="46" t="s">
        <v>245</v>
      </c>
      <c r="N42" s="46">
        <v>1</v>
      </c>
      <c r="R42" s="49">
        <f>K42*558*867/1000000/0.9</f>
        <v>21.5016</v>
      </c>
      <c r="S42" s="50">
        <f>K42*((560+867)*2+40)/1000</f>
        <v>115.76</v>
      </c>
      <c r="T42" s="50">
        <f t="shared" si="2"/>
        <v>34.679999999999993</v>
      </c>
      <c r="U42" s="50">
        <f>S42-0.867*K42</f>
        <v>81.080000000000013</v>
      </c>
      <c r="V42" s="1171"/>
      <c r="W42" s="51">
        <f>K42*558*867*16/1000000000</f>
        <v>0.30962304000000002</v>
      </c>
      <c r="X42" s="55">
        <v>0</v>
      </c>
      <c r="Y42" s="33"/>
      <c r="Z42" s="33"/>
    </row>
    <row r="43" spans="1:26" ht="15" customHeight="1">
      <c r="A43" s="1159"/>
      <c r="B43" s="1162"/>
      <c r="C43" s="1165"/>
      <c r="D43" s="1165"/>
      <c r="E43" s="1165"/>
      <c r="F43" s="1165"/>
      <c r="G43" s="46" t="s">
        <v>246</v>
      </c>
      <c r="H43" s="46" t="s">
        <v>247</v>
      </c>
      <c r="I43" s="52">
        <f>F40</f>
        <v>1</v>
      </c>
      <c r="J43" s="1168"/>
      <c r="K43" s="44">
        <f>I43*J40</f>
        <v>40</v>
      </c>
      <c r="L43" s="45" t="s">
        <v>248</v>
      </c>
      <c r="M43" s="46" t="s">
        <v>249</v>
      </c>
      <c r="N43" s="46">
        <v>1</v>
      </c>
      <c r="R43" s="49">
        <f>K43*88*867/1000000/0.9</f>
        <v>3.3909333333333329</v>
      </c>
      <c r="S43" s="50">
        <f>K43*((88+867)+10)/1000</f>
        <v>38.6</v>
      </c>
      <c r="T43" s="50">
        <f t="shared" si="2"/>
        <v>34.68</v>
      </c>
      <c r="U43" s="50">
        <f>S43-0.867*K43</f>
        <v>3.9200000000000017</v>
      </c>
      <c r="V43" s="1171"/>
      <c r="W43" s="51">
        <f>K43*88*867*16/1000000000</f>
        <v>4.8829440000000002E-2</v>
      </c>
      <c r="X43" s="55">
        <v>1</v>
      </c>
      <c r="Y43" s="33"/>
      <c r="Z43" s="33"/>
    </row>
    <row r="44" spans="1:26" s="74" customFormat="1" ht="15.75" customHeight="1" thickBot="1">
      <c r="A44" s="1160"/>
      <c r="B44" s="1163"/>
      <c r="C44" s="1166"/>
      <c r="D44" s="1166"/>
      <c r="E44" s="1166"/>
      <c r="F44" s="1166"/>
      <c r="G44" s="88" t="s">
        <v>374</v>
      </c>
      <c r="H44" s="88" t="s">
        <v>375</v>
      </c>
      <c r="I44" s="52">
        <f>F40</f>
        <v>1</v>
      </c>
      <c r="J44" s="92"/>
      <c r="K44" s="71" t="s">
        <v>374</v>
      </c>
      <c r="L44" s="71" t="s">
        <v>375</v>
      </c>
      <c r="M44" s="71">
        <v>1</v>
      </c>
      <c r="N44" s="75"/>
      <c r="O44" s="75"/>
      <c r="P44" s="75"/>
      <c r="Q44" s="69"/>
      <c r="R44" s="69"/>
      <c r="S44" s="69">
        <f t="shared" ref="S44" si="9">J44*560*720*16/1000000000</f>
        <v>0</v>
      </c>
      <c r="T44" s="73">
        <v>0</v>
      </c>
      <c r="U44" s="91"/>
      <c r="V44" s="72"/>
    </row>
    <row r="45" spans="1:26" ht="15" customHeight="1">
      <c r="A45" s="1205"/>
      <c r="B45" s="1208" t="s">
        <v>250</v>
      </c>
      <c r="C45" s="1155">
        <v>600</v>
      </c>
      <c r="D45" s="1155">
        <v>560</v>
      </c>
      <c r="E45" s="1155">
        <v>720</v>
      </c>
      <c r="F45" s="1155">
        <v>1</v>
      </c>
      <c r="G45" s="42" t="s">
        <v>251</v>
      </c>
      <c r="H45" s="42" t="s">
        <v>252</v>
      </c>
      <c r="I45" s="43">
        <f>F45</f>
        <v>1</v>
      </c>
      <c r="J45" s="1167">
        <v>25</v>
      </c>
      <c r="K45" s="44">
        <f>I45*J45</f>
        <v>25</v>
      </c>
      <c r="L45" s="45" t="s">
        <v>253</v>
      </c>
      <c r="M45" s="46" t="s">
        <v>254</v>
      </c>
      <c r="N45" s="46">
        <v>1</v>
      </c>
      <c r="R45" s="49">
        <f>K45*560*720/1000000/0.9</f>
        <v>11.2</v>
      </c>
      <c r="S45" s="50">
        <f t="shared" si="1"/>
        <v>65</v>
      </c>
      <c r="T45" s="50">
        <f t="shared" si="2"/>
        <v>18</v>
      </c>
      <c r="U45" s="50">
        <f t="shared" si="3"/>
        <v>47</v>
      </c>
      <c r="V45" s="1170">
        <f>J45*11</f>
        <v>275</v>
      </c>
      <c r="W45" s="51">
        <f t="shared" si="4"/>
        <v>0.16128000000000001</v>
      </c>
      <c r="X45" s="55">
        <v>0</v>
      </c>
      <c r="Y45" s="33"/>
      <c r="Z45" s="33"/>
    </row>
    <row r="46" spans="1:26" ht="15" customHeight="1">
      <c r="A46" s="1206"/>
      <c r="B46" s="1209"/>
      <c r="C46" s="1156"/>
      <c r="D46" s="1156"/>
      <c r="E46" s="1156"/>
      <c r="F46" s="1156"/>
      <c r="G46" s="46" t="s">
        <v>255</v>
      </c>
      <c r="H46" s="46" t="s">
        <v>256</v>
      </c>
      <c r="I46" s="52">
        <f>F45</f>
        <v>1</v>
      </c>
      <c r="J46" s="1168"/>
      <c r="K46" s="44">
        <f>I46*J45</f>
        <v>25</v>
      </c>
      <c r="L46" s="45" t="s">
        <v>257</v>
      </c>
      <c r="M46" s="46" t="s">
        <v>258</v>
      </c>
      <c r="N46" s="46">
        <v>1</v>
      </c>
      <c r="R46" s="49">
        <f>K46*560*720/1000000/0.9</f>
        <v>11.2</v>
      </c>
      <c r="S46" s="50">
        <f t="shared" si="1"/>
        <v>65</v>
      </c>
      <c r="T46" s="50">
        <f t="shared" si="2"/>
        <v>18</v>
      </c>
      <c r="U46" s="50">
        <f t="shared" si="3"/>
        <v>47</v>
      </c>
      <c r="V46" s="1171"/>
      <c r="W46" s="51">
        <f t="shared" si="4"/>
        <v>0.16128000000000001</v>
      </c>
      <c r="X46" s="55">
        <v>0</v>
      </c>
      <c r="Y46" s="33"/>
      <c r="Z46" s="33"/>
    </row>
    <row r="47" spans="1:26" ht="15" customHeight="1">
      <c r="A47" s="1206"/>
      <c r="B47" s="1209"/>
      <c r="C47" s="1156"/>
      <c r="D47" s="1156"/>
      <c r="E47" s="1156"/>
      <c r="F47" s="1156"/>
      <c r="G47" s="46" t="s">
        <v>259</v>
      </c>
      <c r="H47" s="46" t="s">
        <v>260</v>
      </c>
      <c r="I47" s="52">
        <f>F45</f>
        <v>1</v>
      </c>
      <c r="J47" s="1168"/>
      <c r="K47" s="44">
        <f>I47*J45</f>
        <v>25</v>
      </c>
      <c r="L47" s="45" t="s">
        <v>261</v>
      </c>
      <c r="M47" s="46" t="s">
        <v>262</v>
      </c>
      <c r="N47" s="46">
        <v>1</v>
      </c>
      <c r="R47" s="49">
        <f>K47*520*567/1000000/0.9</f>
        <v>8.19</v>
      </c>
      <c r="S47" s="50">
        <f>K47*((520+567)*2+40)/1000</f>
        <v>55.35</v>
      </c>
      <c r="T47" s="50">
        <f t="shared" si="2"/>
        <v>14.174999999999997</v>
      </c>
      <c r="U47" s="50">
        <f>S47-0.567*K47</f>
        <v>41.175000000000004</v>
      </c>
      <c r="V47" s="1171"/>
      <c r="W47" s="51">
        <f>K47*520*567*16/1000000000</f>
        <v>0.117936</v>
      </c>
      <c r="X47" s="55">
        <v>0</v>
      </c>
      <c r="Y47" s="33"/>
      <c r="Z47" s="33"/>
    </row>
    <row r="48" spans="1:26" ht="15" customHeight="1">
      <c r="A48" s="1206"/>
      <c r="B48" s="1209"/>
      <c r="C48" s="1156"/>
      <c r="D48" s="1156"/>
      <c r="E48" s="1156"/>
      <c r="F48" s="1156"/>
      <c r="G48" s="46" t="s">
        <v>229</v>
      </c>
      <c r="H48" s="46" t="s">
        <v>230</v>
      </c>
      <c r="I48" s="52">
        <f>F45*2</f>
        <v>2</v>
      </c>
      <c r="J48" s="1168"/>
      <c r="K48" s="44">
        <f>I48*J45</f>
        <v>50</v>
      </c>
      <c r="L48" s="45" t="s">
        <v>231</v>
      </c>
      <c r="M48" s="46" t="s">
        <v>232</v>
      </c>
      <c r="N48" s="46">
        <v>2</v>
      </c>
      <c r="R48" s="49">
        <f>K48*88*567/1000000/0.9</f>
        <v>2.7720000000000002</v>
      </c>
      <c r="S48" s="50">
        <f>K48*((88+567)+10)/1000</f>
        <v>33.25</v>
      </c>
      <c r="T48" s="50">
        <f t="shared" si="2"/>
        <v>28.349999999999998</v>
      </c>
      <c r="U48" s="50">
        <f>S48-0.567*K48</f>
        <v>4.9000000000000021</v>
      </c>
      <c r="V48" s="1171"/>
      <c r="W48" s="51">
        <f>K48*88*567*16/1000000000</f>
        <v>3.9916800000000002E-2</v>
      </c>
      <c r="X48" s="55">
        <v>1</v>
      </c>
      <c r="Y48" s="33"/>
      <c r="Z48" s="33"/>
    </row>
    <row r="49" spans="1:26" ht="15" customHeight="1" thickBot="1">
      <c r="A49" s="1207"/>
      <c r="B49" s="1210"/>
      <c r="C49" s="1157"/>
      <c r="D49" s="1157"/>
      <c r="E49" s="1157"/>
      <c r="F49" s="1157"/>
      <c r="G49" s="57" t="s">
        <v>263</v>
      </c>
      <c r="H49" s="57" t="s">
        <v>264</v>
      </c>
      <c r="I49" s="58">
        <f>F45</f>
        <v>1</v>
      </c>
      <c r="J49" s="1169"/>
      <c r="K49" s="59">
        <f>I49*J45</f>
        <v>25</v>
      </c>
      <c r="L49" s="45" t="s">
        <v>265</v>
      </c>
      <c r="M49" s="46" t="s">
        <v>266</v>
      </c>
      <c r="N49" s="46">
        <v>1</v>
      </c>
      <c r="R49" s="49">
        <f>K49*520*567/1000000/0.9</f>
        <v>8.19</v>
      </c>
      <c r="S49" s="50">
        <f>K49*((520+567)*2+40)/1000</f>
        <v>55.35</v>
      </c>
      <c r="T49" s="50">
        <f t="shared" si="2"/>
        <v>14.174999999999997</v>
      </c>
      <c r="U49" s="50">
        <f>S49-0.567*K49</f>
        <v>41.175000000000004</v>
      </c>
      <c r="V49" s="1172"/>
      <c r="W49" s="51">
        <f>K49*520*567*16/1000000000</f>
        <v>0.117936</v>
      </c>
      <c r="X49" s="55">
        <v>0</v>
      </c>
      <c r="Y49" s="33"/>
      <c r="Z49" s="33"/>
    </row>
    <row r="50" spans="1:26" ht="15" customHeight="1" thickBot="1">
      <c r="A50" s="1192"/>
      <c r="B50" s="1189" t="s">
        <v>267</v>
      </c>
      <c r="C50" s="1155">
        <v>150</v>
      </c>
      <c r="D50" s="1155">
        <v>560</v>
      </c>
      <c r="E50" s="1155">
        <v>720</v>
      </c>
      <c r="F50" s="1155">
        <v>1</v>
      </c>
      <c r="G50" s="81" t="s">
        <v>361</v>
      </c>
      <c r="H50" s="42" t="s">
        <v>268</v>
      </c>
      <c r="I50" s="43">
        <f>F50</f>
        <v>1</v>
      </c>
      <c r="J50" s="1167">
        <v>25</v>
      </c>
      <c r="K50" s="44">
        <f>I50*J50</f>
        <v>25</v>
      </c>
      <c r="L50" s="45" t="s">
        <v>269</v>
      </c>
      <c r="M50" s="46" t="s">
        <v>270</v>
      </c>
      <c r="N50" s="46">
        <v>1</v>
      </c>
      <c r="R50" s="49">
        <f>K50*560*720/1000000/0.9</f>
        <v>11.2</v>
      </c>
      <c r="S50" s="50">
        <f t="shared" si="1"/>
        <v>65</v>
      </c>
      <c r="T50" s="50">
        <f t="shared" si="2"/>
        <v>18</v>
      </c>
      <c r="U50" s="50">
        <f t="shared" si="3"/>
        <v>47</v>
      </c>
      <c r="V50" s="1170">
        <f>J50*11</f>
        <v>275</v>
      </c>
      <c r="W50" s="51">
        <f t="shared" si="4"/>
        <v>0.16128000000000001</v>
      </c>
      <c r="X50" s="55">
        <v>0</v>
      </c>
      <c r="Y50" s="33"/>
      <c r="Z50" s="33"/>
    </row>
    <row r="51" spans="1:26" ht="15" customHeight="1">
      <c r="A51" s="1193"/>
      <c r="B51" s="1190"/>
      <c r="C51" s="1156"/>
      <c r="D51" s="1156"/>
      <c r="E51" s="1156"/>
      <c r="F51" s="1156"/>
      <c r="G51" s="81" t="s">
        <v>361</v>
      </c>
      <c r="H51" s="46" t="s">
        <v>271</v>
      </c>
      <c r="I51" s="52">
        <f>F50</f>
        <v>1</v>
      </c>
      <c r="J51" s="1168"/>
      <c r="K51" s="44">
        <f>I51*J50</f>
        <v>25</v>
      </c>
      <c r="L51" s="45" t="s">
        <v>272</v>
      </c>
      <c r="M51" s="46" t="s">
        <v>273</v>
      </c>
      <c r="N51" s="46">
        <v>1</v>
      </c>
      <c r="R51" s="49">
        <f>K51*560*720/1000000/0.9</f>
        <v>11.2</v>
      </c>
      <c r="S51" s="50">
        <f t="shared" si="1"/>
        <v>65</v>
      </c>
      <c r="T51" s="50">
        <f t="shared" si="2"/>
        <v>18</v>
      </c>
      <c r="U51" s="50">
        <f t="shared" si="3"/>
        <v>47</v>
      </c>
      <c r="V51" s="1171"/>
      <c r="W51" s="51">
        <f t="shared" si="4"/>
        <v>0.16128000000000001</v>
      </c>
      <c r="X51" s="55">
        <v>0</v>
      </c>
      <c r="Y51" s="33"/>
      <c r="Z51" s="33"/>
    </row>
    <row r="52" spans="1:26" ht="15" customHeight="1">
      <c r="A52" s="1193"/>
      <c r="B52" s="1190"/>
      <c r="C52" s="1156"/>
      <c r="D52" s="1156"/>
      <c r="E52" s="1156"/>
      <c r="F52" s="1156"/>
      <c r="G52" s="46" t="s">
        <v>274</v>
      </c>
      <c r="H52" s="46" t="s">
        <v>275</v>
      </c>
      <c r="I52" s="52">
        <f>F50</f>
        <v>1</v>
      </c>
      <c r="J52" s="1168"/>
      <c r="K52" s="44">
        <f>I52*J50</f>
        <v>25</v>
      </c>
      <c r="L52" s="45" t="s">
        <v>276</v>
      </c>
      <c r="M52" s="46" t="s">
        <v>277</v>
      </c>
      <c r="N52" s="46">
        <v>1</v>
      </c>
      <c r="R52" s="49">
        <f>K52*560*117/1000000/0.9</f>
        <v>1.8199999999999998</v>
      </c>
      <c r="S52" s="50">
        <f>K52*((560+117)*2+40)/1000</f>
        <v>34.85</v>
      </c>
      <c r="T52" s="50">
        <f t="shared" si="2"/>
        <v>2.9250000000000007</v>
      </c>
      <c r="U52" s="50">
        <f>S52-0.117*K52</f>
        <v>31.925000000000001</v>
      </c>
      <c r="V52" s="1171"/>
      <c r="W52" s="51">
        <f>K52*708*117*16/1000000000</f>
        <v>3.3134400000000001E-2</v>
      </c>
      <c r="X52" s="55">
        <v>0</v>
      </c>
      <c r="Y52" s="33"/>
      <c r="Z52" s="33"/>
    </row>
    <row r="53" spans="1:26" ht="15" customHeight="1">
      <c r="A53" s="1193"/>
      <c r="B53" s="1190"/>
      <c r="C53" s="1156"/>
      <c r="D53" s="1156"/>
      <c r="E53" s="1156"/>
      <c r="F53" s="1156"/>
      <c r="G53" s="46" t="s">
        <v>278</v>
      </c>
      <c r="H53" s="46" t="s">
        <v>279</v>
      </c>
      <c r="I53" s="52">
        <f>F50</f>
        <v>1</v>
      </c>
      <c r="J53" s="1168"/>
      <c r="K53" s="44">
        <f>I53*J50</f>
        <v>25</v>
      </c>
      <c r="L53" s="45" t="s">
        <v>280</v>
      </c>
      <c r="M53" s="46" t="s">
        <v>281</v>
      </c>
      <c r="N53" s="46">
        <v>1</v>
      </c>
      <c r="R53" s="49">
        <f>K53*708*128/1000000/0.9</f>
        <v>2.5173333333333332</v>
      </c>
      <c r="S53" s="50"/>
      <c r="T53" s="50"/>
      <c r="U53" s="50"/>
      <c r="V53" s="1171"/>
      <c r="W53" s="51">
        <f>K53*708*128*3/1000000000</f>
        <v>6.7968000000000004E-3</v>
      </c>
      <c r="X53" s="55">
        <v>0</v>
      </c>
      <c r="Y53" s="33"/>
      <c r="Z53" s="33"/>
    </row>
    <row r="54" spans="1:26" ht="15" customHeight="1" thickBot="1">
      <c r="A54" s="1193"/>
      <c r="B54" s="1190"/>
      <c r="C54" s="1157"/>
      <c r="D54" s="1157"/>
      <c r="E54" s="1157"/>
      <c r="F54" s="1157"/>
      <c r="G54" s="57" t="s">
        <v>282</v>
      </c>
      <c r="H54" s="57" t="s">
        <v>283</v>
      </c>
      <c r="I54" s="58">
        <f>F50*2</f>
        <v>2</v>
      </c>
      <c r="J54" s="1169"/>
      <c r="K54" s="59">
        <f>I54*J50</f>
        <v>50</v>
      </c>
      <c r="L54" s="45" t="s">
        <v>284</v>
      </c>
      <c r="M54" s="46" t="s">
        <v>285</v>
      </c>
      <c r="N54" s="46">
        <v>2</v>
      </c>
      <c r="R54" s="49">
        <f>K54*88*117/1000000/0.9</f>
        <v>0.57200000000000006</v>
      </c>
      <c r="S54" s="50">
        <f>K54*((88+117)+10)/1000</f>
        <v>10.75</v>
      </c>
      <c r="T54" s="50">
        <f t="shared" si="2"/>
        <v>10.75</v>
      </c>
      <c r="U54" s="50"/>
      <c r="V54" s="1172"/>
      <c r="W54" s="51">
        <f>K54*88*117*16/1000000000</f>
        <v>8.2368000000000007E-3</v>
      </c>
      <c r="X54" s="55">
        <v>0</v>
      </c>
      <c r="Y54" s="33"/>
      <c r="Z54" s="33"/>
    </row>
    <row r="55" spans="1:26" ht="15" customHeight="1" thickBot="1">
      <c r="A55" s="1193"/>
      <c r="B55" s="1190"/>
      <c r="C55" s="1156">
        <v>300</v>
      </c>
      <c r="D55" s="1156">
        <v>560</v>
      </c>
      <c r="E55" s="1156">
        <v>720</v>
      </c>
      <c r="F55" s="1156">
        <v>1</v>
      </c>
      <c r="G55" s="81" t="s">
        <v>361</v>
      </c>
      <c r="H55" s="89" t="s">
        <v>268</v>
      </c>
      <c r="I55" s="90">
        <f>F55</f>
        <v>1</v>
      </c>
      <c r="J55" s="1167">
        <v>20</v>
      </c>
      <c r="K55" s="44">
        <f>I55*J55</f>
        <v>20</v>
      </c>
      <c r="L55" s="45" t="s">
        <v>269</v>
      </c>
      <c r="M55" s="46" t="s">
        <v>270</v>
      </c>
      <c r="N55" s="46">
        <v>1</v>
      </c>
      <c r="R55" s="49">
        <f>K55*560*720/1000000/0.9</f>
        <v>8.9599999999999991</v>
      </c>
      <c r="S55" s="50">
        <f t="shared" si="1"/>
        <v>52</v>
      </c>
      <c r="T55" s="50">
        <f t="shared" si="2"/>
        <v>14.399999999999999</v>
      </c>
      <c r="U55" s="50">
        <f t="shared" si="3"/>
        <v>37.6</v>
      </c>
      <c r="V55" s="1170">
        <f>J55*11</f>
        <v>220</v>
      </c>
      <c r="W55" s="51">
        <f t="shared" si="4"/>
        <v>0.129024</v>
      </c>
      <c r="X55" s="55">
        <v>1</v>
      </c>
      <c r="Y55" s="33"/>
      <c r="Z55" s="33"/>
    </row>
    <row r="56" spans="1:26" ht="15" customHeight="1">
      <c r="A56" s="1193"/>
      <c r="B56" s="1190"/>
      <c r="C56" s="1156"/>
      <c r="D56" s="1156"/>
      <c r="E56" s="1156"/>
      <c r="F56" s="1156"/>
      <c r="G56" s="81" t="s">
        <v>361</v>
      </c>
      <c r="H56" s="46" t="s">
        <v>271</v>
      </c>
      <c r="I56" s="52">
        <f>F55</f>
        <v>1</v>
      </c>
      <c r="J56" s="1168"/>
      <c r="K56" s="44">
        <f>I56*J55</f>
        <v>20</v>
      </c>
      <c r="L56" s="45" t="s">
        <v>272</v>
      </c>
      <c r="M56" s="46" t="s">
        <v>273</v>
      </c>
      <c r="N56" s="46">
        <v>1</v>
      </c>
      <c r="R56" s="49">
        <f>K56*560*720/1000000/0.9</f>
        <v>8.9599999999999991</v>
      </c>
      <c r="S56" s="50">
        <f t="shared" si="1"/>
        <v>52</v>
      </c>
      <c r="T56" s="50">
        <f t="shared" si="2"/>
        <v>14.399999999999999</v>
      </c>
      <c r="U56" s="50">
        <f t="shared" si="3"/>
        <v>37.6</v>
      </c>
      <c r="V56" s="1171"/>
      <c r="W56" s="51">
        <f t="shared" si="4"/>
        <v>0.129024</v>
      </c>
      <c r="X56" s="55">
        <v>1</v>
      </c>
      <c r="Y56" s="33"/>
      <c r="Z56" s="33"/>
    </row>
    <row r="57" spans="1:26" ht="15" customHeight="1">
      <c r="A57" s="1193"/>
      <c r="B57" s="1190"/>
      <c r="C57" s="1156"/>
      <c r="D57" s="1156"/>
      <c r="E57" s="1156"/>
      <c r="F57" s="1156"/>
      <c r="G57" s="46" t="s">
        <v>286</v>
      </c>
      <c r="H57" s="46" t="s">
        <v>287</v>
      </c>
      <c r="I57" s="52">
        <f>F55</f>
        <v>1</v>
      </c>
      <c r="J57" s="1168"/>
      <c r="K57" s="44">
        <f>I57*J55</f>
        <v>20</v>
      </c>
      <c r="L57" s="45" t="s">
        <v>288</v>
      </c>
      <c r="M57" s="46" t="s">
        <v>289</v>
      </c>
      <c r="N57" s="46">
        <v>1</v>
      </c>
      <c r="R57" s="49">
        <f>K57*560*267/1000000/0.9</f>
        <v>3.3226666666666667</v>
      </c>
      <c r="S57" s="50">
        <f>K57*((560+267)*2+40)/1000</f>
        <v>33.880000000000003</v>
      </c>
      <c r="T57" s="50">
        <f t="shared" si="2"/>
        <v>5.34</v>
      </c>
      <c r="U57" s="50">
        <f>S57-0.267*K57</f>
        <v>28.540000000000003</v>
      </c>
      <c r="V57" s="1171"/>
      <c r="W57" s="51">
        <f>K57*560*267*16/1000000000</f>
        <v>4.7846399999999997E-2</v>
      </c>
      <c r="X57" s="55">
        <v>0</v>
      </c>
      <c r="Y57" s="33"/>
      <c r="Z57" s="33"/>
    </row>
    <row r="58" spans="1:26" ht="15" customHeight="1">
      <c r="A58" s="1193"/>
      <c r="B58" s="1190"/>
      <c r="C58" s="1156"/>
      <c r="D58" s="1156"/>
      <c r="E58" s="1156"/>
      <c r="F58" s="1156"/>
      <c r="G58" s="46" t="s">
        <v>290</v>
      </c>
      <c r="H58" s="46" t="s">
        <v>291</v>
      </c>
      <c r="I58" s="52">
        <f>F55</f>
        <v>1</v>
      </c>
      <c r="J58" s="1168"/>
      <c r="K58" s="44">
        <f>I58*J55</f>
        <v>20</v>
      </c>
      <c r="L58" s="45" t="s">
        <v>292</v>
      </c>
      <c r="M58" s="46" t="s">
        <v>293</v>
      </c>
      <c r="N58" s="46">
        <v>1</v>
      </c>
      <c r="R58" s="49">
        <f>K58*708*278/1000000/0.9</f>
        <v>4.3738666666666663</v>
      </c>
      <c r="S58" s="50"/>
      <c r="T58" s="50"/>
      <c r="U58" s="50"/>
      <c r="V58" s="1171"/>
      <c r="W58" s="51">
        <f>K58*708*278*3/1000000000</f>
        <v>1.1809439999999999E-2</v>
      </c>
      <c r="X58" s="55">
        <v>0</v>
      </c>
      <c r="Y58" s="33"/>
      <c r="Z58" s="33"/>
    </row>
    <row r="59" spans="1:26" ht="15" customHeight="1" thickBot="1">
      <c r="A59" s="1193"/>
      <c r="B59" s="1190"/>
      <c r="C59" s="1157"/>
      <c r="D59" s="1157"/>
      <c r="E59" s="1157"/>
      <c r="F59" s="1157"/>
      <c r="G59" s="57" t="s">
        <v>294</v>
      </c>
      <c r="H59" s="57" t="s">
        <v>295</v>
      </c>
      <c r="I59" s="58">
        <f>F55*2</f>
        <v>2</v>
      </c>
      <c r="J59" s="1169"/>
      <c r="K59" s="59">
        <f>I59*J55</f>
        <v>40</v>
      </c>
      <c r="L59" s="45" t="s">
        <v>296</v>
      </c>
      <c r="M59" s="46" t="s">
        <v>297</v>
      </c>
      <c r="N59" s="46">
        <v>2</v>
      </c>
      <c r="R59" s="49">
        <f>K59*88*267/1000000/0.9</f>
        <v>1.0442666666666667</v>
      </c>
      <c r="S59" s="50">
        <f>K59*((560+720)+10)/1000</f>
        <v>51.6</v>
      </c>
      <c r="T59" s="50">
        <f t="shared" si="2"/>
        <v>10.68</v>
      </c>
      <c r="U59" s="50">
        <f>S59-0.267*K59</f>
        <v>40.92</v>
      </c>
      <c r="V59" s="1172"/>
      <c r="W59" s="51">
        <f>K59*88*267*16/1000000000</f>
        <v>1.5037439999999999E-2</v>
      </c>
      <c r="X59" s="55">
        <v>0</v>
      </c>
      <c r="Y59" s="33"/>
      <c r="Z59" s="33"/>
    </row>
    <row r="60" spans="1:26" customFormat="1" ht="15" customHeight="1" thickBot="1">
      <c r="A60" s="1193"/>
      <c r="B60" s="1190"/>
      <c r="C60" s="1155">
        <v>450</v>
      </c>
      <c r="D60" s="1155">
        <v>560</v>
      </c>
      <c r="E60" s="1155">
        <v>720</v>
      </c>
      <c r="F60" s="1181">
        <v>1</v>
      </c>
      <c r="G60" s="81" t="s">
        <v>361</v>
      </c>
      <c r="H60" s="66" t="s">
        <v>268</v>
      </c>
      <c r="I60" s="83">
        <f>F60</f>
        <v>1</v>
      </c>
      <c r="J60" s="79" t="e">
        <f>I60*#REF!</f>
        <v>#REF!</v>
      </c>
      <c r="K60" s="76">
        <v>1</v>
      </c>
      <c r="Q60" s="69" t="e">
        <f t="shared" ref="Q60:Q64" si="10">J60*300*720/1000000/0.9</f>
        <v>#REF!</v>
      </c>
      <c r="R60" s="69"/>
      <c r="S60" s="69"/>
    </row>
    <row r="61" spans="1:26" customFormat="1" ht="15" customHeight="1">
      <c r="A61" s="1193"/>
      <c r="B61" s="1190"/>
      <c r="C61" s="1156"/>
      <c r="D61" s="1156"/>
      <c r="E61" s="1156"/>
      <c r="F61" s="1181"/>
      <c r="G61" s="81" t="s">
        <v>361</v>
      </c>
      <c r="H61" s="66" t="s">
        <v>271</v>
      </c>
      <c r="I61" s="83">
        <f>F60</f>
        <v>1</v>
      </c>
      <c r="J61" s="79" t="e">
        <f>I61*#REF!</f>
        <v>#REF!</v>
      </c>
      <c r="K61" s="76">
        <v>1</v>
      </c>
      <c r="Q61" s="69" t="e">
        <f t="shared" si="10"/>
        <v>#REF!</v>
      </c>
      <c r="R61" s="69"/>
      <c r="S61" s="69"/>
    </row>
    <row r="62" spans="1:26" customFormat="1" ht="15" customHeight="1">
      <c r="A62" s="1193"/>
      <c r="B62" s="1190"/>
      <c r="C62" s="1156"/>
      <c r="D62" s="1156"/>
      <c r="E62" s="1156"/>
      <c r="F62" s="1181"/>
      <c r="G62" s="66" t="s">
        <v>189</v>
      </c>
      <c r="H62" s="66" t="s">
        <v>190</v>
      </c>
      <c r="I62" s="83">
        <f>F60</f>
        <v>1</v>
      </c>
      <c r="J62" s="79" t="e">
        <f>I62*#REF!</f>
        <v>#REF!</v>
      </c>
      <c r="K62" s="76">
        <v>1</v>
      </c>
      <c r="Q62" s="69" t="e">
        <f t="shared" si="10"/>
        <v>#REF!</v>
      </c>
      <c r="R62" s="69"/>
      <c r="S62" s="69"/>
    </row>
    <row r="63" spans="1:26" customFormat="1" ht="15" customHeight="1">
      <c r="A63" s="1193"/>
      <c r="B63" s="1190"/>
      <c r="C63" s="1156"/>
      <c r="D63" s="1156"/>
      <c r="E63" s="1156"/>
      <c r="F63" s="1181"/>
      <c r="G63" s="66" t="s">
        <v>200</v>
      </c>
      <c r="H63" s="66" t="s">
        <v>201</v>
      </c>
      <c r="I63" s="83">
        <f>F60</f>
        <v>1</v>
      </c>
      <c r="J63" s="79" t="e">
        <f>I63*#REF!</f>
        <v>#REF!</v>
      </c>
      <c r="K63" s="76">
        <v>1</v>
      </c>
      <c r="Q63" s="69" t="e">
        <f t="shared" si="10"/>
        <v>#REF!</v>
      </c>
      <c r="R63" s="69"/>
      <c r="S63" s="69"/>
    </row>
    <row r="64" spans="1:26" customFormat="1" ht="15" customHeight="1" thickBot="1">
      <c r="A64" s="1194"/>
      <c r="B64" s="1191"/>
      <c r="C64" s="1157"/>
      <c r="D64" s="1157"/>
      <c r="E64" s="1157"/>
      <c r="F64" s="1188"/>
      <c r="G64" s="84" t="s">
        <v>205</v>
      </c>
      <c r="H64" s="84" t="s">
        <v>206</v>
      </c>
      <c r="I64" s="85">
        <f>F60*2</f>
        <v>2</v>
      </c>
      <c r="J64" s="79" t="e">
        <f>I64*#REF!</f>
        <v>#REF!</v>
      </c>
      <c r="K64" s="76">
        <v>2</v>
      </c>
      <c r="Q64" s="69" t="e">
        <f t="shared" si="10"/>
        <v>#REF!</v>
      </c>
      <c r="R64" s="69"/>
      <c r="S64" s="69"/>
    </row>
    <row r="65" spans="1:26" ht="15" customHeight="1">
      <c r="A65" s="1173"/>
      <c r="B65" s="1176" t="s">
        <v>393</v>
      </c>
      <c r="C65" s="1155">
        <v>450</v>
      </c>
      <c r="D65" s="1155">
        <v>300</v>
      </c>
      <c r="E65" s="1155">
        <v>720</v>
      </c>
      <c r="F65" s="1155">
        <v>1</v>
      </c>
      <c r="G65" s="42" t="s">
        <v>298</v>
      </c>
      <c r="H65" s="42" t="s">
        <v>299</v>
      </c>
      <c r="I65" s="43">
        <f>F65</f>
        <v>1</v>
      </c>
      <c r="J65" s="1167">
        <v>35</v>
      </c>
      <c r="K65" s="44">
        <f>I65*J65</f>
        <v>35</v>
      </c>
      <c r="L65" s="45" t="s">
        <v>300</v>
      </c>
      <c r="M65" s="46" t="s">
        <v>301</v>
      </c>
      <c r="N65" s="46">
        <v>1</v>
      </c>
      <c r="R65" s="49">
        <f>K65*300*720/1000000/0.9</f>
        <v>8.3999999999999986</v>
      </c>
      <c r="S65" s="50">
        <f>K65*((300+720)*2+40)/1000</f>
        <v>72.8</v>
      </c>
      <c r="T65" s="50">
        <f t="shared" si="2"/>
        <v>25.200000000000003</v>
      </c>
      <c r="U65" s="50">
        <f t="shared" si="3"/>
        <v>47.599999999999994</v>
      </c>
      <c r="V65" s="1170">
        <f>J65*11</f>
        <v>385</v>
      </c>
      <c r="W65" s="51">
        <f>K65*300*720*16/1000000000</f>
        <v>0.12096</v>
      </c>
      <c r="X65" s="55">
        <v>1</v>
      </c>
      <c r="Y65" s="33"/>
      <c r="Z65" s="33"/>
    </row>
    <row r="66" spans="1:26" ht="15" customHeight="1">
      <c r="A66" s="1174"/>
      <c r="B66" s="1177"/>
      <c r="C66" s="1179"/>
      <c r="D66" s="1179"/>
      <c r="E66" s="1179"/>
      <c r="F66" s="1179"/>
      <c r="G66" s="46" t="s">
        <v>302</v>
      </c>
      <c r="H66" s="46" t="s">
        <v>303</v>
      </c>
      <c r="I66" s="52">
        <f>F65</f>
        <v>1</v>
      </c>
      <c r="J66" s="1168"/>
      <c r="K66" s="44">
        <f>I66*J65</f>
        <v>35</v>
      </c>
      <c r="L66" s="45" t="s">
        <v>304</v>
      </c>
      <c r="M66" s="46" t="s">
        <v>305</v>
      </c>
      <c r="N66" s="46">
        <v>1</v>
      </c>
      <c r="R66" s="49">
        <f>K66*300*720/1000000/0.9</f>
        <v>8.3999999999999986</v>
      </c>
      <c r="S66" s="50">
        <f>K66*((300+720)*2+40)/1000</f>
        <v>72.8</v>
      </c>
      <c r="T66" s="50">
        <f t="shared" si="2"/>
        <v>25.200000000000003</v>
      </c>
      <c r="U66" s="50">
        <f t="shared" si="3"/>
        <v>47.599999999999994</v>
      </c>
      <c r="V66" s="1171"/>
      <c r="W66" s="51">
        <f>K66*300*720*16/1000000000</f>
        <v>0.12096</v>
      </c>
      <c r="X66" s="55">
        <v>1</v>
      </c>
      <c r="Y66" s="33"/>
      <c r="Z66" s="33"/>
    </row>
    <row r="67" spans="1:26" ht="15" customHeight="1">
      <c r="A67" s="1174"/>
      <c r="B67" s="1177"/>
      <c r="C67" s="1179"/>
      <c r="D67" s="1179"/>
      <c r="E67" s="1179"/>
      <c r="F67" s="1179"/>
      <c r="G67" s="46" t="s">
        <v>306</v>
      </c>
      <c r="H67" s="46" t="s">
        <v>307</v>
      </c>
      <c r="I67" s="52">
        <f>F65</f>
        <v>1</v>
      </c>
      <c r="J67" s="1168"/>
      <c r="K67" s="44">
        <f>I67*J65</f>
        <v>35</v>
      </c>
      <c r="L67" s="45" t="s">
        <v>308</v>
      </c>
      <c r="M67" s="46" t="s">
        <v>309</v>
      </c>
      <c r="N67" s="46">
        <v>1</v>
      </c>
      <c r="R67" s="49">
        <f>K67*300*417/1000000/0.9</f>
        <v>4.8649999999999993</v>
      </c>
      <c r="S67" s="50">
        <f>K67*((300+417)*2+40)/1000</f>
        <v>51.59</v>
      </c>
      <c r="T67" s="50">
        <f t="shared" si="2"/>
        <v>14.594999999999999</v>
      </c>
      <c r="U67" s="50">
        <f>S67-0.417*K67</f>
        <v>36.995000000000005</v>
      </c>
      <c r="V67" s="1171"/>
      <c r="W67" s="51">
        <f>K67*300*417*16/1000000000</f>
        <v>7.0055999999999993E-2</v>
      </c>
      <c r="X67" s="55">
        <v>0</v>
      </c>
      <c r="Y67" s="33"/>
      <c r="Z67" s="33"/>
    </row>
    <row r="68" spans="1:26" ht="15" customHeight="1">
      <c r="A68" s="1174"/>
      <c r="B68" s="1177"/>
      <c r="C68" s="1179"/>
      <c r="D68" s="1179"/>
      <c r="E68" s="1179"/>
      <c r="F68" s="1179"/>
      <c r="G68" s="46" t="s">
        <v>310</v>
      </c>
      <c r="H68" s="46" t="s">
        <v>311</v>
      </c>
      <c r="I68" s="52">
        <f>F65</f>
        <v>1</v>
      </c>
      <c r="J68" s="1168"/>
      <c r="K68" s="44">
        <f>I68*J65</f>
        <v>35</v>
      </c>
      <c r="L68" s="45" t="s">
        <v>312</v>
      </c>
      <c r="M68" s="46" t="s">
        <v>313</v>
      </c>
      <c r="N68" s="46">
        <v>1</v>
      </c>
      <c r="R68" s="49">
        <f>K68*277*417/1000000/0.9</f>
        <v>4.4920166666666663</v>
      </c>
      <c r="S68" s="50">
        <f>K68*((277+417)*2+40)/1000</f>
        <v>49.98</v>
      </c>
      <c r="T68" s="50">
        <f t="shared" si="2"/>
        <v>14.594999999999999</v>
      </c>
      <c r="U68" s="50">
        <f>S68-0.417*K68</f>
        <v>35.384999999999998</v>
      </c>
      <c r="V68" s="1171"/>
      <c r="W68" s="51">
        <f>K68*277*417*16/1000000000</f>
        <v>6.4685039999999999E-2</v>
      </c>
      <c r="X68" s="55">
        <v>0</v>
      </c>
      <c r="Y68" s="33"/>
      <c r="Z68" s="33"/>
    </row>
    <row r="69" spans="1:26" ht="15" customHeight="1">
      <c r="A69" s="1174"/>
      <c r="B69" s="1177"/>
      <c r="C69" s="1179"/>
      <c r="D69" s="1179"/>
      <c r="E69" s="1179"/>
      <c r="F69" s="1179"/>
      <c r="G69" s="46" t="s">
        <v>314</v>
      </c>
      <c r="H69" s="46" t="s">
        <v>315</v>
      </c>
      <c r="I69" s="52">
        <f>F65</f>
        <v>1</v>
      </c>
      <c r="J69" s="1168"/>
      <c r="K69" s="44">
        <f>I69*J65</f>
        <v>35</v>
      </c>
      <c r="L69" s="45" t="s">
        <v>316</v>
      </c>
      <c r="M69" s="46" t="s">
        <v>317</v>
      </c>
      <c r="N69" s="46">
        <v>1</v>
      </c>
      <c r="R69" s="49">
        <f>K69*254*416/1000000/0.9</f>
        <v>4.1091555555555557</v>
      </c>
      <c r="S69" s="50">
        <f>K69*((254+416)*2+40)/1000</f>
        <v>48.3</v>
      </c>
      <c r="T69" s="50">
        <f t="shared" si="2"/>
        <v>14.560000000000002</v>
      </c>
      <c r="U69" s="50">
        <f>S69-0.416*K69</f>
        <v>33.739999999999995</v>
      </c>
      <c r="V69" s="1171"/>
      <c r="W69" s="51">
        <f>K69*254*416*16/1000000000</f>
        <v>5.9171840000000003E-2</v>
      </c>
      <c r="X69" s="55">
        <v>0</v>
      </c>
      <c r="Y69" s="33"/>
      <c r="Z69" s="33"/>
    </row>
    <row r="70" spans="1:26" ht="15" customHeight="1">
      <c r="A70" s="1174"/>
      <c r="B70" s="1177"/>
      <c r="C70" s="1179"/>
      <c r="D70" s="1179"/>
      <c r="E70" s="1179"/>
      <c r="F70" s="1179"/>
      <c r="G70" s="46" t="s">
        <v>318</v>
      </c>
      <c r="H70" s="46" t="s">
        <v>319</v>
      </c>
      <c r="I70" s="52">
        <f>F65</f>
        <v>1</v>
      </c>
      <c r="J70" s="1168"/>
      <c r="K70" s="44">
        <f>I70*J65</f>
        <v>35</v>
      </c>
      <c r="L70" s="45" t="s">
        <v>320</v>
      </c>
      <c r="M70" s="46" t="s">
        <v>321</v>
      </c>
      <c r="N70" s="46">
        <v>1</v>
      </c>
      <c r="R70" s="49">
        <f>K70*708*428/1000000/0.9</f>
        <v>11.784266666666667</v>
      </c>
      <c r="S70" s="50"/>
      <c r="T70" s="50"/>
      <c r="U70" s="50"/>
      <c r="V70" s="1171"/>
      <c r="W70" s="51">
        <f>K70*708*428*3/1000000000</f>
        <v>3.1817520000000002E-2</v>
      </c>
      <c r="X70" s="55">
        <v>0</v>
      </c>
      <c r="Y70" s="33"/>
      <c r="Z70" s="33"/>
    </row>
    <row r="71" spans="1:26" ht="15" customHeight="1" thickBot="1">
      <c r="A71" s="1174"/>
      <c r="B71" s="1177"/>
      <c r="C71" s="1180"/>
      <c r="D71" s="1180"/>
      <c r="E71" s="1180"/>
      <c r="F71" s="1180"/>
      <c r="G71" s="57" t="s">
        <v>205</v>
      </c>
      <c r="H71" s="57" t="s">
        <v>206</v>
      </c>
      <c r="I71" s="58">
        <f>F65</f>
        <v>1</v>
      </c>
      <c r="J71" s="1169"/>
      <c r="K71" s="59">
        <f>I71*J65</f>
        <v>35</v>
      </c>
      <c r="L71" s="45" t="s">
        <v>207</v>
      </c>
      <c r="M71" s="46" t="s">
        <v>208</v>
      </c>
      <c r="N71" s="46">
        <v>1</v>
      </c>
      <c r="R71" s="49">
        <f>K71*88*417/1000000/0.9</f>
        <v>1.4270666666666665</v>
      </c>
      <c r="S71" s="50">
        <f>K71*((88+417)+10)/1000</f>
        <v>18.024999999999999</v>
      </c>
      <c r="T71" s="50">
        <f t="shared" si="2"/>
        <v>18.024999999999999</v>
      </c>
      <c r="U71" s="50"/>
      <c r="V71" s="1172"/>
      <c r="W71" s="51">
        <f>K71*88*417*16/1000000000</f>
        <v>2.054976E-2</v>
      </c>
      <c r="X71" s="55">
        <v>1</v>
      </c>
      <c r="Y71" s="33"/>
      <c r="Z71" s="33"/>
    </row>
    <row r="72" spans="1:26" ht="15" customHeight="1">
      <c r="A72" s="1174"/>
      <c r="B72" s="1177"/>
      <c r="C72" s="1156">
        <v>600</v>
      </c>
      <c r="D72" s="1156">
        <v>300</v>
      </c>
      <c r="E72" s="1156">
        <v>720</v>
      </c>
      <c r="F72" s="1156">
        <v>1</v>
      </c>
      <c r="G72" s="89" t="s">
        <v>298</v>
      </c>
      <c r="H72" s="89" t="s">
        <v>299</v>
      </c>
      <c r="I72" s="90">
        <f>F72</f>
        <v>1</v>
      </c>
      <c r="J72" s="1167">
        <v>30</v>
      </c>
      <c r="K72" s="44">
        <f>I72*J72</f>
        <v>30</v>
      </c>
      <c r="L72" s="45" t="s">
        <v>300</v>
      </c>
      <c r="M72" s="46" t="s">
        <v>301</v>
      </c>
      <c r="N72" s="46">
        <v>1</v>
      </c>
      <c r="R72" s="49">
        <f>K72*300*720/1000000/0.9</f>
        <v>7.2</v>
      </c>
      <c r="S72" s="50">
        <f>K72*((300+720)*2+40)/1000</f>
        <v>62.4</v>
      </c>
      <c r="T72" s="50">
        <f t="shared" si="2"/>
        <v>21.6</v>
      </c>
      <c r="U72" s="50">
        <f t="shared" si="3"/>
        <v>40.799999999999997</v>
      </c>
      <c r="V72" s="1170">
        <f>J72*11</f>
        <v>330</v>
      </c>
      <c r="W72" s="51">
        <f>K72*300*720*16/1000000000</f>
        <v>0.10367999999999999</v>
      </c>
      <c r="X72" s="55">
        <v>1</v>
      </c>
      <c r="Y72" s="33"/>
      <c r="Z72" s="33"/>
    </row>
    <row r="73" spans="1:26" ht="15" customHeight="1">
      <c r="A73" s="1174"/>
      <c r="B73" s="1177"/>
      <c r="C73" s="1156"/>
      <c r="D73" s="1156"/>
      <c r="E73" s="1156"/>
      <c r="F73" s="1156"/>
      <c r="G73" s="46" t="s">
        <v>302</v>
      </c>
      <c r="H73" s="46" t="s">
        <v>303</v>
      </c>
      <c r="I73" s="52">
        <f>F72</f>
        <v>1</v>
      </c>
      <c r="J73" s="1168"/>
      <c r="K73" s="44">
        <f>I73*J72</f>
        <v>30</v>
      </c>
      <c r="L73" s="45" t="s">
        <v>304</v>
      </c>
      <c r="M73" s="46" t="s">
        <v>305</v>
      </c>
      <c r="N73" s="46">
        <v>1</v>
      </c>
      <c r="R73" s="49">
        <f>K73*300*720/1000000/0.9</f>
        <v>7.2</v>
      </c>
      <c r="S73" s="50">
        <f>K73*((300+720)*2+40)/1000</f>
        <v>62.4</v>
      </c>
      <c r="T73" s="50">
        <f t="shared" si="2"/>
        <v>21.6</v>
      </c>
      <c r="U73" s="50">
        <f t="shared" si="3"/>
        <v>40.799999999999997</v>
      </c>
      <c r="V73" s="1171"/>
      <c r="W73" s="51">
        <f>K73*300*720*16/1000000000</f>
        <v>0.10367999999999999</v>
      </c>
      <c r="X73" s="55">
        <v>1</v>
      </c>
      <c r="Y73" s="33"/>
      <c r="Z73" s="33"/>
    </row>
    <row r="74" spans="1:26" ht="15" customHeight="1">
      <c r="A74" s="1174"/>
      <c r="B74" s="1177"/>
      <c r="C74" s="1156"/>
      <c r="D74" s="1156"/>
      <c r="E74" s="1156"/>
      <c r="F74" s="1156"/>
      <c r="G74" s="46" t="s">
        <v>322</v>
      </c>
      <c r="H74" s="46" t="s">
        <v>323</v>
      </c>
      <c r="I74" s="52">
        <f>F72</f>
        <v>1</v>
      </c>
      <c r="J74" s="1168"/>
      <c r="K74" s="44">
        <f>I74*J72</f>
        <v>30</v>
      </c>
      <c r="L74" s="45" t="s">
        <v>324</v>
      </c>
      <c r="M74" s="46" t="s">
        <v>325</v>
      </c>
      <c r="N74" s="46">
        <v>1</v>
      </c>
      <c r="R74" s="49">
        <f>K74*300*720/1000000/0.9</f>
        <v>7.2</v>
      </c>
      <c r="S74" s="50">
        <f>K74*((300+720)*2+40)/1000</f>
        <v>62.4</v>
      </c>
      <c r="T74" s="50">
        <f t="shared" si="2"/>
        <v>17.009999999999998</v>
      </c>
      <c r="U74" s="50">
        <f>S74-0.567*K74</f>
        <v>45.39</v>
      </c>
      <c r="V74" s="1171"/>
      <c r="W74" s="51">
        <f>K74*300*720*16/1000000000</f>
        <v>0.10367999999999999</v>
      </c>
      <c r="X74" s="55">
        <v>0</v>
      </c>
      <c r="Y74" s="33"/>
      <c r="Z74" s="33"/>
    </row>
    <row r="75" spans="1:26" ht="15" customHeight="1">
      <c r="A75" s="1174"/>
      <c r="B75" s="1177"/>
      <c r="C75" s="1156"/>
      <c r="D75" s="1156"/>
      <c r="E75" s="1156"/>
      <c r="F75" s="1156"/>
      <c r="G75" s="46" t="s">
        <v>326</v>
      </c>
      <c r="H75" s="46" t="s">
        <v>327</v>
      </c>
      <c r="I75" s="52">
        <f>F72</f>
        <v>1</v>
      </c>
      <c r="J75" s="1168"/>
      <c r="K75" s="44">
        <f>I75*J72</f>
        <v>30</v>
      </c>
      <c r="L75" s="45" t="s">
        <v>328</v>
      </c>
      <c r="M75" s="46" t="s">
        <v>329</v>
      </c>
      <c r="N75" s="46">
        <v>1</v>
      </c>
      <c r="R75" s="49">
        <f>K75*277*567/1000000/0.9</f>
        <v>5.2352999999999996</v>
      </c>
      <c r="S75" s="50">
        <f>K75*((277+567)*2+40)/1000</f>
        <v>51.84</v>
      </c>
      <c r="T75" s="50">
        <f t="shared" si="2"/>
        <v>17.009999999999998</v>
      </c>
      <c r="U75" s="50">
        <f>S75-0.567*K75</f>
        <v>34.830000000000005</v>
      </c>
      <c r="V75" s="1171"/>
      <c r="W75" s="51">
        <f>K75*277*567*16/1000000000</f>
        <v>7.5388319999999995E-2</v>
      </c>
      <c r="X75" s="55">
        <v>0</v>
      </c>
      <c r="Y75" s="33"/>
      <c r="Z75" s="33"/>
    </row>
    <row r="76" spans="1:26" ht="15" customHeight="1">
      <c r="A76" s="1174"/>
      <c r="B76" s="1177"/>
      <c r="C76" s="1156"/>
      <c r="D76" s="1156"/>
      <c r="E76" s="1156"/>
      <c r="F76" s="1156"/>
      <c r="G76" s="46" t="s">
        <v>330</v>
      </c>
      <c r="H76" s="46" t="s">
        <v>331</v>
      </c>
      <c r="I76" s="52">
        <f>F72</f>
        <v>1</v>
      </c>
      <c r="J76" s="1168"/>
      <c r="K76" s="44">
        <f>I76*J72</f>
        <v>30</v>
      </c>
      <c r="L76" s="45" t="s">
        <v>332</v>
      </c>
      <c r="M76" s="46" t="s">
        <v>333</v>
      </c>
      <c r="N76" s="46">
        <v>1</v>
      </c>
      <c r="R76" s="49">
        <f>K76*254*566/1000000/0.9</f>
        <v>4.7921333333333331</v>
      </c>
      <c r="S76" s="50">
        <f>K76*((254+566)*2+40)/1000</f>
        <v>50.4</v>
      </c>
      <c r="T76" s="50">
        <f t="shared" si="2"/>
        <v>16.979999999999997</v>
      </c>
      <c r="U76" s="50">
        <f>S76-0.566*K76</f>
        <v>33.42</v>
      </c>
      <c r="V76" s="1171"/>
      <c r="W76" s="51">
        <f>K76*254*566*16/1000000000</f>
        <v>6.9006719999999994E-2</v>
      </c>
      <c r="X76" s="55">
        <v>0</v>
      </c>
      <c r="Y76" s="33"/>
      <c r="Z76" s="33"/>
    </row>
    <row r="77" spans="1:26" ht="15" customHeight="1">
      <c r="A77" s="1174"/>
      <c r="B77" s="1177"/>
      <c r="C77" s="1156"/>
      <c r="D77" s="1156"/>
      <c r="E77" s="1156"/>
      <c r="F77" s="1156"/>
      <c r="G77" s="46" t="s">
        <v>334</v>
      </c>
      <c r="H77" s="46" t="s">
        <v>335</v>
      </c>
      <c r="I77" s="52">
        <f>F72</f>
        <v>1</v>
      </c>
      <c r="J77" s="1168"/>
      <c r="K77" s="44">
        <f>I77*J72</f>
        <v>30</v>
      </c>
      <c r="L77" s="45" t="s">
        <v>336</v>
      </c>
      <c r="M77" s="46" t="s">
        <v>337</v>
      </c>
      <c r="N77" s="46">
        <v>1</v>
      </c>
      <c r="R77" s="49">
        <f>K77*708*566/1000000/0.9</f>
        <v>13.357599999999998</v>
      </c>
      <c r="S77" s="50"/>
      <c r="T77" s="50"/>
      <c r="U77" s="50"/>
      <c r="V77" s="1171"/>
      <c r="W77" s="51">
        <f>K77*708*578*3/1000000000</f>
        <v>3.6830160000000001E-2</v>
      </c>
      <c r="X77" s="55">
        <v>0</v>
      </c>
      <c r="Y77" s="33"/>
      <c r="Z77" s="33"/>
    </row>
    <row r="78" spans="1:26" ht="15" customHeight="1" thickBot="1">
      <c r="A78" s="1175"/>
      <c r="B78" s="1178"/>
      <c r="C78" s="1157"/>
      <c r="D78" s="1157"/>
      <c r="E78" s="1157"/>
      <c r="F78" s="1157"/>
      <c r="G78" s="57" t="s">
        <v>229</v>
      </c>
      <c r="H78" s="57" t="s">
        <v>230</v>
      </c>
      <c r="I78" s="58">
        <f>F72</f>
        <v>1</v>
      </c>
      <c r="J78" s="1169"/>
      <c r="K78" s="59">
        <f>I78*J72</f>
        <v>30</v>
      </c>
      <c r="L78" s="45" t="s">
        <v>231</v>
      </c>
      <c r="M78" s="46" t="s">
        <v>232</v>
      </c>
      <c r="N78" s="46">
        <v>1</v>
      </c>
      <c r="R78" s="49">
        <f>K78*88*567/1000000/0.9</f>
        <v>1.6632</v>
      </c>
      <c r="S78" s="50">
        <f>K78*((560+720)+10)/1000</f>
        <v>38.700000000000003</v>
      </c>
      <c r="T78" s="50">
        <f t="shared" si="2"/>
        <v>17.009999999999998</v>
      </c>
      <c r="U78" s="50">
        <f>S78-0.567*K78</f>
        <v>21.690000000000005</v>
      </c>
      <c r="V78" s="1172"/>
      <c r="W78" s="51">
        <f>K78*88*567*16/1000000000</f>
        <v>2.3950079999999999E-2</v>
      </c>
      <c r="X78" s="55">
        <v>1</v>
      </c>
      <c r="Y78" s="33"/>
      <c r="Z78" s="33"/>
    </row>
    <row r="79" spans="1:26" ht="15" customHeight="1">
      <c r="A79" s="1173"/>
      <c r="B79" s="1176" t="s">
        <v>392</v>
      </c>
      <c r="C79" s="1155">
        <v>450</v>
      </c>
      <c r="D79" s="1155">
        <v>300</v>
      </c>
      <c r="E79" s="1155">
        <v>720</v>
      </c>
      <c r="F79" s="1155">
        <v>1</v>
      </c>
      <c r="G79" s="42" t="s">
        <v>298</v>
      </c>
      <c r="H79" s="42" t="s">
        <v>299</v>
      </c>
      <c r="I79" s="43">
        <f>F79</f>
        <v>1</v>
      </c>
      <c r="J79" s="1167">
        <v>35</v>
      </c>
      <c r="K79" s="44">
        <f>I79*J79</f>
        <v>35</v>
      </c>
      <c r="L79" s="45" t="s">
        <v>300</v>
      </c>
      <c r="M79" s="46" t="s">
        <v>301</v>
      </c>
      <c r="N79" s="46">
        <v>1</v>
      </c>
      <c r="R79" s="49">
        <f>K79*300*720/1000000/0.9</f>
        <v>8.3999999999999986</v>
      </c>
      <c r="S79" s="50">
        <f>K79*((300+720)*2+40)/1000</f>
        <v>72.8</v>
      </c>
      <c r="T79" s="50">
        <f t="shared" ref="T79:T83" si="11">S79-U79</f>
        <v>25.200000000000003</v>
      </c>
      <c r="U79" s="50">
        <f t="shared" ref="U79:U80" si="12">S79-0.72*K79</f>
        <v>47.599999999999994</v>
      </c>
      <c r="V79" s="1170">
        <f>J79*11</f>
        <v>385</v>
      </c>
      <c r="W79" s="51">
        <f>K79*300*720*16/1000000000</f>
        <v>0.12096</v>
      </c>
      <c r="X79" s="55">
        <v>1</v>
      </c>
      <c r="Y79" s="33"/>
      <c r="Z79" s="33"/>
    </row>
    <row r="80" spans="1:26" ht="15" customHeight="1">
      <c r="A80" s="1174"/>
      <c r="B80" s="1177"/>
      <c r="C80" s="1179"/>
      <c r="D80" s="1179"/>
      <c r="E80" s="1179"/>
      <c r="F80" s="1179"/>
      <c r="G80" s="46" t="s">
        <v>302</v>
      </c>
      <c r="H80" s="46" t="s">
        <v>303</v>
      </c>
      <c r="I80" s="52">
        <f>F79</f>
        <v>1</v>
      </c>
      <c r="J80" s="1168"/>
      <c r="K80" s="44">
        <f>I80*J79</f>
        <v>35</v>
      </c>
      <c r="L80" s="45" t="s">
        <v>304</v>
      </c>
      <c r="M80" s="46" t="s">
        <v>305</v>
      </c>
      <c r="N80" s="46">
        <v>1</v>
      </c>
      <c r="R80" s="49">
        <f>K80*300*720/1000000/0.9</f>
        <v>8.3999999999999986</v>
      </c>
      <c r="S80" s="50">
        <f>K80*((300+720)*2+40)/1000</f>
        <v>72.8</v>
      </c>
      <c r="T80" s="50">
        <f t="shared" si="11"/>
        <v>25.200000000000003</v>
      </c>
      <c r="U80" s="50">
        <f t="shared" si="12"/>
        <v>47.599999999999994</v>
      </c>
      <c r="V80" s="1171"/>
      <c r="W80" s="51">
        <f>K80*300*720*16/1000000000</f>
        <v>0.12096</v>
      </c>
      <c r="X80" s="55">
        <v>1</v>
      </c>
      <c r="Y80" s="33"/>
      <c r="Z80" s="33"/>
    </row>
    <row r="81" spans="1:26" ht="15" customHeight="1">
      <c r="A81" s="1174"/>
      <c r="B81" s="1177"/>
      <c r="C81" s="1179"/>
      <c r="D81" s="1179"/>
      <c r="E81" s="1179"/>
      <c r="F81" s="1179"/>
      <c r="G81" s="46" t="s">
        <v>306</v>
      </c>
      <c r="H81" s="46" t="s">
        <v>307</v>
      </c>
      <c r="I81" s="52">
        <f>F79</f>
        <v>1</v>
      </c>
      <c r="J81" s="1168"/>
      <c r="K81" s="44">
        <f>I81*J79</f>
        <v>35</v>
      </c>
      <c r="L81" s="45" t="s">
        <v>308</v>
      </c>
      <c r="M81" s="46" t="s">
        <v>309</v>
      </c>
      <c r="N81" s="46">
        <v>1</v>
      </c>
      <c r="R81" s="49">
        <f>K81*300*417/1000000/0.9</f>
        <v>4.8649999999999993</v>
      </c>
      <c r="S81" s="50">
        <f>K81*((300+417)*2+40)/1000</f>
        <v>51.59</v>
      </c>
      <c r="T81" s="50">
        <f t="shared" si="11"/>
        <v>14.594999999999999</v>
      </c>
      <c r="U81" s="50">
        <f>S81-0.417*K81</f>
        <v>36.995000000000005</v>
      </c>
      <c r="V81" s="1171"/>
      <c r="W81" s="51">
        <f>K81*300*417*16/1000000000</f>
        <v>7.0055999999999993E-2</v>
      </c>
      <c r="X81" s="55">
        <v>0</v>
      </c>
      <c r="Y81" s="33"/>
      <c r="Z81" s="33"/>
    </row>
    <row r="82" spans="1:26" ht="15" customHeight="1">
      <c r="A82" s="1174"/>
      <c r="B82" s="1177"/>
      <c r="C82" s="1179"/>
      <c r="D82" s="1179"/>
      <c r="E82" s="1179"/>
      <c r="F82" s="1179"/>
      <c r="G82" s="46" t="s">
        <v>310</v>
      </c>
      <c r="H82" s="46" t="s">
        <v>311</v>
      </c>
      <c r="I82" s="52">
        <f>F79</f>
        <v>1</v>
      </c>
      <c r="J82" s="1168"/>
      <c r="K82" s="44">
        <f>I82*J79</f>
        <v>35</v>
      </c>
      <c r="L82" s="45" t="s">
        <v>312</v>
      </c>
      <c r="M82" s="46" t="s">
        <v>313</v>
      </c>
      <c r="N82" s="46">
        <v>1</v>
      </c>
      <c r="R82" s="49">
        <f>K82*277*417/1000000/0.9</f>
        <v>4.4920166666666663</v>
      </c>
      <c r="S82" s="50">
        <f>K82*((277+417)*2+40)/1000</f>
        <v>49.98</v>
      </c>
      <c r="T82" s="50">
        <f t="shared" si="11"/>
        <v>14.594999999999999</v>
      </c>
      <c r="U82" s="50">
        <f>S82-0.417*K82</f>
        <v>35.384999999999998</v>
      </c>
      <c r="V82" s="1171"/>
      <c r="W82" s="51">
        <f>K82*277*417*16/1000000000</f>
        <v>6.4685039999999999E-2</v>
      </c>
      <c r="X82" s="55">
        <v>0</v>
      </c>
      <c r="Y82" s="33"/>
      <c r="Z82" s="33"/>
    </row>
    <row r="83" spans="1:26" ht="15" customHeight="1">
      <c r="A83" s="1174"/>
      <c r="B83" s="1177"/>
      <c r="C83" s="1179"/>
      <c r="D83" s="1179"/>
      <c r="E83" s="1179"/>
      <c r="F83" s="1179"/>
      <c r="G83" s="88" t="s">
        <v>376</v>
      </c>
      <c r="H83" s="88" t="s">
        <v>377</v>
      </c>
      <c r="I83" s="52">
        <f>F79</f>
        <v>1</v>
      </c>
      <c r="J83" s="1168"/>
      <c r="K83" s="44">
        <f>I83*J79</f>
        <v>35</v>
      </c>
      <c r="L83" s="45" t="s">
        <v>316</v>
      </c>
      <c r="M83" s="46" t="s">
        <v>317</v>
      </c>
      <c r="N83" s="46">
        <v>1</v>
      </c>
      <c r="R83" s="49">
        <f>K83*254*416/1000000/0.9</f>
        <v>4.1091555555555557</v>
      </c>
      <c r="S83" s="50">
        <f>K83*((254+416)*2+40)/1000</f>
        <v>48.3</v>
      </c>
      <c r="T83" s="50">
        <f t="shared" si="11"/>
        <v>14.560000000000002</v>
      </c>
      <c r="U83" s="50">
        <f>S83-0.416*K83</f>
        <v>33.739999999999995</v>
      </c>
      <c r="V83" s="1171"/>
      <c r="W83" s="51">
        <f>K83*254*416*16/1000000000</f>
        <v>5.9171840000000003E-2</v>
      </c>
      <c r="X83" s="55">
        <v>0</v>
      </c>
      <c r="Y83" s="33"/>
      <c r="Z83" s="33"/>
    </row>
    <row r="84" spans="1:26" ht="15" customHeight="1">
      <c r="A84" s="1174"/>
      <c r="B84" s="1177"/>
      <c r="C84" s="1179"/>
      <c r="D84" s="1179"/>
      <c r="E84" s="1179"/>
      <c r="F84" s="1179"/>
      <c r="G84" s="46" t="s">
        <v>318</v>
      </c>
      <c r="H84" s="46" t="s">
        <v>319</v>
      </c>
      <c r="I84" s="52">
        <f>F79</f>
        <v>1</v>
      </c>
      <c r="J84" s="1168"/>
      <c r="K84" s="44">
        <f>I84*J79</f>
        <v>35</v>
      </c>
      <c r="L84" s="45" t="s">
        <v>320</v>
      </c>
      <c r="M84" s="46" t="s">
        <v>321</v>
      </c>
      <c r="N84" s="46">
        <v>1</v>
      </c>
      <c r="R84" s="49">
        <f>K84*708*428/1000000/0.9</f>
        <v>11.784266666666667</v>
      </c>
      <c r="S84" s="50"/>
      <c r="T84" s="50"/>
      <c r="U84" s="50"/>
      <c r="V84" s="1171"/>
      <c r="W84" s="51">
        <f>K84*708*428*3/1000000000</f>
        <v>3.1817520000000002E-2</v>
      </c>
      <c r="X84" s="55">
        <v>0</v>
      </c>
      <c r="Y84" s="33"/>
      <c r="Z84" s="33"/>
    </row>
    <row r="85" spans="1:26" ht="15" customHeight="1" thickBot="1">
      <c r="A85" s="1174"/>
      <c r="B85" s="1177"/>
      <c r="C85" s="1180"/>
      <c r="D85" s="1180"/>
      <c r="E85" s="1180"/>
      <c r="F85" s="1180"/>
      <c r="G85" s="57" t="s">
        <v>205</v>
      </c>
      <c r="H85" s="57" t="s">
        <v>206</v>
      </c>
      <c r="I85" s="58">
        <f>F79</f>
        <v>1</v>
      </c>
      <c r="J85" s="1169"/>
      <c r="K85" s="59">
        <f>I85*J79</f>
        <v>35</v>
      </c>
      <c r="L85" s="45" t="s">
        <v>207</v>
      </c>
      <c r="M85" s="46" t="s">
        <v>208</v>
      </c>
      <c r="N85" s="46">
        <v>1</v>
      </c>
      <c r="R85" s="49">
        <f>K85*88*417/1000000/0.9</f>
        <v>1.4270666666666665</v>
      </c>
      <c r="S85" s="50">
        <f>K85*((88+417)+10)/1000</f>
        <v>18.024999999999999</v>
      </c>
      <c r="T85" s="50">
        <f t="shared" ref="T85:T90" si="13">S85-U85</f>
        <v>18.024999999999999</v>
      </c>
      <c r="U85" s="50"/>
      <c r="V85" s="1172"/>
      <c r="W85" s="51">
        <f>K85*88*417*16/1000000000</f>
        <v>2.054976E-2</v>
      </c>
      <c r="X85" s="55">
        <v>1</v>
      </c>
      <c r="Y85" s="33"/>
      <c r="Z85" s="33"/>
    </row>
    <row r="86" spans="1:26" ht="15" customHeight="1">
      <c r="A86" s="1174"/>
      <c r="B86" s="1177"/>
      <c r="C86" s="1156">
        <v>600</v>
      </c>
      <c r="D86" s="1156">
        <v>300</v>
      </c>
      <c r="E86" s="1156">
        <v>720</v>
      </c>
      <c r="F86" s="1156">
        <v>1</v>
      </c>
      <c r="G86" s="89" t="s">
        <v>298</v>
      </c>
      <c r="H86" s="89" t="s">
        <v>299</v>
      </c>
      <c r="I86" s="90">
        <f>F86</f>
        <v>1</v>
      </c>
      <c r="J86" s="1167">
        <v>30</v>
      </c>
      <c r="K86" s="44">
        <f>I86*J86</f>
        <v>30</v>
      </c>
      <c r="L86" s="45" t="s">
        <v>300</v>
      </c>
      <c r="M86" s="46" t="s">
        <v>301</v>
      </c>
      <c r="N86" s="46">
        <v>1</v>
      </c>
      <c r="R86" s="49">
        <f>K86*300*720/1000000/0.9</f>
        <v>7.2</v>
      </c>
      <c r="S86" s="50">
        <f>K86*((300+720)*2+40)/1000</f>
        <v>62.4</v>
      </c>
      <c r="T86" s="50">
        <f t="shared" si="13"/>
        <v>21.6</v>
      </c>
      <c r="U86" s="50">
        <f t="shared" ref="U86:U87" si="14">S86-0.72*K86</f>
        <v>40.799999999999997</v>
      </c>
      <c r="V86" s="1170">
        <f>J86*11</f>
        <v>330</v>
      </c>
      <c r="W86" s="51">
        <f>K86*300*720*16/1000000000</f>
        <v>0.10367999999999999</v>
      </c>
      <c r="X86" s="55">
        <v>1</v>
      </c>
      <c r="Y86" s="33"/>
      <c r="Z86" s="33"/>
    </row>
    <row r="87" spans="1:26" ht="15" customHeight="1">
      <c r="A87" s="1174"/>
      <c r="B87" s="1177"/>
      <c r="C87" s="1156"/>
      <c r="D87" s="1156"/>
      <c r="E87" s="1156"/>
      <c r="F87" s="1156"/>
      <c r="G87" s="46" t="s">
        <v>302</v>
      </c>
      <c r="H87" s="46" t="s">
        <v>303</v>
      </c>
      <c r="I87" s="52">
        <f>F86</f>
        <v>1</v>
      </c>
      <c r="J87" s="1168"/>
      <c r="K87" s="44">
        <f>I87*J86</f>
        <v>30</v>
      </c>
      <c r="L87" s="45" t="s">
        <v>304</v>
      </c>
      <c r="M87" s="46" t="s">
        <v>305</v>
      </c>
      <c r="N87" s="46">
        <v>1</v>
      </c>
      <c r="R87" s="49">
        <f>K87*300*720/1000000/0.9</f>
        <v>7.2</v>
      </c>
      <c r="S87" s="50">
        <f>K87*((300+720)*2+40)/1000</f>
        <v>62.4</v>
      </c>
      <c r="T87" s="50">
        <f t="shared" si="13"/>
        <v>21.6</v>
      </c>
      <c r="U87" s="50">
        <f t="shared" si="14"/>
        <v>40.799999999999997</v>
      </c>
      <c r="V87" s="1171"/>
      <c r="W87" s="51">
        <f>K87*300*720*16/1000000000</f>
        <v>0.10367999999999999</v>
      </c>
      <c r="X87" s="55">
        <v>1</v>
      </c>
      <c r="Y87" s="33"/>
      <c r="Z87" s="33"/>
    </row>
    <row r="88" spans="1:26" ht="15" customHeight="1">
      <c r="A88" s="1174"/>
      <c r="B88" s="1177"/>
      <c r="C88" s="1156"/>
      <c r="D88" s="1156"/>
      <c r="E88" s="1156"/>
      <c r="F88" s="1156"/>
      <c r="G88" s="46" t="s">
        <v>322</v>
      </c>
      <c r="H88" s="46" t="s">
        <v>323</v>
      </c>
      <c r="I88" s="52">
        <f>F86</f>
        <v>1</v>
      </c>
      <c r="J88" s="1168"/>
      <c r="K88" s="44">
        <f>I88*J86</f>
        <v>30</v>
      </c>
      <c r="L88" s="45" t="s">
        <v>324</v>
      </c>
      <c r="M88" s="46" t="s">
        <v>325</v>
      </c>
      <c r="N88" s="46">
        <v>1</v>
      </c>
      <c r="R88" s="49">
        <f>K88*300*720/1000000/0.9</f>
        <v>7.2</v>
      </c>
      <c r="S88" s="50">
        <f>K88*((300+720)*2+40)/1000</f>
        <v>62.4</v>
      </c>
      <c r="T88" s="50">
        <f t="shared" si="13"/>
        <v>17.009999999999998</v>
      </c>
      <c r="U88" s="50">
        <f>S88-0.567*K88</f>
        <v>45.39</v>
      </c>
      <c r="V88" s="1171"/>
      <c r="W88" s="51">
        <f>K88*300*720*16/1000000000</f>
        <v>0.10367999999999999</v>
      </c>
      <c r="X88" s="55">
        <v>0</v>
      </c>
      <c r="Y88" s="33"/>
      <c r="Z88" s="33"/>
    </row>
    <row r="89" spans="1:26" ht="15" customHeight="1">
      <c r="A89" s="1174"/>
      <c r="B89" s="1177"/>
      <c r="C89" s="1156"/>
      <c r="D89" s="1156"/>
      <c r="E89" s="1156"/>
      <c r="F89" s="1156"/>
      <c r="G89" s="46" t="s">
        <v>326</v>
      </c>
      <c r="H89" s="46" t="s">
        <v>327</v>
      </c>
      <c r="I89" s="52">
        <f>F86</f>
        <v>1</v>
      </c>
      <c r="J89" s="1168"/>
      <c r="K89" s="44">
        <f>I89*J86</f>
        <v>30</v>
      </c>
      <c r="L89" s="45" t="s">
        <v>328</v>
      </c>
      <c r="M89" s="46" t="s">
        <v>329</v>
      </c>
      <c r="N89" s="46">
        <v>1</v>
      </c>
      <c r="R89" s="49">
        <f>K89*277*567/1000000/0.9</f>
        <v>5.2352999999999996</v>
      </c>
      <c r="S89" s="50">
        <f>K89*((277+567)*2+40)/1000</f>
        <v>51.84</v>
      </c>
      <c r="T89" s="50">
        <f t="shared" si="13"/>
        <v>17.009999999999998</v>
      </c>
      <c r="U89" s="50">
        <f>S89-0.567*K89</f>
        <v>34.830000000000005</v>
      </c>
      <c r="V89" s="1171"/>
      <c r="W89" s="51">
        <f>K89*277*567*16/1000000000</f>
        <v>7.5388319999999995E-2</v>
      </c>
      <c r="X89" s="55">
        <v>0</v>
      </c>
      <c r="Y89" s="33"/>
      <c r="Z89" s="33"/>
    </row>
    <row r="90" spans="1:26" ht="15" customHeight="1">
      <c r="A90" s="1174"/>
      <c r="B90" s="1177"/>
      <c r="C90" s="1156"/>
      <c r="D90" s="1156"/>
      <c r="E90" s="1156"/>
      <c r="F90" s="1156"/>
      <c r="G90" s="88" t="s">
        <v>378</v>
      </c>
      <c r="H90" s="88" t="s">
        <v>379</v>
      </c>
      <c r="I90" s="52">
        <f>F86</f>
        <v>1</v>
      </c>
      <c r="J90" s="1168"/>
      <c r="K90" s="44">
        <f>I90*J86</f>
        <v>30</v>
      </c>
      <c r="L90" s="45" t="s">
        <v>332</v>
      </c>
      <c r="M90" s="46" t="s">
        <v>333</v>
      </c>
      <c r="N90" s="46">
        <v>1</v>
      </c>
      <c r="R90" s="49">
        <f>K90*254*566/1000000/0.9</f>
        <v>4.7921333333333331</v>
      </c>
      <c r="S90" s="50">
        <f>K90*((254+566)*2+40)/1000</f>
        <v>50.4</v>
      </c>
      <c r="T90" s="50">
        <f t="shared" si="13"/>
        <v>16.979999999999997</v>
      </c>
      <c r="U90" s="50">
        <f>S90-0.566*K90</f>
        <v>33.42</v>
      </c>
      <c r="V90" s="1171"/>
      <c r="W90" s="51">
        <f>K90*254*566*16/1000000000</f>
        <v>6.9006719999999994E-2</v>
      </c>
      <c r="X90" s="55">
        <v>0</v>
      </c>
      <c r="Y90" s="33"/>
      <c r="Z90" s="33"/>
    </row>
    <row r="91" spans="1:26" ht="15" customHeight="1">
      <c r="A91" s="1174"/>
      <c r="B91" s="1177"/>
      <c r="C91" s="1156"/>
      <c r="D91" s="1156"/>
      <c r="E91" s="1156"/>
      <c r="F91" s="1156"/>
      <c r="G91" s="46" t="s">
        <v>334</v>
      </c>
      <c r="H91" s="46" t="s">
        <v>335</v>
      </c>
      <c r="I91" s="52">
        <f>F86</f>
        <v>1</v>
      </c>
      <c r="J91" s="1168"/>
      <c r="K91" s="44">
        <f>I91*J86</f>
        <v>30</v>
      </c>
      <c r="L91" s="45" t="s">
        <v>336</v>
      </c>
      <c r="M91" s="46" t="s">
        <v>337</v>
      </c>
      <c r="N91" s="46">
        <v>1</v>
      </c>
      <c r="R91" s="49">
        <f>K91*708*566/1000000/0.9</f>
        <v>13.357599999999998</v>
      </c>
      <c r="S91" s="50"/>
      <c r="T91" s="50"/>
      <c r="U91" s="50"/>
      <c r="V91" s="1171"/>
      <c r="W91" s="51">
        <f>K91*708*578*3/1000000000</f>
        <v>3.6830160000000001E-2</v>
      </c>
      <c r="X91" s="55">
        <v>0</v>
      </c>
      <c r="Y91" s="33"/>
      <c r="Z91" s="33"/>
    </row>
    <row r="92" spans="1:26" ht="15" customHeight="1" thickBot="1">
      <c r="A92" s="1175"/>
      <c r="B92" s="1178"/>
      <c r="C92" s="1157"/>
      <c r="D92" s="1157"/>
      <c r="E92" s="1157"/>
      <c r="F92" s="1157"/>
      <c r="G92" s="57" t="s">
        <v>229</v>
      </c>
      <c r="H92" s="57" t="s">
        <v>230</v>
      </c>
      <c r="I92" s="58">
        <f>F86</f>
        <v>1</v>
      </c>
      <c r="J92" s="1169"/>
      <c r="K92" s="59">
        <f>I92*J86</f>
        <v>30</v>
      </c>
      <c r="L92" s="45" t="s">
        <v>231</v>
      </c>
      <c r="M92" s="46" t="s">
        <v>232</v>
      </c>
      <c r="N92" s="46">
        <v>1</v>
      </c>
      <c r="R92" s="49">
        <f>K92*88*567/1000000/0.9</f>
        <v>1.6632</v>
      </c>
      <c r="S92" s="50">
        <f>K92*((560+720)+10)/1000</f>
        <v>38.700000000000003</v>
      </c>
      <c r="T92" s="50">
        <f t="shared" ref="T92" si="15">S92-U92</f>
        <v>17.009999999999998</v>
      </c>
      <c r="U92" s="50">
        <f>S92-0.567*K92</f>
        <v>21.690000000000005</v>
      </c>
      <c r="V92" s="1172"/>
      <c r="W92" s="51">
        <f>K92*88*567*16/1000000000</f>
        <v>2.3950079999999999E-2</v>
      </c>
      <c r="X92" s="55">
        <v>1</v>
      </c>
      <c r="Y92" s="33"/>
      <c r="Z92" s="33"/>
    </row>
    <row r="93" spans="1:26" ht="15" customHeight="1">
      <c r="A93" s="1173"/>
      <c r="B93" s="1176" t="s">
        <v>394</v>
      </c>
      <c r="C93" s="1155">
        <v>900</v>
      </c>
      <c r="D93" s="1155">
        <v>300</v>
      </c>
      <c r="E93" s="1155">
        <v>720</v>
      </c>
      <c r="F93" s="1155">
        <v>1</v>
      </c>
      <c r="G93" s="42" t="s">
        <v>298</v>
      </c>
      <c r="H93" s="42" t="s">
        <v>299</v>
      </c>
      <c r="I93" s="43">
        <f>F93</f>
        <v>1</v>
      </c>
      <c r="J93" s="1167">
        <v>40</v>
      </c>
      <c r="K93" s="44">
        <f>I93*J93</f>
        <v>40</v>
      </c>
      <c r="L93" s="45" t="s">
        <v>300</v>
      </c>
      <c r="M93" s="46" t="s">
        <v>301</v>
      </c>
      <c r="N93" s="46">
        <v>1</v>
      </c>
      <c r="R93" s="49">
        <f>K93*300*720/1000000/0.9</f>
        <v>9.6</v>
      </c>
      <c r="S93" s="50">
        <f>K93*((300+720)*2+40)/1000</f>
        <v>83.2</v>
      </c>
      <c r="T93" s="50">
        <f t="shared" si="2"/>
        <v>28.799999999999997</v>
      </c>
      <c r="U93" s="50">
        <f t="shared" si="3"/>
        <v>54.400000000000006</v>
      </c>
      <c r="V93" s="1170">
        <f>J93*11</f>
        <v>440</v>
      </c>
      <c r="W93" s="51">
        <f>K93*300*720*16/1000000000</f>
        <v>0.13824</v>
      </c>
      <c r="X93" s="55">
        <v>1</v>
      </c>
      <c r="Y93" s="33"/>
      <c r="Z93" s="33"/>
    </row>
    <row r="94" spans="1:26" ht="15" customHeight="1">
      <c r="A94" s="1174"/>
      <c r="B94" s="1177"/>
      <c r="C94" s="1156"/>
      <c r="D94" s="1156"/>
      <c r="E94" s="1156"/>
      <c r="F94" s="1156"/>
      <c r="G94" s="46" t="s">
        <v>302</v>
      </c>
      <c r="H94" s="46" t="s">
        <v>303</v>
      </c>
      <c r="I94" s="52">
        <f>F93</f>
        <v>1</v>
      </c>
      <c r="J94" s="1168"/>
      <c r="K94" s="44">
        <f>I94*J93</f>
        <v>40</v>
      </c>
      <c r="L94" s="45" t="s">
        <v>304</v>
      </c>
      <c r="M94" s="46" t="s">
        <v>305</v>
      </c>
      <c r="N94" s="46">
        <v>1</v>
      </c>
      <c r="R94" s="49">
        <f>K94*300*720/1000000/0.9</f>
        <v>9.6</v>
      </c>
      <c r="S94" s="50">
        <f>K94*((300+720)*2+40)/1000</f>
        <v>83.2</v>
      </c>
      <c r="T94" s="50">
        <f t="shared" si="2"/>
        <v>28.799999999999997</v>
      </c>
      <c r="U94" s="50">
        <f t="shared" si="3"/>
        <v>54.400000000000006</v>
      </c>
      <c r="V94" s="1171"/>
      <c r="W94" s="51">
        <f>K94*300*720*16/1000000000</f>
        <v>0.13824</v>
      </c>
      <c r="X94" s="55">
        <v>1</v>
      </c>
      <c r="Y94" s="33"/>
      <c r="Z94" s="33"/>
    </row>
    <row r="95" spans="1:26" ht="15" customHeight="1">
      <c r="A95" s="1174"/>
      <c r="B95" s="1177"/>
      <c r="C95" s="1156"/>
      <c r="D95" s="1156"/>
      <c r="E95" s="1156"/>
      <c r="F95" s="1156"/>
      <c r="G95" s="46" t="s">
        <v>339</v>
      </c>
      <c r="H95" s="46" t="s">
        <v>340</v>
      </c>
      <c r="I95" s="52">
        <f>F93</f>
        <v>1</v>
      </c>
      <c r="J95" s="1168"/>
      <c r="K95" s="44">
        <f>I95*J93</f>
        <v>40</v>
      </c>
      <c r="L95" s="45" t="s">
        <v>341</v>
      </c>
      <c r="M95" s="46" t="s">
        <v>342</v>
      </c>
      <c r="N95" s="46">
        <v>1</v>
      </c>
      <c r="R95" s="49">
        <f>K95*300*867/1000000/0.9</f>
        <v>11.56</v>
      </c>
      <c r="S95" s="50">
        <f>K95*((300+867)*2+40)/1000</f>
        <v>94.96</v>
      </c>
      <c r="T95" s="50">
        <f t="shared" si="2"/>
        <v>34.68</v>
      </c>
      <c r="U95" s="50">
        <f>S95-0.867*K95</f>
        <v>60.279999999999994</v>
      </c>
      <c r="V95" s="1171"/>
      <c r="W95" s="51">
        <f>K95*300*867*16/1000000000</f>
        <v>0.166464</v>
      </c>
      <c r="X95" s="55">
        <v>1</v>
      </c>
      <c r="Y95" s="33"/>
      <c r="Z95" s="33"/>
    </row>
    <row r="96" spans="1:26" ht="15" customHeight="1">
      <c r="A96" s="1174"/>
      <c r="B96" s="1177"/>
      <c r="C96" s="1156"/>
      <c r="D96" s="1156"/>
      <c r="E96" s="1156"/>
      <c r="F96" s="1156"/>
      <c r="G96" s="46" t="s">
        <v>343</v>
      </c>
      <c r="H96" s="46" t="s">
        <v>344</v>
      </c>
      <c r="I96" s="52">
        <f>F93</f>
        <v>1</v>
      </c>
      <c r="J96" s="1168"/>
      <c r="K96" s="44">
        <f>I96*J93</f>
        <v>40</v>
      </c>
      <c r="L96" s="45" t="s">
        <v>345</v>
      </c>
      <c r="M96" s="46" t="s">
        <v>346</v>
      </c>
      <c r="N96" s="46">
        <v>1</v>
      </c>
      <c r="R96" s="49">
        <f>K96*277*867/1000000/0.9</f>
        <v>10.673733333333333</v>
      </c>
      <c r="S96" s="50">
        <f>K96*((277+867)*2+40)/1000</f>
        <v>93.12</v>
      </c>
      <c r="T96" s="50">
        <f t="shared" si="2"/>
        <v>34.68</v>
      </c>
      <c r="U96" s="50">
        <f>S96-0.867*K96</f>
        <v>58.440000000000005</v>
      </c>
      <c r="V96" s="1171"/>
      <c r="W96" s="51">
        <f>K96*277*867*16/1000000000</f>
        <v>0.15370175999999999</v>
      </c>
      <c r="X96" s="55">
        <v>0</v>
      </c>
      <c r="Y96" s="33"/>
      <c r="Z96" s="33"/>
    </row>
    <row r="97" spans="1:26" ht="15" customHeight="1">
      <c r="A97" s="1174"/>
      <c r="B97" s="1177"/>
      <c r="C97" s="1156"/>
      <c r="D97" s="1156"/>
      <c r="E97" s="1156"/>
      <c r="F97" s="1156"/>
      <c r="G97" s="46" t="s">
        <v>347</v>
      </c>
      <c r="H97" s="46" t="s">
        <v>348</v>
      </c>
      <c r="I97" s="52">
        <f>F93</f>
        <v>1</v>
      </c>
      <c r="J97" s="1168"/>
      <c r="K97" s="44">
        <f>I97*J93</f>
        <v>40</v>
      </c>
      <c r="L97" s="45" t="s">
        <v>349</v>
      </c>
      <c r="M97" s="46" t="s">
        <v>350</v>
      </c>
      <c r="N97" s="46">
        <v>1</v>
      </c>
      <c r="R97" s="49">
        <f>K97*254*866/1000000/0.9</f>
        <v>9.776177777777777</v>
      </c>
      <c r="S97" s="50">
        <f>K97*((254+866)*2+40)/1000</f>
        <v>91.2</v>
      </c>
      <c r="T97" s="50">
        <f t="shared" si="2"/>
        <v>34.64</v>
      </c>
      <c r="U97" s="50">
        <f>S97-0.866*K97</f>
        <v>56.56</v>
      </c>
      <c r="V97" s="1171"/>
      <c r="W97" s="51">
        <f>K97*254*866*16/1000000000</f>
        <v>0.14077696000000001</v>
      </c>
      <c r="X97" s="55">
        <v>0</v>
      </c>
      <c r="Y97" s="33"/>
      <c r="Z97" s="33"/>
    </row>
    <row r="98" spans="1:26" ht="15" customHeight="1">
      <c r="A98" s="1174"/>
      <c r="B98" s="1177"/>
      <c r="C98" s="1156"/>
      <c r="D98" s="1156"/>
      <c r="E98" s="1156"/>
      <c r="F98" s="1156"/>
      <c r="G98" s="46" t="s">
        <v>351</v>
      </c>
      <c r="H98" s="46" t="s">
        <v>352</v>
      </c>
      <c r="I98" s="52">
        <f>F93</f>
        <v>1</v>
      </c>
      <c r="J98" s="1168"/>
      <c r="K98" s="44">
        <f>I98*J93</f>
        <v>40</v>
      </c>
      <c r="L98" s="45" t="s">
        <v>353</v>
      </c>
      <c r="M98" s="46" t="s">
        <v>354</v>
      </c>
      <c r="N98" s="46">
        <v>1</v>
      </c>
      <c r="R98" s="49">
        <f>K98*708*878/1000000/0.9</f>
        <v>27.627733333333332</v>
      </c>
      <c r="S98" s="50"/>
      <c r="T98" s="50"/>
      <c r="U98" s="50"/>
      <c r="V98" s="1171"/>
      <c r="W98" s="51">
        <f>K98*708*878*3/1000000000</f>
        <v>7.4594880000000002E-2</v>
      </c>
      <c r="X98" s="55">
        <v>0</v>
      </c>
      <c r="Y98" s="33"/>
      <c r="Z98" s="33"/>
    </row>
    <row r="99" spans="1:26" ht="15" customHeight="1" thickBot="1">
      <c r="A99" s="1175"/>
      <c r="B99" s="1178"/>
      <c r="C99" s="1157"/>
      <c r="D99" s="1157"/>
      <c r="E99" s="1157"/>
      <c r="F99" s="1157"/>
      <c r="G99" s="57" t="s">
        <v>355</v>
      </c>
      <c r="H99" s="57" t="s">
        <v>356</v>
      </c>
      <c r="I99" s="58">
        <f>F93</f>
        <v>1</v>
      </c>
      <c r="J99" s="1168"/>
      <c r="K99" s="60">
        <f>I99*J93</f>
        <v>40</v>
      </c>
      <c r="L99" s="61" t="s">
        <v>357</v>
      </c>
      <c r="M99" s="62" t="s">
        <v>358</v>
      </c>
      <c r="N99" s="62">
        <v>1</v>
      </c>
      <c r="R99" s="49">
        <f>K99*88*867/1000000/0.9</f>
        <v>3.3909333333333329</v>
      </c>
      <c r="S99" s="50">
        <f>K99*((88+867)+10)/1000</f>
        <v>38.6</v>
      </c>
      <c r="T99" s="50">
        <f t="shared" si="2"/>
        <v>34.64</v>
      </c>
      <c r="U99" s="50">
        <f t="shared" ref="U99" si="16">S99-0.866*K99</f>
        <v>3.9600000000000009</v>
      </c>
      <c r="V99" s="1172"/>
      <c r="W99" s="51">
        <f>K99*88*867*16/1000000000</f>
        <v>4.8829440000000002E-2</v>
      </c>
      <c r="X99" s="55">
        <v>1</v>
      </c>
      <c r="Y99" s="33"/>
      <c r="Z99" s="33"/>
    </row>
    <row r="100" spans="1:26" ht="15" customHeight="1">
      <c r="A100" s="1173"/>
      <c r="B100" s="1176" t="s">
        <v>338</v>
      </c>
      <c r="C100" s="1155">
        <v>900</v>
      </c>
      <c r="D100" s="1155">
        <v>300</v>
      </c>
      <c r="E100" s="1155">
        <v>720</v>
      </c>
      <c r="F100" s="1155">
        <v>1</v>
      </c>
      <c r="G100" s="42" t="s">
        <v>298</v>
      </c>
      <c r="H100" s="42" t="s">
        <v>299</v>
      </c>
      <c r="I100" s="43">
        <f>F100</f>
        <v>1</v>
      </c>
      <c r="J100" s="1167">
        <v>40</v>
      </c>
      <c r="K100" s="44">
        <f>I100*J100</f>
        <v>40</v>
      </c>
      <c r="L100" s="45" t="s">
        <v>300</v>
      </c>
      <c r="M100" s="46" t="s">
        <v>301</v>
      </c>
      <c r="N100" s="46">
        <v>1</v>
      </c>
      <c r="R100" s="49">
        <f>K100*300*720/1000000/0.9</f>
        <v>9.6</v>
      </c>
      <c r="S100" s="50">
        <f>K100*((300+720)*2+40)/1000</f>
        <v>83.2</v>
      </c>
      <c r="T100" s="50">
        <f t="shared" ref="T100:T104" si="17">S100-U100</f>
        <v>28.799999999999997</v>
      </c>
      <c r="U100" s="50">
        <f t="shared" ref="U100:U101" si="18">S100-0.72*K100</f>
        <v>54.400000000000006</v>
      </c>
      <c r="V100" s="1170">
        <f>J100*11</f>
        <v>440</v>
      </c>
      <c r="W100" s="51">
        <f>K100*300*720*16/1000000000</f>
        <v>0.13824</v>
      </c>
      <c r="X100" s="55">
        <v>1</v>
      </c>
      <c r="Y100" s="33"/>
      <c r="Z100" s="33"/>
    </row>
    <row r="101" spans="1:26" ht="15" customHeight="1">
      <c r="A101" s="1174"/>
      <c r="B101" s="1177"/>
      <c r="C101" s="1156"/>
      <c r="D101" s="1156"/>
      <c r="E101" s="1156"/>
      <c r="F101" s="1156"/>
      <c r="G101" s="46" t="s">
        <v>302</v>
      </c>
      <c r="H101" s="46" t="s">
        <v>303</v>
      </c>
      <c r="I101" s="52">
        <f>F100</f>
        <v>1</v>
      </c>
      <c r="J101" s="1168"/>
      <c r="K101" s="44">
        <f>I101*J100</f>
        <v>40</v>
      </c>
      <c r="L101" s="45" t="s">
        <v>304</v>
      </c>
      <c r="M101" s="46" t="s">
        <v>305</v>
      </c>
      <c r="N101" s="46">
        <v>1</v>
      </c>
      <c r="R101" s="49">
        <f>K101*300*720/1000000/0.9</f>
        <v>9.6</v>
      </c>
      <c r="S101" s="50">
        <f>K101*((300+720)*2+40)/1000</f>
        <v>83.2</v>
      </c>
      <c r="T101" s="50">
        <f t="shared" si="17"/>
        <v>28.799999999999997</v>
      </c>
      <c r="U101" s="50">
        <f t="shared" si="18"/>
        <v>54.400000000000006</v>
      </c>
      <c r="V101" s="1171"/>
      <c r="W101" s="51">
        <f>K101*300*720*16/1000000000</f>
        <v>0.13824</v>
      </c>
      <c r="X101" s="55">
        <v>1</v>
      </c>
      <c r="Y101" s="33"/>
      <c r="Z101" s="33"/>
    </row>
    <row r="102" spans="1:26" ht="15" customHeight="1">
      <c r="A102" s="1174"/>
      <c r="B102" s="1177"/>
      <c r="C102" s="1156"/>
      <c r="D102" s="1156"/>
      <c r="E102" s="1156"/>
      <c r="F102" s="1156"/>
      <c r="G102" s="46" t="s">
        <v>339</v>
      </c>
      <c r="H102" s="46" t="s">
        <v>340</v>
      </c>
      <c r="I102" s="52">
        <f>F100</f>
        <v>1</v>
      </c>
      <c r="J102" s="1168"/>
      <c r="K102" s="44">
        <f>I102*J100</f>
        <v>40</v>
      </c>
      <c r="L102" s="45" t="s">
        <v>341</v>
      </c>
      <c r="M102" s="46" t="s">
        <v>342</v>
      </c>
      <c r="N102" s="46">
        <v>1</v>
      </c>
      <c r="R102" s="49">
        <f>K102*300*867/1000000/0.9</f>
        <v>11.56</v>
      </c>
      <c r="S102" s="50">
        <f>K102*((300+867)*2+40)/1000</f>
        <v>94.96</v>
      </c>
      <c r="T102" s="50">
        <f t="shared" si="17"/>
        <v>34.68</v>
      </c>
      <c r="U102" s="50">
        <f>S102-0.867*K102</f>
        <v>60.279999999999994</v>
      </c>
      <c r="V102" s="1171"/>
      <c r="W102" s="51">
        <f>K102*300*867*16/1000000000</f>
        <v>0.166464</v>
      </c>
      <c r="X102" s="55">
        <v>1</v>
      </c>
      <c r="Y102" s="33"/>
      <c r="Z102" s="33"/>
    </row>
    <row r="103" spans="1:26" ht="15" customHeight="1">
      <c r="A103" s="1174"/>
      <c r="B103" s="1177"/>
      <c r="C103" s="1156"/>
      <c r="D103" s="1156"/>
      <c r="E103" s="1156"/>
      <c r="F103" s="1156"/>
      <c r="G103" s="46" t="s">
        <v>343</v>
      </c>
      <c r="H103" s="46" t="s">
        <v>344</v>
      </c>
      <c r="I103" s="52">
        <f>F100</f>
        <v>1</v>
      </c>
      <c r="J103" s="1168"/>
      <c r="K103" s="44">
        <f>I103*J100</f>
        <v>40</v>
      </c>
      <c r="L103" s="45" t="s">
        <v>345</v>
      </c>
      <c r="M103" s="46" t="s">
        <v>346</v>
      </c>
      <c r="N103" s="46">
        <v>1</v>
      </c>
      <c r="R103" s="49">
        <f>K103*277*867/1000000/0.9</f>
        <v>10.673733333333333</v>
      </c>
      <c r="S103" s="50">
        <f>K103*((277+867)*2+40)/1000</f>
        <v>93.12</v>
      </c>
      <c r="T103" s="50">
        <f t="shared" si="17"/>
        <v>34.68</v>
      </c>
      <c r="U103" s="50">
        <f>S103-0.867*K103</f>
        <v>58.440000000000005</v>
      </c>
      <c r="V103" s="1171"/>
      <c r="W103" s="51">
        <f>K103*277*867*16/1000000000</f>
        <v>0.15370175999999999</v>
      </c>
      <c r="X103" s="55">
        <v>0</v>
      </c>
      <c r="Y103" s="33"/>
      <c r="Z103" s="33"/>
    </row>
    <row r="104" spans="1:26" ht="15" customHeight="1">
      <c r="A104" s="1174"/>
      <c r="B104" s="1177"/>
      <c r="C104" s="1156"/>
      <c r="D104" s="1156"/>
      <c r="E104" s="1156"/>
      <c r="F104" s="1156"/>
      <c r="G104" s="88" t="s">
        <v>380</v>
      </c>
      <c r="H104" s="88" t="s">
        <v>381</v>
      </c>
      <c r="I104" s="52">
        <f>F100</f>
        <v>1</v>
      </c>
      <c r="J104" s="1168"/>
      <c r="K104" s="44">
        <f>I104*J100</f>
        <v>40</v>
      </c>
      <c r="L104" s="45" t="s">
        <v>349</v>
      </c>
      <c r="M104" s="46" t="s">
        <v>350</v>
      </c>
      <c r="N104" s="46">
        <v>1</v>
      </c>
      <c r="R104" s="49">
        <f>K104*254*866/1000000/0.9</f>
        <v>9.776177777777777</v>
      </c>
      <c r="S104" s="50">
        <f>K104*((254+866)*2+40)/1000</f>
        <v>91.2</v>
      </c>
      <c r="T104" s="50">
        <f t="shared" si="17"/>
        <v>34.64</v>
      </c>
      <c r="U104" s="50">
        <f>S104-0.866*K104</f>
        <v>56.56</v>
      </c>
      <c r="V104" s="1171"/>
      <c r="W104" s="51">
        <f>K104*254*866*16/1000000000</f>
        <v>0.14077696000000001</v>
      </c>
      <c r="X104" s="55">
        <v>0</v>
      </c>
      <c r="Y104" s="33"/>
      <c r="Z104" s="33"/>
    </row>
    <row r="105" spans="1:26" ht="15" customHeight="1">
      <c r="A105" s="1174"/>
      <c r="B105" s="1177"/>
      <c r="C105" s="1156"/>
      <c r="D105" s="1156"/>
      <c r="E105" s="1156"/>
      <c r="F105" s="1156"/>
      <c r="G105" s="46" t="s">
        <v>351</v>
      </c>
      <c r="H105" s="46" t="s">
        <v>352</v>
      </c>
      <c r="I105" s="52">
        <f>F100</f>
        <v>1</v>
      </c>
      <c r="J105" s="1168"/>
      <c r="K105" s="44">
        <f>I105*J100</f>
        <v>40</v>
      </c>
      <c r="L105" s="45" t="s">
        <v>353</v>
      </c>
      <c r="M105" s="46" t="s">
        <v>354</v>
      </c>
      <c r="N105" s="46">
        <v>1</v>
      </c>
      <c r="R105" s="49">
        <f>K105*708*878/1000000/0.9</f>
        <v>27.627733333333332</v>
      </c>
      <c r="S105" s="50"/>
      <c r="T105" s="50"/>
      <c r="U105" s="50"/>
      <c r="V105" s="1171"/>
      <c r="W105" s="51">
        <f>K105*708*878*3/1000000000</f>
        <v>7.4594880000000002E-2</v>
      </c>
      <c r="X105" s="55">
        <v>0</v>
      </c>
      <c r="Y105" s="33"/>
      <c r="Z105" s="33"/>
    </row>
    <row r="106" spans="1:26" ht="15" customHeight="1" thickBot="1">
      <c r="A106" s="1175"/>
      <c r="B106" s="1178"/>
      <c r="C106" s="1157"/>
      <c r="D106" s="1157"/>
      <c r="E106" s="1157"/>
      <c r="F106" s="1157"/>
      <c r="G106" s="57" t="s">
        <v>355</v>
      </c>
      <c r="H106" s="57" t="s">
        <v>356</v>
      </c>
      <c r="I106" s="58">
        <f>F100</f>
        <v>1</v>
      </c>
      <c r="J106" s="1168"/>
      <c r="K106" s="60">
        <f>I106*J100</f>
        <v>40</v>
      </c>
      <c r="L106" s="61" t="s">
        <v>357</v>
      </c>
      <c r="M106" s="62" t="s">
        <v>358</v>
      </c>
      <c r="N106" s="62">
        <v>1</v>
      </c>
      <c r="R106" s="49">
        <f>K106*88*867/1000000/0.9</f>
        <v>3.3909333333333329</v>
      </c>
      <c r="S106" s="50">
        <f>K106*((88+867)+10)/1000</f>
        <v>38.6</v>
      </c>
      <c r="T106" s="50">
        <f t="shared" ref="T106" si="19">S106-U106</f>
        <v>34.64</v>
      </c>
      <c r="U106" s="50">
        <f t="shared" ref="U106" si="20">S106-0.866*K106</f>
        <v>3.9600000000000009</v>
      </c>
      <c r="V106" s="1172"/>
      <c r="W106" s="51">
        <f>K106*88*867*16/1000000000</f>
        <v>4.8829440000000002E-2</v>
      </c>
      <c r="X106" s="55">
        <v>1</v>
      </c>
      <c r="Y106" s="33"/>
      <c r="Z106" s="33"/>
    </row>
    <row r="107" spans="1:26" customFormat="1" ht="15" customHeight="1">
      <c r="A107" s="1173"/>
      <c r="B107" s="1176" t="s">
        <v>382</v>
      </c>
      <c r="C107" s="1155">
        <v>900</v>
      </c>
      <c r="D107" s="1155">
        <v>300</v>
      </c>
      <c r="E107" s="1155">
        <v>720</v>
      </c>
      <c r="F107" s="1200">
        <v>1</v>
      </c>
      <c r="G107" s="81" t="s">
        <v>383</v>
      </c>
      <c r="H107" s="81" t="s">
        <v>384</v>
      </c>
      <c r="I107" s="82">
        <f>F107</f>
        <v>1</v>
      </c>
      <c r="J107" s="80" t="e">
        <f>I107*#REF!</f>
        <v>#REF!</v>
      </c>
      <c r="K107" s="67"/>
      <c r="L107" s="3"/>
      <c r="M107" s="3"/>
      <c r="N107" s="3"/>
      <c r="O107" s="3"/>
      <c r="P107" s="3"/>
      <c r="Q107" s="69" t="e">
        <f>J107*300*720/1000000/0.9</f>
        <v>#REF!</v>
      </c>
      <c r="R107" s="3"/>
      <c r="S107" s="3"/>
    </row>
    <row r="108" spans="1:26" customFormat="1" ht="15" customHeight="1">
      <c r="A108" s="1174"/>
      <c r="B108" s="1177"/>
      <c r="C108" s="1156"/>
      <c r="D108" s="1156"/>
      <c r="E108" s="1156"/>
      <c r="F108" s="1181"/>
      <c r="G108" s="66" t="s">
        <v>385</v>
      </c>
      <c r="H108" s="66" t="s">
        <v>386</v>
      </c>
      <c r="I108" s="83">
        <f>F107</f>
        <v>1</v>
      </c>
      <c r="J108" s="80" t="e">
        <f>I108*#REF!</f>
        <v>#REF!</v>
      </c>
      <c r="K108" s="67"/>
      <c r="L108" s="3"/>
      <c r="M108" s="3"/>
      <c r="N108" s="3"/>
      <c r="O108" s="3"/>
      <c r="P108" s="3"/>
      <c r="Q108" s="69" t="e">
        <f>J108*300*720/1000000/0.9</f>
        <v>#REF!</v>
      </c>
      <c r="R108" s="3"/>
      <c r="S108" s="3"/>
    </row>
    <row r="109" spans="1:26" customFormat="1" ht="15" customHeight="1">
      <c r="A109" s="1174"/>
      <c r="B109" s="1177"/>
      <c r="C109" s="1156"/>
      <c r="D109" s="1156"/>
      <c r="E109" s="1156"/>
      <c r="F109" s="1181"/>
      <c r="G109" s="66" t="s">
        <v>339</v>
      </c>
      <c r="H109" s="66" t="s">
        <v>340</v>
      </c>
      <c r="I109" s="83">
        <f>F107</f>
        <v>1</v>
      </c>
      <c r="J109" s="80" t="e">
        <f>I107*#REF!</f>
        <v>#REF!</v>
      </c>
      <c r="K109" s="67"/>
      <c r="L109" s="3"/>
      <c r="M109" s="3"/>
      <c r="N109" s="3"/>
      <c r="O109" s="3"/>
      <c r="P109" s="3"/>
      <c r="Q109" s="69" t="e">
        <f>J109*300*867/1000000/0.9</f>
        <v>#REF!</v>
      </c>
      <c r="R109" s="3"/>
      <c r="S109" s="3"/>
    </row>
    <row r="110" spans="1:26" customFormat="1" ht="15" customHeight="1">
      <c r="A110" s="1174"/>
      <c r="B110" s="1177"/>
      <c r="C110" s="1156"/>
      <c r="D110" s="1156"/>
      <c r="E110" s="1156"/>
      <c r="F110" s="1181"/>
      <c r="G110" s="66" t="s">
        <v>387</v>
      </c>
      <c r="H110" s="66" t="s">
        <v>388</v>
      </c>
      <c r="I110" s="83">
        <f>F107*2</f>
        <v>2</v>
      </c>
      <c r="J110" s="80" t="e">
        <f>I110*#REF!</f>
        <v>#REF!</v>
      </c>
      <c r="K110" s="67"/>
      <c r="L110" s="3"/>
      <c r="M110" s="3"/>
      <c r="N110" s="3"/>
      <c r="O110" s="3"/>
      <c r="P110" s="3"/>
      <c r="Q110" s="69" t="e">
        <f>J110*277*867/1000000/0.9</f>
        <v>#REF!</v>
      </c>
      <c r="R110" s="3"/>
      <c r="S110" s="3"/>
    </row>
    <row r="111" spans="1:26" customFormat="1" ht="15" customHeight="1">
      <c r="A111" s="1174"/>
      <c r="B111" s="1177"/>
      <c r="C111" s="1156"/>
      <c r="D111" s="1156"/>
      <c r="E111" s="1156"/>
      <c r="F111" s="1181"/>
      <c r="G111" s="66" t="s">
        <v>351</v>
      </c>
      <c r="H111" s="66" t="s">
        <v>352</v>
      </c>
      <c r="I111" s="83">
        <f>F107</f>
        <v>1</v>
      </c>
      <c r="J111" s="80" t="e">
        <f>I111*#REF!</f>
        <v>#REF!</v>
      </c>
      <c r="K111" s="67"/>
      <c r="L111" s="3"/>
      <c r="M111" s="3"/>
      <c r="N111" s="3"/>
      <c r="O111" s="3"/>
      <c r="P111" s="3"/>
      <c r="Q111" s="69" t="e">
        <f>J111*708*878/1000000/0.9</f>
        <v>#REF!</v>
      </c>
      <c r="R111" s="3"/>
      <c r="S111" s="3"/>
    </row>
    <row r="112" spans="1:26" customFormat="1" ht="15" customHeight="1" thickBot="1">
      <c r="A112" s="1175"/>
      <c r="B112" s="1178"/>
      <c r="C112" s="1157"/>
      <c r="D112" s="1157"/>
      <c r="E112" s="1157"/>
      <c r="F112" s="1188"/>
      <c r="G112" s="84" t="s">
        <v>355</v>
      </c>
      <c r="H112" s="84" t="s">
        <v>356</v>
      </c>
      <c r="I112" s="85">
        <f>F107</f>
        <v>1</v>
      </c>
      <c r="J112" s="80" t="e">
        <f>I112*#REF!</f>
        <v>#REF!</v>
      </c>
      <c r="K112" s="67"/>
      <c r="L112" s="3"/>
      <c r="M112" s="3"/>
      <c r="N112" s="3"/>
      <c r="O112" s="3"/>
      <c r="P112" s="3"/>
      <c r="Q112" s="69" t="e">
        <f>J112*88*867/1000000/0.9</f>
        <v>#REF!</v>
      </c>
      <c r="R112" s="3"/>
      <c r="S112" s="3"/>
    </row>
    <row r="115" spans="2:7" ht="15" customHeight="1">
      <c r="B115" s="56" t="s">
        <v>389</v>
      </c>
      <c r="G115" s="56" t="s">
        <v>390</v>
      </c>
    </row>
  </sheetData>
  <sheetProtection password="CC13" sheet="1" objects="1" scenarios="1"/>
  <protectedRanges>
    <protectedRange password="CE2A" sqref="F1:F1048576" name="区域1"/>
  </protectedRanges>
  <mergeCells count="139">
    <mergeCell ref="V65:V71"/>
    <mergeCell ref="C72:C78"/>
    <mergeCell ref="D72:D78"/>
    <mergeCell ref="E72:E78"/>
    <mergeCell ref="F72:F78"/>
    <mergeCell ref="J72:J78"/>
    <mergeCell ref="V72:V78"/>
    <mergeCell ref="J93:J99"/>
    <mergeCell ref="V93:V99"/>
    <mergeCell ref="C65:C71"/>
    <mergeCell ref="D65:D71"/>
    <mergeCell ref="E65:E71"/>
    <mergeCell ref="F65:F71"/>
    <mergeCell ref="J65:J71"/>
    <mergeCell ref="V79:V85"/>
    <mergeCell ref="V86:V92"/>
    <mergeCell ref="A93:A99"/>
    <mergeCell ref="B93:B99"/>
    <mergeCell ref="C93:C99"/>
    <mergeCell ref="D93:D99"/>
    <mergeCell ref="E93:E99"/>
    <mergeCell ref="F93:F99"/>
    <mergeCell ref="A65:A78"/>
    <mergeCell ref="B65:B78"/>
    <mergeCell ref="J79:J85"/>
    <mergeCell ref="C86:C92"/>
    <mergeCell ref="D86:D92"/>
    <mergeCell ref="E86:E92"/>
    <mergeCell ref="F86:F92"/>
    <mergeCell ref="J86:J92"/>
    <mergeCell ref="V4:V5"/>
    <mergeCell ref="W4:W5"/>
    <mergeCell ref="X4:X5"/>
    <mergeCell ref="C12:C17"/>
    <mergeCell ref="D12:D17"/>
    <mergeCell ref="E12:E17"/>
    <mergeCell ref="F12:F17"/>
    <mergeCell ref="J12:J17"/>
    <mergeCell ref="J4:K4"/>
    <mergeCell ref="L4:N4"/>
    <mergeCell ref="R4:R5"/>
    <mergeCell ref="S4:S5"/>
    <mergeCell ref="T4:T5"/>
    <mergeCell ref="U4:U5"/>
    <mergeCell ref="V12:V17"/>
    <mergeCell ref="C4:E4"/>
    <mergeCell ref="F4:F5"/>
    <mergeCell ref="G4:I4"/>
    <mergeCell ref="F6:F11"/>
    <mergeCell ref="A1:I1"/>
    <mergeCell ref="C2:D2"/>
    <mergeCell ref="E2:F2"/>
    <mergeCell ref="C3:D3"/>
    <mergeCell ref="E3:F3"/>
    <mergeCell ref="A107:A112"/>
    <mergeCell ref="B107:B112"/>
    <mergeCell ref="F34:F39"/>
    <mergeCell ref="F107:F112"/>
    <mergeCell ref="A4:A5"/>
    <mergeCell ref="B4:B5"/>
    <mergeCell ref="A24:A33"/>
    <mergeCell ref="B24:B33"/>
    <mergeCell ref="C24:C28"/>
    <mergeCell ref="D24:D28"/>
    <mergeCell ref="E24:E28"/>
    <mergeCell ref="F24:F28"/>
    <mergeCell ref="C29:C33"/>
    <mergeCell ref="D29:D33"/>
    <mergeCell ref="E29:E33"/>
    <mergeCell ref="F29:F33"/>
    <mergeCell ref="A45:A49"/>
    <mergeCell ref="B45:B49"/>
    <mergeCell ref="C45:C49"/>
    <mergeCell ref="B6:B23"/>
    <mergeCell ref="A6:A23"/>
    <mergeCell ref="F60:F64"/>
    <mergeCell ref="B50:B64"/>
    <mergeCell ref="A50:A64"/>
    <mergeCell ref="C107:C112"/>
    <mergeCell ref="D107:D112"/>
    <mergeCell ref="E107:E112"/>
    <mergeCell ref="C6:C11"/>
    <mergeCell ref="D6:D11"/>
    <mergeCell ref="E6:E11"/>
    <mergeCell ref="C18:C23"/>
    <mergeCell ref="D18:D23"/>
    <mergeCell ref="E18:E23"/>
    <mergeCell ref="A79:A92"/>
    <mergeCell ref="B79:B92"/>
    <mergeCell ref="A34:A39"/>
    <mergeCell ref="B34:B39"/>
    <mergeCell ref="D45:D49"/>
    <mergeCell ref="E45:E49"/>
    <mergeCell ref="F45:F49"/>
    <mergeCell ref="C50:C54"/>
    <mergeCell ref="D50:D54"/>
    <mergeCell ref="E50:E54"/>
    <mergeCell ref="F18:F23"/>
    <mergeCell ref="J24:J28"/>
    <mergeCell ref="V24:V28"/>
    <mergeCell ref="J29:J33"/>
    <mergeCell ref="V29:V33"/>
    <mergeCell ref="J40:J43"/>
    <mergeCell ref="V40:V43"/>
    <mergeCell ref="J45:J49"/>
    <mergeCell ref="V45:V49"/>
    <mergeCell ref="F50:F54"/>
    <mergeCell ref="J50:J54"/>
    <mergeCell ref="V50:V54"/>
    <mergeCell ref="C55:C59"/>
    <mergeCell ref="V55:V59"/>
    <mergeCell ref="D55:D59"/>
    <mergeCell ref="A100:A106"/>
    <mergeCell ref="B100:B106"/>
    <mergeCell ref="C100:C106"/>
    <mergeCell ref="D100:D106"/>
    <mergeCell ref="E100:E106"/>
    <mergeCell ref="F100:F106"/>
    <mergeCell ref="J100:J106"/>
    <mergeCell ref="V100:V106"/>
    <mergeCell ref="C60:C64"/>
    <mergeCell ref="D60:D64"/>
    <mergeCell ref="E60:E64"/>
    <mergeCell ref="C79:C85"/>
    <mergeCell ref="D79:D85"/>
    <mergeCell ref="E79:E85"/>
    <mergeCell ref="F79:F85"/>
    <mergeCell ref="E55:E59"/>
    <mergeCell ref="F55:F59"/>
    <mergeCell ref="J55:J59"/>
    <mergeCell ref="C34:C39"/>
    <mergeCell ref="D34:D39"/>
    <mergeCell ref="E34:E39"/>
    <mergeCell ref="A40:A44"/>
    <mergeCell ref="B40:B44"/>
    <mergeCell ref="C40:C44"/>
    <mergeCell ref="D40:D44"/>
    <mergeCell ref="E40:E44"/>
    <mergeCell ref="F40:F44"/>
  </mergeCells>
  <phoneticPr fontId="33" type="noConversion"/>
  <pageMargins left="0.70866141732283472" right="0.70866141732283472" top="0.74803149606299213" bottom="0.74803149606299213" header="0.31496062992125984" footer="0.31496062992125984"/>
  <pageSetup paperSize="9" scale="69" orientation="portrait" r:id="rId1"/>
  <rowBreaks count="1" manualBreakCount="1">
    <brk id="64" max="8" man="1"/>
  </rowBreaks>
  <drawing r:id="rId2"/>
  <legacyDrawing r:id="rId3"/>
</worksheet>
</file>

<file path=xl/worksheets/sheet7.xml><?xml version="1.0" encoding="utf-8"?>
<worksheet xmlns="http://schemas.openxmlformats.org/spreadsheetml/2006/main" xmlns:r="http://schemas.openxmlformats.org/officeDocument/2006/relationships">
  <sheetPr>
    <tabColor rgb="FFFF0000"/>
  </sheetPr>
  <dimension ref="A1:O193"/>
  <sheetViews>
    <sheetView view="pageBreakPreview" zoomScaleSheetLayoutView="100" workbookViewId="0">
      <selection activeCell="M17" sqref="M17"/>
    </sheetView>
  </sheetViews>
  <sheetFormatPr defaultColWidth="8.875" defaultRowHeight="13.5" customHeight="1"/>
  <cols>
    <col min="1" max="1" width="6.75" style="106" customWidth="1"/>
    <col min="2" max="2" width="6.375" style="106" customWidth="1"/>
    <col min="3" max="3" width="6.75" style="106" customWidth="1"/>
    <col min="4" max="4" width="6.875" style="106" customWidth="1"/>
    <col min="5" max="5" width="5.5" style="108" customWidth="1"/>
    <col min="6" max="6" width="8.625" style="106" customWidth="1"/>
    <col min="7" max="7" width="38.625" style="106" customWidth="1"/>
    <col min="8" max="8" width="1.125" style="106" hidden="1" customWidth="1"/>
    <col min="9" max="9" width="5.5" style="106" bestFit="1" customWidth="1"/>
    <col min="10" max="10" width="4.875" style="106" customWidth="1"/>
    <col min="11" max="11" width="13.75" style="107" customWidth="1"/>
    <col min="12" max="12" width="8.875" style="106"/>
    <col min="13" max="13" width="26.5" style="106" customWidth="1"/>
    <col min="14" max="16384" width="8.875" style="106"/>
  </cols>
  <sheetData>
    <row r="1" spans="1:13" ht="13.5" customHeight="1">
      <c r="A1" s="1255" t="s">
        <v>980</v>
      </c>
      <c r="B1" s="1255"/>
      <c r="C1" s="1255"/>
      <c r="D1" s="1255"/>
      <c r="E1" s="1255"/>
      <c r="F1" s="1255"/>
      <c r="G1" s="1255"/>
      <c r="H1" s="1255"/>
      <c r="I1" s="1255"/>
      <c r="J1" s="1255"/>
      <c r="K1" s="1255"/>
    </row>
    <row r="2" spans="1:13" ht="13.5" customHeight="1">
      <c r="A2" s="1256" t="s">
        <v>694</v>
      </c>
      <c r="B2" s="1256"/>
      <c r="C2" s="1256" t="str">
        <f>下料单!H2</f>
        <v>S400383705</v>
      </c>
      <c r="D2" s="1256"/>
      <c r="E2" s="1256"/>
      <c r="F2" s="1256"/>
      <c r="G2" s="1256"/>
      <c r="H2" s="1256"/>
      <c r="I2" s="1256" t="s">
        <v>693</v>
      </c>
      <c r="J2" s="1256"/>
      <c r="K2" s="721" t="str">
        <f>领料单!H2</f>
        <v>西安</v>
      </c>
    </row>
    <row r="3" spans="1:13" ht="13.5" customHeight="1">
      <c r="A3" s="1248" t="s">
        <v>692</v>
      </c>
      <c r="B3" s="1248"/>
      <c r="C3" s="1248" t="str">
        <f>下料单!C2</f>
        <v>杜鹃</v>
      </c>
      <c r="D3" s="1248"/>
      <c r="E3" s="1248" t="s">
        <v>691</v>
      </c>
      <c r="F3" s="1248"/>
      <c r="G3" s="1249" t="str">
        <f>领料单!N2</f>
        <v>杜鹃</v>
      </c>
      <c r="H3" s="1249"/>
      <c r="I3" s="1248" t="s">
        <v>690</v>
      </c>
      <c r="J3" s="1248"/>
      <c r="K3" s="1229" t="str">
        <f>柜体!B3</f>
        <v>左岸都市II</v>
      </c>
    </row>
    <row r="4" spans="1:13" ht="13.5" customHeight="1">
      <c r="A4" s="1248" t="str">
        <f>下料单!L2</f>
        <v>版本型录号</v>
      </c>
      <c r="B4" s="1248"/>
      <c r="C4" s="1248">
        <f>下料单!N2</f>
        <v>0</v>
      </c>
      <c r="D4" s="1248"/>
      <c r="E4" s="1253" t="s">
        <v>95</v>
      </c>
      <c r="F4" s="1248"/>
      <c r="G4" s="1254" t="str">
        <f>领料单!N3</f>
        <v>S400383705</v>
      </c>
      <c r="H4" s="1254"/>
      <c r="I4" s="1248"/>
      <c r="J4" s="1248"/>
      <c r="K4" s="1230"/>
    </row>
    <row r="5" spans="1:13" ht="13.5" customHeight="1">
      <c r="A5" s="1241" t="s">
        <v>616</v>
      </c>
      <c r="B5" s="1241"/>
      <c r="C5" s="1241"/>
      <c r="D5" s="1241"/>
      <c r="E5" s="1241"/>
      <c r="F5" s="1241"/>
      <c r="G5" s="1241"/>
      <c r="H5" s="1241"/>
      <c r="I5" s="1241"/>
      <c r="J5" s="1241"/>
      <c r="K5" s="1241"/>
    </row>
    <row r="6" spans="1:13" ht="13.5" customHeight="1">
      <c r="A6" s="1250" t="s">
        <v>1780</v>
      </c>
      <c r="B6" s="1251"/>
      <c r="C6" s="1251"/>
      <c r="D6" s="1251"/>
      <c r="E6" s="1251"/>
      <c r="F6" s="1251"/>
      <c r="G6" s="1251"/>
      <c r="H6" s="1251"/>
      <c r="I6" s="1251"/>
      <c r="J6" s="1251"/>
      <c r="K6" s="1252"/>
    </row>
    <row r="7" spans="1:13" ht="13.5" customHeight="1">
      <c r="A7" s="110" t="s">
        <v>608</v>
      </c>
      <c r="B7" s="110" t="s">
        <v>598</v>
      </c>
      <c r="C7" s="110" t="s">
        <v>597</v>
      </c>
      <c r="D7" s="110" t="s">
        <v>596</v>
      </c>
      <c r="E7" s="118"/>
      <c r="F7" s="110" t="s">
        <v>607</v>
      </c>
      <c r="G7" s="110" t="s">
        <v>594</v>
      </c>
      <c r="H7" s="110" t="s">
        <v>593</v>
      </c>
      <c r="I7" s="110" t="s">
        <v>592</v>
      </c>
      <c r="J7" s="110" t="s">
        <v>591</v>
      </c>
      <c r="K7" s="110" t="s">
        <v>590</v>
      </c>
      <c r="M7" s="120"/>
    </row>
    <row r="8" spans="1:13" ht="13.5" customHeight="1">
      <c r="A8" s="1231">
        <v>1</v>
      </c>
      <c r="B8" s="1231">
        <v>150</v>
      </c>
      <c r="C8" s="1231">
        <v>720</v>
      </c>
      <c r="D8" s="1231">
        <v>560</v>
      </c>
      <c r="E8" s="1232"/>
      <c r="F8" s="1231" t="s">
        <v>1781</v>
      </c>
      <c r="G8" s="832" t="s">
        <v>1782</v>
      </c>
      <c r="H8" s="848" t="s">
        <v>615</v>
      </c>
      <c r="I8" s="847">
        <f>+E8*1</f>
        <v>0</v>
      </c>
      <c r="J8" s="847" t="s">
        <v>1783</v>
      </c>
      <c r="K8" s="1239" t="s">
        <v>1784</v>
      </c>
    </row>
    <row r="9" spans="1:13" ht="13.5" customHeight="1">
      <c r="A9" s="1231"/>
      <c r="B9" s="1231"/>
      <c r="C9" s="1231"/>
      <c r="D9" s="1231"/>
      <c r="E9" s="1233"/>
      <c r="F9" s="1231"/>
      <c r="G9" s="848" t="s">
        <v>541</v>
      </c>
      <c r="H9" s="848" t="s">
        <v>1785</v>
      </c>
      <c r="I9" s="847">
        <f>+E8*8</f>
        <v>0</v>
      </c>
      <c r="J9" s="847" t="s">
        <v>1783</v>
      </c>
      <c r="K9" s="1239"/>
    </row>
    <row r="10" spans="1:13" ht="13.5" customHeight="1">
      <c r="A10" s="1231"/>
      <c r="B10" s="1231"/>
      <c r="C10" s="1231"/>
      <c r="D10" s="1231"/>
      <c r="E10" s="1234"/>
      <c r="F10" s="1231"/>
      <c r="G10" s="848" t="s">
        <v>1786</v>
      </c>
      <c r="H10" s="848" t="s">
        <v>527</v>
      </c>
      <c r="I10" s="847">
        <f>+E8*1.6</f>
        <v>0</v>
      </c>
      <c r="J10" s="847" t="s">
        <v>410</v>
      </c>
      <c r="K10" s="1239"/>
    </row>
    <row r="11" spans="1:13" ht="13.5" customHeight="1">
      <c r="A11" s="1231">
        <v>2</v>
      </c>
      <c r="B11" s="1231">
        <v>150</v>
      </c>
      <c r="C11" s="1231">
        <v>720</v>
      </c>
      <c r="D11" s="1231">
        <v>560</v>
      </c>
      <c r="E11" s="1232"/>
      <c r="F11" s="1231" t="s">
        <v>1781</v>
      </c>
      <c r="G11" s="848" t="s">
        <v>1787</v>
      </c>
      <c r="H11" s="848" t="s">
        <v>615</v>
      </c>
      <c r="I11" s="847">
        <f>+E11*0.7</f>
        <v>0</v>
      </c>
      <c r="J11" s="847" t="s">
        <v>1788</v>
      </c>
      <c r="K11" s="1239" t="s">
        <v>1789</v>
      </c>
    </row>
    <row r="12" spans="1:13" ht="13.5" customHeight="1">
      <c r="A12" s="1231"/>
      <c r="B12" s="1231"/>
      <c r="C12" s="1231"/>
      <c r="D12" s="1231"/>
      <c r="E12" s="1233"/>
      <c r="F12" s="1231"/>
      <c r="G12" s="848" t="s">
        <v>541</v>
      </c>
      <c r="H12" s="848" t="s">
        <v>1785</v>
      </c>
      <c r="I12" s="847">
        <f>+E11*8</f>
        <v>0</v>
      </c>
      <c r="J12" s="847" t="s">
        <v>1783</v>
      </c>
      <c r="K12" s="1239"/>
    </row>
    <row r="13" spans="1:13" ht="13.5" customHeight="1">
      <c r="A13" s="1231"/>
      <c r="B13" s="1231"/>
      <c r="C13" s="1231"/>
      <c r="D13" s="1231"/>
      <c r="E13" s="1234"/>
      <c r="F13" s="1231"/>
      <c r="G13" s="848" t="s">
        <v>1786</v>
      </c>
      <c r="H13" s="848" t="s">
        <v>527</v>
      </c>
      <c r="I13" s="847">
        <f>+E11*1.6</f>
        <v>0</v>
      </c>
      <c r="J13" s="847" t="s">
        <v>410</v>
      </c>
      <c r="K13" s="1239"/>
    </row>
    <row r="14" spans="1:13" ht="13.5" customHeight="1">
      <c r="A14" s="1231">
        <v>3</v>
      </c>
      <c r="B14" s="1231">
        <v>300</v>
      </c>
      <c r="C14" s="1231">
        <v>720</v>
      </c>
      <c r="D14" s="1231">
        <v>560</v>
      </c>
      <c r="E14" s="1232"/>
      <c r="F14" s="1231" t="s">
        <v>1781</v>
      </c>
      <c r="G14" s="832" t="s">
        <v>1790</v>
      </c>
      <c r="H14" s="848" t="s">
        <v>615</v>
      </c>
      <c r="I14" s="847">
        <f>+E14*1</f>
        <v>0</v>
      </c>
      <c r="J14" s="847" t="s">
        <v>1783</v>
      </c>
      <c r="K14" s="847"/>
    </row>
    <row r="15" spans="1:13" ht="13.5" customHeight="1">
      <c r="A15" s="1231"/>
      <c r="B15" s="1231"/>
      <c r="C15" s="1231"/>
      <c r="D15" s="1231"/>
      <c r="E15" s="1233"/>
      <c r="F15" s="1231"/>
      <c r="G15" s="848" t="s">
        <v>541</v>
      </c>
      <c r="H15" s="848" t="s">
        <v>1785</v>
      </c>
      <c r="I15" s="847">
        <f>+E14*8</f>
        <v>0</v>
      </c>
      <c r="J15" s="847" t="s">
        <v>1783</v>
      </c>
      <c r="K15" s="847"/>
    </row>
    <row r="16" spans="1:13" ht="13.5" customHeight="1">
      <c r="A16" s="1231"/>
      <c r="B16" s="1231"/>
      <c r="C16" s="1231"/>
      <c r="D16" s="1231"/>
      <c r="E16" s="1234"/>
      <c r="F16" s="1231"/>
      <c r="G16" s="848" t="s">
        <v>1786</v>
      </c>
      <c r="H16" s="848" t="s">
        <v>527</v>
      </c>
      <c r="I16" s="847">
        <f>+E14*1.9</f>
        <v>0</v>
      </c>
      <c r="J16" s="847" t="s">
        <v>410</v>
      </c>
      <c r="K16" s="847"/>
    </row>
    <row r="17" spans="1:11" ht="13.5" customHeight="1">
      <c r="A17" s="1231">
        <v>4</v>
      </c>
      <c r="B17" s="1231">
        <v>450</v>
      </c>
      <c r="C17" s="1231">
        <v>720</v>
      </c>
      <c r="D17" s="1231">
        <v>560</v>
      </c>
      <c r="E17" s="1232"/>
      <c r="F17" s="1231" t="s">
        <v>1791</v>
      </c>
      <c r="G17" s="832" t="s">
        <v>1792</v>
      </c>
      <c r="H17" s="848" t="s">
        <v>615</v>
      </c>
      <c r="I17" s="847">
        <f>+E17*1</f>
        <v>0</v>
      </c>
      <c r="J17" s="847" t="s">
        <v>1783</v>
      </c>
      <c r="K17" s="847"/>
    </row>
    <row r="18" spans="1:11" ht="13.5" customHeight="1">
      <c r="A18" s="1231"/>
      <c r="B18" s="1231"/>
      <c r="C18" s="1231"/>
      <c r="D18" s="1231"/>
      <c r="E18" s="1233"/>
      <c r="F18" s="1231"/>
      <c r="G18" s="848" t="s">
        <v>541</v>
      </c>
      <c r="H18" s="848" t="s">
        <v>1785</v>
      </c>
      <c r="I18" s="847">
        <f>+E17*8</f>
        <v>0</v>
      </c>
      <c r="J18" s="847" t="s">
        <v>1783</v>
      </c>
      <c r="K18" s="847"/>
    </row>
    <row r="19" spans="1:11" ht="13.5" customHeight="1">
      <c r="A19" s="1231"/>
      <c r="B19" s="1231"/>
      <c r="C19" s="1231"/>
      <c r="D19" s="1231"/>
      <c r="E19" s="1234"/>
      <c r="F19" s="1231"/>
      <c r="G19" s="848" t="s">
        <v>1786</v>
      </c>
      <c r="H19" s="848" t="s">
        <v>527</v>
      </c>
      <c r="I19" s="847">
        <f>+E17*2.2</f>
        <v>0</v>
      </c>
      <c r="J19" s="847" t="s">
        <v>1793</v>
      </c>
      <c r="K19" s="847"/>
    </row>
    <row r="20" spans="1:11" ht="13.5" customHeight="1">
      <c r="A20" s="1231">
        <v>5</v>
      </c>
      <c r="B20" s="1231">
        <v>600</v>
      </c>
      <c r="C20" s="1231">
        <v>720</v>
      </c>
      <c r="D20" s="1231">
        <v>560</v>
      </c>
      <c r="E20" s="1232"/>
      <c r="F20" s="1231" t="s">
        <v>1791</v>
      </c>
      <c r="G20" s="843" t="s">
        <v>1794</v>
      </c>
      <c r="H20" s="848" t="s">
        <v>614</v>
      </c>
      <c r="I20" s="847">
        <f>+E20*1</f>
        <v>0</v>
      </c>
      <c r="J20" s="847" t="s">
        <v>1783</v>
      </c>
      <c r="K20" s="847"/>
    </row>
    <row r="21" spans="1:11" ht="13.5" customHeight="1">
      <c r="A21" s="1231"/>
      <c r="B21" s="1231"/>
      <c r="C21" s="1231"/>
      <c r="D21" s="1231"/>
      <c r="E21" s="1233"/>
      <c r="F21" s="1231"/>
      <c r="G21" s="848" t="s">
        <v>541</v>
      </c>
      <c r="H21" s="848" t="s">
        <v>1785</v>
      </c>
      <c r="I21" s="847">
        <f>+E20*8</f>
        <v>0</v>
      </c>
      <c r="J21" s="847" t="s">
        <v>1783</v>
      </c>
      <c r="K21" s="847"/>
    </row>
    <row r="22" spans="1:11" ht="13.5" customHeight="1">
      <c r="A22" s="1231"/>
      <c r="B22" s="1231"/>
      <c r="C22" s="1231"/>
      <c r="D22" s="1231"/>
      <c r="E22" s="1233"/>
      <c r="F22" s="1231"/>
      <c r="G22" s="848" t="s">
        <v>1786</v>
      </c>
      <c r="H22" s="848" t="s">
        <v>527</v>
      </c>
      <c r="I22" s="847">
        <f>+E20*2.5</f>
        <v>0</v>
      </c>
      <c r="J22" s="847" t="s">
        <v>410</v>
      </c>
      <c r="K22" s="847"/>
    </row>
    <row r="23" spans="1:11" ht="13.5" customHeight="1">
      <c r="A23" s="1231"/>
      <c r="B23" s="1231"/>
      <c r="C23" s="1231"/>
      <c r="D23" s="1231"/>
      <c r="E23" s="1234"/>
      <c r="F23" s="1231"/>
      <c r="G23" s="848" t="s">
        <v>1795</v>
      </c>
      <c r="H23" s="114" t="s">
        <v>611</v>
      </c>
      <c r="I23" s="1231" t="s">
        <v>1796</v>
      </c>
      <c r="J23" s="1231"/>
      <c r="K23" s="119" t="s">
        <v>1797</v>
      </c>
    </row>
    <row r="24" spans="1:11" ht="13.5" customHeight="1">
      <c r="A24" s="1231">
        <v>6</v>
      </c>
      <c r="B24" s="1231">
        <v>900</v>
      </c>
      <c r="C24" s="1231">
        <v>720</v>
      </c>
      <c r="D24" s="1231">
        <v>560</v>
      </c>
      <c r="E24" s="1232"/>
      <c r="F24" s="1231" t="s">
        <v>1798</v>
      </c>
      <c r="G24" s="832" t="s">
        <v>1799</v>
      </c>
      <c r="H24" s="848" t="s">
        <v>613</v>
      </c>
      <c r="I24" s="847">
        <f>+E24*1</f>
        <v>0</v>
      </c>
      <c r="J24" s="847" t="s">
        <v>1800</v>
      </c>
      <c r="K24" s="847"/>
    </row>
    <row r="25" spans="1:11" ht="13.5" customHeight="1">
      <c r="A25" s="1231"/>
      <c r="B25" s="1231"/>
      <c r="C25" s="1231"/>
      <c r="D25" s="1231"/>
      <c r="E25" s="1233"/>
      <c r="F25" s="1231"/>
      <c r="G25" s="848" t="s">
        <v>541</v>
      </c>
      <c r="H25" s="848" t="s">
        <v>1801</v>
      </c>
      <c r="I25" s="847">
        <f>+E24*8</f>
        <v>0</v>
      </c>
      <c r="J25" s="847" t="s">
        <v>1800</v>
      </c>
      <c r="K25" s="847"/>
    </row>
    <row r="26" spans="1:11" ht="13.5" customHeight="1">
      <c r="A26" s="1231"/>
      <c r="B26" s="1231"/>
      <c r="C26" s="1231"/>
      <c r="D26" s="1231"/>
      <c r="E26" s="1233"/>
      <c r="F26" s="1231"/>
      <c r="G26" s="848" t="s">
        <v>1802</v>
      </c>
      <c r="H26" s="848" t="s">
        <v>527</v>
      </c>
      <c r="I26" s="847">
        <f>+E24*3.1</f>
        <v>0</v>
      </c>
      <c r="J26" s="847" t="s">
        <v>410</v>
      </c>
      <c r="K26" s="847"/>
    </row>
    <row r="27" spans="1:11" ht="13.5" customHeight="1">
      <c r="A27" s="1231"/>
      <c r="B27" s="1231"/>
      <c r="C27" s="1231"/>
      <c r="D27" s="1231"/>
      <c r="E27" s="1234"/>
      <c r="F27" s="1231"/>
      <c r="G27" s="848" t="s">
        <v>1803</v>
      </c>
      <c r="H27" s="114" t="s">
        <v>611</v>
      </c>
      <c r="I27" s="1231" t="s">
        <v>1804</v>
      </c>
      <c r="J27" s="1231"/>
      <c r="K27" s="119" t="s">
        <v>1805</v>
      </c>
    </row>
    <row r="28" spans="1:11" ht="13.5" customHeight="1">
      <c r="A28" s="1238" t="s">
        <v>609</v>
      </c>
      <c r="B28" s="1238"/>
      <c r="C28" s="1238"/>
      <c r="D28" s="1238"/>
      <c r="E28" s="1238"/>
      <c r="F28" s="1238"/>
      <c r="G28" s="1238"/>
      <c r="H28" s="1238"/>
      <c r="I28" s="1238"/>
      <c r="J28" s="1238"/>
      <c r="K28" s="1238"/>
    </row>
    <row r="29" spans="1:11" ht="13.5" customHeight="1">
      <c r="A29" s="110" t="s">
        <v>608</v>
      </c>
      <c r="B29" s="110" t="s">
        <v>598</v>
      </c>
      <c r="C29" s="110" t="s">
        <v>597</v>
      </c>
      <c r="D29" s="110" t="s">
        <v>596</v>
      </c>
      <c r="E29" s="118"/>
      <c r="F29" s="110" t="s">
        <v>607</v>
      </c>
      <c r="G29" s="110" t="s">
        <v>594</v>
      </c>
      <c r="H29" s="110" t="s">
        <v>593</v>
      </c>
      <c r="I29" s="110" t="s">
        <v>592</v>
      </c>
      <c r="J29" s="110" t="s">
        <v>591</v>
      </c>
      <c r="K29" s="110" t="s">
        <v>606</v>
      </c>
    </row>
    <row r="30" spans="1:11" ht="13.5" customHeight="1">
      <c r="A30" s="1231">
        <v>1</v>
      </c>
      <c r="B30" s="1231" t="s">
        <v>582</v>
      </c>
      <c r="C30" s="1231" t="s">
        <v>604</v>
      </c>
      <c r="D30" s="1231" t="s">
        <v>604</v>
      </c>
      <c r="E30" s="1232"/>
      <c r="F30" s="1239" t="s">
        <v>603</v>
      </c>
      <c r="G30" s="111" t="s">
        <v>580</v>
      </c>
      <c r="H30" s="114" t="s">
        <v>602</v>
      </c>
      <c r="I30" s="110">
        <f>+E30*1</f>
        <v>0</v>
      </c>
      <c r="J30" s="110" t="s">
        <v>601</v>
      </c>
      <c r="K30" s="110"/>
    </row>
    <row r="31" spans="1:11" ht="13.5" customHeight="1">
      <c r="A31" s="1231"/>
      <c r="B31" s="1231"/>
      <c r="C31" s="1231"/>
      <c r="D31" s="1231"/>
      <c r="E31" s="1233"/>
      <c r="F31" s="1239"/>
      <c r="G31" s="111" t="s">
        <v>541</v>
      </c>
      <c r="H31" s="111" t="s">
        <v>579</v>
      </c>
      <c r="I31" s="110">
        <f>+E30*8</f>
        <v>0</v>
      </c>
      <c r="J31" s="110" t="s">
        <v>578</v>
      </c>
      <c r="K31" s="110"/>
    </row>
    <row r="32" spans="1:11" ht="13.5" customHeight="1">
      <c r="A32" s="1231"/>
      <c r="B32" s="1231"/>
      <c r="C32" s="1231"/>
      <c r="D32" s="1231"/>
      <c r="E32" s="1234"/>
      <c r="F32" s="1239"/>
      <c r="G32" s="111" t="s">
        <v>577</v>
      </c>
      <c r="H32" s="111" t="s">
        <v>527</v>
      </c>
      <c r="I32" s="110">
        <f>+E30*2.5</f>
        <v>0</v>
      </c>
      <c r="J32" s="110" t="s">
        <v>410</v>
      </c>
      <c r="K32" s="110"/>
    </row>
    <row r="33" spans="1:11" ht="13.5" customHeight="1">
      <c r="A33" s="1231">
        <v>2</v>
      </c>
      <c r="B33" s="1231" t="s">
        <v>605</v>
      </c>
      <c r="C33" s="1231" t="s">
        <v>604</v>
      </c>
      <c r="D33" s="1231" t="s">
        <v>604</v>
      </c>
      <c r="E33" s="1232"/>
      <c r="F33" s="1239" t="s">
        <v>603</v>
      </c>
      <c r="G33" s="111" t="s">
        <v>580</v>
      </c>
      <c r="H33" s="114" t="s">
        <v>602</v>
      </c>
      <c r="I33" s="110">
        <f>+E33*1.3</f>
        <v>0</v>
      </c>
      <c r="J33" s="110" t="s">
        <v>601</v>
      </c>
      <c r="K33" s="110"/>
    </row>
    <row r="34" spans="1:11" ht="13.5" customHeight="1">
      <c r="A34" s="1231"/>
      <c r="B34" s="1231"/>
      <c r="C34" s="1231"/>
      <c r="D34" s="1231"/>
      <c r="E34" s="1233"/>
      <c r="F34" s="1239"/>
      <c r="G34" s="111" t="s">
        <v>541</v>
      </c>
      <c r="H34" s="111" t="s">
        <v>579</v>
      </c>
      <c r="I34" s="110">
        <f>+E33*8</f>
        <v>0</v>
      </c>
      <c r="J34" s="110" t="s">
        <v>578</v>
      </c>
      <c r="K34" s="110"/>
    </row>
    <row r="35" spans="1:11" ht="13.5" customHeight="1">
      <c r="A35" s="1231"/>
      <c r="B35" s="1231"/>
      <c r="C35" s="1231"/>
      <c r="D35" s="1231"/>
      <c r="E35" s="1234"/>
      <c r="F35" s="1239"/>
      <c r="G35" s="111" t="s">
        <v>577</v>
      </c>
      <c r="H35" s="111" t="s">
        <v>527</v>
      </c>
      <c r="I35" s="110">
        <f>+E33*3.2</f>
        <v>0</v>
      </c>
      <c r="J35" s="110" t="s">
        <v>410</v>
      </c>
      <c r="K35" s="110"/>
    </row>
    <row r="36" spans="1:11" ht="13.5" customHeight="1">
      <c r="A36" s="1257" t="s">
        <v>689</v>
      </c>
      <c r="B36" s="1257"/>
      <c r="C36" s="1257"/>
      <c r="D36" s="1257"/>
      <c r="E36" s="1257"/>
      <c r="F36" s="1257"/>
      <c r="G36" s="1257"/>
      <c r="H36" s="1257"/>
      <c r="I36" s="1257"/>
      <c r="J36" s="1257"/>
      <c r="K36" s="1257"/>
    </row>
    <row r="37" spans="1:11" ht="13.5" customHeight="1">
      <c r="A37" s="110" t="s">
        <v>639</v>
      </c>
      <c r="B37" s="110" t="s">
        <v>598</v>
      </c>
      <c r="C37" s="110" t="s">
        <v>597</v>
      </c>
      <c r="D37" s="110" t="s">
        <v>596</v>
      </c>
      <c r="E37" s="118"/>
      <c r="F37" s="110" t="s">
        <v>624</v>
      </c>
      <c r="G37" s="110" t="s">
        <v>594</v>
      </c>
      <c r="H37" s="110" t="s">
        <v>593</v>
      </c>
      <c r="I37" s="110" t="s">
        <v>595</v>
      </c>
      <c r="J37" s="110" t="s">
        <v>637</v>
      </c>
      <c r="K37" s="110" t="s">
        <v>606</v>
      </c>
    </row>
    <row r="38" spans="1:11" ht="13.5" customHeight="1">
      <c r="A38" s="1231" t="s">
        <v>688</v>
      </c>
      <c r="B38" s="1231" t="s">
        <v>687</v>
      </c>
      <c r="C38" s="1231">
        <v>720</v>
      </c>
      <c r="D38" s="1231">
        <v>560</v>
      </c>
      <c r="E38" s="1232"/>
      <c r="F38" s="1239" t="s">
        <v>679</v>
      </c>
      <c r="G38" s="111" t="s">
        <v>686</v>
      </c>
      <c r="H38" s="111" t="s">
        <v>685</v>
      </c>
      <c r="I38" s="110">
        <f>+E38*1</f>
        <v>0</v>
      </c>
      <c r="J38" s="110" t="s">
        <v>578</v>
      </c>
      <c r="K38" s="1242"/>
    </row>
    <row r="39" spans="1:11" ht="13.5" customHeight="1">
      <c r="A39" s="1231"/>
      <c r="B39" s="1231"/>
      <c r="C39" s="1231"/>
      <c r="D39" s="1231"/>
      <c r="E39" s="1233"/>
      <c r="F39" s="1239"/>
      <c r="G39" s="111" t="s">
        <v>577</v>
      </c>
      <c r="H39" s="111" t="s">
        <v>527</v>
      </c>
      <c r="I39" s="110">
        <f>+E38*1.3</f>
        <v>0</v>
      </c>
      <c r="J39" s="110" t="s">
        <v>410</v>
      </c>
      <c r="K39" s="1245"/>
    </row>
    <row r="40" spans="1:11" ht="13.5" customHeight="1">
      <c r="A40" s="1231"/>
      <c r="B40" s="1231"/>
      <c r="C40" s="1231"/>
      <c r="D40" s="1231"/>
      <c r="E40" s="1233"/>
      <c r="F40" s="1239"/>
      <c r="G40" s="111" t="s">
        <v>612</v>
      </c>
      <c r="H40" s="111"/>
      <c r="I40" s="1231" t="s">
        <v>610</v>
      </c>
      <c r="J40" s="1231"/>
      <c r="K40" s="1245"/>
    </row>
    <row r="41" spans="1:11" ht="13.5" customHeight="1">
      <c r="A41" s="1231"/>
      <c r="B41" s="1231"/>
      <c r="C41" s="1231"/>
      <c r="D41" s="1231"/>
      <c r="E41" s="1234"/>
      <c r="F41" s="1239"/>
      <c r="G41" s="111" t="s">
        <v>684</v>
      </c>
      <c r="H41" s="111" t="s">
        <v>579</v>
      </c>
      <c r="I41" s="110">
        <f>+E38*8</f>
        <v>0</v>
      </c>
      <c r="J41" s="110" t="s">
        <v>578</v>
      </c>
      <c r="K41" s="1245"/>
    </row>
    <row r="42" spans="1:11" ht="13.5" customHeight="1">
      <c r="A42" s="1231" t="s">
        <v>683</v>
      </c>
      <c r="B42" s="1231" t="s">
        <v>668</v>
      </c>
      <c r="C42" s="1231">
        <v>720</v>
      </c>
      <c r="D42" s="1231">
        <v>560</v>
      </c>
      <c r="E42" s="1232"/>
      <c r="F42" s="1239" t="s">
        <v>679</v>
      </c>
      <c r="G42" s="111" t="s">
        <v>682</v>
      </c>
      <c r="H42" s="111" t="s">
        <v>681</v>
      </c>
      <c r="I42" s="110">
        <f>+E42*1</f>
        <v>0</v>
      </c>
      <c r="J42" s="110" t="s">
        <v>578</v>
      </c>
      <c r="K42" s="1245"/>
    </row>
    <row r="43" spans="1:11" ht="13.5" customHeight="1">
      <c r="A43" s="1231"/>
      <c r="B43" s="1231"/>
      <c r="C43" s="1231"/>
      <c r="D43" s="1231"/>
      <c r="E43" s="1233"/>
      <c r="F43" s="1239"/>
      <c r="G43" s="111" t="s">
        <v>577</v>
      </c>
      <c r="H43" s="111" t="s">
        <v>527</v>
      </c>
      <c r="I43" s="110">
        <f>+E42*1.3</f>
        <v>0</v>
      </c>
      <c r="J43" s="110" t="s">
        <v>410</v>
      </c>
      <c r="K43" s="1245"/>
    </row>
    <row r="44" spans="1:11" ht="13.5" customHeight="1">
      <c r="A44" s="1231"/>
      <c r="B44" s="1231"/>
      <c r="C44" s="1231"/>
      <c r="D44" s="1231"/>
      <c r="E44" s="1233"/>
      <c r="F44" s="1239"/>
      <c r="G44" s="111" t="s">
        <v>612</v>
      </c>
      <c r="H44" s="111"/>
      <c r="I44" s="1231" t="s">
        <v>610</v>
      </c>
      <c r="J44" s="1231"/>
      <c r="K44" s="1245"/>
    </row>
    <row r="45" spans="1:11" ht="13.5" customHeight="1">
      <c r="A45" s="1231"/>
      <c r="B45" s="1231"/>
      <c r="C45" s="1231"/>
      <c r="D45" s="1231"/>
      <c r="E45" s="1234"/>
      <c r="F45" s="1239"/>
      <c r="G45" s="111" t="s">
        <v>541</v>
      </c>
      <c r="H45" s="111" t="s">
        <v>579</v>
      </c>
      <c r="I45" s="110">
        <f>+E42*8</f>
        <v>0</v>
      </c>
      <c r="J45" s="110" t="s">
        <v>578</v>
      </c>
      <c r="K45" s="1245"/>
    </row>
    <row r="46" spans="1:11" ht="13.5" customHeight="1">
      <c r="A46" s="1231" t="s">
        <v>680</v>
      </c>
      <c r="B46" s="1231" t="s">
        <v>664</v>
      </c>
      <c r="C46" s="1231">
        <v>720</v>
      </c>
      <c r="D46" s="1231">
        <v>560</v>
      </c>
      <c r="E46" s="1232"/>
      <c r="F46" s="1239" t="s">
        <v>679</v>
      </c>
      <c r="G46" s="111" t="s">
        <v>678</v>
      </c>
      <c r="H46" s="111" t="s">
        <v>677</v>
      </c>
      <c r="I46" s="110">
        <f>+E46*1</f>
        <v>0</v>
      </c>
      <c r="J46" s="110" t="s">
        <v>578</v>
      </c>
      <c r="K46" s="1245"/>
    </row>
    <row r="47" spans="1:11" ht="13.5" customHeight="1">
      <c r="A47" s="1231"/>
      <c r="B47" s="1231"/>
      <c r="C47" s="1231"/>
      <c r="D47" s="1231"/>
      <c r="E47" s="1233"/>
      <c r="F47" s="1239"/>
      <c r="G47" s="111" t="s">
        <v>577</v>
      </c>
      <c r="H47" s="111" t="s">
        <v>527</v>
      </c>
      <c r="I47" s="110">
        <f>+E46*1.5</f>
        <v>0</v>
      </c>
      <c r="J47" s="110" t="s">
        <v>410</v>
      </c>
      <c r="K47" s="1245"/>
    </row>
    <row r="48" spans="1:11" ht="13.5" customHeight="1">
      <c r="A48" s="1231"/>
      <c r="B48" s="1231"/>
      <c r="C48" s="1231"/>
      <c r="D48" s="1231"/>
      <c r="E48" s="1233"/>
      <c r="F48" s="1239"/>
      <c r="G48" s="111" t="s">
        <v>612</v>
      </c>
      <c r="H48" s="111"/>
      <c r="I48" s="1231" t="s">
        <v>610</v>
      </c>
      <c r="J48" s="1231"/>
      <c r="K48" s="1245"/>
    </row>
    <row r="49" spans="1:11" ht="13.5" customHeight="1">
      <c r="A49" s="1231"/>
      <c r="B49" s="1231"/>
      <c r="C49" s="1231"/>
      <c r="D49" s="1231"/>
      <c r="E49" s="1234"/>
      <c r="F49" s="1239"/>
      <c r="G49" s="111" t="s">
        <v>541</v>
      </c>
      <c r="H49" s="111" t="s">
        <v>579</v>
      </c>
      <c r="I49" s="110">
        <f>+E46*8</f>
        <v>0</v>
      </c>
      <c r="J49" s="110" t="s">
        <v>578</v>
      </c>
      <c r="K49" s="1245"/>
    </row>
    <row r="50" spans="1:11" ht="13.5" customHeight="1">
      <c r="A50" s="1231" t="s">
        <v>676</v>
      </c>
      <c r="B50" s="1231" t="s">
        <v>675</v>
      </c>
      <c r="C50" s="1231">
        <v>720</v>
      </c>
      <c r="D50" s="1231">
        <v>300</v>
      </c>
      <c r="E50" s="1232"/>
      <c r="F50" s="1239" t="s">
        <v>672</v>
      </c>
      <c r="G50" s="111" t="s">
        <v>674</v>
      </c>
      <c r="H50" s="121" t="s">
        <v>670</v>
      </c>
      <c r="I50" s="110">
        <f>+E50*1</f>
        <v>0</v>
      </c>
      <c r="J50" s="110" t="s">
        <v>578</v>
      </c>
      <c r="K50" s="1245"/>
    </row>
    <row r="51" spans="1:11" ht="13.5" customHeight="1">
      <c r="A51" s="1231"/>
      <c r="B51" s="1231"/>
      <c r="C51" s="1231"/>
      <c r="D51" s="1231"/>
      <c r="E51" s="1233"/>
      <c r="F51" s="1239"/>
      <c r="G51" s="111" t="s">
        <v>577</v>
      </c>
      <c r="H51" s="111" t="s">
        <v>527</v>
      </c>
      <c r="I51" s="110">
        <f>+E50*0.8</f>
        <v>0</v>
      </c>
      <c r="J51" s="110" t="s">
        <v>410</v>
      </c>
      <c r="K51" s="1245"/>
    </row>
    <row r="52" spans="1:11" ht="13.5" customHeight="1">
      <c r="A52" s="1231"/>
      <c r="B52" s="1231"/>
      <c r="C52" s="1231"/>
      <c r="D52" s="1231"/>
      <c r="E52" s="1233"/>
      <c r="F52" s="1239"/>
      <c r="G52" s="111" t="s">
        <v>612</v>
      </c>
      <c r="H52" s="111"/>
      <c r="I52" s="1231" t="s">
        <v>610</v>
      </c>
      <c r="J52" s="1231"/>
      <c r="K52" s="1245"/>
    </row>
    <row r="53" spans="1:11" ht="13.5" customHeight="1">
      <c r="A53" s="1231"/>
      <c r="B53" s="1231"/>
      <c r="C53" s="1231"/>
      <c r="D53" s="1231"/>
      <c r="E53" s="1234"/>
      <c r="F53" s="1239"/>
      <c r="G53" s="111" t="s">
        <v>541</v>
      </c>
      <c r="H53" s="111" t="s">
        <v>579</v>
      </c>
      <c r="I53" s="110">
        <f>+E50*8</f>
        <v>0</v>
      </c>
      <c r="J53" s="110" t="s">
        <v>578</v>
      </c>
      <c r="K53" s="1245"/>
    </row>
    <row r="54" spans="1:11" ht="13.5" customHeight="1">
      <c r="A54" s="1231" t="s">
        <v>673</v>
      </c>
      <c r="B54" s="1231" t="s">
        <v>696</v>
      </c>
      <c r="C54" s="1231">
        <v>720</v>
      </c>
      <c r="D54" s="1231">
        <v>300</v>
      </c>
      <c r="E54" s="1232"/>
      <c r="F54" s="1239" t="s">
        <v>672</v>
      </c>
      <c r="G54" s="111" t="s">
        <v>671</v>
      </c>
      <c r="H54" s="121" t="s">
        <v>670</v>
      </c>
      <c r="I54" s="110">
        <f>+E54*1</f>
        <v>0</v>
      </c>
      <c r="J54" s="110" t="s">
        <v>578</v>
      </c>
      <c r="K54" s="1245"/>
    </row>
    <row r="55" spans="1:11" ht="13.5" customHeight="1">
      <c r="A55" s="1231"/>
      <c r="B55" s="1231"/>
      <c r="C55" s="1231"/>
      <c r="D55" s="1231"/>
      <c r="E55" s="1233"/>
      <c r="F55" s="1239"/>
      <c r="G55" s="111" t="s">
        <v>577</v>
      </c>
      <c r="H55" s="111" t="s">
        <v>527</v>
      </c>
      <c r="I55" s="110">
        <f>+E54*0.8</f>
        <v>0</v>
      </c>
      <c r="J55" s="110" t="s">
        <v>576</v>
      </c>
      <c r="K55" s="1245"/>
    </row>
    <row r="56" spans="1:11" ht="13.5" customHeight="1">
      <c r="A56" s="1231"/>
      <c r="B56" s="1231"/>
      <c r="C56" s="1231"/>
      <c r="D56" s="1231"/>
      <c r="E56" s="1233"/>
      <c r="F56" s="1239"/>
      <c r="G56" s="111" t="s">
        <v>612</v>
      </c>
      <c r="H56" s="111"/>
      <c r="I56" s="1231" t="s">
        <v>610</v>
      </c>
      <c r="J56" s="1231"/>
      <c r="K56" s="1245"/>
    </row>
    <row r="57" spans="1:11" ht="13.5" customHeight="1">
      <c r="A57" s="1231"/>
      <c r="B57" s="1231"/>
      <c r="C57" s="1231"/>
      <c r="D57" s="1231"/>
      <c r="E57" s="1234"/>
      <c r="F57" s="1239"/>
      <c r="G57" s="111" t="s">
        <v>541</v>
      </c>
      <c r="H57" s="111" t="s">
        <v>579</v>
      </c>
      <c r="I57" s="110">
        <f>+E54*8</f>
        <v>0</v>
      </c>
      <c r="J57" s="110" t="s">
        <v>578</v>
      </c>
      <c r="K57" s="1245"/>
    </row>
    <row r="58" spans="1:11" ht="13.5" customHeight="1">
      <c r="A58" s="1231" t="s">
        <v>669</v>
      </c>
      <c r="B58" s="1231" t="s">
        <v>668</v>
      </c>
      <c r="C58" s="1231">
        <v>720</v>
      </c>
      <c r="D58" s="1231">
        <v>300</v>
      </c>
      <c r="E58" s="1232"/>
      <c r="F58" s="1239" t="s">
        <v>663</v>
      </c>
      <c r="G58" s="111" t="s">
        <v>667</v>
      </c>
      <c r="H58" s="121" t="s">
        <v>666</v>
      </c>
      <c r="I58" s="110">
        <f>+E58*1</f>
        <v>0</v>
      </c>
      <c r="J58" s="110" t="s">
        <v>578</v>
      </c>
      <c r="K58" s="1245"/>
    </row>
    <row r="59" spans="1:11" ht="13.5" customHeight="1">
      <c r="A59" s="1231"/>
      <c r="B59" s="1231"/>
      <c r="C59" s="1231"/>
      <c r="D59" s="1231"/>
      <c r="E59" s="1233"/>
      <c r="F59" s="1239"/>
      <c r="G59" s="111" t="s">
        <v>577</v>
      </c>
      <c r="H59" s="111" t="s">
        <v>527</v>
      </c>
      <c r="I59" s="110">
        <f>+E58*1</f>
        <v>0</v>
      </c>
      <c r="J59" s="110" t="s">
        <v>576</v>
      </c>
      <c r="K59" s="1245"/>
    </row>
    <row r="60" spans="1:11" ht="13.5" customHeight="1">
      <c r="A60" s="1231"/>
      <c r="B60" s="1231"/>
      <c r="C60" s="1231"/>
      <c r="D60" s="1231"/>
      <c r="E60" s="1233"/>
      <c r="F60" s="1239"/>
      <c r="G60" s="111" t="s">
        <v>612</v>
      </c>
      <c r="H60" s="111"/>
      <c r="I60" s="1231" t="s">
        <v>610</v>
      </c>
      <c r="J60" s="1231"/>
      <c r="K60" s="1245"/>
    </row>
    <row r="61" spans="1:11" ht="13.5" customHeight="1">
      <c r="A61" s="1231"/>
      <c r="B61" s="1231"/>
      <c r="C61" s="1231"/>
      <c r="D61" s="1231"/>
      <c r="E61" s="1234"/>
      <c r="F61" s="1239"/>
      <c r="G61" s="111" t="s">
        <v>541</v>
      </c>
      <c r="H61" s="111" t="s">
        <v>579</v>
      </c>
      <c r="I61" s="110">
        <f>+E58*8</f>
        <v>0</v>
      </c>
      <c r="J61" s="110" t="s">
        <v>578</v>
      </c>
      <c r="K61" s="1245"/>
    </row>
    <row r="62" spans="1:11" ht="13.5" customHeight="1">
      <c r="A62" s="1231" t="s">
        <v>665</v>
      </c>
      <c r="B62" s="1231" t="s">
        <v>664</v>
      </c>
      <c r="C62" s="1231">
        <v>720</v>
      </c>
      <c r="D62" s="1231">
        <v>300</v>
      </c>
      <c r="E62" s="1232"/>
      <c r="F62" s="1239" t="s">
        <v>663</v>
      </c>
      <c r="G62" s="111" t="s">
        <v>662</v>
      </c>
      <c r="H62" s="121" t="s">
        <v>661</v>
      </c>
      <c r="I62" s="110">
        <f>+E62*1</f>
        <v>0</v>
      </c>
      <c r="J62" s="110" t="s">
        <v>578</v>
      </c>
      <c r="K62" s="1245"/>
    </row>
    <row r="63" spans="1:11" ht="13.5" customHeight="1">
      <c r="A63" s="1231"/>
      <c r="B63" s="1231"/>
      <c r="C63" s="1231"/>
      <c r="D63" s="1231"/>
      <c r="E63" s="1233"/>
      <c r="F63" s="1239"/>
      <c r="G63" s="111" t="s">
        <v>577</v>
      </c>
      <c r="H63" s="111" t="s">
        <v>527</v>
      </c>
      <c r="I63" s="110">
        <f>+E62*1.4</f>
        <v>0</v>
      </c>
      <c r="J63" s="110" t="s">
        <v>576</v>
      </c>
      <c r="K63" s="1245"/>
    </row>
    <row r="64" spans="1:11" ht="13.5" customHeight="1">
      <c r="A64" s="1231"/>
      <c r="B64" s="1231"/>
      <c r="C64" s="1231"/>
      <c r="D64" s="1231"/>
      <c r="E64" s="1233"/>
      <c r="F64" s="1239"/>
      <c r="G64" s="111" t="s">
        <v>612</v>
      </c>
      <c r="H64" s="111"/>
      <c r="I64" s="1231" t="s">
        <v>610</v>
      </c>
      <c r="J64" s="1231"/>
      <c r="K64" s="1245"/>
    </row>
    <row r="65" spans="1:11" ht="13.5" customHeight="1">
      <c r="A65" s="1231"/>
      <c r="B65" s="1231"/>
      <c r="C65" s="1231"/>
      <c r="D65" s="1231"/>
      <c r="E65" s="1234"/>
      <c r="F65" s="1239"/>
      <c r="G65" s="111" t="s">
        <v>541</v>
      </c>
      <c r="H65" s="111" t="s">
        <v>579</v>
      </c>
      <c r="I65" s="110">
        <f>+E62*8</f>
        <v>0</v>
      </c>
      <c r="J65" s="110" t="s">
        <v>578</v>
      </c>
      <c r="K65" s="1245"/>
    </row>
    <row r="66" spans="1:11" ht="13.5" customHeight="1">
      <c r="A66" s="1231" t="s">
        <v>660</v>
      </c>
      <c r="B66" s="1231" t="s">
        <v>659</v>
      </c>
      <c r="C66" s="1231">
        <v>2160</v>
      </c>
      <c r="D66" s="1231">
        <v>560</v>
      </c>
      <c r="E66" s="1232"/>
      <c r="F66" s="1239" t="s">
        <v>658</v>
      </c>
      <c r="G66" s="111" t="s">
        <v>657</v>
      </c>
      <c r="H66" s="114" t="s">
        <v>602</v>
      </c>
      <c r="I66" s="110">
        <f>+E66*1</f>
        <v>0</v>
      </c>
      <c r="J66" s="110" t="s">
        <v>601</v>
      </c>
      <c r="K66" s="1245"/>
    </row>
    <row r="67" spans="1:11" ht="13.5" customHeight="1">
      <c r="A67" s="1231"/>
      <c r="B67" s="1231"/>
      <c r="C67" s="1231"/>
      <c r="D67" s="1231"/>
      <c r="E67" s="1233"/>
      <c r="F67" s="1239"/>
      <c r="G67" s="111" t="s">
        <v>577</v>
      </c>
      <c r="H67" s="111" t="s">
        <v>527</v>
      </c>
      <c r="I67" s="110">
        <f>+E66*2.5</f>
        <v>0</v>
      </c>
      <c r="J67" s="110" t="s">
        <v>410</v>
      </c>
      <c r="K67" s="1245"/>
    </row>
    <row r="68" spans="1:11" ht="13.5" customHeight="1">
      <c r="A68" s="1231"/>
      <c r="B68" s="1231"/>
      <c r="C68" s="1231"/>
      <c r="D68" s="1231"/>
      <c r="E68" s="1233"/>
      <c r="F68" s="1239"/>
      <c r="G68" s="111" t="s">
        <v>612</v>
      </c>
      <c r="H68" s="111"/>
      <c r="I68" s="1231" t="s">
        <v>610</v>
      </c>
      <c r="J68" s="1231"/>
      <c r="K68" s="1245"/>
    </row>
    <row r="69" spans="1:11" ht="13.5" customHeight="1">
      <c r="A69" s="1231"/>
      <c r="B69" s="1231"/>
      <c r="C69" s="1231"/>
      <c r="D69" s="1231"/>
      <c r="E69" s="1234"/>
      <c r="F69" s="1239"/>
      <c r="G69" s="111" t="s">
        <v>541</v>
      </c>
      <c r="H69" s="111" t="s">
        <v>579</v>
      </c>
      <c r="I69" s="110">
        <f>+E66*8</f>
        <v>0</v>
      </c>
      <c r="J69" s="110" t="s">
        <v>578</v>
      </c>
      <c r="K69" s="1246"/>
    </row>
    <row r="70" spans="1:11" ht="13.5" customHeight="1">
      <c r="A70" s="1239" t="s">
        <v>656</v>
      </c>
      <c r="B70" s="1239"/>
      <c r="C70" s="1239"/>
      <c r="D70" s="1239"/>
      <c r="E70" s="1239"/>
      <c r="F70" s="1239"/>
      <c r="G70" s="1239"/>
      <c r="H70" s="1239"/>
      <c r="I70" s="1239"/>
      <c r="J70" s="1239"/>
      <c r="K70" s="1239"/>
    </row>
    <row r="71" spans="1:11" ht="13.5" customHeight="1">
      <c r="A71" s="1238" t="s">
        <v>655</v>
      </c>
      <c r="B71" s="1238"/>
      <c r="C71" s="1238"/>
      <c r="D71" s="1238"/>
      <c r="E71" s="1238"/>
      <c r="F71" s="1238"/>
      <c r="G71" s="1238"/>
      <c r="H71" s="1238"/>
      <c r="I71" s="1238"/>
      <c r="J71" s="1238"/>
      <c r="K71" s="1238"/>
    </row>
    <row r="72" spans="1:11" ht="13.5" customHeight="1">
      <c r="A72" s="110" t="s">
        <v>608</v>
      </c>
      <c r="B72" s="110" t="s">
        <v>598</v>
      </c>
      <c r="C72" s="110" t="s">
        <v>597</v>
      </c>
      <c r="D72" s="110" t="s">
        <v>596</v>
      </c>
      <c r="E72" s="118"/>
      <c r="F72" s="110" t="s">
        <v>624</v>
      </c>
      <c r="G72" s="110" t="s">
        <v>594</v>
      </c>
      <c r="H72" s="110" t="s">
        <v>593</v>
      </c>
      <c r="I72" s="110" t="s">
        <v>592</v>
      </c>
      <c r="J72" s="110" t="s">
        <v>591</v>
      </c>
      <c r="K72" s="110" t="s">
        <v>606</v>
      </c>
    </row>
    <row r="73" spans="1:11" ht="13.5" customHeight="1">
      <c r="A73" s="1231">
        <v>1</v>
      </c>
      <c r="B73" s="1231" t="s">
        <v>582</v>
      </c>
      <c r="C73" s="1231" t="s">
        <v>604</v>
      </c>
      <c r="D73" s="1231" t="s">
        <v>604</v>
      </c>
      <c r="E73" s="1232"/>
      <c r="F73" s="1231" t="s">
        <v>654</v>
      </c>
      <c r="G73" s="111" t="s">
        <v>580</v>
      </c>
      <c r="H73" s="114" t="s">
        <v>602</v>
      </c>
      <c r="I73" s="110">
        <f>+E73*0.3</f>
        <v>0</v>
      </c>
      <c r="J73" s="110" t="s">
        <v>601</v>
      </c>
      <c r="K73" s="1231"/>
    </row>
    <row r="74" spans="1:11" ht="13.5" customHeight="1">
      <c r="A74" s="1231"/>
      <c r="B74" s="1231"/>
      <c r="C74" s="1231"/>
      <c r="D74" s="1231"/>
      <c r="E74" s="1233"/>
      <c r="F74" s="1231"/>
      <c r="G74" s="111" t="s">
        <v>577</v>
      </c>
      <c r="H74" s="111" t="s">
        <v>527</v>
      </c>
      <c r="I74" s="110">
        <f>+E73*1</f>
        <v>0</v>
      </c>
      <c r="J74" s="110" t="s">
        <v>410</v>
      </c>
      <c r="K74" s="1231"/>
    </row>
    <row r="75" spans="1:11" ht="13.5" customHeight="1">
      <c r="A75" s="1231"/>
      <c r="B75" s="1231"/>
      <c r="C75" s="1231"/>
      <c r="D75" s="1231"/>
      <c r="E75" s="1234"/>
      <c r="F75" s="1231"/>
      <c r="G75" s="111" t="s">
        <v>541</v>
      </c>
      <c r="H75" s="111" t="s">
        <v>579</v>
      </c>
      <c r="I75" s="110">
        <f>+E73*8</f>
        <v>0</v>
      </c>
      <c r="J75" s="110" t="s">
        <v>578</v>
      </c>
      <c r="K75" s="1231"/>
    </row>
    <row r="76" spans="1:11" ht="13.5" customHeight="1">
      <c r="A76" s="1231">
        <v>2</v>
      </c>
      <c r="B76" s="1231" t="s">
        <v>653</v>
      </c>
      <c r="C76" s="1231" t="s">
        <v>604</v>
      </c>
      <c r="D76" s="1231" t="s">
        <v>604</v>
      </c>
      <c r="E76" s="1232"/>
      <c r="F76" s="1231" t="s">
        <v>654</v>
      </c>
      <c r="G76" s="111" t="s">
        <v>580</v>
      </c>
      <c r="H76" s="114" t="s">
        <v>602</v>
      </c>
      <c r="I76" s="110">
        <f>+E76*0.4</f>
        <v>0</v>
      </c>
      <c r="J76" s="110" t="s">
        <v>601</v>
      </c>
      <c r="K76" s="1231"/>
    </row>
    <row r="77" spans="1:11" ht="13.5" customHeight="1">
      <c r="A77" s="1231"/>
      <c r="B77" s="1231"/>
      <c r="C77" s="1231"/>
      <c r="D77" s="1231"/>
      <c r="E77" s="1233"/>
      <c r="F77" s="1231"/>
      <c r="G77" s="111" t="s">
        <v>577</v>
      </c>
      <c r="H77" s="111" t="s">
        <v>527</v>
      </c>
      <c r="I77" s="110">
        <f>+E76*1.5</f>
        <v>0</v>
      </c>
      <c r="J77" s="110" t="s">
        <v>410</v>
      </c>
      <c r="K77" s="1231"/>
    </row>
    <row r="78" spans="1:11" ht="13.5" customHeight="1">
      <c r="A78" s="1231"/>
      <c r="B78" s="1231"/>
      <c r="C78" s="1231"/>
      <c r="D78" s="1231"/>
      <c r="E78" s="1234"/>
      <c r="F78" s="1231"/>
      <c r="G78" s="111" t="s">
        <v>541</v>
      </c>
      <c r="H78" s="111" t="s">
        <v>579</v>
      </c>
      <c r="I78" s="110">
        <f>+E76*8</f>
        <v>0</v>
      </c>
      <c r="J78" s="110" t="s">
        <v>578</v>
      </c>
      <c r="K78" s="1231"/>
    </row>
    <row r="79" spans="1:11" ht="13.5" customHeight="1">
      <c r="A79" s="1231">
        <v>3</v>
      </c>
      <c r="B79" s="1231" t="s">
        <v>582</v>
      </c>
      <c r="C79" s="1231" t="s">
        <v>604</v>
      </c>
      <c r="D79" s="1231" t="s">
        <v>604</v>
      </c>
      <c r="E79" s="1232"/>
      <c r="F79" s="1231" t="s">
        <v>652</v>
      </c>
      <c r="G79" s="111" t="s">
        <v>580</v>
      </c>
      <c r="H79" s="114" t="s">
        <v>602</v>
      </c>
      <c r="I79" s="110">
        <f>+E79*0.4</f>
        <v>0</v>
      </c>
      <c r="J79" s="110" t="s">
        <v>601</v>
      </c>
      <c r="K79" s="1231"/>
    </row>
    <row r="80" spans="1:11" ht="13.5" customHeight="1">
      <c r="A80" s="1231"/>
      <c r="B80" s="1231"/>
      <c r="C80" s="1231"/>
      <c r="D80" s="1231"/>
      <c r="E80" s="1233"/>
      <c r="F80" s="1231"/>
      <c r="G80" s="111" t="s">
        <v>577</v>
      </c>
      <c r="H80" s="111" t="s">
        <v>527</v>
      </c>
      <c r="I80" s="110">
        <f>+E79*1.5</f>
        <v>0</v>
      </c>
      <c r="J80" s="110" t="s">
        <v>410</v>
      </c>
      <c r="K80" s="1231"/>
    </row>
    <row r="81" spans="1:11" ht="13.5" customHeight="1">
      <c r="A81" s="1231"/>
      <c r="B81" s="1231"/>
      <c r="C81" s="1231"/>
      <c r="D81" s="1231"/>
      <c r="E81" s="1234"/>
      <c r="F81" s="1231"/>
      <c r="G81" s="111" t="s">
        <v>541</v>
      </c>
      <c r="H81" s="111" t="s">
        <v>579</v>
      </c>
      <c r="I81" s="110">
        <f>+E79*8</f>
        <v>0</v>
      </c>
      <c r="J81" s="110" t="s">
        <v>578</v>
      </c>
      <c r="K81" s="1231"/>
    </row>
    <row r="82" spans="1:11" ht="13.5" customHeight="1">
      <c r="A82" s="1231">
        <v>4</v>
      </c>
      <c r="B82" s="1231" t="s">
        <v>653</v>
      </c>
      <c r="C82" s="1231" t="s">
        <v>604</v>
      </c>
      <c r="D82" s="1231" t="s">
        <v>604</v>
      </c>
      <c r="E82" s="1232"/>
      <c r="F82" s="1231" t="s">
        <v>652</v>
      </c>
      <c r="G82" s="111" t="s">
        <v>580</v>
      </c>
      <c r="H82" s="114" t="s">
        <v>602</v>
      </c>
      <c r="I82" s="110">
        <f>+E82*0.6</f>
        <v>0</v>
      </c>
      <c r="J82" s="110" t="s">
        <v>601</v>
      </c>
      <c r="K82" s="1231"/>
    </row>
    <row r="83" spans="1:11" ht="13.5" customHeight="1">
      <c r="A83" s="1231"/>
      <c r="B83" s="1231"/>
      <c r="C83" s="1231"/>
      <c r="D83" s="1231"/>
      <c r="E83" s="1233"/>
      <c r="F83" s="1231"/>
      <c r="G83" s="111" t="s">
        <v>577</v>
      </c>
      <c r="H83" s="111" t="s">
        <v>527</v>
      </c>
      <c r="I83" s="110">
        <f>+E82*1.5</f>
        <v>0</v>
      </c>
      <c r="J83" s="110" t="s">
        <v>410</v>
      </c>
      <c r="K83" s="1231"/>
    </row>
    <row r="84" spans="1:11" ht="13.5" customHeight="1">
      <c r="A84" s="1231"/>
      <c r="B84" s="1231"/>
      <c r="C84" s="1231"/>
      <c r="D84" s="1231"/>
      <c r="E84" s="1234"/>
      <c r="F84" s="1231"/>
      <c r="G84" s="111" t="s">
        <v>541</v>
      </c>
      <c r="H84" s="111" t="s">
        <v>579</v>
      </c>
      <c r="I84" s="110">
        <f>+E82*8</f>
        <v>0</v>
      </c>
      <c r="J84" s="110" t="s">
        <v>578</v>
      </c>
      <c r="K84" s="1231"/>
    </row>
    <row r="85" spans="1:11" ht="13.5" customHeight="1">
      <c r="A85" s="1231">
        <v>5</v>
      </c>
      <c r="B85" s="1231" t="s">
        <v>604</v>
      </c>
      <c r="C85" s="1231" t="s">
        <v>604</v>
      </c>
      <c r="D85" s="1231" t="s">
        <v>650</v>
      </c>
      <c r="E85" s="1232"/>
      <c r="F85" s="1239" t="s">
        <v>651</v>
      </c>
      <c r="G85" s="111" t="s">
        <v>580</v>
      </c>
      <c r="H85" s="114" t="s">
        <v>602</v>
      </c>
      <c r="I85" s="110">
        <f>+E85*0.5</f>
        <v>0</v>
      </c>
      <c r="J85" s="110" t="s">
        <v>601</v>
      </c>
      <c r="K85" s="1231"/>
    </row>
    <row r="86" spans="1:11" ht="13.5" customHeight="1">
      <c r="A86" s="1231"/>
      <c r="B86" s="1231"/>
      <c r="C86" s="1231"/>
      <c r="D86" s="1231"/>
      <c r="E86" s="1233"/>
      <c r="F86" s="1239"/>
      <c r="G86" s="111" t="s">
        <v>577</v>
      </c>
      <c r="H86" s="111" t="s">
        <v>527</v>
      </c>
      <c r="I86" s="110">
        <f>+E85*2</f>
        <v>0</v>
      </c>
      <c r="J86" s="110" t="s">
        <v>410</v>
      </c>
      <c r="K86" s="1231"/>
    </row>
    <row r="87" spans="1:11" ht="13.5" customHeight="1">
      <c r="A87" s="1231"/>
      <c r="B87" s="1231"/>
      <c r="C87" s="1231"/>
      <c r="D87" s="1231"/>
      <c r="E87" s="1234"/>
      <c r="F87" s="1239"/>
      <c r="G87" s="111" t="s">
        <v>541</v>
      </c>
      <c r="H87" s="111" t="s">
        <v>579</v>
      </c>
      <c r="I87" s="110">
        <f>+E85*8</f>
        <v>0</v>
      </c>
      <c r="J87" s="110" t="s">
        <v>578</v>
      </c>
      <c r="K87" s="1231"/>
    </row>
    <row r="88" spans="1:11" ht="13.5" customHeight="1">
      <c r="A88" s="1231">
        <v>6</v>
      </c>
      <c r="B88" s="1231" t="s">
        <v>604</v>
      </c>
      <c r="C88" s="1231" t="s">
        <v>604</v>
      </c>
      <c r="D88" s="1231" t="s">
        <v>649</v>
      </c>
      <c r="E88" s="1232"/>
      <c r="F88" s="1239" t="s">
        <v>651</v>
      </c>
      <c r="G88" s="111" t="s">
        <v>580</v>
      </c>
      <c r="H88" s="114" t="s">
        <v>602</v>
      </c>
      <c r="I88" s="110">
        <f>+E88*0.8</f>
        <v>0</v>
      </c>
      <c r="J88" s="110" t="s">
        <v>601</v>
      </c>
      <c r="K88" s="1231"/>
    </row>
    <row r="89" spans="1:11" ht="13.5" customHeight="1">
      <c r="A89" s="1231"/>
      <c r="B89" s="1231"/>
      <c r="C89" s="1231"/>
      <c r="D89" s="1231"/>
      <c r="E89" s="1233"/>
      <c r="F89" s="1239"/>
      <c r="G89" s="111" t="s">
        <v>577</v>
      </c>
      <c r="H89" s="111" t="s">
        <v>527</v>
      </c>
      <c r="I89" s="110">
        <f>+E88*2</f>
        <v>0</v>
      </c>
      <c r="J89" s="110" t="s">
        <v>410</v>
      </c>
      <c r="K89" s="1231"/>
    </row>
    <row r="90" spans="1:11" ht="13.5" customHeight="1">
      <c r="A90" s="1231"/>
      <c r="B90" s="1231"/>
      <c r="C90" s="1231"/>
      <c r="D90" s="1231"/>
      <c r="E90" s="1234"/>
      <c r="F90" s="1239"/>
      <c r="G90" s="111" t="s">
        <v>541</v>
      </c>
      <c r="H90" s="111" t="s">
        <v>579</v>
      </c>
      <c r="I90" s="110">
        <f>+E88*8</f>
        <v>0</v>
      </c>
      <c r="J90" s="110" t="s">
        <v>578</v>
      </c>
      <c r="K90" s="1231"/>
    </row>
    <row r="91" spans="1:11" ht="13.5" customHeight="1">
      <c r="A91" s="1231">
        <v>7</v>
      </c>
      <c r="B91" s="1231" t="s">
        <v>604</v>
      </c>
      <c r="C91" s="1231" t="s">
        <v>604</v>
      </c>
      <c r="D91" s="1231" t="s">
        <v>650</v>
      </c>
      <c r="E91" s="1232"/>
      <c r="F91" s="1231" t="s">
        <v>648</v>
      </c>
      <c r="G91" s="111" t="s">
        <v>580</v>
      </c>
      <c r="H91" s="114" t="s">
        <v>602</v>
      </c>
      <c r="I91" s="110">
        <f>+E91*0.5</f>
        <v>0</v>
      </c>
      <c r="J91" s="110" t="s">
        <v>601</v>
      </c>
      <c r="K91" s="1231"/>
    </row>
    <row r="92" spans="1:11" ht="13.5" customHeight="1">
      <c r="A92" s="1231"/>
      <c r="B92" s="1231"/>
      <c r="C92" s="1231"/>
      <c r="D92" s="1231"/>
      <c r="E92" s="1233"/>
      <c r="F92" s="1231"/>
      <c r="G92" s="111" t="s">
        <v>577</v>
      </c>
      <c r="H92" s="111" t="s">
        <v>527</v>
      </c>
      <c r="I92" s="110">
        <f>+E91*2.5</f>
        <v>0</v>
      </c>
      <c r="J92" s="110" t="s">
        <v>410</v>
      </c>
      <c r="K92" s="1231"/>
    </row>
    <row r="93" spans="1:11" ht="13.5" customHeight="1">
      <c r="A93" s="1231"/>
      <c r="B93" s="1231"/>
      <c r="C93" s="1231"/>
      <c r="D93" s="1231"/>
      <c r="E93" s="1234"/>
      <c r="F93" s="1231"/>
      <c r="G93" s="111" t="s">
        <v>541</v>
      </c>
      <c r="H93" s="111" t="s">
        <v>579</v>
      </c>
      <c r="I93" s="110">
        <f>+E91*8</f>
        <v>0</v>
      </c>
      <c r="J93" s="110" t="s">
        <v>578</v>
      </c>
      <c r="K93" s="1231"/>
    </row>
    <row r="94" spans="1:11" ht="13.5" customHeight="1">
      <c r="A94" s="1231">
        <v>8</v>
      </c>
      <c r="B94" s="1231" t="s">
        <v>604</v>
      </c>
      <c r="C94" s="1231" t="s">
        <v>604</v>
      </c>
      <c r="D94" s="1231" t="s">
        <v>649</v>
      </c>
      <c r="E94" s="1232"/>
      <c r="F94" s="1231" t="s">
        <v>648</v>
      </c>
      <c r="G94" s="111" t="s">
        <v>580</v>
      </c>
      <c r="H94" s="114" t="s">
        <v>602</v>
      </c>
      <c r="I94" s="110">
        <f>+E94*1</f>
        <v>0</v>
      </c>
      <c r="J94" s="110" t="s">
        <v>601</v>
      </c>
      <c r="K94" s="1231"/>
    </row>
    <row r="95" spans="1:11" ht="13.5" customHeight="1">
      <c r="A95" s="1231"/>
      <c r="B95" s="1231"/>
      <c r="C95" s="1231"/>
      <c r="D95" s="1231"/>
      <c r="E95" s="1233"/>
      <c r="F95" s="1231"/>
      <c r="G95" s="111" t="s">
        <v>577</v>
      </c>
      <c r="H95" s="111" t="s">
        <v>527</v>
      </c>
      <c r="I95" s="110">
        <f>+E94*2.5</f>
        <v>0</v>
      </c>
      <c r="J95" s="110" t="s">
        <v>410</v>
      </c>
      <c r="K95" s="1231"/>
    </row>
    <row r="96" spans="1:11" ht="13.5" customHeight="1">
      <c r="A96" s="1231"/>
      <c r="B96" s="1231"/>
      <c r="C96" s="1231"/>
      <c r="D96" s="1231"/>
      <c r="E96" s="1234"/>
      <c r="F96" s="1231"/>
      <c r="G96" s="111" t="s">
        <v>541</v>
      </c>
      <c r="H96" s="111" t="s">
        <v>579</v>
      </c>
      <c r="I96" s="110">
        <f>+E94*8</f>
        <v>0</v>
      </c>
      <c r="J96" s="110" t="s">
        <v>578</v>
      </c>
      <c r="K96" s="1231"/>
    </row>
    <row r="97" spans="1:11" ht="13.5" customHeight="1">
      <c r="A97" s="1238" t="s">
        <v>647</v>
      </c>
      <c r="B97" s="1238"/>
      <c r="C97" s="1238"/>
      <c r="D97" s="1238"/>
      <c r="E97" s="1238"/>
      <c r="F97" s="1238"/>
      <c r="G97" s="1238"/>
      <c r="H97" s="1238"/>
      <c r="I97" s="1238"/>
      <c r="J97" s="1238"/>
      <c r="K97" s="1238"/>
    </row>
    <row r="98" spans="1:11" ht="13.5" customHeight="1">
      <c r="A98" s="110" t="s">
        <v>608</v>
      </c>
      <c r="B98" s="110" t="s">
        <v>598</v>
      </c>
      <c r="C98" s="110" t="s">
        <v>597</v>
      </c>
      <c r="D98" s="110" t="s">
        <v>595</v>
      </c>
      <c r="E98" s="118"/>
      <c r="F98" s="110" t="s">
        <v>624</v>
      </c>
      <c r="G98" s="110" t="s">
        <v>594</v>
      </c>
      <c r="H98" s="110" t="s">
        <v>593</v>
      </c>
      <c r="I98" s="110" t="s">
        <v>592</v>
      </c>
      <c r="J98" s="110" t="s">
        <v>591</v>
      </c>
      <c r="K98" s="110" t="s">
        <v>590</v>
      </c>
    </row>
    <row r="99" spans="1:11" ht="13.5" customHeight="1">
      <c r="A99" s="1231">
        <v>1</v>
      </c>
      <c r="B99" s="1231" t="s">
        <v>644</v>
      </c>
      <c r="C99" s="1231" t="s">
        <v>623</v>
      </c>
      <c r="D99" s="1231" t="s">
        <v>643</v>
      </c>
      <c r="E99" s="1232"/>
      <c r="F99" s="1231" t="s">
        <v>646</v>
      </c>
      <c r="G99" s="111" t="s">
        <v>580</v>
      </c>
      <c r="H99" s="114" t="s">
        <v>602</v>
      </c>
      <c r="I99" s="110">
        <f>+E99*0.7</f>
        <v>0</v>
      </c>
      <c r="J99" s="110" t="s">
        <v>601</v>
      </c>
      <c r="K99" s="1231" t="s">
        <v>645</v>
      </c>
    </row>
    <row r="100" spans="1:11" ht="13.5" customHeight="1">
      <c r="A100" s="1231"/>
      <c r="B100" s="1231"/>
      <c r="C100" s="1231"/>
      <c r="D100" s="1231"/>
      <c r="E100" s="1233"/>
      <c r="F100" s="1231"/>
      <c r="G100" s="832" t="s">
        <v>1771</v>
      </c>
      <c r="H100" s="114"/>
      <c r="I100" s="830">
        <f>E99*1</f>
        <v>0</v>
      </c>
      <c r="J100" s="830" t="s">
        <v>415</v>
      </c>
      <c r="K100" s="1231"/>
    </row>
    <row r="101" spans="1:11" ht="13.5" customHeight="1">
      <c r="A101" s="1231"/>
      <c r="B101" s="1231"/>
      <c r="C101" s="1231"/>
      <c r="D101" s="1231"/>
      <c r="E101" s="1234"/>
      <c r="F101" s="1231"/>
      <c r="G101" s="111" t="s">
        <v>577</v>
      </c>
      <c r="H101" s="111" t="s">
        <v>527</v>
      </c>
      <c r="I101" s="110">
        <f>+E99*2</f>
        <v>0</v>
      </c>
      <c r="J101" s="110" t="s">
        <v>576</v>
      </c>
      <c r="K101" s="1231"/>
    </row>
    <row r="102" spans="1:11" ht="13.5" customHeight="1">
      <c r="A102" s="1231">
        <v>2</v>
      </c>
      <c r="B102" s="1231" t="s">
        <v>644</v>
      </c>
      <c r="C102" s="1231" t="s">
        <v>620</v>
      </c>
      <c r="D102" s="1231" t="s">
        <v>643</v>
      </c>
      <c r="E102" s="1232"/>
      <c r="F102" s="1231" t="s">
        <v>642</v>
      </c>
      <c r="G102" s="111" t="s">
        <v>580</v>
      </c>
      <c r="H102" s="114" t="s">
        <v>602</v>
      </c>
      <c r="I102" s="110">
        <f>+E102*1</f>
        <v>0</v>
      </c>
      <c r="J102" s="110" t="s">
        <v>601</v>
      </c>
      <c r="K102" s="1231"/>
    </row>
    <row r="103" spans="1:11" ht="13.5" customHeight="1">
      <c r="A103" s="1231"/>
      <c r="B103" s="1231"/>
      <c r="C103" s="1231"/>
      <c r="D103" s="1231"/>
      <c r="E103" s="1233"/>
      <c r="F103" s="1231"/>
      <c r="G103" s="832" t="s">
        <v>1772</v>
      </c>
      <c r="H103" s="114"/>
      <c r="I103" s="830">
        <f>E102*1</f>
        <v>0</v>
      </c>
      <c r="J103" s="830" t="s">
        <v>415</v>
      </c>
      <c r="K103" s="1231"/>
    </row>
    <row r="104" spans="1:11" ht="13.5" customHeight="1">
      <c r="A104" s="1231"/>
      <c r="B104" s="1231"/>
      <c r="C104" s="1231"/>
      <c r="D104" s="1231"/>
      <c r="E104" s="1234"/>
      <c r="F104" s="1231"/>
      <c r="G104" s="111" t="s">
        <v>577</v>
      </c>
      <c r="H104" s="111" t="s">
        <v>527</v>
      </c>
      <c r="I104" s="110">
        <f>+E102*2.5</f>
        <v>0</v>
      </c>
      <c r="J104" s="110" t="s">
        <v>576</v>
      </c>
      <c r="K104" s="1231"/>
    </row>
    <row r="105" spans="1:11" ht="13.5" customHeight="1">
      <c r="A105" s="1241" t="s">
        <v>641</v>
      </c>
      <c r="B105" s="1241"/>
      <c r="C105" s="1241"/>
      <c r="D105" s="1241"/>
      <c r="E105" s="1241"/>
      <c r="F105" s="1241"/>
      <c r="G105" s="1241"/>
      <c r="H105" s="1241"/>
      <c r="I105" s="1241"/>
      <c r="J105" s="1241"/>
      <c r="K105" s="1241"/>
    </row>
    <row r="106" spans="1:11" ht="13.5" customHeight="1">
      <c r="A106" s="1238" t="s">
        <v>640</v>
      </c>
      <c r="B106" s="1238"/>
      <c r="C106" s="1238"/>
      <c r="D106" s="1238"/>
      <c r="E106" s="1238"/>
      <c r="F106" s="1238"/>
      <c r="G106" s="1238"/>
      <c r="H106" s="1238"/>
      <c r="I106" s="1238"/>
      <c r="J106" s="1238"/>
      <c r="K106" s="1238"/>
    </row>
    <row r="107" spans="1:11" ht="13.5" customHeight="1">
      <c r="A107" s="110" t="s">
        <v>639</v>
      </c>
      <c r="B107" s="110" t="s">
        <v>598</v>
      </c>
      <c r="C107" s="110" t="s">
        <v>597</v>
      </c>
      <c r="D107" s="110" t="s">
        <v>625</v>
      </c>
      <c r="E107" s="118"/>
      <c r="F107" s="110" t="s">
        <v>638</v>
      </c>
      <c r="G107" s="110" t="s">
        <v>594</v>
      </c>
      <c r="H107" s="110" t="s">
        <v>593</v>
      </c>
      <c r="I107" s="110" t="s">
        <v>595</v>
      </c>
      <c r="J107" s="110" t="s">
        <v>637</v>
      </c>
      <c r="K107" s="110" t="s">
        <v>606</v>
      </c>
    </row>
    <row r="108" spans="1:11" ht="13.5" customHeight="1">
      <c r="A108" s="1231" t="s">
        <v>636</v>
      </c>
      <c r="B108" s="1231" t="s">
        <v>635</v>
      </c>
      <c r="C108" s="1231" t="s">
        <v>629</v>
      </c>
      <c r="D108" s="1231" t="s">
        <v>619</v>
      </c>
      <c r="E108" s="1232"/>
      <c r="F108" s="1239" t="s">
        <v>634</v>
      </c>
      <c r="G108" s="111" t="s">
        <v>633</v>
      </c>
      <c r="H108" s="111" t="s">
        <v>618</v>
      </c>
      <c r="I108" s="110">
        <f>+E108*1</f>
        <v>0</v>
      </c>
      <c r="J108" s="110" t="s">
        <v>578</v>
      </c>
      <c r="K108" s="1239" t="s">
        <v>632</v>
      </c>
    </row>
    <row r="109" spans="1:11" ht="13.5" customHeight="1">
      <c r="A109" s="1231"/>
      <c r="B109" s="1231"/>
      <c r="C109" s="1231"/>
      <c r="D109" s="1231"/>
      <c r="E109" s="1233"/>
      <c r="F109" s="1239"/>
      <c r="G109" s="111" t="s">
        <v>577</v>
      </c>
      <c r="H109" s="111" t="s">
        <v>527</v>
      </c>
      <c r="I109" s="110">
        <f>+E108*2.6</f>
        <v>0</v>
      </c>
      <c r="J109" s="110" t="s">
        <v>410</v>
      </c>
      <c r="K109" s="1239"/>
    </row>
    <row r="110" spans="1:11" ht="13.5" customHeight="1">
      <c r="A110" s="1231"/>
      <c r="B110" s="1231"/>
      <c r="C110" s="1231"/>
      <c r="D110" s="1231"/>
      <c r="E110" s="1233"/>
      <c r="F110" s="1239"/>
      <c r="G110" s="111" t="s">
        <v>617</v>
      </c>
      <c r="H110" s="111"/>
      <c r="I110" s="1231" t="s">
        <v>610</v>
      </c>
      <c r="J110" s="1231"/>
      <c r="K110" s="1239"/>
    </row>
    <row r="111" spans="1:11" ht="13.5" customHeight="1">
      <c r="A111" s="1231"/>
      <c r="B111" s="1231"/>
      <c r="C111" s="1231"/>
      <c r="D111" s="1231"/>
      <c r="E111" s="1234"/>
      <c r="F111" s="1239"/>
      <c r="G111" s="111" t="s">
        <v>541</v>
      </c>
      <c r="H111" s="111" t="s">
        <v>579</v>
      </c>
      <c r="I111" s="110">
        <f>+E108*8</f>
        <v>0</v>
      </c>
      <c r="J111" s="110" t="s">
        <v>578</v>
      </c>
      <c r="K111" s="1239"/>
    </row>
    <row r="112" spans="1:11" ht="13.5" customHeight="1">
      <c r="A112" s="1231" t="s">
        <v>631</v>
      </c>
      <c r="B112" s="1231" t="s">
        <v>630</v>
      </c>
      <c r="C112" s="1231" t="s">
        <v>629</v>
      </c>
      <c r="D112" s="1231" t="s">
        <v>619</v>
      </c>
      <c r="E112" s="1232"/>
      <c r="F112" s="1239"/>
      <c r="G112" s="111" t="s">
        <v>628</v>
      </c>
      <c r="H112" s="111" t="s">
        <v>627</v>
      </c>
      <c r="I112" s="110">
        <f>+E112*1</f>
        <v>0</v>
      </c>
      <c r="J112" s="110" t="s">
        <v>578</v>
      </c>
      <c r="K112" s="1239"/>
    </row>
    <row r="113" spans="1:11" ht="13.5" customHeight="1">
      <c r="A113" s="1231"/>
      <c r="B113" s="1231"/>
      <c r="C113" s="1231"/>
      <c r="D113" s="1231"/>
      <c r="E113" s="1233"/>
      <c r="F113" s="1239"/>
      <c r="G113" s="111" t="s">
        <v>577</v>
      </c>
      <c r="H113" s="111" t="s">
        <v>527</v>
      </c>
      <c r="I113" s="110">
        <f>+E112*3.4</f>
        <v>0</v>
      </c>
      <c r="J113" s="110" t="s">
        <v>410</v>
      </c>
      <c r="K113" s="1239"/>
    </row>
    <row r="114" spans="1:11" ht="13.5" customHeight="1">
      <c r="A114" s="1231"/>
      <c r="B114" s="1231"/>
      <c r="C114" s="1231"/>
      <c r="D114" s="1231"/>
      <c r="E114" s="1233"/>
      <c r="F114" s="1239"/>
      <c r="G114" s="111" t="s">
        <v>617</v>
      </c>
      <c r="H114" s="111"/>
      <c r="I114" s="1231" t="s">
        <v>610</v>
      </c>
      <c r="J114" s="1231"/>
      <c r="K114" s="1239"/>
    </row>
    <row r="115" spans="1:11" ht="13.5" customHeight="1">
      <c r="A115" s="1231"/>
      <c r="B115" s="1231"/>
      <c r="C115" s="1231"/>
      <c r="D115" s="1231"/>
      <c r="E115" s="1234"/>
      <c r="F115" s="1239"/>
      <c r="G115" s="111" t="s">
        <v>541</v>
      </c>
      <c r="H115" s="111" t="s">
        <v>579</v>
      </c>
      <c r="I115" s="110">
        <f>+E112*8</f>
        <v>0</v>
      </c>
      <c r="J115" s="110" t="s">
        <v>578</v>
      </c>
      <c r="K115" s="1239"/>
    </row>
    <row r="116" spans="1:11" ht="13.5" customHeight="1">
      <c r="A116" s="1238" t="s">
        <v>626</v>
      </c>
      <c r="B116" s="1238"/>
      <c r="C116" s="1238"/>
      <c r="D116" s="1238"/>
      <c r="E116" s="1238"/>
      <c r="F116" s="1238"/>
      <c r="G116" s="1238"/>
      <c r="H116" s="1238"/>
      <c r="I116" s="1238"/>
      <c r="J116" s="1238"/>
      <c r="K116" s="1238"/>
    </row>
    <row r="117" spans="1:11" ht="13.5" customHeight="1">
      <c r="A117" s="110" t="s">
        <v>608</v>
      </c>
      <c r="B117" s="110" t="s">
        <v>598</v>
      </c>
      <c r="C117" s="110" t="s">
        <v>597</v>
      </c>
      <c r="D117" s="110" t="s">
        <v>625</v>
      </c>
      <c r="E117" s="118"/>
      <c r="F117" s="110" t="s">
        <v>624</v>
      </c>
      <c r="G117" s="110" t="s">
        <v>594</v>
      </c>
      <c r="H117" s="110" t="s">
        <v>593</v>
      </c>
      <c r="I117" s="110" t="s">
        <v>592</v>
      </c>
      <c r="J117" s="110" t="s">
        <v>591</v>
      </c>
      <c r="K117" s="110" t="s">
        <v>606</v>
      </c>
    </row>
    <row r="118" spans="1:11" ht="13.5" customHeight="1">
      <c r="A118" s="1231">
        <v>1</v>
      </c>
      <c r="B118" s="1231" t="s">
        <v>621</v>
      </c>
      <c r="C118" s="1231" t="s">
        <v>623</v>
      </c>
      <c r="D118" s="1231" t="s">
        <v>619</v>
      </c>
      <c r="E118" s="1232"/>
      <c r="F118" s="1239" t="s">
        <v>622</v>
      </c>
      <c r="G118" s="111" t="s">
        <v>580</v>
      </c>
      <c r="H118" s="111" t="s">
        <v>618</v>
      </c>
      <c r="I118" s="110">
        <f>+E118*0.4</f>
        <v>0</v>
      </c>
      <c r="J118" s="110" t="s">
        <v>601</v>
      </c>
      <c r="K118" s="1239"/>
    </row>
    <row r="119" spans="1:11" ht="13.5" customHeight="1">
      <c r="A119" s="1231"/>
      <c r="B119" s="1231"/>
      <c r="C119" s="1231"/>
      <c r="D119" s="1231"/>
      <c r="E119" s="1233"/>
      <c r="F119" s="1239"/>
      <c r="G119" s="111" t="s">
        <v>577</v>
      </c>
      <c r="H119" s="111" t="s">
        <v>527</v>
      </c>
      <c r="I119" s="110">
        <f>+E118*3.5</f>
        <v>0</v>
      </c>
      <c r="J119" s="110" t="s">
        <v>410</v>
      </c>
      <c r="K119" s="1239"/>
    </row>
    <row r="120" spans="1:11" ht="13.5" customHeight="1">
      <c r="A120" s="1231"/>
      <c r="B120" s="1231"/>
      <c r="C120" s="1231"/>
      <c r="D120" s="1231"/>
      <c r="E120" s="1233"/>
      <c r="F120" s="1239"/>
      <c r="G120" s="111" t="s">
        <v>617</v>
      </c>
      <c r="H120" s="111"/>
      <c r="I120" s="1231" t="s">
        <v>610</v>
      </c>
      <c r="J120" s="1231"/>
      <c r="K120" s="1239"/>
    </row>
    <row r="121" spans="1:11" ht="13.5" customHeight="1">
      <c r="A121" s="1231"/>
      <c r="B121" s="1231"/>
      <c r="C121" s="1231"/>
      <c r="D121" s="1231"/>
      <c r="E121" s="1234"/>
      <c r="F121" s="1239"/>
      <c r="G121" s="111" t="s">
        <v>541</v>
      </c>
      <c r="H121" s="111" t="s">
        <v>579</v>
      </c>
      <c r="I121" s="110">
        <f>+E118*8</f>
        <v>0</v>
      </c>
      <c r="J121" s="110" t="s">
        <v>578</v>
      </c>
      <c r="K121" s="1239"/>
    </row>
    <row r="122" spans="1:11" ht="13.5" customHeight="1">
      <c r="A122" s="1231">
        <v>2</v>
      </c>
      <c r="B122" s="1231" t="s">
        <v>621</v>
      </c>
      <c r="C122" s="1231" t="s">
        <v>620</v>
      </c>
      <c r="D122" s="1231" t="s">
        <v>619</v>
      </c>
      <c r="E122" s="1232"/>
      <c r="F122" s="1239"/>
      <c r="G122" s="111" t="s">
        <v>580</v>
      </c>
      <c r="H122" s="111" t="s">
        <v>618</v>
      </c>
      <c r="I122" s="110">
        <f>+E122*0.7</f>
        <v>0</v>
      </c>
      <c r="J122" s="110" t="s">
        <v>601</v>
      </c>
      <c r="K122" s="1239"/>
    </row>
    <row r="123" spans="1:11" ht="13.5" customHeight="1">
      <c r="A123" s="1231"/>
      <c r="B123" s="1231"/>
      <c r="C123" s="1231"/>
      <c r="D123" s="1231"/>
      <c r="E123" s="1233"/>
      <c r="F123" s="1239"/>
      <c r="G123" s="111" t="s">
        <v>617</v>
      </c>
      <c r="H123" s="111"/>
      <c r="I123" s="1231" t="s">
        <v>610</v>
      </c>
      <c r="J123" s="1231"/>
      <c r="K123" s="1239"/>
    </row>
    <row r="124" spans="1:11" ht="13.5" customHeight="1">
      <c r="A124" s="1231"/>
      <c r="B124" s="1231"/>
      <c r="C124" s="1231"/>
      <c r="D124" s="1231"/>
      <c r="E124" s="1233"/>
      <c r="F124" s="1239"/>
      <c r="G124" s="111" t="s">
        <v>577</v>
      </c>
      <c r="H124" s="111" t="s">
        <v>527</v>
      </c>
      <c r="I124" s="110">
        <f>+E122*5</f>
        <v>0</v>
      </c>
      <c r="J124" s="110" t="s">
        <v>410</v>
      </c>
      <c r="K124" s="1239"/>
    </row>
    <row r="125" spans="1:11" ht="13.5" customHeight="1">
      <c r="A125" s="1231"/>
      <c r="B125" s="1231"/>
      <c r="C125" s="1231"/>
      <c r="D125" s="1231"/>
      <c r="E125" s="1234"/>
      <c r="F125" s="1239"/>
      <c r="G125" s="111" t="s">
        <v>541</v>
      </c>
      <c r="H125" s="111" t="s">
        <v>579</v>
      </c>
      <c r="I125" s="110">
        <f>+E122*8</f>
        <v>0</v>
      </c>
      <c r="J125" s="110" t="s">
        <v>578</v>
      </c>
      <c r="K125" s="1239"/>
    </row>
    <row r="126" spans="1:11" ht="13.5" customHeight="1">
      <c r="A126" s="1241" t="s">
        <v>600</v>
      </c>
      <c r="B126" s="1241"/>
      <c r="C126" s="1241"/>
      <c r="D126" s="1241"/>
      <c r="E126" s="1241"/>
      <c r="F126" s="1241"/>
      <c r="G126" s="1241"/>
      <c r="H126" s="1241"/>
      <c r="I126" s="1241"/>
      <c r="J126" s="1241"/>
      <c r="K126" s="1241"/>
    </row>
    <row r="127" spans="1:11" ht="13.5" customHeight="1">
      <c r="A127" s="110" t="s">
        <v>599</v>
      </c>
      <c r="B127" s="110" t="s">
        <v>598</v>
      </c>
      <c r="C127" s="110" t="s">
        <v>597</v>
      </c>
      <c r="D127" s="110" t="s">
        <v>596</v>
      </c>
      <c r="E127" s="118"/>
      <c r="F127" s="110" t="s">
        <v>595</v>
      </c>
      <c r="G127" s="110" t="s">
        <v>594</v>
      </c>
      <c r="H127" s="110" t="s">
        <v>593</v>
      </c>
      <c r="I127" s="110" t="s">
        <v>592</v>
      </c>
      <c r="J127" s="110" t="s">
        <v>591</v>
      </c>
      <c r="K127" s="110" t="s">
        <v>590</v>
      </c>
    </row>
    <row r="128" spans="1:11" s="117" customFormat="1" ht="13.5" customHeight="1">
      <c r="A128" s="1240" t="s">
        <v>575</v>
      </c>
      <c r="B128" s="1240">
        <v>50</v>
      </c>
      <c r="C128" s="1240" t="s">
        <v>574</v>
      </c>
      <c r="D128" s="1240" t="s">
        <v>589</v>
      </c>
      <c r="E128" s="1235"/>
      <c r="F128" s="1240" t="s">
        <v>581</v>
      </c>
      <c r="G128" s="116" t="s">
        <v>588</v>
      </c>
      <c r="H128" s="112" t="s">
        <v>532</v>
      </c>
      <c r="I128" s="115">
        <f>+E128*0.7</f>
        <v>0</v>
      </c>
      <c r="J128" s="115" t="s">
        <v>431</v>
      </c>
      <c r="K128" s="1240"/>
    </row>
    <row r="129" spans="1:11" s="117" customFormat="1" ht="13.5" customHeight="1">
      <c r="A129" s="1240"/>
      <c r="B129" s="1240"/>
      <c r="C129" s="1240"/>
      <c r="D129" s="1240"/>
      <c r="E129" s="1236"/>
      <c r="F129" s="1240"/>
      <c r="G129" s="111" t="s">
        <v>586</v>
      </c>
      <c r="H129" s="111" t="s">
        <v>579</v>
      </c>
      <c r="I129" s="110">
        <f>+E128*4</f>
        <v>0</v>
      </c>
      <c r="J129" s="110" t="s">
        <v>578</v>
      </c>
      <c r="K129" s="1240"/>
    </row>
    <row r="130" spans="1:11" s="117" customFormat="1" ht="13.5" customHeight="1">
      <c r="A130" s="1240"/>
      <c r="B130" s="1240"/>
      <c r="C130" s="1240"/>
      <c r="D130" s="1240"/>
      <c r="E130" s="1237"/>
      <c r="F130" s="1240"/>
      <c r="G130" s="116" t="s">
        <v>577</v>
      </c>
      <c r="H130" s="116" t="s">
        <v>527</v>
      </c>
      <c r="I130" s="115">
        <f>+E128*1</f>
        <v>0</v>
      </c>
      <c r="J130" s="115" t="s">
        <v>576</v>
      </c>
      <c r="K130" s="1240"/>
    </row>
    <row r="131" spans="1:11" s="117" customFormat="1" ht="13.5" customHeight="1">
      <c r="A131" s="1240" t="s">
        <v>575</v>
      </c>
      <c r="B131" s="1240">
        <v>50</v>
      </c>
      <c r="C131" s="1240" t="s">
        <v>574</v>
      </c>
      <c r="D131" s="1240" t="s">
        <v>585</v>
      </c>
      <c r="E131" s="1235"/>
      <c r="F131" s="1240" t="s">
        <v>581</v>
      </c>
      <c r="G131" s="116" t="s">
        <v>587</v>
      </c>
      <c r="H131" s="112" t="s">
        <v>532</v>
      </c>
      <c r="I131" s="115">
        <f>+E131*0.7</f>
        <v>0</v>
      </c>
      <c r="J131" s="115" t="s">
        <v>431</v>
      </c>
      <c r="K131" s="1240"/>
    </row>
    <row r="132" spans="1:11" s="117" customFormat="1" ht="13.5" customHeight="1">
      <c r="A132" s="1240"/>
      <c r="B132" s="1240"/>
      <c r="C132" s="1240"/>
      <c r="D132" s="1240"/>
      <c r="E132" s="1236"/>
      <c r="F132" s="1240"/>
      <c r="G132" s="111" t="s">
        <v>586</v>
      </c>
      <c r="H132" s="111" t="s">
        <v>579</v>
      </c>
      <c r="I132" s="110">
        <f>+E131*4</f>
        <v>0</v>
      </c>
      <c r="J132" s="110" t="s">
        <v>578</v>
      </c>
      <c r="K132" s="1240"/>
    </row>
    <row r="133" spans="1:11" s="117" customFormat="1" ht="13.5" customHeight="1">
      <c r="A133" s="1240"/>
      <c r="B133" s="1240"/>
      <c r="C133" s="1240"/>
      <c r="D133" s="1240"/>
      <c r="E133" s="1237"/>
      <c r="F133" s="1240"/>
      <c r="G133" s="116" t="s">
        <v>577</v>
      </c>
      <c r="H133" s="116" t="s">
        <v>527</v>
      </c>
      <c r="I133" s="115">
        <f>+E131*2</f>
        <v>0</v>
      </c>
      <c r="J133" s="115" t="s">
        <v>576</v>
      </c>
      <c r="K133" s="1240"/>
    </row>
    <row r="134" spans="1:11" s="117" customFormat="1" ht="13.5" customHeight="1">
      <c r="A134" s="1240" t="s">
        <v>575</v>
      </c>
      <c r="B134" s="1240">
        <v>50</v>
      </c>
      <c r="C134" s="1240" t="s">
        <v>583</v>
      </c>
      <c r="D134" s="1240" t="s">
        <v>582</v>
      </c>
      <c r="E134" s="1235"/>
      <c r="F134" s="1240" t="s">
        <v>581</v>
      </c>
      <c r="G134" s="116" t="s">
        <v>587</v>
      </c>
      <c r="H134" s="112" t="s">
        <v>532</v>
      </c>
      <c r="I134" s="115">
        <f>+E134*2</f>
        <v>0</v>
      </c>
      <c r="J134" s="115" t="s">
        <v>431</v>
      </c>
      <c r="K134" s="1240"/>
    </row>
    <row r="135" spans="1:11" s="117" customFormat="1" ht="13.5" customHeight="1">
      <c r="A135" s="1240"/>
      <c r="B135" s="1240"/>
      <c r="C135" s="1240"/>
      <c r="D135" s="1240"/>
      <c r="E135" s="1236"/>
      <c r="F135" s="1240"/>
      <c r="G135" s="111" t="s">
        <v>586</v>
      </c>
      <c r="H135" s="111" t="s">
        <v>579</v>
      </c>
      <c r="I135" s="110">
        <f>+E134*4</f>
        <v>0</v>
      </c>
      <c r="J135" s="110" t="s">
        <v>578</v>
      </c>
      <c r="K135" s="1240"/>
    </row>
    <row r="136" spans="1:11" s="117" customFormat="1" ht="13.5" customHeight="1">
      <c r="A136" s="1240"/>
      <c r="B136" s="1240"/>
      <c r="C136" s="1240"/>
      <c r="D136" s="1240"/>
      <c r="E136" s="1237"/>
      <c r="F136" s="1240"/>
      <c r="G136" s="116" t="s">
        <v>577</v>
      </c>
      <c r="H136" s="116" t="s">
        <v>527</v>
      </c>
      <c r="I136" s="115">
        <f>+E134*2.5</f>
        <v>0</v>
      </c>
      <c r="J136" s="115" t="s">
        <v>576</v>
      </c>
      <c r="K136" s="1240"/>
    </row>
    <row r="137" spans="1:11" s="117" customFormat="1" ht="13.5" customHeight="1">
      <c r="A137" s="1240" t="s">
        <v>575</v>
      </c>
      <c r="B137" s="1240">
        <v>75</v>
      </c>
      <c r="C137" s="1240" t="s">
        <v>574</v>
      </c>
      <c r="D137" s="1240" t="s">
        <v>573</v>
      </c>
      <c r="E137" s="1235"/>
      <c r="F137" s="1240" t="s">
        <v>584</v>
      </c>
      <c r="G137" s="116" t="s">
        <v>580</v>
      </c>
      <c r="H137" s="112" t="s">
        <v>532</v>
      </c>
      <c r="I137" s="115">
        <f>+E137*0.5</f>
        <v>0</v>
      </c>
      <c r="J137" s="115" t="s">
        <v>431</v>
      </c>
      <c r="K137" s="1240"/>
    </row>
    <row r="138" spans="1:11" s="117" customFormat="1" ht="13.5" customHeight="1">
      <c r="A138" s="1240"/>
      <c r="B138" s="1240"/>
      <c r="C138" s="1240"/>
      <c r="D138" s="1240"/>
      <c r="E138" s="1236"/>
      <c r="F138" s="1240"/>
      <c r="G138" s="111" t="s">
        <v>541</v>
      </c>
      <c r="H138" s="111" t="s">
        <v>579</v>
      </c>
      <c r="I138" s="110">
        <f>+E137*8</f>
        <v>0</v>
      </c>
      <c r="J138" s="110" t="s">
        <v>578</v>
      </c>
      <c r="K138" s="1240"/>
    </row>
    <row r="139" spans="1:11" s="117" customFormat="1" ht="13.5" customHeight="1">
      <c r="A139" s="1240"/>
      <c r="B139" s="1240"/>
      <c r="C139" s="1240"/>
      <c r="D139" s="1240"/>
      <c r="E139" s="1237"/>
      <c r="F139" s="1240"/>
      <c r="G139" s="116" t="s">
        <v>577</v>
      </c>
      <c r="H139" s="116" t="s">
        <v>527</v>
      </c>
      <c r="I139" s="115">
        <f>+E137*1.5</f>
        <v>0</v>
      </c>
      <c r="J139" s="115" t="s">
        <v>576</v>
      </c>
      <c r="K139" s="1240"/>
    </row>
    <row r="140" spans="1:11" s="117" customFormat="1" ht="13.5" customHeight="1">
      <c r="A140" s="1240" t="s">
        <v>575</v>
      </c>
      <c r="B140" s="1240">
        <v>75</v>
      </c>
      <c r="C140" s="1240" t="s">
        <v>574</v>
      </c>
      <c r="D140" s="1240" t="s">
        <v>585</v>
      </c>
      <c r="E140" s="1235"/>
      <c r="F140" s="1240" t="s">
        <v>584</v>
      </c>
      <c r="G140" s="116" t="s">
        <v>580</v>
      </c>
      <c r="H140" s="112" t="s">
        <v>532</v>
      </c>
      <c r="I140" s="115">
        <f>+E140*0.5</f>
        <v>0</v>
      </c>
      <c r="J140" s="115" t="s">
        <v>431</v>
      </c>
      <c r="K140" s="1240"/>
    </row>
    <row r="141" spans="1:11" s="117" customFormat="1" ht="13.5" customHeight="1">
      <c r="A141" s="1240"/>
      <c r="B141" s="1240"/>
      <c r="C141" s="1240"/>
      <c r="D141" s="1240"/>
      <c r="E141" s="1236"/>
      <c r="F141" s="1240"/>
      <c r="G141" s="111" t="s">
        <v>541</v>
      </c>
      <c r="H141" s="111" t="s">
        <v>579</v>
      </c>
      <c r="I141" s="110">
        <f>+E140*8</f>
        <v>0</v>
      </c>
      <c r="J141" s="110" t="s">
        <v>578</v>
      </c>
      <c r="K141" s="1240"/>
    </row>
    <row r="142" spans="1:11" s="117" customFormat="1" ht="13.5" customHeight="1">
      <c r="A142" s="1240"/>
      <c r="B142" s="1240"/>
      <c r="C142" s="1240"/>
      <c r="D142" s="1240"/>
      <c r="E142" s="1237"/>
      <c r="F142" s="1240"/>
      <c r="G142" s="116" t="s">
        <v>577</v>
      </c>
      <c r="H142" s="116" t="s">
        <v>527</v>
      </c>
      <c r="I142" s="115">
        <f>+E140*2</f>
        <v>0</v>
      </c>
      <c r="J142" s="115" t="s">
        <v>576</v>
      </c>
      <c r="K142" s="1240"/>
    </row>
    <row r="143" spans="1:11" s="117" customFormat="1" ht="13.5" customHeight="1">
      <c r="A143" s="1240" t="s">
        <v>575</v>
      </c>
      <c r="B143" s="1240">
        <v>75</v>
      </c>
      <c r="C143" s="1240" t="s">
        <v>583</v>
      </c>
      <c r="D143" s="1240" t="s">
        <v>582</v>
      </c>
      <c r="E143" s="1235"/>
      <c r="F143" s="1240" t="s">
        <v>581</v>
      </c>
      <c r="G143" s="116" t="s">
        <v>580</v>
      </c>
      <c r="H143" s="112" t="s">
        <v>532</v>
      </c>
      <c r="I143" s="115">
        <f>+E143*2</f>
        <v>0</v>
      </c>
      <c r="J143" s="115" t="s">
        <v>431</v>
      </c>
      <c r="K143" s="1240"/>
    </row>
    <row r="144" spans="1:11" s="117" customFormat="1" ht="13.5" customHeight="1">
      <c r="A144" s="1240"/>
      <c r="B144" s="1240"/>
      <c r="C144" s="1240"/>
      <c r="D144" s="1240"/>
      <c r="E144" s="1236"/>
      <c r="F144" s="1240"/>
      <c r="G144" s="111" t="s">
        <v>541</v>
      </c>
      <c r="H144" s="111" t="s">
        <v>579</v>
      </c>
      <c r="I144" s="110">
        <f>+E143*8</f>
        <v>0</v>
      </c>
      <c r="J144" s="110" t="s">
        <v>578</v>
      </c>
      <c r="K144" s="1240"/>
    </row>
    <row r="145" spans="1:11" s="117" customFormat="1" ht="13.5" customHeight="1">
      <c r="A145" s="1240"/>
      <c r="B145" s="1240"/>
      <c r="C145" s="1240"/>
      <c r="D145" s="1240"/>
      <c r="E145" s="1237"/>
      <c r="F145" s="1240"/>
      <c r="G145" s="116" t="s">
        <v>577</v>
      </c>
      <c r="H145" s="116" t="s">
        <v>527</v>
      </c>
      <c r="I145" s="115">
        <f>+E143*2.5</f>
        <v>0</v>
      </c>
      <c r="J145" s="115" t="s">
        <v>576</v>
      </c>
      <c r="K145" s="1240"/>
    </row>
    <row r="146" spans="1:11" s="117" customFormat="1" ht="13.5" customHeight="1">
      <c r="A146" s="1240" t="s">
        <v>575</v>
      </c>
      <c r="B146" s="1240">
        <v>150</v>
      </c>
      <c r="C146" s="1240" t="s">
        <v>574</v>
      </c>
      <c r="D146" s="1240" t="s">
        <v>573</v>
      </c>
      <c r="E146" s="1235"/>
      <c r="F146" s="1240" t="s">
        <v>547</v>
      </c>
      <c r="G146" s="116" t="s">
        <v>533</v>
      </c>
      <c r="H146" s="112" t="s">
        <v>532</v>
      </c>
      <c r="I146" s="115">
        <f>+E146*0.5</f>
        <v>0</v>
      </c>
      <c r="J146" s="115" t="s">
        <v>431</v>
      </c>
      <c r="K146" s="1240"/>
    </row>
    <row r="147" spans="1:11" s="117" customFormat="1" ht="13.5" customHeight="1">
      <c r="A147" s="1240"/>
      <c r="B147" s="1240"/>
      <c r="C147" s="1240"/>
      <c r="D147" s="1240"/>
      <c r="E147" s="1236"/>
      <c r="F147" s="1240"/>
      <c r="G147" s="111" t="s">
        <v>541</v>
      </c>
      <c r="H147" s="111" t="s">
        <v>529</v>
      </c>
      <c r="I147" s="110">
        <f>+E146*8</f>
        <v>0</v>
      </c>
      <c r="J147" s="110" t="s">
        <v>434</v>
      </c>
      <c r="K147" s="1240"/>
    </row>
    <row r="148" spans="1:11" s="117" customFormat="1" ht="13.5" customHeight="1">
      <c r="A148" s="1240"/>
      <c r="B148" s="1240"/>
      <c r="C148" s="1240"/>
      <c r="D148" s="1240"/>
      <c r="E148" s="1237"/>
      <c r="F148" s="1240"/>
      <c r="G148" s="116" t="s">
        <v>528</v>
      </c>
      <c r="H148" s="116" t="s">
        <v>527</v>
      </c>
      <c r="I148" s="115">
        <f>+E146*1</f>
        <v>0</v>
      </c>
      <c r="J148" s="115" t="s">
        <v>432</v>
      </c>
      <c r="K148" s="1240"/>
    </row>
    <row r="149" spans="1:11" s="117" customFormat="1" ht="13.5" customHeight="1">
      <c r="A149" s="1240" t="s">
        <v>570</v>
      </c>
      <c r="B149" s="1240">
        <v>150</v>
      </c>
      <c r="C149" s="1240" t="s">
        <v>568</v>
      </c>
      <c r="D149" s="1240" t="s">
        <v>572</v>
      </c>
      <c r="E149" s="1235"/>
      <c r="F149" s="1240" t="s">
        <v>547</v>
      </c>
      <c r="G149" s="116" t="s">
        <v>533</v>
      </c>
      <c r="H149" s="112" t="s">
        <v>532</v>
      </c>
      <c r="I149" s="115">
        <f>+E149*0.5</f>
        <v>0</v>
      </c>
      <c r="J149" s="115" t="s">
        <v>431</v>
      </c>
      <c r="K149" s="1240"/>
    </row>
    <row r="150" spans="1:11" s="117" customFormat="1" ht="13.5" customHeight="1">
      <c r="A150" s="1240"/>
      <c r="B150" s="1240"/>
      <c r="C150" s="1240"/>
      <c r="D150" s="1240"/>
      <c r="E150" s="1236"/>
      <c r="F150" s="1240"/>
      <c r="G150" s="111" t="s">
        <v>541</v>
      </c>
      <c r="H150" s="111" t="s">
        <v>529</v>
      </c>
      <c r="I150" s="110">
        <f>+E149*8</f>
        <v>0</v>
      </c>
      <c r="J150" s="110" t="s">
        <v>434</v>
      </c>
      <c r="K150" s="1240"/>
    </row>
    <row r="151" spans="1:11" s="117" customFormat="1" ht="13.5" customHeight="1">
      <c r="A151" s="1240"/>
      <c r="B151" s="1240"/>
      <c r="C151" s="1240"/>
      <c r="D151" s="1240"/>
      <c r="E151" s="1237"/>
      <c r="F151" s="1240"/>
      <c r="G151" s="116" t="s">
        <v>528</v>
      </c>
      <c r="H151" s="116" t="s">
        <v>527</v>
      </c>
      <c r="I151" s="115">
        <f>+E149*1.5</f>
        <v>0</v>
      </c>
      <c r="J151" s="115" t="s">
        <v>432</v>
      </c>
      <c r="K151" s="1240"/>
    </row>
    <row r="152" spans="1:11" s="117" customFormat="1" ht="13.5" customHeight="1">
      <c r="A152" s="1240" t="s">
        <v>570</v>
      </c>
      <c r="B152" s="1240">
        <v>150</v>
      </c>
      <c r="C152" s="1240" t="s">
        <v>571</v>
      </c>
      <c r="D152" s="1240" t="s">
        <v>540</v>
      </c>
      <c r="E152" s="1235"/>
      <c r="F152" s="1240" t="s">
        <v>547</v>
      </c>
      <c r="G152" s="116" t="s">
        <v>533</v>
      </c>
      <c r="H152" s="112" t="s">
        <v>532</v>
      </c>
      <c r="I152" s="115">
        <f>+E152*2</f>
        <v>0</v>
      </c>
      <c r="J152" s="115" t="s">
        <v>431</v>
      </c>
      <c r="K152" s="1240"/>
    </row>
    <row r="153" spans="1:11" s="117" customFormat="1" ht="13.5" customHeight="1">
      <c r="A153" s="1240"/>
      <c r="B153" s="1240"/>
      <c r="C153" s="1240"/>
      <c r="D153" s="1240"/>
      <c r="E153" s="1236"/>
      <c r="F153" s="1240"/>
      <c r="G153" s="111" t="s">
        <v>541</v>
      </c>
      <c r="H153" s="111" t="s">
        <v>529</v>
      </c>
      <c r="I153" s="110">
        <f>+E152*8</f>
        <v>0</v>
      </c>
      <c r="J153" s="110" t="s">
        <v>434</v>
      </c>
      <c r="K153" s="1240"/>
    </row>
    <row r="154" spans="1:11" s="117" customFormat="1" ht="13.5" customHeight="1">
      <c r="A154" s="1240"/>
      <c r="B154" s="1240"/>
      <c r="C154" s="1240"/>
      <c r="D154" s="1240"/>
      <c r="E154" s="1237"/>
      <c r="F154" s="1240"/>
      <c r="G154" s="116" t="s">
        <v>528</v>
      </c>
      <c r="H154" s="116" t="s">
        <v>527</v>
      </c>
      <c r="I154" s="115">
        <f>+E152*2.5</f>
        <v>0</v>
      </c>
      <c r="J154" s="115" t="s">
        <v>432</v>
      </c>
      <c r="K154" s="1240"/>
    </row>
    <row r="155" spans="1:11" ht="13.5" customHeight="1">
      <c r="A155" s="1231" t="s">
        <v>570</v>
      </c>
      <c r="B155" s="1231" t="s">
        <v>569</v>
      </c>
      <c r="C155" s="1231" t="s">
        <v>568</v>
      </c>
      <c r="D155" s="1231" t="s">
        <v>567</v>
      </c>
      <c r="E155" s="1232"/>
      <c r="F155" s="1231" t="s">
        <v>547</v>
      </c>
      <c r="G155" s="116" t="s">
        <v>533</v>
      </c>
      <c r="H155" s="112" t="s">
        <v>532</v>
      </c>
      <c r="I155" s="115">
        <f>+E155*1</f>
        <v>0</v>
      </c>
      <c r="J155" s="115" t="s">
        <v>431</v>
      </c>
      <c r="K155" s="1247"/>
    </row>
    <row r="156" spans="1:11" ht="13.5" customHeight="1">
      <c r="A156" s="1231"/>
      <c r="B156" s="1231"/>
      <c r="C156" s="1231"/>
      <c r="D156" s="1231"/>
      <c r="E156" s="1233"/>
      <c r="F156" s="1231"/>
      <c r="G156" s="111" t="s">
        <v>541</v>
      </c>
      <c r="H156" s="111" t="s">
        <v>529</v>
      </c>
      <c r="I156" s="110">
        <f>+E155*8</f>
        <v>0</v>
      </c>
      <c r="J156" s="110" t="s">
        <v>434</v>
      </c>
      <c r="K156" s="1247"/>
    </row>
    <row r="157" spans="1:11" ht="13.5" customHeight="1">
      <c r="A157" s="1231"/>
      <c r="B157" s="1231"/>
      <c r="C157" s="1231"/>
      <c r="D157" s="1231"/>
      <c r="E157" s="1234"/>
      <c r="F157" s="1231"/>
      <c r="G157" s="116" t="s">
        <v>528</v>
      </c>
      <c r="H157" s="116" t="s">
        <v>527</v>
      </c>
      <c r="I157" s="115">
        <f>+E155*2.5</f>
        <v>0</v>
      </c>
      <c r="J157" s="115" t="s">
        <v>432</v>
      </c>
      <c r="K157" s="1247"/>
    </row>
    <row r="158" spans="1:11" ht="13.5" customHeight="1">
      <c r="A158" s="1231" t="s">
        <v>566</v>
      </c>
      <c r="B158" s="1231" t="s">
        <v>565</v>
      </c>
      <c r="C158" s="1231" t="s">
        <v>558</v>
      </c>
      <c r="D158" s="1231" t="s">
        <v>558</v>
      </c>
      <c r="E158" s="1232"/>
      <c r="F158" s="1231" t="s">
        <v>564</v>
      </c>
      <c r="G158" s="111" t="s">
        <v>533</v>
      </c>
      <c r="H158" s="114" t="s">
        <v>532</v>
      </c>
      <c r="I158" s="110">
        <f>+E158*0.5</f>
        <v>0</v>
      </c>
      <c r="J158" s="110" t="s">
        <v>415</v>
      </c>
      <c r="K158" s="1231"/>
    </row>
    <row r="159" spans="1:11" ht="13.5" customHeight="1">
      <c r="A159" s="1231"/>
      <c r="B159" s="1231"/>
      <c r="C159" s="1231"/>
      <c r="D159" s="1231"/>
      <c r="E159" s="1233"/>
      <c r="F159" s="1231"/>
      <c r="G159" s="111" t="s">
        <v>563</v>
      </c>
      <c r="H159" s="114"/>
      <c r="I159" s="110">
        <f>+E158*5</f>
        <v>0</v>
      </c>
      <c r="J159" s="110" t="s">
        <v>436</v>
      </c>
      <c r="K159" s="1231"/>
    </row>
    <row r="160" spans="1:11" ht="13.5" customHeight="1">
      <c r="A160" s="1231"/>
      <c r="B160" s="1231"/>
      <c r="C160" s="1231"/>
      <c r="D160" s="1231"/>
      <c r="E160" s="1234"/>
      <c r="F160" s="1231"/>
      <c r="G160" s="111" t="s">
        <v>528</v>
      </c>
      <c r="H160" s="111" t="s">
        <v>527</v>
      </c>
      <c r="I160" s="110">
        <f>+E158*2.5</f>
        <v>0</v>
      </c>
      <c r="J160" s="110" t="s">
        <v>432</v>
      </c>
      <c r="K160" s="1231"/>
    </row>
    <row r="161" spans="1:15" ht="13.5" customHeight="1">
      <c r="A161" s="1231" t="s">
        <v>561</v>
      </c>
      <c r="B161" s="1231" t="s">
        <v>562</v>
      </c>
      <c r="C161" s="1231" t="s">
        <v>559</v>
      </c>
      <c r="D161" s="1231" t="s">
        <v>558</v>
      </c>
      <c r="E161" s="1232"/>
      <c r="F161" s="1231" t="s">
        <v>557</v>
      </c>
      <c r="G161" s="111" t="s">
        <v>533</v>
      </c>
      <c r="H161" s="112" t="s">
        <v>532</v>
      </c>
      <c r="I161" s="110">
        <f>+E161*1</f>
        <v>0</v>
      </c>
      <c r="J161" s="110" t="s">
        <v>431</v>
      </c>
      <c r="K161" s="1231" t="s">
        <v>546</v>
      </c>
    </row>
    <row r="162" spans="1:15" ht="13.5" customHeight="1">
      <c r="A162" s="1231"/>
      <c r="B162" s="1231"/>
      <c r="C162" s="1231"/>
      <c r="D162" s="1231"/>
      <c r="E162" s="1233"/>
      <c r="F162" s="1231"/>
      <c r="G162" s="111" t="s">
        <v>541</v>
      </c>
      <c r="H162" s="111" t="s">
        <v>529</v>
      </c>
      <c r="I162" s="110">
        <f>+E161*4</f>
        <v>0</v>
      </c>
      <c r="J162" s="110" t="s">
        <v>434</v>
      </c>
      <c r="K162" s="1231"/>
    </row>
    <row r="163" spans="1:15" ht="13.5" customHeight="1">
      <c r="A163" s="1231"/>
      <c r="B163" s="1231"/>
      <c r="C163" s="1231"/>
      <c r="D163" s="1231"/>
      <c r="E163" s="1234"/>
      <c r="F163" s="1231"/>
      <c r="G163" s="111" t="s">
        <v>528</v>
      </c>
      <c r="H163" s="111" t="s">
        <v>527</v>
      </c>
      <c r="I163" s="110">
        <f>+E161*3</f>
        <v>0</v>
      </c>
      <c r="J163" s="110" t="s">
        <v>432</v>
      </c>
      <c r="K163" s="1231"/>
    </row>
    <row r="164" spans="1:15" ht="13.5" customHeight="1">
      <c r="A164" s="1231" t="s">
        <v>561</v>
      </c>
      <c r="B164" s="1231" t="s">
        <v>560</v>
      </c>
      <c r="C164" s="1231" t="s">
        <v>559</v>
      </c>
      <c r="D164" s="1231" t="s">
        <v>558</v>
      </c>
      <c r="E164" s="1232"/>
      <c r="F164" s="1231" t="s">
        <v>557</v>
      </c>
      <c r="G164" s="111" t="s">
        <v>533</v>
      </c>
      <c r="H164" s="112" t="s">
        <v>532</v>
      </c>
      <c r="I164" s="110">
        <f>+E164*1.5</f>
        <v>0</v>
      </c>
      <c r="J164" s="110" t="s">
        <v>431</v>
      </c>
      <c r="K164" s="1231" t="s">
        <v>546</v>
      </c>
    </row>
    <row r="165" spans="1:15" ht="13.5" customHeight="1">
      <c r="A165" s="1231"/>
      <c r="B165" s="1231"/>
      <c r="C165" s="1231"/>
      <c r="D165" s="1231"/>
      <c r="E165" s="1233"/>
      <c r="F165" s="1231"/>
      <c r="G165" s="111" t="s">
        <v>541</v>
      </c>
      <c r="H165" s="111" t="s">
        <v>529</v>
      </c>
      <c r="I165" s="110">
        <f>+E164*4</f>
        <v>0</v>
      </c>
      <c r="J165" s="110" t="s">
        <v>434</v>
      </c>
      <c r="K165" s="1231"/>
    </row>
    <row r="166" spans="1:15" ht="13.5" customHeight="1">
      <c r="A166" s="1231"/>
      <c r="B166" s="1231"/>
      <c r="C166" s="1231"/>
      <c r="D166" s="1231"/>
      <c r="E166" s="1234"/>
      <c r="F166" s="1231"/>
      <c r="G166" s="111" t="s">
        <v>528</v>
      </c>
      <c r="H166" s="111" t="s">
        <v>527</v>
      </c>
      <c r="I166" s="110">
        <f>+E164*4</f>
        <v>0</v>
      </c>
      <c r="J166" s="110" t="s">
        <v>432</v>
      </c>
      <c r="K166" s="1231"/>
    </row>
    <row r="167" spans="1:15" ht="13.5" customHeight="1">
      <c r="A167" s="1231" t="s">
        <v>556</v>
      </c>
      <c r="B167" s="1231" t="s">
        <v>535</v>
      </c>
      <c r="C167" s="1231"/>
      <c r="D167" s="1231"/>
      <c r="E167" s="1232"/>
      <c r="F167" s="1231" t="s">
        <v>547</v>
      </c>
      <c r="G167" s="111" t="s">
        <v>533</v>
      </c>
      <c r="H167" s="112" t="s">
        <v>532</v>
      </c>
      <c r="I167" s="110">
        <f>+E167*1.5</f>
        <v>0</v>
      </c>
      <c r="J167" s="110" t="s">
        <v>431</v>
      </c>
      <c r="K167" s="1231" t="s">
        <v>546</v>
      </c>
      <c r="L167" s="113"/>
      <c r="M167" s="113"/>
      <c r="N167" s="113"/>
      <c r="O167" s="113"/>
    </row>
    <row r="168" spans="1:15" ht="13.5" customHeight="1">
      <c r="A168" s="1231"/>
      <c r="B168" s="1231"/>
      <c r="C168" s="1231"/>
      <c r="D168" s="1231"/>
      <c r="E168" s="1234"/>
      <c r="F168" s="1231"/>
      <c r="G168" s="111" t="s">
        <v>528</v>
      </c>
      <c r="H168" s="111" t="s">
        <v>527</v>
      </c>
      <c r="I168" s="110">
        <f>+E167*4</f>
        <v>0</v>
      </c>
      <c r="J168" s="110" t="s">
        <v>432</v>
      </c>
      <c r="K168" s="1231"/>
      <c r="L168" s="113"/>
      <c r="M168" s="113"/>
      <c r="N168" s="113"/>
      <c r="O168" s="113"/>
    </row>
    <row r="169" spans="1:15" ht="13.5" customHeight="1">
      <c r="A169" s="1231" t="s">
        <v>553</v>
      </c>
      <c r="B169" s="1231" t="s">
        <v>544</v>
      </c>
      <c r="C169" s="1231">
        <v>50</v>
      </c>
      <c r="D169" s="1231" t="s">
        <v>555</v>
      </c>
      <c r="E169" s="1232"/>
      <c r="F169" s="1231" t="s">
        <v>534</v>
      </c>
      <c r="G169" s="111" t="s">
        <v>554</v>
      </c>
      <c r="H169" s="114"/>
      <c r="I169" s="110">
        <f>+E169*1</f>
        <v>0</v>
      </c>
      <c r="J169" s="110" t="s">
        <v>434</v>
      </c>
      <c r="K169" s="1231"/>
      <c r="L169" s="113"/>
      <c r="M169" s="113"/>
      <c r="N169" s="113"/>
      <c r="O169" s="113"/>
    </row>
    <row r="170" spans="1:15" ht="13.5" customHeight="1">
      <c r="A170" s="1231"/>
      <c r="B170" s="1231"/>
      <c r="C170" s="1231"/>
      <c r="D170" s="1231"/>
      <c r="E170" s="1233"/>
      <c r="F170" s="1231"/>
      <c r="G170" s="111" t="s">
        <v>549</v>
      </c>
      <c r="H170" s="111" t="s">
        <v>529</v>
      </c>
      <c r="I170" s="110">
        <f>+E169*4</f>
        <v>0</v>
      </c>
      <c r="J170" s="110" t="s">
        <v>434</v>
      </c>
      <c r="K170" s="1231"/>
      <c r="L170" s="113"/>
      <c r="M170" s="113"/>
      <c r="N170" s="113"/>
      <c r="O170" s="113"/>
    </row>
    <row r="171" spans="1:15" ht="13.5" customHeight="1">
      <c r="A171" s="1231"/>
      <c r="B171" s="1231"/>
      <c r="C171" s="1231"/>
      <c r="D171" s="1231"/>
      <c r="E171" s="1234"/>
      <c r="F171" s="1231"/>
      <c r="G171" s="111" t="s">
        <v>528</v>
      </c>
      <c r="H171" s="111" t="s">
        <v>527</v>
      </c>
      <c r="I171" s="110">
        <f>+E169*1.5</f>
        <v>0</v>
      </c>
      <c r="J171" s="110" t="s">
        <v>432</v>
      </c>
      <c r="K171" s="1231"/>
      <c r="L171" s="113"/>
      <c r="M171" s="113"/>
      <c r="N171" s="113"/>
      <c r="O171" s="113"/>
    </row>
    <row r="172" spans="1:15" ht="13.5" customHeight="1">
      <c r="A172" s="1231" t="s">
        <v>553</v>
      </c>
      <c r="B172" s="1231" t="s">
        <v>552</v>
      </c>
      <c r="C172" s="1231">
        <v>50</v>
      </c>
      <c r="D172" s="1231" t="s">
        <v>555</v>
      </c>
      <c r="E172" s="1232"/>
      <c r="F172" s="1231" t="s">
        <v>534</v>
      </c>
      <c r="G172" s="111" t="s">
        <v>554</v>
      </c>
      <c r="H172" s="114"/>
      <c r="I172" s="110">
        <f>+E172*2</f>
        <v>0</v>
      </c>
      <c r="J172" s="110" t="s">
        <v>434</v>
      </c>
      <c r="K172" s="1231"/>
      <c r="L172" s="113"/>
      <c r="M172" s="113"/>
      <c r="N172" s="113"/>
      <c r="O172" s="113"/>
    </row>
    <row r="173" spans="1:15" ht="13.5" customHeight="1">
      <c r="A173" s="1231"/>
      <c r="B173" s="1231"/>
      <c r="C173" s="1231"/>
      <c r="D173" s="1231"/>
      <c r="E173" s="1233"/>
      <c r="F173" s="1231"/>
      <c r="G173" s="111" t="s">
        <v>549</v>
      </c>
      <c r="H173" s="111" t="s">
        <v>529</v>
      </c>
      <c r="I173" s="110">
        <f>+E172*4</f>
        <v>0</v>
      </c>
      <c r="J173" s="110" t="s">
        <v>434</v>
      </c>
      <c r="K173" s="1231"/>
      <c r="L173" s="113"/>
      <c r="M173" s="113"/>
      <c r="N173" s="113"/>
      <c r="O173" s="113"/>
    </row>
    <row r="174" spans="1:15" ht="13.5" customHeight="1">
      <c r="A174" s="1231"/>
      <c r="B174" s="1231"/>
      <c r="C174" s="1231"/>
      <c r="D174" s="1231"/>
      <c r="E174" s="1234"/>
      <c r="F174" s="1231"/>
      <c r="G174" s="111" t="s">
        <v>528</v>
      </c>
      <c r="H174" s="111" t="s">
        <v>527</v>
      </c>
      <c r="I174" s="110">
        <f>+E172*2.5</f>
        <v>0</v>
      </c>
      <c r="J174" s="110" t="s">
        <v>432</v>
      </c>
      <c r="K174" s="1231"/>
      <c r="L174" s="113"/>
      <c r="M174" s="113"/>
      <c r="N174" s="113"/>
      <c r="O174" s="113"/>
    </row>
    <row r="175" spans="1:15" ht="13.5" customHeight="1">
      <c r="A175" s="1231" t="s">
        <v>553</v>
      </c>
      <c r="B175" s="1231" t="s">
        <v>544</v>
      </c>
      <c r="C175" s="1231">
        <v>50</v>
      </c>
      <c r="D175" s="1231" t="s">
        <v>551</v>
      </c>
      <c r="E175" s="1232"/>
      <c r="F175" s="1231" t="s">
        <v>534</v>
      </c>
      <c r="G175" s="111" t="s">
        <v>550</v>
      </c>
      <c r="H175" s="114"/>
      <c r="I175" s="110">
        <f>+E175*1</f>
        <v>0</v>
      </c>
      <c r="J175" s="110" t="s">
        <v>434</v>
      </c>
      <c r="K175" s="1231"/>
      <c r="L175" s="113"/>
      <c r="M175" s="113"/>
      <c r="N175" s="113"/>
      <c r="O175" s="113"/>
    </row>
    <row r="176" spans="1:15" ht="13.5" customHeight="1">
      <c r="A176" s="1231"/>
      <c r="B176" s="1231"/>
      <c r="C176" s="1231"/>
      <c r="D176" s="1231"/>
      <c r="E176" s="1233"/>
      <c r="F176" s="1231"/>
      <c r="G176" s="111" t="s">
        <v>549</v>
      </c>
      <c r="H176" s="111" t="s">
        <v>529</v>
      </c>
      <c r="I176" s="110">
        <f>+E175*4</f>
        <v>0</v>
      </c>
      <c r="J176" s="110" t="s">
        <v>434</v>
      </c>
      <c r="K176" s="1231"/>
      <c r="L176" s="113"/>
      <c r="M176" s="113"/>
      <c r="N176" s="113"/>
      <c r="O176" s="113"/>
    </row>
    <row r="177" spans="1:15" ht="13.5" customHeight="1">
      <c r="A177" s="1231"/>
      <c r="B177" s="1231"/>
      <c r="C177" s="1231"/>
      <c r="D177" s="1231"/>
      <c r="E177" s="1234"/>
      <c r="F177" s="1231"/>
      <c r="G177" s="111" t="s">
        <v>528</v>
      </c>
      <c r="H177" s="111" t="s">
        <v>527</v>
      </c>
      <c r="I177" s="110">
        <f>+E175*1.5</f>
        <v>0</v>
      </c>
      <c r="J177" s="110" t="s">
        <v>432</v>
      </c>
      <c r="K177" s="1231"/>
      <c r="L177" s="113"/>
      <c r="M177" s="113"/>
      <c r="N177" s="113"/>
      <c r="O177" s="113"/>
    </row>
    <row r="178" spans="1:15" ht="13.5" customHeight="1">
      <c r="A178" s="1231" t="s">
        <v>553</v>
      </c>
      <c r="B178" s="1231" t="s">
        <v>552</v>
      </c>
      <c r="C178" s="1231">
        <v>50</v>
      </c>
      <c r="D178" s="1231" t="s">
        <v>551</v>
      </c>
      <c r="E178" s="1232"/>
      <c r="F178" s="1231" t="s">
        <v>534</v>
      </c>
      <c r="G178" s="111" t="s">
        <v>550</v>
      </c>
      <c r="H178" s="114"/>
      <c r="I178" s="110">
        <f>+E178*2</f>
        <v>0</v>
      </c>
      <c r="J178" s="110" t="s">
        <v>434</v>
      </c>
      <c r="K178" s="1231"/>
      <c r="L178" s="113"/>
      <c r="M178" s="113"/>
      <c r="N178" s="113"/>
      <c r="O178" s="113"/>
    </row>
    <row r="179" spans="1:15" ht="13.5" customHeight="1">
      <c r="A179" s="1231"/>
      <c r="B179" s="1231"/>
      <c r="C179" s="1231"/>
      <c r="D179" s="1231"/>
      <c r="E179" s="1233"/>
      <c r="F179" s="1231"/>
      <c r="G179" s="111" t="s">
        <v>549</v>
      </c>
      <c r="H179" s="111" t="s">
        <v>529</v>
      </c>
      <c r="I179" s="110">
        <f>+E178*4</f>
        <v>0</v>
      </c>
      <c r="J179" s="110" t="s">
        <v>434</v>
      </c>
      <c r="K179" s="1231"/>
      <c r="L179" s="113"/>
      <c r="M179" s="113"/>
      <c r="N179" s="113"/>
      <c r="O179" s="113"/>
    </row>
    <row r="180" spans="1:15" ht="13.5" customHeight="1">
      <c r="A180" s="1231"/>
      <c r="B180" s="1231"/>
      <c r="C180" s="1231"/>
      <c r="D180" s="1231"/>
      <c r="E180" s="1234"/>
      <c r="F180" s="1231"/>
      <c r="G180" s="111" t="s">
        <v>528</v>
      </c>
      <c r="H180" s="111" t="s">
        <v>527</v>
      </c>
      <c r="I180" s="110">
        <f>+E178*2.5</f>
        <v>0</v>
      </c>
      <c r="J180" s="110" t="s">
        <v>432</v>
      </c>
      <c r="K180" s="1231"/>
      <c r="L180" s="113"/>
      <c r="M180" s="113"/>
      <c r="N180" s="113"/>
      <c r="O180" s="113"/>
    </row>
    <row r="181" spans="1:15" ht="13.5" customHeight="1">
      <c r="A181" s="1231" t="s">
        <v>548</v>
      </c>
      <c r="B181" s="1231" t="s">
        <v>535</v>
      </c>
      <c r="C181" s="1231" t="s">
        <v>535</v>
      </c>
      <c r="D181" s="1231" t="s">
        <v>535</v>
      </c>
      <c r="E181" s="1232"/>
      <c r="F181" s="1231" t="s">
        <v>547</v>
      </c>
      <c r="G181" s="111" t="s">
        <v>533</v>
      </c>
      <c r="H181" s="112" t="s">
        <v>532</v>
      </c>
      <c r="I181" s="110">
        <f>+E181*1</f>
        <v>0</v>
      </c>
      <c r="J181" s="110" t="s">
        <v>431</v>
      </c>
      <c r="K181" s="1231" t="s">
        <v>546</v>
      </c>
      <c r="L181" s="113"/>
      <c r="M181" s="113"/>
      <c r="N181" s="113"/>
      <c r="O181" s="113"/>
    </row>
    <row r="182" spans="1:15" ht="13.5" customHeight="1">
      <c r="A182" s="1231"/>
      <c r="B182" s="1231"/>
      <c r="C182" s="1231"/>
      <c r="D182" s="1231"/>
      <c r="E182" s="1234"/>
      <c r="F182" s="1231"/>
      <c r="G182" s="111" t="s">
        <v>528</v>
      </c>
      <c r="H182" s="111" t="s">
        <v>527</v>
      </c>
      <c r="I182" s="110">
        <f>+E181*3</f>
        <v>0</v>
      </c>
      <c r="J182" s="110" t="s">
        <v>432</v>
      </c>
      <c r="K182" s="1231"/>
      <c r="L182" s="113"/>
      <c r="M182" s="113"/>
      <c r="N182" s="113"/>
      <c r="O182" s="113"/>
    </row>
    <row r="183" spans="1:15" ht="13.5" customHeight="1">
      <c r="A183" s="1231" t="s">
        <v>545</v>
      </c>
      <c r="B183" s="1231" t="s">
        <v>544</v>
      </c>
      <c r="C183" s="1231" t="s">
        <v>535</v>
      </c>
      <c r="D183" s="1231" t="s">
        <v>543</v>
      </c>
      <c r="E183" s="1232"/>
      <c r="F183" s="1243" t="s">
        <v>542</v>
      </c>
      <c r="G183" s="111" t="s">
        <v>533</v>
      </c>
      <c r="H183" s="112" t="s">
        <v>532</v>
      </c>
      <c r="I183" s="110">
        <f>+E183*0.3</f>
        <v>0</v>
      </c>
      <c r="J183" s="110" t="s">
        <v>431</v>
      </c>
      <c r="K183" s="1231"/>
      <c r="L183" s="113"/>
      <c r="M183" s="113"/>
      <c r="N183" s="113"/>
      <c r="O183" s="113"/>
    </row>
    <row r="184" spans="1:15" ht="13.5" customHeight="1">
      <c r="A184" s="1231"/>
      <c r="B184" s="1231"/>
      <c r="C184" s="1231"/>
      <c r="D184" s="1231"/>
      <c r="E184" s="1233"/>
      <c r="F184" s="1243"/>
      <c r="G184" s="111" t="s">
        <v>541</v>
      </c>
      <c r="H184" s="111" t="s">
        <v>529</v>
      </c>
      <c r="I184" s="110">
        <f>+E183*8</f>
        <v>0</v>
      </c>
      <c r="J184" s="110" t="s">
        <v>434</v>
      </c>
      <c r="K184" s="1231"/>
      <c r="L184" s="113"/>
      <c r="M184" s="113"/>
      <c r="N184" s="113"/>
      <c r="O184" s="113"/>
    </row>
    <row r="185" spans="1:15" ht="13.5" customHeight="1">
      <c r="A185" s="1231"/>
      <c r="B185" s="1231"/>
      <c r="C185" s="1231"/>
      <c r="D185" s="1231"/>
      <c r="E185" s="1234"/>
      <c r="F185" s="1243"/>
      <c r="G185" s="111" t="s">
        <v>528</v>
      </c>
      <c r="H185" s="111" t="s">
        <v>527</v>
      </c>
      <c r="I185" s="110">
        <f>+E183*1.5</f>
        <v>0</v>
      </c>
      <c r="J185" s="110" t="s">
        <v>432</v>
      </c>
      <c r="K185" s="1231"/>
      <c r="L185" s="113"/>
      <c r="M185" s="113"/>
      <c r="N185" s="113"/>
      <c r="O185" s="113"/>
    </row>
    <row r="186" spans="1:15" ht="13.5" customHeight="1">
      <c r="A186" s="1231" t="s">
        <v>538</v>
      </c>
      <c r="B186" s="1231" t="s">
        <v>540</v>
      </c>
      <c r="C186" s="1231" t="s">
        <v>536</v>
      </c>
      <c r="D186" s="1231" t="s">
        <v>535</v>
      </c>
      <c r="E186" s="1232"/>
      <c r="F186" s="1243" t="s">
        <v>539</v>
      </c>
      <c r="G186" s="111" t="s">
        <v>533</v>
      </c>
      <c r="H186" s="112" t="s">
        <v>532</v>
      </c>
      <c r="I186" s="110">
        <f>+E186*1</f>
        <v>0</v>
      </c>
      <c r="J186" s="110" t="s">
        <v>431</v>
      </c>
      <c r="K186" s="1231" t="s">
        <v>531</v>
      </c>
      <c r="L186" s="113"/>
      <c r="M186" s="113"/>
      <c r="N186" s="113"/>
      <c r="O186" s="113"/>
    </row>
    <row r="187" spans="1:15" ht="13.5" customHeight="1">
      <c r="A187" s="1231"/>
      <c r="B187" s="1231"/>
      <c r="C187" s="1231"/>
      <c r="D187" s="1231"/>
      <c r="E187" s="1233"/>
      <c r="F187" s="1243"/>
      <c r="G187" s="111" t="s">
        <v>530</v>
      </c>
      <c r="H187" s="111" t="s">
        <v>529</v>
      </c>
      <c r="I187" s="110">
        <f>+E186*4</f>
        <v>0</v>
      </c>
      <c r="J187" s="110" t="s">
        <v>434</v>
      </c>
      <c r="K187" s="1231"/>
      <c r="L187" s="113"/>
      <c r="M187" s="113"/>
      <c r="N187" s="113"/>
      <c r="O187" s="113"/>
    </row>
    <row r="188" spans="1:15" ht="13.5" customHeight="1">
      <c r="A188" s="1231"/>
      <c r="B188" s="1231"/>
      <c r="C188" s="1231"/>
      <c r="D188" s="1231"/>
      <c r="E188" s="1234"/>
      <c r="F188" s="1243"/>
      <c r="G188" s="111" t="s">
        <v>528</v>
      </c>
      <c r="H188" s="111" t="s">
        <v>527</v>
      </c>
      <c r="I188" s="110">
        <f>+E186*5</f>
        <v>0</v>
      </c>
      <c r="J188" s="110" t="s">
        <v>432</v>
      </c>
      <c r="K188" s="1231"/>
      <c r="L188" s="113"/>
      <c r="M188" s="113"/>
      <c r="N188" s="113"/>
      <c r="O188" s="113"/>
    </row>
    <row r="189" spans="1:15" ht="13.5" customHeight="1">
      <c r="A189" s="1231" t="s">
        <v>538</v>
      </c>
      <c r="B189" s="1231" t="s">
        <v>537</v>
      </c>
      <c r="C189" s="1231" t="s">
        <v>536</v>
      </c>
      <c r="D189" s="1231" t="s">
        <v>535</v>
      </c>
      <c r="E189" s="1232"/>
      <c r="F189" s="1243" t="s">
        <v>534</v>
      </c>
      <c r="G189" s="111" t="s">
        <v>533</v>
      </c>
      <c r="H189" s="112" t="s">
        <v>532</v>
      </c>
      <c r="I189" s="110">
        <f>+E189*1.5</f>
        <v>0</v>
      </c>
      <c r="J189" s="110" t="s">
        <v>431</v>
      </c>
      <c r="K189" s="1231" t="s">
        <v>531</v>
      </c>
      <c r="L189" s="109"/>
      <c r="M189" s="109"/>
      <c r="N189" s="109"/>
      <c r="O189" s="109"/>
    </row>
    <row r="190" spans="1:15" ht="13.5" customHeight="1">
      <c r="A190" s="1231"/>
      <c r="B190" s="1231"/>
      <c r="C190" s="1231"/>
      <c r="D190" s="1231"/>
      <c r="E190" s="1233"/>
      <c r="F190" s="1243"/>
      <c r="G190" s="111" t="s">
        <v>530</v>
      </c>
      <c r="H190" s="111" t="s">
        <v>529</v>
      </c>
      <c r="I190" s="110">
        <f>+E189*4</f>
        <v>0</v>
      </c>
      <c r="J190" s="110" t="s">
        <v>434</v>
      </c>
      <c r="K190" s="1231"/>
      <c r="L190" s="109"/>
      <c r="M190" s="109"/>
      <c r="N190" s="109"/>
      <c r="O190" s="109"/>
    </row>
    <row r="191" spans="1:15" ht="13.5" customHeight="1">
      <c r="A191" s="1242"/>
      <c r="B191" s="1242"/>
      <c r="C191" s="1242"/>
      <c r="D191" s="1242"/>
      <c r="E191" s="1233"/>
      <c r="F191" s="1244"/>
      <c r="G191" s="123" t="s">
        <v>528</v>
      </c>
      <c r="H191" s="123" t="s">
        <v>527</v>
      </c>
      <c r="I191" s="122">
        <f>+E189*5</f>
        <v>0</v>
      </c>
      <c r="J191" s="122" t="s">
        <v>432</v>
      </c>
      <c r="K191" s="1242"/>
      <c r="L191" s="109"/>
      <c r="M191" s="109"/>
      <c r="N191" s="109"/>
      <c r="O191" s="109"/>
    </row>
    <row r="192" spans="1:15" ht="13.5" customHeight="1">
      <c r="A192" s="124"/>
      <c r="B192" s="124"/>
      <c r="C192" s="124"/>
      <c r="D192" s="124"/>
      <c r="E192" s="125"/>
      <c r="F192" s="127" t="s">
        <v>799</v>
      </c>
      <c r="G192" s="127" t="s">
        <v>800</v>
      </c>
      <c r="H192" s="124"/>
      <c r="I192" s="124"/>
      <c r="J192" s="127" t="s">
        <v>801</v>
      </c>
      <c r="K192" s="126"/>
    </row>
    <row r="193" spans="1:7" ht="13.5" customHeight="1">
      <c r="A193" s="756" t="s">
        <v>1755</v>
      </c>
      <c r="B193" s="757"/>
      <c r="C193" s="757"/>
      <c r="D193" s="757"/>
      <c r="E193" s="758"/>
      <c r="F193" s="757"/>
      <c r="G193" s="757"/>
    </row>
  </sheetData>
  <mergeCells count="383">
    <mergeCell ref="A6:K6"/>
    <mergeCell ref="C4:D4"/>
    <mergeCell ref="E4:F4"/>
    <mergeCell ref="G4:H4"/>
    <mergeCell ref="A1:K1"/>
    <mergeCell ref="A2:B2"/>
    <mergeCell ref="C2:H2"/>
    <mergeCell ref="I2:J2"/>
    <mergeCell ref="E137:E139"/>
    <mergeCell ref="K73:K75"/>
    <mergeCell ref="D54:D57"/>
    <mergeCell ref="F54:F57"/>
    <mergeCell ref="A46:A49"/>
    <mergeCell ref="B46:B49"/>
    <mergeCell ref="C46:C49"/>
    <mergeCell ref="D46:D49"/>
    <mergeCell ref="F46:F49"/>
    <mergeCell ref="K137:K139"/>
    <mergeCell ref="A36:K36"/>
    <mergeCell ref="A38:A41"/>
    <mergeCell ref="B38:B41"/>
    <mergeCell ref="C38:C41"/>
    <mergeCell ref="D38:D41"/>
    <mergeCell ref="F38:F41"/>
    <mergeCell ref="E140:E142"/>
    <mergeCell ref="A3:B3"/>
    <mergeCell ref="C3:D3"/>
    <mergeCell ref="E3:F3"/>
    <mergeCell ref="G3:H3"/>
    <mergeCell ref="I3:J4"/>
    <mergeCell ref="A4:B4"/>
    <mergeCell ref="D108:D111"/>
    <mergeCell ref="F108:F115"/>
    <mergeCell ref="A66:A69"/>
    <mergeCell ref="B66:B69"/>
    <mergeCell ref="C66:C69"/>
    <mergeCell ref="I40:J40"/>
    <mergeCell ref="I44:J44"/>
    <mergeCell ref="I48:J48"/>
    <mergeCell ref="I52:J52"/>
    <mergeCell ref="D73:D75"/>
    <mergeCell ref="F73:F75"/>
    <mergeCell ref="A70:K70"/>
    <mergeCell ref="I64:J64"/>
    <mergeCell ref="I68:J68"/>
    <mergeCell ref="A54:A57"/>
    <mergeCell ref="B54:B57"/>
    <mergeCell ref="C54:C57"/>
    <mergeCell ref="K146:K148"/>
    <mergeCell ref="F137:F139"/>
    <mergeCell ref="D143:D145"/>
    <mergeCell ref="E66:E69"/>
    <mergeCell ref="E73:E75"/>
    <mergeCell ref="A105:K105"/>
    <mergeCell ref="A106:K106"/>
    <mergeCell ref="E38:E41"/>
    <mergeCell ref="E42:E45"/>
    <mergeCell ref="E46:E49"/>
    <mergeCell ref="E50:E53"/>
    <mergeCell ref="E54:E57"/>
    <mergeCell ref="E58:E61"/>
    <mergeCell ref="I56:J56"/>
    <mergeCell ref="I60:J60"/>
    <mergeCell ref="A50:A53"/>
    <mergeCell ref="B50:B53"/>
    <mergeCell ref="C50:C53"/>
    <mergeCell ref="D50:D53"/>
    <mergeCell ref="F50:F53"/>
    <mergeCell ref="A73:A75"/>
    <mergeCell ref="D66:D69"/>
    <mergeCell ref="F66:F69"/>
    <mergeCell ref="I110:J110"/>
    <mergeCell ref="C143:C145"/>
    <mergeCell ref="K143:K145"/>
    <mergeCell ref="C42:C45"/>
    <mergeCell ref="D42:D45"/>
    <mergeCell ref="F42:F45"/>
    <mergeCell ref="K85:K87"/>
    <mergeCell ref="K94:K96"/>
    <mergeCell ref="E112:E115"/>
    <mergeCell ref="A116:K116"/>
    <mergeCell ref="A118:A121"/>
    <mergeCell ref="B118:B121"/>
    <mergeCell ref="C118:C121"/>
    <mergeCell ref="D118:D121"/>
    <mergeCell ref="A71:K71"/>
    <mergeCell ref="E62:E65"/>
    <mergeCell ref="F62:F65"/>
    <mergeCell ref="B73:B75"/>
    <mergeCell ref="K108:K115"/>
    <mergeCell ref="A112:A115"/>
    <mergeCell ref="B112:B115"/>
    <mergeCell ref="C112:C115"/>
    <mergeCell ref="I114:J114"/>
    <mergeCell ref="E108:E111"/>
    <mergeCell ref="C73:C75"/>
    <mergeCell ref="D161:D163"/>
    <mergeCell ref="B167:D168"/>
    <mergeCell ref="D149:D151"/>
    <mergeCell ref="F149:F151"/>
    <mergeCell ref="C155:C157"/>
    <mergeCell ref="D155:D157"/>
    <mergeCell ref="F155:F157"/>
    <mergeCell ref="K155:K157"/>
    <mergeCell ref="C164:C166"/>
    <mergeCell ref="D164:D166"/>
    <mergeCell ref="F164:F166"/>
    <mergeCell ref="K161:K163"/>
    <mergeCell ref="F167:F168"/>
    <mergeCell ref="K167:K168"/>
    <mergeCell ref="K149:K151"/>
    <mergeCell ref="B164:B166"/>
    <mergeCell ref="B161:B163"/>
    <mergeCell ref="E149:E151"/>
    <mergeCell ref="E152:E154"/>
    <mergeCell ref="E155:E157"/>
    <mergeCell ref="E158:E160"/>
    <mergeCell ref="E161:E163"/>
    <mergeCell ref="A158:A160"/>
    <mergeCell ref="B158:B160"/>
    <mergeCell ref="A137:A139"/>
    <mergeCell ref="B137:B139"/>
    <mergeCell ref="A149:A151"/>
    <mergeCell ref="A155:A157"/>
    <mergeCell ref="B155:B157"/>
    <mergeCell ref="A146:A148"/>
    <mergeCell ref="B146:B148"/>
    <mergeCell ref="A140:A142"/>
    <mergeCell ref="B140:B142"/>
    <mergeCell ref="A143:A145"/>
    <mergeCell ref="B149:B151"/>
    <mergeCell ref="B143:B145"/>
    <mergeCell ref="K38:K69"/>
    <mergeCell ref="A42:A45"/>
    <mergeCell ref="B42:B45"/>
    <mergeCell ref="A58:A61"/>
    <mergeCell ref="B58:B61"/>
    <mergeCell ref="C58:C61"/>
    <mergeCell ref="D58:D61"/>
    <mergeCell ref="F58:F61"/>
    <mergeCell ref="A62:A65"/>
    <mergeCell ref="B62:B65"/>
    <mergeCell ref="C62:C65"/>
    <mergeCell ref="D62:D65"/>
    <mergeCell ref="A76:A78"/>
    <mergeCell ref="B76:B78"/>
    <mergeCell ref="C76:C78"/>
    <mergeCell ref="D76:D78"/>
    <mergeCell ref="F76:F78"/>
    <mergeCell ref="K76:K78"/>
    <mergeCell ref="E76:E78"/>
    <mergeCell ref="A79:A81"/>
    <mergeCell ref="B79:B81"/>
    <mergeCell ref="C79:C81"/>
    <mergeCell ref="D79:D81"/>
    <mergeCell ref="F79:F81"/>
    <mergeCell ref="K79:K81"/>
    <mergeCell ref="E79:E81"/>
    <mergeCell ref="A82:A84"/>
    <mergeCell ref="B82:B84"/>
    <mergeCell ref="C82:C84"/>
    <mergeCell ref="D82:D84"/>
    <mergeCell ref="F82:F84"/>
    <mergeCell ref="K82:K84"/>
    <mergeCell ref="E82:E84"/>
    <mergeCell ref="E85:E87"/>
    <mergeCell ref="D94:D96"/>
    <mergeCell ref="F94:F96"/>
    <mergeCell ref="E88:E90"/>
    <mergeCell ref="E91:E93"/>
    <mergeCell ref="E94:E96"/>
    <mergeCell ref="A85:A87"/>
    <mergeCell ref="B85:B87"/>
    <mergeCell ref="C85:C87"/>
    <mergeCell ref="D85:D87"/>
    <mergeCell ref="F85:F87"/>
    <mergeCell ref="A88:A90"/>
    <mergeCell ref="B88:B90"/>
    <mergeCell ref="C88:C90"/>
    <mergeCell ref="D88:D90"/>
    <mergeCell ref="F88:F90"/>
    <mergeCell ref="K88:K90"/>
    <mergeCell ref="A91:A93"/>
    <mergeCell ref="B91:B93"/>
    <mergeCell ref="C91:C93"/>
    <mergeCell ref="D91:D93"/>
    <mergeCell ref="F91:F93"/>
    <mergeCell ref="K91:K93"/>
    <mergeCell ref="A94:A96"/>
    <mergeCell ref="B94:B96"/>
    <mergeCell ref="C94:C96"/>
    <mergeCell ref="A134:A136"/>
    <mergeCell ref="F14:F16"/>
    <mergeCell ref="E14:E16"/>
    <mergeCell ref="E17:E19"/>
    <mergeCell ref="A14:A16"/>
    <mergeCell ref="B14:B16"/>
    <mergeCell ref="C14:C16"/>
    <mergeCell ref="D14:D16"/>
    <mergeCell ref="E20:E23"/>
    <mergeCell ref="C30:C32"/>
    <mergeCell ref="E131:E133"/>
    <mergeCell ref="A131:A133"/>
    <mergeCell ref="B131:B133"/>
    <mergeCell ref="C131:C133"/>
    <mergeCell ref="D131:D133"/>
    <mergeCell ref="F131:F133"/>
    <mergeCell ref="D134:D136"/>
    <mergeCell ref="E30:E32"/>
    <mergeCell ref="F30:F32"/>
    <mergeCell ref="A20:A23"/>
    <mergeCell ref="B20:B23"/>
    <mergeCell ref="C20:C23"/>
    <mergeCell ref="D20:D23"/>
    <mergeCell ref="F20:F23"/>
    <mergeCell ref="B175:B177"/>
    <mergeCell ref="C175:C177"/>
    <mergeCell ref="D175:D177"/>
    <mergeCell ref="A172:A174"/>
    <mergeCell ref="A169:A171"/>
    <mergeCell ref="B169:B171"/>
    <mergeCell ref="A181:A182"/>
    <mergeCell ref="B181:B182"/>
    <mergeCell ref="A11:A13"/>
    <mergeCell ref="D30:D32"/>
    <mergeCell ref="A167:A168"/>
    <mergeCell ref="A161:A163"/>
    <mergeCell ref="B134:B136"/>
    <mergeCell ref="A152:A154"/>
    <mergeCell ref="B152:B154"/>
    <mergeCell ref="A178:A180"/>
    <mergeCell ref="B178:B180"/>
    <mergeCell ref="A164:A166"/>
    <mergeCell ref="C134:C136"/>
    <mergeCell ref="C152:C154"/>
    <mergeCell ref="C178:C180"/>
    <mergeCell ref="A175:A177"/>
    <mergeCell ref="B172:B174"/>
    <mergeCell ref="C172:C174"/>
    <mergeCell ref="D137:D139"/>
    <mergeCell ref="E186:E188"/>
    <mergeCell ref="E189:E191"/>
    <mergeCell ref="E164:E166"/>
    <mergeCell ref="E167:E168"/>
    <mergeCell ref="E169:E171"/>
    <mergeCell ref="E172:E174"/>
    <mergeCell ref="D178:D180"/>
    <mergeCell ref="C169:C171"/>
    <mergeCell ref="D169:D171"/>
    <mergeCell ref="C189:C191"/>
    <mergeCell ref="D189:D191"/>
    <mergeCell ref="D146:D148"/>
    <mergeCell ref="D152:D154"/>
    <mergeCell ref="D172:D174"/>
    <mergeCell ref="C140:C142"/>
    <mergeCell ref="D140:D142"/>
    <mergeCell ref="C158:C160"/>
    <mergeCell ref="D158:D160"/>
    <mergeCell ref="E143:E145"/>
    <mergeCell ref="E146:E148"/>
    <mergeCell ref="C149:C151"/>
    <mergeCell ref="C146:C148"/>
    <mergeCell ref="C161:C163"/>
    <mergeCell ref="B8:B10"/>
    <mergeCell ref="K189:K191"/>
    <mergeCell ref="K183:K185"/>
    <mergeCell ref="E181:E182"/>
    <mergeCell ref="E183:E185"/>
    <mergeCell ref="F183:F185"/>
    <mergeCell ref="C181:C182"/>
    <mergeCell ref="A186:A188"/>
    <mergeCell ref="B186:B188"/>
    <mergeCell ref="C186:C188"/>
    <mergeCell ref="D186:D188"/>
    <mergeCell ref="F186:F188"/>
    <mergeCell ref="K186:K188"/>
    <mergeCell ref="A183:A185"/>
    <mergeCell ref="B183:B185"/>
    <mergeCell ref="C183:C185"/>
    <mergeCell ref="F189:F191"/>
    <mergeCell ref="D183:D185"/>
    <mergeCell ref="A189:A191"/>
    <mergeCell ref="B189:B191"/>
    <mergeCell ref="D181:D182"/>
    <mergeCell ref="F181:F182"/>
    <mergeCell ref="K181:K182"/>
    <mergeCell ref="C137:C139"/>
    <mergeCell ref="D8:D10"/>
    <mergeCell ref="K8:K10"/>
    <mergeCell ref="D17:D19"/>
    <mergeCell ref="F17:F19"/>
    <mergeCell ref="A17:A19"/>
    <mergeCell ref="B17:B19"/>
    <mergeCell ref="C17:C19"/>
    <mergeCell ref="F128:F130"/>
    <mergeCell ref="A128:A130"/>
    <mergeCell ref="B128:B130"/>
    <mergeCell ref="C128:C130"/>
    <mergeCell ref="K128:K130"/>
    <mergeCell ref="A126:K126"/>
    <mergeCell ref="A33:A35"/>
    <mergeCell ref="B33:B35"/>
    <mergeCell ref="I27:J27"/>
    <mergeCell ref="A24:A27"/>
    <mergeCell ref="B24:B27"/>
    <mergeCell ref="B11:B13"/>
    <mergeCell ref="C11:C13"/>
    <mergeCell ref="D11:D13"/>
    <mergeCell ref="F11:F13"/>
    <mergeCell ref="E11:E13"/>
    <mergeCell ref="A8:A10"/>
    <mergeCell ref="K118:K125"/>
    <mergeCell ref="A5:K5"/>
    <mergeCell ref="I120:J120"/>
    <mergeCell ref="I123:J123"/>
    <mergeCell ref="E118:E121"/>
    <mergeCell ref="E122:E125"/>
    <mergeCell ref="B122:B125"/>
    <mergeCell ref="C122:C125"/>
    <mergeCell ref="D122:D125"/>
    <mergeCell ref="A99:A101"/>
    <mergeCell ref="A102:A104"/>
    <mergeCell ref="B102:B104"/>
    <mergeCell ref="C102:C104"/>
    <mergeCell ref="D102:D104"/>
    <mergeCell ref="F102:F104"/>
    <mergeCell ref="F8:F10"/>
    <mergeCell ref="F118:F125"/>
    <mergeCell ref="A122:A125"/>
    <mergeCell ref="C108:C111"/>
    <mergeCell ref="E8:E10"/>
    <mergeCell ref="D112:D115"/>
    <mergeCell ref="A108:A111"/>
    <mergeCell ref="B108:B111"/>
    <mergeCell ref="C8:C10"/>
    <mergeCell ref="F178:F180"/>
    <mergeCell ref="F161:F163"/>
    <mergeCell ref="K172:K174"/>
    <mergeCell ref="E175:E177"/>
    <mergeCell ref="E178:E180"/>
    <mergeCell ref="K131:K133"/>
    <mergeCell ref="K164:K166"/>
    <mergeCell ref="K169:K171"/>
    <mergeCell ref="K175:K177"/>
    <mergeCell ref="F134:F136"/>
    <mergeCell ref="K134:K136"/>
    <mergeCell ref="E134:E136"/>
    <mergeCell ref="F152:F154"/>
    <mergeCell ref="K178:K180"/>
    <mergeCell ref="K152:K154"/>
    <mergeCell ref="F172:F174"/>
    <mergeCell ref="F169:F171"/>
    <mergeCell ref="F175:F177"/>
    <mergeCell ref="F143:F145"/>
    <mergeCell ref="F140:F142"/>
    <mergeCell ref="F158:F160"/>
    <mergeCell ref="K158:K160"/>
    <mergeCell ref="K140:K142"/>
    <mergeCell ref="F146:F148"/>
    <mergeCell ref="K3:K4"/>
    <mergeCell ref="I23:J23"/>
    <mergeCell ref="E24:E27"/>
    <mergeCell ref="E33:E35"/>
    <mergeCell ref="E128:E130"/>
    <mergeCell ref="A97:K97"/>
    <mergeCell ref="F99:F101"/>
    <mergeCell ref="B99:B101"/>
    <mergeCell ref="C99:C101"/>
    <mergeCell ref="D99:D101"/>
    <mergeCell ref="C33:C35"/>
    <mergeCell ref="D33:D35"/>
    <mergeCell ref="F33:F35"/>
    <mergeCell ref="C24:C27"/>
    <mergeCell ref="D24:D27"/>
    <mergeCell ref="F24:F27"/>
    <mergeCell ref="A28:K28"/>
    <mergeCell ref="A30:A32"/>
    <mergeCell ref="B30:B32"/>
    <mergeCell ref="K11:K13"/>
    <mergeCell ref="K99:K104"/>
    <mergeCell ref="E99:E101"/>
    <mergeCell ref="E102:E104"/>
    <mergeCell ref="D128:D130"/>
  </mergeCells>
  <phoneticPr fontId="46" type="noConversion"/>
  <printOptions horizontalCentered="1" verticalCentered="1"/>
  <pageMargins left="0.39370078740157483" right="0.39370078740157483" top="0.59055118110236227" bottom="0.23622047244094491" header="0.15748031496062992" footer="0.23622047244094491"/>
  <pageSetup paperSize="9" scale="86" orientation="portrait" r:id="rId1"/>
  <headerFooter>
    <oddHeader>&amp;C&amp;"-,加粗"&amp;12
                    &amp;16厨柜、浴室柜包装材料用量表          &amp;8版本号：130222</oddHeader>
    <oddFooter>&amp;L&amp;8北京意德法家木业有限公司技术部编制&amp;R第 &amp;P 页，共 &amp;N 页</oddFooter>
  </headerFooter>
</worksheet>
</file>

<file path=xl/worksheets/sheet8.xml><?xml version="1.0" encoding="utf-8"?>
<worksheet xmlns="http://schemas.openxmlformats.org/spreadsheetml/2006/main" xmlns:r="http://schemas.openxmlformats.org/officeDocument/2006/relationships">
  <dimension ref="A1:O209"/>
  <sheetViews>
    <sheetView view="pageBreakPreview" zoomScaleSheetLayoutView="100" workbookViewId="0">
      <selection activeCell="G135" sqref="G135"/>
    </sheetView>
  </sheetViews>
  <sheetFormatPr defaultColWidth="8.875" defaultRowHeight="13.5" customHeight="1"/>
  <cols>
    <col min="1" max="4" width="6" style="850" customWidth="1"/>
    <col min="5" max="5" width="6" style="883" customWidth="1"/>
    <col min="6" max="6" width="8.125" style="850" customWidth="1"/>
    <col min="7" max="7" width="38.625" style="850" customWidth="1"/>
    <col min="8" max="8" width="1.125" style="850" hidden="1" customWidth="1"/>
    <col min="9" max="9" width="5.5" style="850" bestFit="1" customWidth="1"/>
    <col min="10" max="10" width="4.875" style="850" customWidth="1"/>
    <col min="11" max="11" width="13.75" style="882" customWidth="1"/>
    <col min="12" max="12" width="8.875" style="850"/>
    <col min="13" max="13" width="26.5" style="850" customWidth="1"/>
    <col min="14" max="16384" width="8.875" style="850"/>
  </cols>
  <sheetData>
    <row r="1" spans="1:13" ht="21" customHeight="1">
      <c r="A1" s="1282" t="s">
        <v>1809</v>
      </c>
      <c r="B1" s="1282"/>
      <c r="C1" s="1282"/>
      <c r="D1" s="1282"/>
      <c r="E1" s="1282"/>
      <c r="F1" s="1282"/>
      <c r="G1" s="1282"/>
      <c r="H1" s="1282"/>
      <c r="I1" s="1282"/>
      <c r="J1" s="1282"/>
      <c r="K1" s="1282"/>
    </row>
    <row r="2" spans="1:13" ht="13.5" customHeight="1">
      <c r="A2" s="1283" t="s">
        <v>51</v>
      </c>
      <c r="B2" s="1283"/>
      <c r="C2" s="851" t="str">
        <f>下料单!H2</f>
        <v>S400383705</v>
      </c>
      <c r="D2" s="851"/>
      <c r="E2" s="851"/>
      <c r="F2" s="851"/>
      <c r="G2" s="851"/>
      <c r="H2" s="851"/>
      <c r="I2" s="1283" t="s">
        <v>398</v>
      </c>
      <c r="J2" s="1283"/>
      <c r="K2" s="852" t="str">
        <f>下料单!S2</f>
        <v>西安</v>
      </c>
    </row>
    <row r="3" spans="1:13" ht="13.5" customHeight="1">
      <c r="A3" s="1284" t="s">
        <v>442</v>
      </c>
      <c r="B3" s="1284"/>
      <c r="C3" s="1284" t="str">
        <f>下料单!C2</f>
        <v>杜鹃</v>
      </c>
      <c r="D3" s="1284"/>
      <c r="E3" s="1284" t="s">
        <v>53</v>
      </c>
      <c r="F3" s="1284"/>
      <c r="G3" s="1285"/>
      <c r="H3" s="1285"/>
      <c r="I3" s="1284" t="s">
        <v>1810</v>
      </c>
      <c r="J3" s="1284"/>
      <c r="K3" s="1286" t="str">
        <f>下料单!AC2</f>
        <v>免漆</v>
      </c>
    </row>
    <row r="4" spans="1:13" ht="13.5" customHeight="1">
      <c r="A4" s="1284" t="str">
        <f>[4]下料单!P2</f>
        <v>版本型录号</v>
      </c>
      <c r="B4" s="1284"/>
      <c r="C4" s="1284">
        <f>下料单!N2</f>
        <v>0</v>
      </c>
      <c r="D4" s="1284"/>
      <c r="E4" s="1284" t="s">
        <v>95</v>
      </c>
      <c r="F4" s="1284"/>
      <c r="G4" s="1288"/>
      <c r="H4" s="1288"/>
      <c r="I4" s="1284"/>
      <c r="J4" s="1284"/>
      <c r="K4" s="1287"/>
    </row>
    <row r="5" spans="1:13" ht="13.5" hidden="1" customHeight="1">
      <c r="A5" s="1273" t="s">
        <v>1811</v>
      </c>
      <c r="B5" s="1273"/>
      <c r="C5" s="1273"/>
      <c r="D5" s="1273"/>
      <c r="E5" s="1273"/>
      <c r="F5" s="1273"/>
      <c r="G5" s="1273"/>
      <c r="H5" s="1273"/>
      <c r="I5" s="1273"/>
      <c r="J5" s="1273"/>
      <c r="K5" s="1273"/>
    </row>
    <row r="6" spans="1:13" ht="13.5" hidden="1" customHeight="1">
      <c r="A6" s="1279" t="s">
        <v>1812</v>
      </c>
      <c r="B6" s="1280"/>
      <c r="C6" s="1280"/>
      <c r="D6" s="1280"/>
      <c r="E6" s="1280"/>
      <c r="F6" s="1280"/>
      <c r="G6" s="1280"/>
      <c r="H6" s="1280"/>
      <c r="I6" s="1280"/>
      <c r="J6" s="1280"/>
      <c r="K6" s="1281"/>
    </row>
    <row r="7" spans="1:13" ht="13.5" hidden="1" customHeight="1">
      <c r="A7" s="853" t="s">
        <v>608</v>
      </c>
      <c r="B7" s="853" t="s">
        <v>598</v>
      </c>
      <c r="C7" s="853" t="s">
        <v>597</v>
      </c>
      <c r="D7" s="853" t="s">
        <v>1813</v>
      </c>
      <c r="E7" s="854"/>
      <c r="F7" s="853" t="s">
        <v>1814</v>
      </c>
      <c r="G7" s="853" t="s">
        <v>1815</v>
      </c>
      <c r="H7" s="853" t="s">
        <v>1816</v>
      </c>
      <c r="I7" s="853" t="s">
        <v>592</v>
      </c>
      <c r="J7" s="853" t="s">
        <v>591</v>
      </c>
      <c r="K7" s="853" t="s">
        <v>590</v>
      </c>
      <c r="M7" s="855"/>
    </row>
    <row r="8" spans="1:13" ht="13.5" hidden="1" customHeight="1">
      <c r="A8" s="1259">
        <v>1</v>
      </c>
      <c r="B8" s="1259">
        <v>150</v>
      </c>
      <c r="C8" s="1259">
        <v>720</v>
      </c>
      <c r="D8" s="1259">
        <v>560</v>
      </c>
      <c r="E8" s="1263"/>
      <c r="F8" s="1259" t="s">
        <v>1817</v>
      </c>
      <c r="G8" s="856" t="s">
        <v>1818</v>
      </c>
      <c r="H8" s="856" t="s">
        <v>615</v>
      </c>
      <c r="I8" s="853">
        <f>+E8*1</f>
        <v>0</v>
      </c>
      <c r="J8" s="853" t="s">
        <v>1819</v>
      </c>
      <c r="K8" s="1259" t="s">
        <v>1820</v>
      </c>
    </row>
    <row r="9" spans="1:13" ht="13.5" hidden="1" customHeight="1">
      <c r="A9" s="1277"/>
      <c r="B9" s="1277"/>
      <c r="C9" s="1277"/>
      <c r="D9" s="1277"/>
      <c r="E9" s="1264"/>
      <c r="F9" s="1277"/>
      <c r="G9" s="856" t="s">
        <v>541</v>
      </c>
      <c r="H9" s="856" t="s">
        <v>1821</v>
      </c>
      <c r="I9" s="853">
        <f>+E8*8</f>
        <v>0</v>
      </c>
      <c r="J9" s="853" t="s">
        <v>1819</v>
      </c>
      <c r="K9" s="1277"/>
    </row>
    <row r="10" spans="1:13" ht="13.5" hidden="1" customHeight="1">
      <c r="A10" s="1277"/>
      <c r="B10" s="1277"/>
      <c r="C10" s="1277"/>
      <c r="D10" s="1277"/>
      <c r="E10" s="1264"/>
      <c r="F10" s="1277"/>
      <c r="G10" s="856" t="s">
        <v>1822</v>
      </c>
      <c r="H10" s="856" t="s">
        <v>527</v>
      </c>
      <c r="I10" s="853">
        <f>+E8*1.6</f>
        <v>0</v>
      </c>
      <c r="J10" s="853" t="s">
        <v>410</v>
      </c>
      <c r="K10" s="1277"/>
    </row>
    <row r="11" spans="1:13" ht="13.5" hidden="1" customHeight="1">
      <c r="A11" s="1278"/>
      <c r="B11" s="1278"/>
      <c r="C11" s="1278"/>
      <c r="D11" s="1278"/>
      <c r="E11" s="1267"/>
      <c r="F11" s="1278"/>
      <c r="G11" s="857" t="s">
        <v>1823</v>
      </c>
      <c r="H11" s="856"/>
      <c r="I11" s="853">
        <f>E8*0.5</f>
        <v>0</v>
      </c>
      <c r="J11" s="853" t="s">
        <v>1824</v>
      </c>
      <c r="K11" s="1278"/>
    </row>
    <row r="12" spans="1:13" ht="13.5" hidden="1" customHeight="1">
      <c r="A12" s="1259">
        <v>2</v>
      </c>
      <c r="B12" s="1259">
        <v>150</v>
      </c>
      <c r="C12" s="1259">
        <v>720</v>
      </c>
      <c r="D12" s="1259">
        <v>560</v>
      </c>
      <c r="E12" s="1263"/>
      <c r="F12" s="1259" t="s">
        <v>1817</v>
      </c>
      <c r="G12" s="856" t="s">
        <v>1825</v>
      </c>
      <c r="H12" s="856" t="s">
        <v>615</v>
      </c>
      <c r="I12" s="853">
        <f>+E12*0.7</f>
        <v>0</v>
      </c>
      <c r="J12" s="853" t="s">
        <v>1824</v>
      </c>
      <c r="K12" s="1259" t="s">
        <v>1826</v>
      </c>
    </row>
    <row r="13" spans="1:13" ht="13.5" hidden="1" customHeight="1">
      <c r="A13" s="1277"/>
      <c r="B13" s="1277"/>
      <c r="C13" s="1277"/>
      <c r="D13" s="1277"/>
      <c r="E13" s="1264"/>
      <c r="F13" s="1277"/>
      <c r="G13" s="856" t="s">
        <v>541</v>
      </c>
      <c r="H13" s="856" t="s">
        <v>1821</v>
      </c>
      <c r="I13" s="853">
        <f>+E12*8</f>
        <v>0</v>
      </c>
      <c r="J13" s="853" t="s">
        <v>1819</v>
      </c>
      <c r="K13" s="1277"/>
    </row>
    <row r="14" spans="1:13" ht="13.5" hidden="1" customHeight="1">
      <c r="A14" s="1277"/>
      <c r="B14" s="1277"/>
      <c r="C14" s="1277"/>
      <c r="D14" s="1277"/>
      <c r="E14" s="1264"/>
      <c r="F14" s="1277"/>
      <c r="G14" s="856" t="s">
        <v>1827</v>
      </c>
      <c r="H14" s="856" t="s">
        <v>527</v>
      </c>
      <c r="I14" s="853">
        <f>+E12*1.6</f>
        <v>0</v>
      </c>
      <c r="J14" s="853" t="s">
        <v>410</v>
      </c>
      <c r="K14" s="1277"/>
    </row>
    <row r="15" spans="1:13" ht="13.5" hidden="1" customHeight="1">
      <c r="A15" s="1278"/>
      <c r="B15" s="1278"/>
      <c r="C15" s="1278"/>
      <c r="D15" s="1278"/>
      <c r="E15" s="1267"/>
      <c r="F15" s="1278"/>
      <c r="G15" s="857" t="s">
        <v>1823</v>
      </c>
      <c r="H15" s="856"/>
      <c r="I15" s="853">
        <f>E12*0.5</f>
        <v>0</v>
      </c>
      <c r="J15" s="853" t="s">
        <v>1824</v>
      </c>
      <c r="K15" s="1278"/>
    </row>
    <row r="16" spans="1:13" ht="13.5" hidden="1" customHeight="1">
      <c r="A16" s="1259">
        <v>3</v>
      </c>
      <c r="B16" s="1259">
        <v>300</v>
      </c>
      <c r="C16" s="1259">
        <v>720</v>
      </c>
      <c r="D16" s="1259">
        <v>560</v>
      </c>
      <c r="E16" s="1263"/>
      <c r="F16" s="1259" t="s">
        <v>1817</v>
      </c>
      <c r="G16" s="856" t="s">
        <v>1828</v>
      </c>
      <c r="H16" s="856" t="s">
        <v>615</v>
      </c>
      <c r="I16" s="853">
        <f>+E16*1</f>
        <v>0</v>
      </c>
      <c r="J16" s="853" t="s">
        <v>1829</v>
      </c>
      <c r="K16" s="853"/>
    </row>
    <row r="17" spans="1:11" ht="13.5" hidden="1" customHeight="1">
      <c r="A17" s="1277"/>
      <c r="B17" s="1277"/>
      <c r="C17" s="1277"/>
      <c r="D17" s="1277"/>
      <c r="E17" s="1264"/>
      <c r="F17" s="1277"/>
      <c r="G17" s="856" t="s">
        <v>541</v>
      </c>
      <c r="H17" s="856" t="s">
        <v>1830</v>
      </c>
      <c r="I17" s="853">
        <f>+E16*8</f>
        <v>0</v>
      </c>
      <c r="J17" s="853" t="s">
        <v>1829</v>
      </c>
      <c r="K17" s="853"/>
    </row>
    <row r="18" spans="1:11" ht="13.5" hidden="1" customHeight="1">
      <c r="A18" s="1277"/>
      <c r="B18" s="1277"/>
      <c r="C18" s="1277"/>
      <c r="D18" s="1277"/>
      <c r="E18" s="1264"/>
      <c r="F18" s="1277"/>
      <c r="G18" s="856" t="s">
        <v>1831</v>
      </c>
      <c r="H18" s="856" t="s">
        <v>527</v>
      </c>
      <c r="I18" s="853">
        <f>+E16*1.9</f>
        <v>0</v>
      </c>
      <c r="J18" s="853" t="s">
        <v>410</v>
      </c>
      <c r="K18" s="853"/>
    </row>
    <row r="19" spans="1:11" ht="13.5" hidden="1" customHeight="1">
      <c r="A19" s="1278"/>
      <c r="B19" s="1278"/>
      <c r="C19" s="1278"/>
      <c r="D19" s="1278"/>
      <c r="E19" s="1267"/>
      <c r="F19" s="1278"/>
      <c r="G19" s="857" t="s">
        <v>1832</v>
      </c>
      <c r="H19" s="856"/>
      <c r="I19" s="853">
        <f>E16*0.5</f>
        <v>0</v>
      </c>
      <c r="J19" s="853" t="s">
        <v>1833</v>
      </c>
      <c r="K19" s="853"/>
    </row>
    <row r="20" spans="1:11" ht="13.5" hidden="1" customHeight="1">
      <c r="A20" s="1259">
        <v>4</v>
      </c>
      <c r="B20" s="1259">
        <v>450</v>
      </c>
      <c r="C20" s="1259">
        <v>720</v>
      </c>
      <c r="D20" s="1259">
        <v>560</v>
      </c>
      <c r="E20" s="1263"/>
      <c r="F20" s="1259" t="s">
        <v>1834</v>
      </c>
      <c r="G20" s="856" t="s">
        <v>1835</v>
      </c>
      <c r="H20" s="856" t="s">
        <v>615</v>
      </c>
      <c r="I20" s="853">
        <f>+E20*1</f>
        <v>0</v>
      </c>
      <c r="J20" s="853" t="s">
        <v>1829</v>
      </c>
      <c r="K20" s="853"/>
    </row>
    <row r="21" spans="1:11" ht="13.5" hidden="1" customHeight="1">
      <c r="A21" s="1277"/>
      <c r="B21" s="1277"/>
      <c r="C21" s="1277"/>
      <c r="D21" s="1277"/>
      <c r="E21" s="1264"/>
      <c r="F21" s="1277"/>
      <c r="G21" s="856" t="s">
        <v>541</v>
      </c>
      <c r="H21" s="856" t="s">
        <v>1830</v>
      </c>
      <c r="I21" s="853">
        <f>+E20*8</f>
        <v>0</v>
      </c>
      <c r="J21" s="853" t="s">
        <v>1829</v>
      </c>
      <c r="K21" s="853"/>
    </row>
    <row r="22" spans="1:11" ht="13.5" hidden="1" customHeight="1">
      <c r="A22" s="1277"/>
      <c r="B22" s="1277"/>
      <c r="C22" s="1277"/>
      <c r="D22" s="1277"/>
      <c r="E22" s="1264"/>
      <c r="F22" s="1277"/>
      <c r="G22" s="856" t="s">
        <v>1831</v>
      </c>
      <c r="H22" s="856" t="s">
        <v>527</v>
      </c>
      <c r="I22" s="853">
        <f>+E20*2.2</f>
        <v>0</v>
      </c>
      <c r="J22" s="853" t="s">
        <v>1836</v>
      </c>
      <c r="K22" s="853"/>
    </row>
    <row r="23" spans="1:11" ht="13.5" hidden="1" customHeight="1">
      <c r="A23" s="1278"/>
      <c r="B23" s="1278"/>
      <c r="C23" s="1278"/>
      <c r="D23" s="1278"/>
      <c r="E23" s="1267"/>
      <c r="F23" s="1278"/>
      <c r="G23" s="857" t="s">
        <v>1832</v>
      </c>
      <c r="H23" s="856"/>
      <c r="I23" s="853">
        <f>E20*0.5</f>
        <v>0</v>
      </c>
      <c r="J23" s="853" t="s">
        <v>1833</v>
      </c>
      <c r="K23" s="853"/>
    </row>
    <row r="24" spans="1:11" ht="13.5" hidden="1" customHeight="1">
      <c r="A24" s="1259">
        <v>5</v>
      </c>
      <c r="B24" s="1259">
        <v>600</v>
      </c>
      <c r="C24" s="1259">
        <v>720</v>
      </c>
      <c r="D24" s="1259">
        <v>560</v>
      </c>
      <c r="E24" s="1263"/>
      <c r="F24" s="1259" t="s">
        <v>1834</v>
      </c>
      <c r="G24" s="858" t="s">
        <v>1837</v>
      </c>
      <c r="H24" s="856" t="s">
        <v>614</v>
      </c>
      <c r="I24" s="853">
        <f>+E24*1</f>
        <v>0</v>
      </c>
      <c r="J24" s="853" t="s">
        <v>1829</v>
      </c>
      <c r="K24" s="853"/>
    </row>
    <row r="25" spans="1:11" ht="13.5" hidden="1" customHeight="1">
      <c r="A25" s="1277"/>
      <c r="B25" s="1277"/>
      <c r="C25" s="1277"/>
      <c r="D25" s="1277"/>
      <c r="E25" s="1264"/>
      <c r="F25" s="1277"/>
      <c r="G25" s="856" t="s">
        <v>541</v>
      </c>
      <c r="H25" s="856" t="s">
        <v>1830</v>
      </c>
      <c r="I25" s="853">
        <f>+E24*8</f>
        <v>0</v>
      </c>
      <c r="J25" s="853" t="s">
        <v>1829</v>
      </c>
      <c r="K25" s="853"/>
    </row>
    <row r="26" spans="1:11" ht="13.5" hidden="1" customHeight="1">
      <c r="A26" s="1277"/>
      <c r="B26" s="1277"/>
      <c r="C26" s="1277"/>
      <c r="D26" s="1277"/>
      <c r="E26" s="1264"/>
      <c r="F26" s="1277"/>
      <c r="G26" s="856" t="s">
        <v>1827</v>
      </c>
      <c r="H26" s="856" t="s">
        <v>527</v>
      </c>
      <c r="I26" s="853">
        <f>+E24*2.5</f>
        <v>0</v>
      </c>
      <c r="J26" s="853" t="s">
        <v>410</v>
      </c>
      <c r="K26" s="853"/>
    </row>
    <row r="27" spans="1:11" ht="13.5" hidden="1" customHeight="1">
      <c r="A27" s="1277"/>
      <c r="B27" s="1277"/>
      <c r="C27" s="1277"/>
      <c r="D27" s="1277"/>
      <c r="E27" s="1264"/>
      <c r="F27" s="1277"/>
      <c r="G27" s="856" t="s">
        <v>1838</v>
      </c>
      <c r="H27" s="859" t="s">
        <v>611</v>
      </c>
      <c r="I27" s="1258" t="s">
        <v>1839</v>
      </c>
      <c r="J27" s="1258"/>
      <c r="K27" s="860" t="s">
        <v>1840</v>
      </c>
    </row>
    <row r="28" spans="1:11" ht="13.5" hidden="1" customHeight="1">
      <c r="A28" s="1278"/>
      <c r="B28" s="1278"/>
      <c r="C28" s="1278"/>
      <c r="D28" s="1278"/>
      <c r="E28" s="1267"/>
      <c r="F28" s="1278"/>
      <c r="G28" s="857" t="s">
        <v>1832</v>
      </c>
      <c r="H28" s="859"/>
      <c r="I28" s="853">
        <f>E24*0.5</f>
        <v>0</v>
      </c>
      <c r="J28" s="853" t="s">
        <v>1833</v>
      </c>
      <c r="K28" s="860"/>
    </row>
    <row r="29" spans="1:11" ht="13.5" hidden="1" customHeight="1">
      <c r="A29" s="1259">
        <v>6</v>
      </c>
      <c r="B29" s="1259">
        <v>900</v>
      </c>
      <c r="C29" s="1259">
        <v>720</v>
      </c>
      <c r="D29" s="1259">
        <v>560</v>
      </c>
      <c r="E29" s="1263"/>
      <c r="F29" s="1259" t="s">
        <v>1834</v>
      </c>
      <c r="G29" s="856" t="s">
        <v>1841</v>
      </c>
      <c r="H29" s="856" t="s">
        <v>613</v>
      </c>
      <c r="I29" s="853">
        <f>+E29*1</f>
        <v>0</v>
      </c>
      <c r="J29" s="853" t="s">
        <v>1829</v>
      </c>
      <c r="K29" s="853"/>
    </row>
    <row r="30" spans="1:11" ht="13.5" hidden="1" customHeight="1">
      <c r="A30" s="1277"/>
      <c r="B30" s="1277"/>
      <c r="C30" s="1277"/>
      <c r="D30" s="1277"/>
      <c r="E30" s="1264"/>
      <c r="F30" s="1277"/>
      <c r="G30" s="856" t="s">
        <v>541</v>
      </c>
      <c r="H30" s="856" t="s">
        <v>1830</v>
      </c>
      <c r="I30" s="853">
        <f>+E29*8</f>
        <v>0</v>
      </c>
      <c r="J30" s="853" t="s">
        <v>1829</v>
      </c>
      <c r="K30" s="853"/>
    </row>
    <row r="31" spans="1:11" ht="13.5" hidden="1" customHeight="1">
      <c r="A31" s="1277"/>
      <c r="B31" s="1277"/>
      <c r="C31" s="1277"/>
      <c r="D31" s="1277"/>
      <c r="E31" s="1264"/>
      <c r="F31" s="1277"/>
      <c r="G31" s="856" t="s">
        <v>1827</v>
      </c>
      <c r="H31" s="856" t="s">
        <v>527</v>
      </c>
      <c r="I31" s="853">
        <f>+E29*3.1</f>
        <v>0</v>
      </c>
      <c r="J31" s="853" t="s">
        <v>410</v>
      </c>
      <c r="K31" s="853"/>
    </row>
    <row r="32" spans="1:11" ht="13.5" hidden="1" customHeight="1">
      <c r="A32" s="1277"/>
      <c r="B32" s="1277"/>
      <c r="C32" s="1277"/>
      <c r="D32" s="1277"/>
      <c r="E32" s="1264"/>
      <c r="F32" s="1277"/>
      <c r="G32" s="856" t="s">
        <v>1838</v>
      </c>
      <c r="H32" s="859" t="s">
        <v>611</v>
      </c>
      <c r="I32" s="1258" t="s">
        <v>1839</v>
      </c>
      <c r="J32" s="1258"/>
      <c r="K32" s="860" t="s">
        <v>1840</v>
      </c>
    </row>
    <row r="33" spans="1:11" ht="13.5" hidden="1" customHeight="1">
      <c r="A33" s="1278"/>
      <c r="B33" s="1278"/>
      <c r="C33" s="1278"/>
      <c r="D33" s="1278"/>
      <c r="E33" s="1267"/>
      <c r="F33" s="1278"/>
      <c r="G33" s="857" t="s">
        <v>1832</v>
      </c>
      <c r="H33" s="861"/>
      <c r="I33" s="853">
        <f>E29*1</f>
        <v>0</v>
      </c>
      <c r="J33" s="853" t="s">
        <v>1833</v>
      </c>
      <c r="K33" s="862"/>
    </row>
    <row r="34" spans="1:11" ht="16.5" hidden="1" customHeight="1">
      <c r="A34" s="1279" t="s">
        <v>1842</v>
      </c>
      <c r="B34" s="1280"/>
      <c r="C34" s="1280"/>
      <c r="D34" s="1280"/>
      <c r="E34" s="1280"/>
      <c r="F34" s="1280"/>
      <c r="G34" s="1280"/>
      <c r="H34" s="1280"/>
      <c r="I34" s="1280"/>
      <c r="J34" s="1280"/>
      <c r="K34" s="1281"/>
    </row>
    <row r="35" spans="1:11" ht="13.5" hidden="1" customHeight="1">
      <c r="A35" s="853" t="s">
        <v>608</v>
      </c>
      <c r="B35" s="853" t="s">
        <v>1843</v>
      </c>
      <c r="C35" s="853" t="s">
        <v>1844</v>
      </c>
      <c r="D35" s="853" t="s">
        <v>1845</v>
      </c>
      <c r="E35" s="854"/>
      <c r="F35" s="853" t="s">
        <v>1846</v>
      </c>
      <c r="G35" s="853" t="s">
        <v>1847</v>
      </c>
      <c r="H35" s="853" t="s">
        <v>1848</v>
      </c>
      <c r="I35" s="853" t="s">
        <v>592</v>
      </c>
      <c r="J35" s="853" t="s">
        <v>591</v>
      </c>
      <c r="K35" s="853" t="s">
        <v>1849</v>
      </c>
    </row>
    <row r="36" spans="1:11" ht="13.5" hidden="1" customHeight="1">
      <c r="A36" s="1259">
        <v>1</v>
      </c>
      <c r="B36" s="1259" t="s">
        <v>1850</v>
      </c>
      <c r="C36" s="1259" t="s">
        <v>1851</v>
      </c>
      <c r="D36" s="1259" t="s">
        <v>1851</v>
      </c>
      <c r="E36" s="1263"/>
      <c r="F36" s="1259" t="s">
        <v>1852</v>
      </c>
      <c r="G36" s="856" t="s">
        <v>1825</v>
      </c>
      <c r="H36" s="859" t="s">
        <v>1853</v>
      </c>
      <c r="I36" s="853">
        <f>+E36*1</f>
        <v>0</v>
      </c>
      <c r="J36" s="853" t="s">
        <v>1824</v>
      </c>
      <c r="K36" s="853"/>
    </row>
    <row r="37" spans="1:11" ht="13.5" hidden="1" customHeight="1">
      <c r="A37" s="1277"/>
      <c r="B37" s="1277"/>
      <c r="C37" s="1277"/>
      <c r="D37" s="1277"/>
      <c r="E37" s="1264"/>
      <c r="F37" s="1277"/>
      <c r="G37" s="856" t="s">
        <v>541</v>
      </c>
      <c r="H37" s="856" t="s">
        <v>1821</v>
      </c>
      <c r="I37" s="853">
        <f>+E36*8</f>
        <v>0</v>
      </c>
      <c r="J37" s="853" t="s">
        <v>1819</v>
      </c>
      <c r="K37" s="853"/>
    </row>
    <row r="38" spans="1:11" ht="13.5" hidden="1" customHeight="1">
      <c r="A38" s="1277"/>
      <c r="B38" s="1277"/>
      <c r="C38" s="1277"/>
      <c r="D38" s="1277"/>
      <c r="E38" s="1264"/>
      <c r="F38" s="1277"/>
      <c r="G38" s="856" t="s">
        <v>1827</v>
      </c>
      <c r="H38" s="856" t="s">
        <v>527</v>
      </c>
      <c r="I38" s="853">
        <f>+E36*2.5</f>
        <v>0</v>
      </c>
      <c r="J38" s="853" t="s">
        <v>410</v>
      </c>
      <c r="K38" s="853"/>
    </row>
    <row r="39" spans="1:11" ht="13.5" hidden="1" customHeight="1">
      <c r="A39" s="1278"/>
      <c r="B39" s="1278"/>
      <c r="C39" s="1278"/>
      <c r="D39" s="1278"/>
      <c r="E39" s="1267"/>
      <c r="F39" s="1278"/>
      <c r="G39" s="857" t="s">
        <v>1823</v>
      </c>
      <c r="H39" s="856"/>
      <c r="I39" s="853">
        <f>E36*0.5</f>
        <v>0</v>
      </c>
      <c r="J39" s="853" t="s">
        <v>1824</v>
      </c>
      <c r="K39" s="853"/>
    </row>
    <row r="40" spans="1:11" ht="13.5" hidden="1" customHeight="1">
      <c r="A40" s="1259">
        <v>2</v>
      </c>
      <c r="B40" s="1259" t="s">
        <v>1854</v>
      </c>
      <c r="C40" s="1259" t="s">
        <v>1851</v>
      </c>
      <c r="D40" s="1259" t="s">
        <v>1851</v>
      </c>
      <c r="E40" s="1263"/>
      <c r="F40" s="1259" t="s">
        <v>1852</v>
      </c>
      <c r="G40" s="856" t="s">
        <v>1825</v>
      </c>
      <c r="H40" s="859" t="s">
        <v>1853</v>
      </c>
      <c r="I40" s="853">
        <f>+E40*1.3</f>
        <v>0</v>
      </c>
      <c r="J40" s="853" t="s">
        <v>1824</v>
      </c>
      <c r="K40" s="853"/>
    </row>
    <row r="41" spans="1:11" ht="13.5" hidden="1" customHeight="1">
      <c r="A41" s="1277"/>
      <c r="B41" s="1277"/>
      <c r="C41" s="1277"/>
      <c r="D41" s="1277"/>
      <c r="E41" s="1264"/>
      <c r="F41" s="1277"/>
      <c r="G41" s="856" t="s">
        <v>541</v>
      </c>
      <c r="H41" s="856" t="s">
        <v>1821</v>
      </c>
      <c r="I41" s="853">
        <f>+E40*8</f>
        <v>0</v>
      </c>
      <c r="J41" s="853" t="s">
        <v>1819</v>
      </c>
      <c r="K41" s="853"/>
    </row>
    <row r="42" spans="1:11" ht="13.5" hidden="1" customHeight="1">
      <c r="A42" s="1277"/>
      <c r="B42" s="1277"/>
      <c r="C42" s="1277"/>
      <c r="D42" s="1277"/>
      <c r="E42" s="1264"/>
      <c r="F42" s="1277"/>
      <c r="G42" s="856" t="s">
        <v>1827</v>
      </c>
      <c r="H42" s="856" t="s">
        <v>527</v>
      </c>
      <c r="I42" s="853">
        <f>+E40*3.2</f>
        <v>0</v>
      </c>
      <c r="J42" s="853" t="s">
        <v>410</v>
      </c>
      <c r="K42" s="853"/>
    </row>
    <row r="43" spans="1:11" ht="13.5" hidden="1" customHeight="1">
      <c r="A43" s="1278"/>
      <c r="B43" s="1278"/>
      <c r="C43" s="1278"/>
      <c r="D43" s="1278"/>
      <c r="E43" s="1267"/>
      <c r="F43" s="1278"/>
      <c r="G43" s="857" t="s">
        <v>1823</v>
      </c>
      <c r="H43" s="856"/>
      <c r="I43" s="853">
        <f>E40*1</f>
        <v>0</v>
      </c>
      <c r="J43" s="853" t="s">
        <v>1824</v>
      </c>
      <c r="K43" s="853"/>
    </row>
    <row r="44" spans="1:11" ht="13.5" customHeight="1">
      <c r="A44" s="1276" t="s">
        <v>1855</v>
      </c>
      <c r="B44" s="1276"/>
      <c r="C44" s="1276"/>
      <c r="D44" s="1276"/>
      <c r="E44" s="1276"/>
      <c r="F44" s="1276"/>
      <c r="G44" s="1276"/>
      <c r="H44" s="1276"/>
      <c r="I44" s="1276"/>
      <c r="J44" s="1276"/>
      <c r="K44" s="1276"/>
    </row>
    <row r="45" spans="1:11" ht="13.5" customHeight="1">
      <c r="A45" s="853" t="s">
        <v>1856</v>
      </c>
      <c r="B45" s="853" t="s">
        <v>1857</v>
      </c>
      <c r="C45" s="853" t="s">
        <v>1858</v>
      </c>
      <c r="D45" s="853" t="s">
        <v>1813</v>
      </c>
      <c r="E45" s="854"/>
      <c r="F45" s="853" t="s">
        <v>1859</v>
      </c>
      <c r="G45" s="853" t="s">
        <v>1815</v>
      </c>
      <c r="H45" s="853" t="s">
        <v>1816</v>
      </c>
      <c r="I45" s="853" t="s">
        <v>1860</v>
      </c>
      <c r="J45" s="853" t="s">
        <v>1861</v>
      </c>
      <c r="K45" s="853" t="s">
        <v>1862</v>
      </c>
    </row>
    <row r="46" spans="1:11" ht="13.5" hidden="1" customHeight="1">
      <c r="A46" s="1258" t="s">
        <v>1863</v>
      </c>
      <c r="B46" s="1258" t="s">
        <v>1864</v>
      </c>
      <c r="C46" s="1258">
        <v>720</v>
      </c>
      <c r="D46" s="1258">
        <v>560</v>
      </c>
      <c r="E46" s="1263"/>
      <c r="F46" s="1274" t="s">
        <v>1865</v>
      </c>
      <c r="G46" s="856" t="s">
        <v>1866</v>
      </c>
      <c r="H46" s="856" t="s">
        <v>1867</v>
      </c>
      <c r="I46" s="853">
        <f>+E46*1</f>
        <v>0</v>
      </c>
      <c r="J46" s="853" t="s">
        <v>1819</v>
      </c>
      <c r="K46" s="1259"/>
    </row>
    <row r="47" spans="1:11" ht="13.5" hidden="1" customHeight="1">
      <c r="A47" s="1258"/>
      <c r="B47" s="1258"/>
      <c r="C47" s="1258"/>
      <c r="D47" s="1258"/>
      <c r="E47" s="1264"/>
      <c r="F47" s="1274"/>
      <c r="G47" s="856" t="s">
        <v>1827</v>
      </c>
      <c r="H47" s="856" t="s">
        <v>527</v>
      </c>
      <c r="I47" s="853">
        <f>+E46*1.3</f>
        <v>0</v>
      </c>
      <c r="J47" s="853" t="s">
        <v>410</v>
      </c>
      <c r="K47" s="1277"/>
    </row>
    <row r="48" spans="1:11" ht="13.5" hidden="1" customHeight="1">
      <c r="A48" s="1258"/>
      <c r="B48" s="1258"/>
      <c r="C48" s="1258"/>
      <c r="D48" s="1258"/>
      <c r="E48" s="1264"/>
      <c r="F48" s="1274"/>
      <c r="G48" s="856" t="s">
        <v>1868</v>
      </c>
      <c r="H48" s="856"/>
      <c r="I48" s="1258" t="s">
        <v>1869</v>
      </c>
      <c r="J48" s="1258"/>
      <c r="K48" s="1277"/>
    </row>
    <row r="49" spans="1:11" ht="13.5" hidden="1" customHeight="1">
      <c r="A49" s="1258"/>
      <c r="B49" s="1258"/>
      <c r="C49" s="1258"/>
      <c r="D49" s="1258"/>
      <c r="E49" s="1267"/>
      <c r="F49" s="1274"/>
      <c r="G49" s="856" t="s">
        <v>1870</v>
      </c>
      <c r="H49" s="856" t="s">
        <v>1821</v>
      </c>
      <c r="I49" s="853">
        <f>+E46*8</f>
        <v>0</v>
      </c>
      <c r="J49" s="853" t="s">
        <v>1819</v>
      </c>
      <c r="K49" s="1277"/>
    </row>
    <row r="50" spans="1:11" ht="13.5" customHeight="1">
      <c r="A50" s="1258" t="s">
        <v>1871</v>
      </c>
      <c r="B50" s="1258" t="s">
        <v>1872</v>
      </c>
      <c r="C50" s="1258">
        <v>720</v>
      </c>
      <c r="D50" s="1258">
        <v>560</v>
      </c>
      <c r="E50" s="1263">
        <v>1</v>
      </c>
      <c r="F50" s="1274" t="s">
        <v>1865</v>
      </c>
      <c r="G50" s="856" t="s">
        <v>1873</v>
      </c>
      <c r="H50" s="856" t="s">
        <v>1874</v>
      </c>
      <c r="I50" s="853">
        <f>+E50*1</f>
        <v>1</v>
      </c>
      <c r="J50" s="853" t="s">
        <v>1819</v>
      </c>
      <c r="K50" s="1277"/>
    </row>
    <row r="51" spans="1:11" ht="13.5" customHeight="1">
      <c r="A51" s="1258"/>
      <c r="B51" s="1258"/>
      <c r="C51" s="1258"/>
      <c r="D51" s="1258"/>
      <c r="E51" s="1264"/>
      <c r="F51" s="1274"/>
      <c r="G51" s="856" t="s">
        <v>1827</v>
      </c>
      <c r="H51" s="856" t="s">
        <v>527</v>
      </c>
      <c r="I51" s="853">
        <f>+E50*1.3</f>
        <v>1.3</v>
      </c>
      <c r="J51" s="853" t="s">
        <v>410</v>
      </c>
      <c r="K51" s="1277"/>
    </row>
    <row r="52" spans="1:11" ht="13.5" customHeight="1">
      <c r="A52" s="1258"/>
      <c r="B52" s="1258"/>
      <c r="C52" s="1258"/>
      <c r="D52" s="1258"/>
      <c r="E52" s="1264"/>
      <c r="F52" s="1274"/>
      <c r="G52" s="856" t="s">
        <v>1868</v>
      </c>
      <c r="H52" s="856"/>
      <c r="I52" s="1258" t="s">
        <v>1869</v>
      </c>
      <c r="J52" s="1258"/>
      <c r="K52" s="1277"/>
    </row>
    <row r="53" spans="1:11" ht="13.5" customHeight="1">
      <c r="A53" s="1258"/>
      <c r="B53" s="1258"/>
      <c r="C53" s="1258"/>
      <c r="D53" s="1258"/>
      <c r="E53" s="1267"/>
      <c r="F53" s="1274"/>
      <c r="G53" s="856" t="s">
        <v>541</v>
      </c>
      <c r="H53" s="856" t="s">
        <v>1821</v>
      </c>
      <c r="I53" s="853">
        <f>+E50*8</f>
        <v>8</v>
      </c>
      <c r="J53" s="853" t="s">
        <v>1819</v>
      </c>
      <c r="K53" s="1277"/>
    </row>
    <row r="54" spans="1:11" ht="13.5" hidden="1" customHeight="1">
      <c r="A54" s="1258" t="s">
        <v>1875</v>
      </c>
      <c r="B54" s="1258" t="s">
        <v>1876</v>
      </c>
      <c r="C54" s="1258">
        <v>720</v>
      </c>
      <c r="D54" s="1258">
        <v>560</v>
      </c>
      <c r="E54" s="1263"/>
      <c r="F54" s="1274" t="s">
        <v>1865</v>
      </c>
      <c r="G54" s="856" t="s">
        <v>1877</v>
      </c>
      <c r="H54" s="856" t="s">
        <v>1878</v>
      </c>
      <c r="I54" s="853">
        <f>+E54*1</f>
        <v>0</v>
      </c>
      <c r="J54" s="853" t="s">
        <v>1819</v>
      </c>
      <c r="K54" s="1277"/>
    </row>
    <row r="55" spans="1:11" ht="13.5" hidden="1" customHeight="1">
      <c r="A55" s="1258"/>
      <c r="B55" s="1258"/>
      <c r="C55" s="1258"/>
      <c r="D55" s="1258"/>
      <c r="E55" s="1264"/>
      <c r="F55" s="1274"/>
      <c r="G55" s="856" t="s">
        <v>1827</v>
      </c>
      <c r="H55" s="856" t="s">
        <v>527</v>
      </c>
      <c r="I55" s="853">
        <f>+E54*1.5</f>
        <v>0</v>
      </c>
      <c r="J55" s="853" t="s">
        <v>410</v>
      </c>
      <c r="K55" s="1277"/>
    </row>
    <row r="56" spans="1:11" ht="13.5" hidden="1" customHeight="1">
      <c r="A56" s="1258"/>
      <c r="B56" s="1258"/>
      <c r="C56" s="1258"/>
      <c r="D56" s="1258"/>
      <c r="E56" s="1264"/>
      <c r="F56" s="1274"/>
      <c r="G56" s="856" t="s">
        <v>1868</v>
      </c>
      <c r="H56" s="856"/>
      <c r="I56" s="1258" t="s">
        <v>1869</v>
      </c>
      <c r="J56" s="1258"/>
      <c r="K56" s="1277"/>
    </row>
    <row r="57" spans="1:11" ht="13.5" hidden="1" customHeight="1">
      <c r="A57" s="1258"/>
      <c r="B57" s="1258"/>
      <c r="C57" s="1258"/>
      <c r="D57" s="1258"/>
      <c r="E57" s="1267"/>
      <c r="F57" s="1274"/>
      <c r="G57" s="856" t="s">
        <v>541</v>
      </c>
      <c r="H57" s="856" t="s">
        <v>1821</v>
      </c>
      <c r="I57" s="853">
        <f>+E54*8</f>
        <v>0</v>
      </c>
      <c r="J57" s="853" t="s">
        <v>1819</v>
      </c>
      <c r="K57" s="1277"/>
    </row>
    <row r="58" spans="1:11" ht="13.5" hidden="1" customHeight="1">
      <c r="A58" s="1258" t="s">
        <v>1879</v>
      </c>
      <c r="B58" s="1258" t="s">
        <v>1880</v>
      </c>
      <c r="C58" s="1258">
        <v>720</v>
      </c>
      <c r="D58" s="1258">
        <v>300</v>
      </c>
      <c r="E58" s="1263"/>
      <c r="F58" s="1274" t="s">
        <v>1881</v>
      </c>
      <c r="G58" s="856" t="s">
        <v>1882</v>
      </c>
      <c r="H58" s="863" t="s">
        <v>1883</v>
      </c>
      <c r="I58" s="853">
        <f>+E58*1</f>
        <v>0</v>
      </c>
      <c r="J58" s="853" t="s">
        <v>1819</v>
      </c>
      <c r="K58" s="1277"/>
    </row>
    <row r="59" spans="1:11" ht="13.5" hidden="1" customHeight="1">
      <c r="A59" s="1258"/>
      <c r="B59" s="1258"/>
      <c r="C59" s="1258"/>
      <c r="D59" s="1258"/>
      <c r="E59" s="1264"/>
      <c r="F59" s="1274"/>
      <c r="G59" s="856" t="s">
        <v>1827</v>
      </c>
      <c r="H59" s="856" t="s">
        <v>527</v>
      </c>
      <c r="I59" s="853">
        <f>+E58*0.8</f>
        <v>0</v>
      </c>
      <c r="J59" s="853" t="s">
        <v>410</v>
      </c>
      <c r="K59" s="1277"/>
    </row>
    <row r="60" spans="1:11" ht="13.5" hidden="1" customHeight="1">
      <c r="A60" s="1258"/>
      <c r="B60" s="1258"/>
      <c r="C60" s="1258"/>
      <c r="D60" s="1258"/>
      <c r="E60" s="1264"/>
      <c r="F60" s="1274"/>
      <c r="G60" s="856" t="s">
        <v>1868</v>
      </c>
      <c r="H60" s="856"/>
      <c r="I60" s="1258" t="s">
        <v>1869</v>
      </c>
      <c r="J60" s="1258"/>
      <c r="K60" s="1277"/>
    </row>
    <row r="61" spans="1:11" ht="13.5" hidden="1" customHeight="1">
      <c r="A61" s="1258"/>
      <c r="B61" s="1258"/>
      <c r="C61" s="1258"/>
      <c r="D61" s="1258"/>
      <c r="E61" s="1267"/>
      <c r="F61" s="1274"/>
      <c r="G61" s="856" t="s">
        <v>541</v>
      </c>
      <c r="H61" s="856" t="s">
        <v>1821</v>
      </c>
      <c r="I61" s="853">
        <f>+E58*8</f>
        <v>0</v>
      </c>
      <c r="J61" s="853" t="s">
        <v>1819</v>
      </c>
      <c r="K61" s="1277"/>
    </row>
    <row r="62" spans="1:11" ht="13.5" hidden="1" customHeight="1">
      <c r="A62" s="1258" t="s">
        <v>1884</v>
      </c>
      <c r="B62" s="1258" t="s">
        <v>1885</v>
      </c>
      <c r="C62" s="1258">
        <v>720</v>
      </c>
      <c r="D62" s="1258">
        <v>300</v>
      </c>
      <c r="E62" s="1263"/>
      <c r="F62" s="1274" t="s">
        <v>1881</v>
      </c>
      <c r="G62" s="856" t="s">
        <v>1886</v>
      </c>
      <c r="H62" s="863" t="s">
        <v>1883</v>
      </c>
      <c r="I62" s="853">
        <f>+E62*1</f>
        <v>0</v>
      </c>
      <c r="J62" s="853" t="s">
        <v>1819</v>
      </c>
      <c r="K62" s="1277"/>
    </row>
    <row r="63" spans="1:11" ht="13.5" hidden="1" customHeight="1">
      <c r="A63" s="1258"/>
      <c r="B63" s="1258"/>
      <c r="C63" s="1258"/>
      <c r="D63" s="1258"/>
      <c r="E63" s="1264"/>
      <c r="F63" s="1274"/>
      <c r="G63" s="856" t="s">
        <v>1827</v>
      </c>
      <c r="H63" s="856" t="s">
        <v>527</v>
      </c>
      <c r="I63" s="853">
        <f>+E62*0.8</f>
        <v>0</v>
      </c>
      <c r="J63" s="853" t="s">
        <v>1887</v>
      </c>
      <c r="K63" s="1277"/>
    </row>
    <row r="64" spans="1:11" ht="13.5" hidden="1" customHeight="1">
      <c r="A64" s="1258"/>
      <c r="B64" s="1258"/>
      <c r="C64" s="1258"/>
      <c r="D64" s="1258"/>
      <c r="E64" s="1264"/>
      <c r="F64" s="1274"/>
      <c r="G64" s="856" t="s">
        <v>1868</v>
      </c>
      <c r="H64" s="856"/>
      <c r="I64" s="1258" t="s">
        <v>1869</v>
      </c>
      <c r="J64" s="1258"/>
      <c r="K64" s="1277"/>
    </row>
    <row r="65" spans="1:11" ht="13.5" hidden="1" customHeight="1">
      <c r="A65" s="1258"/>
      <c r="B65" s="1258"/>
      <c r="C65" s="1258"/>
      <c r="D65" s="1258"/>
      <c r="E65" s="1267"/>
      <c r="F65" s="1274"/>
      <c r="G65" s="856" t="s">
        <v>541</v>
      </c>
      <c r="H65" s="856" t="s">
        <v>1821</v>
      </c>
      <c r="I65" s="853">
        <f>+E62*8</f>
        <v>0</v>
      </c>
      <c r="J65" s="853" t="s">
        <v>1819</v>
      </c>
      <c r="K65" s="1277"/>
    </row>
    <row r="66" spans="1:11" ht="13.5" hidden="1" customHeight="1">
      <c r="A66" s="1258" t="s">
        <v>1888</v>
      </c>
      <c r="B66" s="1258" t="s">
        <v>1872</v>
      </c>
      <c r="C66" s="1258">
        <v>720</v>
      </c>
      <c r="D66" s="1258">
        <v>300</v>
      </c>
      <c r="E66" s="1263"/>
      <c r="F66" s="1274" t="s">
        <v>1889</v>
      </c>
      <c r="G66" s="856" t="s">
        <v>1890</v>
      </c>
      <c r="H66" s="863" t="s">
        <v>1891</v>
      </c>
      <c r="I66" s="853">
        <f>+E66*1</f>
        <v>0</v>
      </c>
      <c r="J66" s="853" t="s">
        <v>1819</v>
      </c>
      <c r="K66" s="1277"/>
    </row>
    <row r="67" spans="1:11" ht="13.5" hidden="1" customHeight="1">
      <c r="A67" s="1258"/>
      <c r="B67" s="1258"/>
      <c r="C67" s="1258"/>
      <c r="D67" s="1258"/>
      <c r="E67" s="1264"/>
      <c r="F67" s="1274"/>
      <c r="G67" s="856" t="s">
        <v>1827</v>
      </c>
      <c r="H67" s="856" t="s">
        <v>527</v>
      </c>
      <c r="I67" s="853">
        <f>+E66*1</f>
        <v>0</v>
      </c>
      <c r="J67" s="853" t="s">
        <v>1887</v>
      </c>
      <c r="K67" s="1277"/>
    </row>
    <row r="68" spans="1:11" ht="13.5" hidden="1" customHeight="1">
      <c r="A68" s="1258"/>
      <c r="B68" s="1258"/>
      <c r="C68" s="1258"/>
      <c r="D68" s="1258"/>
      <c r="E68" s="1264"/>
      <c r="F68" s="1274"/>
      <c r="G68" s="856" t="s">
        <v>1868</v>
      </c>
      <c r="H68" s="856"/>
      <c r="I68" s="1258" t="s">
        <v>1869</v>
      </c>
      <c r="J68" s="1258"/>
      <c r="K68" s="1277"/>
    </row>
    <row r="69" spans="1:11" ht="13.5" hidden="1" customHeight="1">
      <c r="A69" s="1258"/>
      <c r="B69" s="1258"/>
      <c r="C69" s="1258"/>
      <c r="D69" s="1258"/>
      <c r="E69" s="1267"/>
      <c r="F69" s="1274"/>
      <c r="G69" s="856" t="s">
        <v>541</v>
      </c>
      <c r="H69" s="856" t="s">
        <v>1821</v>
      </c>
      <c r="I69" s="853">
        <f>+E66*8</f>
        <v>0</v>
      </c>
      <c r="J69" s="853" t="s">
        <v>1819</v>
      </c>
      <c r="K69" s="1277"/>
    </row>
    <row r="70" spans="1:11" ht="13.5" hidden="1" customHeight="1">
      <c r="A70" s="1258" t="s">
        <v>1892</v>
      </c>
      <c r="B70" s="1258" t="s">
        <v>1876</v>
      </c>
      <c r="C70" s="1258">
        <v>720</v>
      </c>
      <c r="D70" s="1258">
        <v>300</v>
      </c>
      <c r="E70" s="1263"/>
      <c r="F70" s="1274" t="s">
        <v>1889</v>
      </c>
      <c r="G70" s="856" t="s">
        <v>1893</v>
      </c>
      <c r="H70" s="863" t="s">
        <v>1894</v>
      </c>
      <c r="I70" s="853">
        <f>+E70*1</f>
        <v>0</v>
      </c>
      <c r="J70" s="853" t="s">
        <v>1819</v>
      </c>
      <c r="K70" s="1277"/>
    </row>
    <row r="71" spans="1:11" ht="13.5" hidden="1" customHeight="1">
      <c r="A71" s="1258"/>
      <c r="B71" s="1258"/>
      <c r="C71" s="1258"/>
      <c r="D71" s="1258"/>
      <c r="E71" s="1264"/>
      <c r="F71" s="1274"/>
      <c r="G71" s="856" t="s">
        <v>1827</v>
      </c>
      <c r="H71" s="856" t="s">
        <v>527</v>
      </c>
      <c r="I71" s="853">
        <f>+E70*1.4</f>
        <v>0</v>
      </c>
      <c r="J71" s="853" t="s">
        <v>1887</v>
      </c>
      <c r="K71" s="1277"/>
    </row>
    <row r="72" spans="1:11" ht="13.5" hidden="1" customHeight="1">
      <c r="A72" s="1258"/>
      <c r="B72" s="1258"/>
      <c r="C72" s="1258"/>
      <c r="D72" s="1258"/>
      <c r="E72" s="1264"/>
      <c r="F72" s="1274"/>
      <c r="G72" s="856" t="s">
        <v>1868</v>
      </c>
      <c r="H72" s="856"/>
      <c r="I72" s="1258" t="s">
        <v>1869</v>
      </c>
      <c r="J72" s="1258"/>
      <c r="K72" s="1277"/>
    </row>
    <row r="73" spans="1:11" ht="13.5" hidden="1" customHeight="1">
      <c r="A73" s="1258"/>
      <c r="B73" s="1258"/>
      <c r="C73" s="1258"/>
      <c r="D73" s="1258"/>
      <c r="E73" s="1267"/>
      <c r="F73" s="1274"/>
      <c r="G73" s="856" t="s">
        <v>541</v>
      </c>
      <c r="H73" s="856" t="s">
        <v>1821</v>
      </c>
      <c r="I73" s="853">
        <f>+E70*8</f>
        <v>0</v>
      </c>
      <c r="J73" s="853" t="s">
        <v>1819</v>
      </c>
      <c r="K73" s="1277"/>
    </row>
    <row r="74" spans="1:11" ht="13.5" hidden="1" customHeight="1">
      <c r="A74" s="1258" t="s">
        <v>660</v>
      </c>
      <c r="B74" s="1258" t="s">
        <v>659</v>
      </c>
      <c r="C74" s="1258">
        <v>2160</v>
      </c>
      <c r="D74" s="1258">
        <v>560</v>
      </c>
      <c r="E74" s="1263"/>
      <c r="F74" s="1274" t="s">
        <v>1895</v>
      </c>
      <c r="G74" s="856" t="s">
        <v>1896</v>
      </c>
      <c r="H74" s="859" t="s">
        <v>1853</v>
      </c>
      <c r="I74" s="853">
        <f>+E74*1</f>
        <v>0</v>
      </c>
      <c r="J74" s="853" t="s">
        <v>1824</v>
      </c>
      <c r="K74" s="1277"/>
    </row>
    <row r="75" spans="1:11" ht="13.5" hidden="1" customHeight="1">
      <c r="A75" s="1258"/>
      <c r="B75" s="1258"/>
      <c r="C75" s="1258"/>
      <c r="D75" s="1258"/>
      <c r="E75" s="1264"/>
      <c r="F75" s="1274"/>
      <c r="G75" s="856" t="s">
        <v>1827</v>
      </c>
      <c r="H75" s="856" t="s">
        <v>527</v>
      </c>
      <c r="I75" s="853">
        <f>+E74*2.5</f>
        <v>0</v>
      </c>
      <c r="J75" s="853" t="s">
        <v>410</v>
      </c>
      <c r="K75" s="1277"/>
    </row>
    <row r="76" spans="1:11" ht="13.5" hidden="1" customHeight="1">
      <c r="A76" s="1258"/>
      <c r="B76" s="1258"/>
      <c r="C76" s="1258"/>
      <c r="D76" s="1258"/>
      <c r="E76" s="1264"/>
      <c r="F76" s="1274"/>
      <c r="G76" s="856" t="s">
        <v>1868</v>
      </c>
      <c r="H76" s="856"/>
      <c r="I76" s="1258" t="s">
        <v>1869</v>
      </c>
      <c r="J76" s="1258"/>
      <c r="K76" s="1277"/>
    </row>
    <row r="77" spans="1:11" ht="13.5" hidden="1" customHeight="1">
      <c r="A77" s="1258"/>
      <c r="B77" s="1258"/>
      <c r="C77" s="1258"/>
      <c r="D77" s="1258"/>
      <c r="E77" s="1267"/>
      <c r="F77" s="1274"/>
      <c r="G77" s="856" t="s">
        <v>541</v>
      </c>
      <c r="H77" s="856" t="s">
        <v>1821</v>
      </c>
      <c r="I77" s="853">
        <f>+E74*8</f>
        <v>0</v>
      </c>
      <c r="J77" s="853" t="s">
        <v>1819</v>
      </c>
      <c r="K77" s="1278"/>
    </row>
    <row r="78" spans="1:11" ht="13.5" hidden="1" customHeight="1">
      <c r="A78" s="1274" t="s">
        <v>1897</v>
      </c>
      <c r="B78" s="1274"/>
      <c r="C78" s="1274"/>
      <c r="D78" s="1274"/>
      <c r="E78" s="1274"/>
      <c r="F78" s="1274"/>
      <c r="G78" s="1274"/>
      <c r="H78" s="1274"/>
      <c r="I78" s="1274"/>
      <c r="J78" s="1274"/>
      <c r="K78" s="1274"/>
    </row>
    <row r="79" spans="1:11" ht="13.5" hidden="1" customHeight="1">
      <c r="A79" s="1275" t="s">
        <v>1898</v>
      </c>
      <c r="B79" s="1275"/>
      <c r="C79" s="1275"/>
      <c r="D79" s="1275"/>
      <c r="E79" s="1275"/>
      <c r="F79" s="1275"/>
      <c r="G79" s="1275"/>
      <c r="H79" s="1275"/>
      <c r="I79" s="1275"/>
      <c r="J79" s="1275"/>
      <c r="K79" s="1275"/>
    </row>
    <row r="80" spans="1:11" ht="13.5" hidden="1" customHeight="1">
      <c r="A80" s="853" t="s">
        <v>608</v>
      </c>
      <c r="B80" s="853" t="s">
        <v>1857</v>
      </c>
      <c r="C80" s="853" t="s">
        <v>1858</v>
      </c>
      <c r="D80" s="853" t="s">
        <v>1813</v>
      </c>
      <c r="E80" s="854"/>
      <c r="F80" s="853" t="s">
        <v>1859</v>
      </c>
      <c r="G80" s="853" t="s">
        <v>1815</v>
      </c>
      <c r="H80" s="853" t="s">
        <v>1816</v>
      </c>
      <c r="I80" s="853" t="s">
        <v>592</v>
      </c>
      <c r="J80" s="853" t="s">
        <v>591</v>
      </c>
      <c r="K80" s="853" t="s">
        <v>1862</v>
      </c>
    </row>
    <row r="81" spans="1:11" ht="13.5" hidden="1" customHeight="1">
      <c r="A81" s="1258">
        <v>1</v>
      </c>
      <c r="B81" s="1258" t="s">
        <v>1899</v>
      </c>
      <c r="C81" s="1258" t="s">
        <v>1851</v>
      </c>
      <c r="D81" s="1258" t="s">
        <v>1851</v>
      </c>
      <c r="E81" s="1263"/>
      <c r="F81" s="1258" t="s">
        <v>1900</v>
      </c>
      <c r="G81" s="856" t="s">
        <v>1825</v>
      </c>
      <c r="H81" s="859" t="s">
        <v>1853</v>
      </c>
      <c r="I81" s="853">
        <f>+E81*0.3</f>
        <v>0</v>
      </c>
      <c r="J81" s="853" t="s">
        <v>1824</v>
      </c>
      <c r="K81" s="1258"/>
    </row>
    <row r="82" spans="1:11" ht="13.5" hidden="1" customHeight="1">
      <c r="A82" s="1258"/>
      <c r="B82" s="1258"/>
      <c r="C82" s="1258"/>
      <c r="D82" s="1258"/>
      <c r="E82" s="1264"/>
      <c r="F82" s="1258"/>
      <c r="G82" s="856" t="s">
        <v>1827</v>
      </c>
      <c r="H82" s="856" t="s">
        <v>527</v>
      </c>
      <c r="I82" s="853">
        <f>+E81*1</f>
        <v>0</v>
      </c>
      <c r="J82" s="853" t="s">
        <v>410</v>
      </c>
      <c r="K82" s="1258"/>
    </row>
    <row r="83" spans="1:11" ht="13.5" hidden="1" customHeight="1">
      <c r="A83" s="1258"/>
      <c r="B83" s="1258"/>
      <c r="C83" s="1258"/>
      <c r="D83" s="1258"/>
      <c r="E83" s="1267"/>
      <c r="F83" s="1258"/>
      <c r="G83" s="856" t="s">
        <v>541</v>
      </c>
      <c r="H83" s="856" t="s">
        <v>1821</v>
      </c>
      <c r="I83" s="853">
        <f>+E81*8</f>
        <v>0</v>
      </c>
      <c r="J83" s="853" t="s">
        <v>1819</v>
      </c>
      <c r="K83" s="1258"/>
    </row>
    <row r="84" spans="1:11" ht="13.5" hidden="1" customHeight="1">
      <c r="A84" s="1258">
        <v>2</v>
      </c>
      <c r="B84" s="1258" t="s">
        <v>1854</v>
      </c>
      <c r="C84" s="1258" t="s">
        <v>1851</v>
      </c>
      <c r="D84" s="1258" t="s">
        <v>1851</v>
      </c>
      <c r="E84" s="1263"/>
      <c r="F84" s="1258" t="s">
        <v>1900</v>
      </c>
      <c r="G84" s="856" t="s">
        <v>1825</v>
      </c>
      <c r="H84" s="859" t="s">
        <v>1853</v>
      </c>
      <c r="I84" s="853">
        <f>+E84*0.4</f>
        <v>0</v>
      </c>
      <c r="J84" s="853" t="s">
        <v>1824</v>
      </c>
      <c r="K84" s="1258"/>
    </row>
    <row r="85" spans="1:11" ht="13.5" hidden="1" customHeight="1">
      <c r="A85" s="1258"/>
      <c r="B85" s="1258"/>
      <c r="C85" s="1258"/>
      <c r="D85" s="1258"/>
      <c r="E85" s="1264"/>
      <c r="F85" s="1258"/>
      <c r="G85" s="856" t="s">
        <v>1827</v>
      </c>
      <c r="H85" s="856" t="s">
        <v>527</v>
      </c>
      <c r="I85" s="853">
        <f>+E84*1.5</f>
        <v>0</v>
      </c>
      <c r="J85" s="853" t="s">
        <v>410</v>
      </c>
      <c r="K85" s="1258"/>
    </row>
    <row r="86" spans="1:11" ht="13.5" hidden="1" customHeight="1">
      <c r="A86" s="1258"/>
      <c r="B86" s="1258"/>
      <c r="C86" s="1258"/>
      <c r="D86" s="1258"/>
      <c r="E86" s="1267"/>
      <c r="F86" s="1258"/>
      <c r="G86" s="856" t="s">
        <v>541</v>
      </c>
      <c r="H86" s="856" t="s">
        <v>1821</v>
      </c>
      <c r="I86" s="853">
        <f>+E84*8</f>
        <v>0</v>
      </c>
      <c r="J86" s="853" t="s">
        <v>1819</v>
      </c>
      <c r="K86" s="1258"/>
    </row>
    <row r="87" spans="1:11" ht="13.5" hidden="1" customHeight="1">
      <c r="A87" s="1258">
        <v>3</v>
      </c>
      <c r="B87" s="1258" t="s">
        <v>1899</v>
      </c>
      <c r="C87" s="1258" t="s">
        <v>1851</v>
      </c>
      <c r="D87" s="1258" t="s">
        <v>1851</v>
      </c>
      <c r="E87" s="1263"/>
      <c r="F87" s="1258" t="s">
        <v>1901</v>
      </c>
      <c r="G87" s="856" t="s">
        <v>1825</v>
      </c>
      <c r="H87" s="859" t="s">
        <v>1853</v>
      </c>
      <c r="I87" s="853">
        <f>+E87*0.4</f>
        <v>0</v>
      </c>
      <c r="J87" s="853" t="s">
        <v>1824</v>
      </c>
      <c r="K87" s="1258"/>
    </row>
    <row r="88" spans="1:11" ht="13.5" hidden="1" customHeight="1">
      <c r="A88" s="1258"/>
      <c r="B88" s="1258"/>
      <c r="C88" s="1258"/>
      <c r="D88" s="1258"/>
      <c r="E88" s="1264"/>
      <c r="F88" s="1258"/>
      <c r="G88" s="856" t="s">
        <v>1827</v>
      </c>
      <c r="H88" s="856" t="s">
        <v>527</v>
      </c>
      <c r="I88" s="853">
        <f>+E87*1.5</f>
        <v>0</v>
      </c>
      <c r="J88" s="853" t="s">
        <v>410</v>
      </c>
      <c r="K88" s="1258"/>
    </row>
    <row r="89" spans="1:11" ht="13.5" hidden="1" customHeight="1">
      <c r="A89" s="1258"/>
      <c r="B89" s="1258"/>
      <c r="C89" s="1258"/>
      <c r="D89" s="1258"/>
      <c r="E89" s="1267"/>
      <c r="F89" s="1258"/>
      <c r="G89" s="856" t="s">
        <v>541</v>
      </c>
      <c r="H89" s="856" t="s">
        <v>1821</v>
      </c>
      <c r="I89" s="853">
        <f>+E87*8</f>
        <v>0</v>
      </c>
      <c r="J89" s="853" t="s">
        <v>1819</v>
      </c>
      <c r="K89" s="1258"/>
    </row>
    <row r="90" spans="1:11" ht="13.5" hidden="1" customHeight="1">
      <c r="A90" s="1258">
        <v>4</v>
      </c>
      <c r="B90" s="1258" t="s">
        <v>1854</v>
      </c>
      <c r="C90" s="1258" t="s">
        <v>1851</v>
      </c>
      <c r="D90" s="1258" t="s">
        <v>1851</v>
      </c>
      <c r="E90" s="1263"/>
      <c r="F90" s="1258" t="s">
        <v>1901</v>
      </c>
      <c r="G90" s="856" t="s">
        <v>1825</v>
      </c>
      <c r="H90" s="859" t="s">
        <v>1853</v>
      </c>
      <c r="I90" s="853">
        <f>+E90*0.6</f>
        <v>0</v>
      </c>
      <c r="J90" s="853" t="s">
        <v>1824</v>
      </c>
      <c r="K90" s="1258"/>
    </row>
    <row r="91" spans="1:11" ht="13.5" hidden="1" customHeight="1">
      <c r="A91" s="1258"/>
      <c r="B91" s="1258"/>
      <c r="C91" s="1258"/>
      <c r="D91" s="1258"/>
      <c r="E91" s="1264"/>
      <c r="F91" s="1258"/>
      <c r="G91" s="856" t="s">
        <v>1827</v>
      </c>
      <c r="H91" s="856" t="s">
        <v>527</v>
      </c>
      <c r="I91" s="853">
        <f>+E90*1.5</f>
        <v>0</v>
      </c>
      <c r="J91" s="853" t="s">
        <v>410</v>
      </c>
      <c r="K91" s="1258"/>
    </row>
    <row r="92" spans="1:11" ht="13.5" hidden="1" customHeight="1">
      <c r="A92" s="1258"/>
      <c r="B92" s="1258"/>
      <c r="C92" s="1258"/>
      <c r="D92" s="1258"/>
      <c r="E92" s="1267"/>
      <c r="F92" s="1258"/>
      <c r="G92" s="856" t="s">
        <v>541</v>
      </c>
      <c r="H92" s="856" t="s">
        <v>1821</v>
      </c>
      <c r="I92" s="853">
        <f>+E90*8</f>
        <v>0</v>
      </c>
      <c r="J92" s="853" t="s">
        <v>1819</v>
      </c>
      <c r="K92" s="1258"/>
    </row>
    <row r="93" spans="1:11" ht="13.5" hidden="1" customHeight="1">
      <c r="A93" s="1258">
        <v>5</v>
      </c>
      <c r="B93" s="1258" t="s">
        <v>1851</v>
      </c>
      <c r="C93" s="1258" t="s">
        <v>1851</v>
      </c>
      <c r="D93" s="1258" t="s">
        <v>1902</v>
      </c>
      <c r="E93" s="1263"/>
      <c r="F93" s="1274" t="s">
        <v>1903</v>
      </c>
      <c r="G93" s="856" t="s">
        <v>1825</v>
      </c>
      <c r="H93" s="859" t="s">
        <v>1853</v>
      </c>
      <c r="I93" s="853">
        <f>+E93*0.5</f>
        <v>0</v>
      </c>
      <c r="J93" s="853" t="s">
        <v>1824</v>
      </c>
      <c r="K93" s="1258"/>
    </row>
    <row r="94" spans="1:11" ht="13.5" hidden="1" customHeight="1">
      <c r="A94" s="1258"/>
      <c r="B94" s="1258"/>
      <c r="C94" s="1258"/>
      <c r="D94" s="1258"/>
      <c r="E94" s="1264"/>
      <c r="F94" s="1274"/>
      <c r="G94" s="856" t="s">
        <v>1827</v>
      </c>
      <c r="H94" s="856" t="s">
        <v>527</v>
      </c>
      <c r="I94" s="853">
        <f>+E93*2</f>
        <v>0</v>
      </c>
      <c r="J94" s="853" t="s">
        <v>410</v>
      </c>
      <c r="K94" s="1258"/>
    </row>
    <row r="95" spans="1:11" ht="13.5" hidden="1" customHeight="1">
      <c r="A95" s="1258"/>
      <c r="B95" s="1258"/>
      <c r="C95" s="1258"/>
      <c r="D95" s="1258"/>
      <c r="E95" s="1267"/>
      <c r="F95" s="1274"/>
      <c r="G95" s="856" t="s">
        <v>541</v>
      </c>
      <c r="H95" s="856" t="s">
        <v>1821</v>
      </c>
      <c r="I95" s="853">
        <f>+E93*8</f>
        <v>0</v>
      </c>
      <c r="J95" s="853" t="s">
        <v>1819</v>
      </c>
      <c r="K95" s="1258"/>
    </row>
    <row r="96" spans="1:11" ht="13.5" hidden="1" customHeight="1">
      <c r="A96" s="1258">
        <v>6</v>
      </c>
      <c r="B96" s="1258" t="s">
        <v>1851</v>
      </c>
      <c r="C96" s="1258" t="s">
        <v>1851</v>
      </c>
      <c r="D96" s="1258" t="s">
        <v>1904</v>
      </c>
      <c r="E96" s="1263"/>
      <c r="F96" s="1274" t="s">
        <v>1903</v>
      </c>
      <c r="G96" s="856" t="s">
        <v>1825</v>
      </c>
      <c r="H96" s="859" t="s">
        <v>1853</v>
      </c>
      <c r="I96" s="853">
        <f>+E96*0.8</f>
        <v>0</v>
      </c>
      <c r="J96" s="853" t="s">
        <v>1824</v>
      </c>
      <c r="K96" s="1258"/>
    </row>
    <row r="97" spans="1:11" ht="13.5" hidden="1" customHeight="1">
      <c r="A97" s="1258"/>
      <c r="B97" s="1258"/>
      <c r="C97" s="1258"/>
      <c r="D97" s="1258"/>
      <c r="E97" s="1264"/>
      <c r="F97" s="1274"/>
      <c r="G97" s="856" t="s">
        <v>1827</v>
      </c>
      <c r="H97" s="856" t="s">
        <v>527</v>
      </c>
      <c r="I97" s="853">
        <f>+E96*2</f>
        <v>0</v>
      </c>
      <c r="J97" s="853" t="s">
        <v>410</v>
      </c>
      <c r="K97" s="1258"/>
    </row>
    <row r="98" spans="1:11" ht="13.5" hidden="1" customHeight="1">
      <c r="A98" s="1258"/>
      <c r="B98" s="1258"/>
      <c r="C98" s="1258"/>
      <c r="D98" s="1258"/>
      <c r="E98" s="1267"/>
      <c r="F98" s="1274"/>
      <c r="G98" s="856" t="s">
        <v>541</v>
      </c>
      <c r="H98" s="856" t="s">
        <v>1821</v>
      </c>
      <c r="I98" s="853">
        <f>+E96*8</f>
        <v>0</v>
      </c>
      <c r="J98" s="853" t="s">
        <v>1819</v>
      </c>
      <c r="K98" s="1258"/>
    </row>
    <row r="99" spans="1:11" ht="13.5" hidden="1" customHeight="1">
      <c r="A99" s="1258">
        <v>7</v>
      </c>
      <c r="B99" s="1258" t="s">
        <v>1851</v>
      </c>
      <c r="C99" s="1258" t="s">
        <v>1851</v>
      </c>
      <c r="D99" s="1258" t="s">
        <v>1902</v>
      </c>
      <c r="E99" s="1263"/>
      <c r="F99" s="1258" t="s">
        <v>1905</v>
      </c>
      <c r="G99" s="856" t="s">
        <v>1825</v>
      </c>
      <c r="H99" s="859" t="s">
        <v>1853</v>
      </c>
      <c r="I99" s="853">
        <f>+E99*0.5</f>
        <v>0</v>
      </c>
      <c r="J99" s="853" t="s">
        <v>1824</v>
      </c>
      <c r="K99" s="1258"/>
    </row>
    <row r="100" spans="1:11" ht="13.5" hidden="1" customHeight="1">
      <c r="A100" s="1258"/>
      <c r="B100" s="1258"/>
      <c r="C100" s="1258"/>
      <c r="D100" s="1258"/>
      <c r="E100" s="1264"/>
      <c r="F100" s="1258"/>
      <c r="G100" s="856" t="s">
        <v>1827</v>
      </c>
      <c r="H100" s="856" t="s">
        <v>527</v>
      </c>
      <c r="I100" s="853">
        <f>+E99*2.5</f>
        <v>0</v>
      </c>
      <c r="J100" s="853" t="s">
        <v>410</v>
      </c>
      <c r="K100" s="1258"/>
    </row>
    <row r="101" spans="1:11" ht="13.5" hidden="1" customHeight="1">
      <c r="A101" s="1258"/>
      <c r="B101" s="1258"/>
      <c r="C101" s="1258"/>
      <c r="D101" s="1258"/>
      <c r="E101" s="1267"/>
      <c r="F101" s="1258"/>
      <c r="G101" s="856" t="s">
        <v>541</v>
      </c>
      <c r="H101" s="856" t="s">
        <v>1821</v>
      </c>
      <c r="I101" s="853">
        <f>+E99*8</f>
        <v>0</v>
      </c>
      <c r="J101" s="853" t="s">
        <v>1819</v>
      </c>
      <c r="K101" s="1258"/>
    </row>
    <row r="102" spans="1:11" ht="13.5" hidden="1" customHeight="1">
      <c r="A102" s="1258">
        <v>8</v>
      </c>
      <c r="B102" s="1258" t="s">
        <v>1851</v>
      </c>
      <c r="C102" s="1258" t="s">
        <v>1851</v>
      </c>
      <c r="D102" s="1258" t="s">
        <v>1904</v>
      </c>
      <c r="E102" s="1263"/>
      <c r="F102" s="1258" t="s">
        <v>1905</v>
      </c>
      <c r="G102" s="856" t="s">
        <v>1825</v>
      </c>
      <c r="H102" s="859" t="s">
        <v>1853</v>
      </c>
      <c r="I102" s="853">
        <f>+E102*1</f>
        <v>0</v>
      </c>
      <c r="J102" s="853" t="s">
        <v>1824</v>
      </c>
      <c r="K102" s="1258"/>
    </row>
    <row r="103" spans="1:11" ht="13.5" hidden="1" customHeight="1">
      <c r="A103" s="1258"/>
      <c r="B103" s="1258"/>
      <c r="C103" s="1258"/>
      <c r="D103" s="1258"/>
      <c r="E103" s="1264"/>
      <c r="F103" s="1258"/>
      <c r="G103" s="856" t="s">
        <v>1827</v>
      </c>
      <c r="H103" s="856" t="s">
        <v>527</v>
      </c>
      <c r="I103" s="853">
        <f>+E102*2.5</f>
        <v>0</v>
      </c>
      <c r="J103" s="853" t="s">
        <v>410</v>
      </c>
      <c r="K103" s="1258"/>
    </row>
    <row r="104" spans="1:11" ht="13.5" hidden="1" customHeight="1">
      <c r="A104" s="1258"/>
      <c r="B104" s="1258"/>
      <c r="C104" s="1258"/>
      <c r="D104" s="1258"/>
      <c r="E104" s="1267"/>
      <c r="F104" s="1258"/>
      <c r="G104" s="856" t="s">
        <v>541</v>
      </c>
      <c r="H104" s="856" t="s">
        <v>1821</v>
      </c>
      <c r="I104" s="853">
        <f>+E102*8</f>
        <v>0</v>
      </c>
      <c r="J104" s="853" t="s">
        <v>1819</v>
      </c>
      <c r="K104" s="1258"/>
    </row>
    <row r="105" spans="1:11" ht="13.5" hidden="1" customHeight="1">
      <c r="A105" s="1275" t="s">
        <v>1906</v>
      </c>
      <c r="B105" s="1275"/>
      <c r="C105" s="1275"/>
      <c r="D105" s="1275"/>
      <c r="E105" s="1275"/>
      <c r="F105" s="1275"/>
      <c r="G105" s="1275"/>
      <c r="H105" s="1275"/>
      <c r="I105" s="1275"/>
      <c r="J105" s="1275"/>
      <c r="K105" s="1275"/>
    </row>
    <row r="106" spans="1:11" ht="13.5" hidden="1" customHeight="1">
      <c r="A106" s="853" t="s">
        <v>608</v>
      </c>
      <c r="B106" s="853" t="s">
        <v>1857</v>
      </c>
      <c r="C106" s="853" t="s">
        <v>1858</v>
      </c>
      <c r="D106" s="853" t="s">
        <v>1860</v>
      </c>
      <c r="E106" s="854"/>
      <c r="F106" s="853" t="s">
        <v>1859</v>
      </c>
      <c r="G106" s="853" t="s">
        <v>1815</v>
      </c>
      <c r="H106" s="853" t="s">
        <v>1816</v>
      </c>
      <c r="I106" s="853" t="s">
        <v>592</v>
      </c>
      <c r="J106" s="853" t="s">
        <v>591</v>
      </c>
      <c r="K106" s="853" t="s">
        <v>590</v>
      </c>
    </row>
    <row r="107" spans="1:11" ht="13.5" hidden="1" customHeight="1">
      <c r="A107" s="1258">
        <v>1</v>
      </c>
      <c r="B107" s="1258" t="s">
        <v>1907</v>
      </c>
      <c r="C107" s="1258" t="s">
        <v>1908</v>
      </c>
      <c r="D107" s="1258" t="s">
        <v>1909</v>
      </c>
      <c r="E107" s="1263"/>
      <c r="F107" s="1258" t="s">
        <v>1910</v>
      </c>
      <c r="G107" s="856" t="s">
        <v>1825</v>
      </c>
      <c r="H107" s="859" t="s">
        <v>1853</v>
      </c>
      <c r="I107" s="853">
        <f>+E107*0.7</f>
        <v>0</v>
      </c>
      <c r="J107" s="853" t="s">
        <v>1824</v>
      </c>
      <c r="K107" s="1258" t="s">
        <v>1911</v>
      </c>
    </row>
    <row r="108" spans="1:11" ht="13.5" hidden="1" customHeight="1">
      <c r="A108" s="1258"/>
      <c r="B108" s="1258"/>
      <c r="C108" s="1258"/>
      <c r="D108" s="1258"/>
      <c r="E108" s="1264"/>
      <c r="F108" s="1258"/>
      <c r="G108" s="856" t="s">
        <v>1912</v>
      </c>
      <c r="H108" s="859"/>
      <c r="I108" s="853">
        <f>E107*1</f>
        <v>0</v>
      </c>
      <c r="J108" s="853" t="s">
        <v>1824</v>
      </c>
      <c r="K108" s="1258"/>
    </row>
    <row r="109" spans="1:11" ht="13.5" hidden="1" customHeight="1">
      <c r="A109" s="1258"/>
      <c r="B109" s="1258"/>
      <c r="C109" s="1258"/>
      <c r="D109" s="1258"/>
      <c r="E109" s="1267"/>
      <c r="F109" s="1258"/>
      <c r="G109" s="856" t="s">
        <v>1827</v>
      </c>
      <c r="H109" s="856" t="s">
        <v>527</v>
      </c>
      <c r="I109" s="853">
        <f>+E107*2</f>
        <v>0</v>
      </c>
      <c r="J109" s="853" t="s">
        <v>1887</v>
      </c>
      <c r="K109" s="1258"/>
    </row>
    <row r="110" spans="1:11" ht="13.5" hidden="1" customHeight="1">
      <c r="A110" s="1258">
        <v>2</v>
      </c>
      <c r="B110" s="1258" t="s">
        <v>1907</v>
      </c>
      <c r="C110" s="1258" t="s">
        <v>1913</v>
      </c>
      <c r="D110" s="1258" t="s">
        <v>1909</v>
      </c>
      <c r="E110" s="1263"/>
      <c r="F110" s="1258" t="s">
        <v>1914</v>
      </c>
      <c r="G110" s="856" t="s">
        <v>1825</v>
      </c>
      <c r="H110" s="859" t="s">
        <v>1853</v>
      </c>
      <c r="I110" s="853">
        <f>+E110*1</f>
        <v>0</v>
      </c>
      <c r="J110" s="853" t="s">
        <v>1824</v>
      </c>
      <c r="K110" s="1258"/>
    </row>
    <row r="111" spans="1:11" ht="13.5" hidden="1" customHeight="1">
      <c r="A111" s="1258"/>
      <c r="B111" s="1258"/>
      <c r="C111" s="1258"/>
      <c r="D111" s="1258"/>
      <c r="E111" s="1264"/>
      <c r="F111" s="1258"/>
      <c r="G111" s="856" t="s">
        <v>1915</v>
      </c>
      <c r="H111" s="859"/>
      <c r="I111" s="853">
        <f>E110*1</f>
        <v>0</v>
      </c>
      <c r="J111" s="853" t="s">
        <v>1824</v>
      </c>
      <c r="K111" s="1258"/>
    </row>
    <row r="112" spans="1:11" ht="13.5" hidden="1" customHeight="1">
      <c r="A112" s="1258"/>
      <c r="B112" s="1258"/>
      <c r="C112" s="1258"/>
      <c r="D112" s="1258"/>
      <c r="E112" s="1267"/>
      <c r="F112" s="1258"/>
      <c r="G112" s="856" t="s">
        <v>1827</v>
      </c>
      <c r="H112" s="856" t="s">
        <v>527</v>
      </c>
      <c r="I112" s="853">
        <f>+E110*2.5</f>
        <v>0</v>
      </c>
      <c r="J112" s="853" t="s">
        <v>1887</v>
      </c>
      <c r="K112" s="1258"/>
    </row>
    <row r="113" spans="1:11" ht="13.5" customHeight="1">
      <c r="A113" s="1273" t="s">
        <v>1916</v>
      </c>
      <c r="B113" s="1273"/>
      <c r="C113" s="1273"/>
      <c r="D113" s="1273"/>
      <c r="E113" s="1273"/>
      <c r="F113" s="1273"/>
      <c r="G113" s="1273"/>
      <c r="H113" s="1273"/>
      <c r="I113" s="1273"/>
      <c r="J113" s="1273"/>
      <c r="K113" s="1273"/>
    </row>
    <row r="114" spans="1:11" ht="13.5" customHeight="1">
      <c r="A114" s="1275" t="s">
        <v>1917</v>
      </c>
      <c r="B114" s="1275"/>
      <c r="C114" s="1275"/>
      <c r="D114" s="1275"/>
      <c r="E114" s="1275"/>
      <c r="F114" s="1275"/>
      <c r="G114" s="1275"/>
      <c r="H114" s="1275"/>
      <c r="I114" s="1275"/>
      <c r="J114" s="1275"/>
      <c r="K114" s="1275"/>
    </row>
    <row r="115" spans="1:11" ht="13.5" customHeight="1">
      <c r="A115" s="853" t="s">
        <v>1856</v>
      </c>
      <c r="B115" s="853" t="s">
        <v>1857</v>
      </c>
      <c r="C115" s="853" t="s">
        <v>1858</v>
      </c>
      <c r="D115" s="853" t="s">
        <v>1918</v>
      </c>
      <c r="E115" s="854"/>
      <c r="F115" s="853" t="s">
        <v>1919</v>
      </c>
      <c r="G115" s="853" t="s">
        <v>1815</v>
      </c>
      <c r="H115" s="853" t="s">
        <v>1816</v>
      </c>
      <c r="I115" s="853" t="s">
        <v>1860</v>
      </c>
      <c r="J115" s="853" t="s">
        <v>1861</v>
      </c>
      <c r="K115" s="853" t="s">
        <v>1862</v>
      </c>
    </row>
    <row r="116" spans="1:11" ht="13.5" customHeight="1">
      <c r="A116" s="1258" t="s">
        <v>1920</v>
      </c>
      <c r="B116" s="1258" t="s">
        <v>1921</v>
      </c>
      <c r="C116" s="1258" t="s">
        <v>1922</v>
      </c>
      <c r="D116" s="1258" t="s">
        <v>1923</v>
      </c>
      <c r="E116" s="1263">
        <v>1</v>
      </c>
      <c r="F116" s="1274" t="s">
        <v>1924</v>
      </c>
      <c r="G116" s="856" t="s">
        <v>1925</v>
      </c>
      <c r="H116" s="856" t="s">
        <v>618</v>
      </c>
      <c r="I116" s="853">
        <f>+E116*1</f>
        <v>1</v>
      </c>
      <c r="J116" s="853" t="s">
        <v>1819</v>
      </c>
      <c r="K116" s="1274" t="s">
        <v>1926</v>
      </c>
    </row>
    <row r="117" spans="1:11" ht="13.5" customHeight="1">
      <c r="A117" s="1258"/>
      <c r="B117" s="1258"/>
      <c r="C117" s="1258"/>
      <c r="D117" s="1258"/>
      <c r="E117" s="1264"/>
      <c r="F117" s="1274"/>
      <c r="G117" s="856" t="s">
        <v>1827</v>
      </c>
      <c r="H117" s="856" t="s">
        <v>527</v>
      </c>
      <c r="I117" s="853">
        <f>+E116*2.6</f>
        <v>2.6</v>
      </c>
      <c r="J117" s="853" t="s">
        <v>410</v>
      </c>
      <c r="K117" s="1274"/>
    </row>
    <row r="118" spans="1:11" ht="13.5" customHeight="1">
      <c r="A118" s="1258"/>
      <c r="B118" s="1258"/>
      <c r="C118" s="1258"/>
      <c r="D118" s="1258"/>
      <c r="E118" s="1264"/>
      <c r="F118" s="1274"/>
      <c r="G118" s="856" t="s">
        <v>1927</v>
      </c>
      <c r="H118" s="856"/>
      <c r="I118" s="1258" t="s">
        <v>1869</v>
      </c>
      <c r="J118" s="1258"/>
      <c r="K118" s="1274"/>
    </row>
    <row r="119" spans="1:11" ht="13.5" customHeight="1">
      <c r="A119" s="1258"/>
      <c r="B119" s="1258"/>
      <c r="C119" s="1258"/>
      <c r="D119" s="1258"/>
      <c r="E119" s="1267"/>
      <c r="F119" s="1274"/>
      <c r="G119" s="856" t="s">
        <v>541</v>
      </c>
      <c r="H119" s="856" t="s">
        <v>1821</v>
      </c>
      <c r="I119" s="853">
        <f>+E116*8</f>
        <v>8</v>
      </c>
      <c r="J119" s="853" t="s">
        <v>1819</v>
      </c>
      <c r="K119" s="1274"/>
    </row>
    <row r="120" spans="1:11" ht="13.5" hidden="1" customHeight="1">
      <c r="A120" s="1258" t="s">
        <v>631</v>
      </c>
      <c r="B120" s="1258" t="s">
        <v>1928</v>
      </c>
      <c r="C120" s="1258" t="s">
        <v>1922</v>
      </c>
      <c r="D120" s="1258" t="s">
        <v>1923</v>
      </c>
      <c r="E120" s="1263"/>
      <c r="F120" s="1274"/>
      <c r="G120" s="856" t="s">
        <v>1929</v>
      </c>
      <c r="H120" s="856" t="s">
        <v>627</v>
      </c>
      <c r="I120" s="853">
        <f>+E120*1</f>
        <v>0</v>
      </c>
      <c r="J120" s="853" t="s">
        <v>1819</v>
      </c>
      <c r="K120" s="1274"/>
    </row>
    <row r="121" spans="1:11" ht="13.5" hidden="1" customHeight="1">
      <c r="A121" s="1258"/>
      <c r="B121" s="1258"/>
      <c r="C121" s="1258"/>
      <c r="D121" s="1258"/>
      <c r="E121" s="1264"/>
      <c r="F121" s="1274"/>
      <c r="G121" s="856" t="s">
        <v>1827</v>
      </c>
      <c r="H121" s="856" t="s">
        <v>527</v>
      </c>
      <c r="I121" s="853">
        <f>+E120*3.4</f>
        <v>0</v>
      </c>
      <c r="J121" s="853" t="s">
        <v>410</v>
      </c>
      <c r="K121" s="1274"/>
    </row>
    <row r="122" spans="1:11" ht="13.5" hidden="1" customHeight="1">
      <c r="A122" s="1258"/>
      <c r="B122" s="1258"/>
      <c r="C122" s="1258"/>
      <c r="D122" s="1258"/>
      <c r="E122" s="1264"/>
      <c r="F122" s="1274"/>
      <c r="G122" s="856" t="s">
        <v>1927</v>
      </c>
      <c r="H122" s="856"/>
      <c r="I122" s="1258" t="s">
        <v>1869</v>
      </c>
      <c r="J122" s="1258"/>
      <c r="K122" s="1274"/>
    </row>
    <row r="123" spans="1:11" ht="13.5" hidden="1" customHeight="1">
      <c r="A123" s="1258"/>
      <c r="B123" s="1258"/>
      <c r="C123" s="1258"/>
      <c r="D123" s="1258"/>
      <c r="E123" s="1267"/>
      <c r="F123" s="1274"/>
      <c r="G123" s="856" t="s">
        <v>541</v>
      </c>
      <c r="H123" s="856" t="s">
        <v>1821</v>
      </c>
      <c r="I123" s="853">
        <f>+E120*8</f>
        <v>0</v>
      </c>
      <c r="J123" s="853" t="s">
        <v>1819</v>
      </c>
      <c r="K123" s="1274"/>
    </row>
    <row r="124" spans="1:11" ht="13.5" hidden="1" customHeight="1">
      <c r="A124" s="1275" t="s">
        <v>1930</v>
      </c>
      <c r="B124" s="1275"/>
      <c r="C124" s="1275"/>
      <c r="D124" s="1275"/>
      <c r="E124" s="1275"/>
      <c r="F124" s="1275"/>
      <c r="G124" s="1275"/>
      <c r="H124" s="1275"/>
      <c r="I124" s="1275"/>
      <c r="J124" s="1275"/>
      <c r="K124" s="1275"/>
    </row>
    <row r="125" spans="1:11" ht="13.5" hidden="1" customHeight="1">
      <c r="A125" s="853" t="s">
        <v>608</v>
      </c>
      <c r="B125" s="853" t="s">
        <v>1857</v>
      </c>
      <c r="C125" s="853" t="s">
        <v>1858</v>
      </c>
      <c r="D125" s="853" t="s">
        <v>1918</v>
      </c>
      <c r="E125" s="854"/>
      <c r="F125" s="853" t="s">
        <v>1859</v>
      </c>
      <c r="G125" s="853" t="s">
        <v>1815</v>
      </c>
      <c r="H125" s="853" t="s">
        <v>1816</v>
      </c>
      <c r="I125" s="853" t="s">
        <v>592</v>
      </c>
      <c r="J125" s="853" t="s">
        <v>591</v>
      </c>
      <c r="K125" s="853" t="s">
        <v>1862</v>
      </c>
    </row>
    <row r="126" spans="1:11" ht="13.5" hidden="1" customHeight="1">
      <c r="A126" s="1258">
        <v>1</v>
      </c>
      <c r="B126" s="1258" t="s">
        <v>1931</v>
      </c>
      <c r="C126" s="1258" t="s">
        <v>1908</v>
      </c>
      <c r="D126" s="1258" t="s">
        <v>1923</v>
      </c>
      <c r="E126" s="1263"/>
      <c r="F126" s="1274" t="s">
        <v>1932</v>
      </c>
      <c r="G126" s="856" t="s">
        <v>1825</v>
      </c>
      <c r="H126" s="856" t="s">
        <v>618</v>
      </c>
      <c r="I126" s="853">
        <f>+E126*0.4</f>
        <v>0</v>
      </c>
      <c r="J126" s="853" t="s">
        <v>1824</v>
      </c>
      <c r="K126" s="1274"/>
    </row>
    <row r="127" spans="1:11" ht="13.5" hidden="1" customHeight="1">
      <c r="A127" s="1258"/>
      <c r="B127" s="1258"/>
      <c r="C127" s="1258"/>
      <c r="D127" s="1258"/>
      <c r="E127" s="1264"/>
      <c r="F127" s="1274"/>
      <c r="G127" s="856" t="s">
        <v>1827</v>
      </c>
      <c r="H127" s="856" t="s">
        <v>527</v>
      </c>
      <c r="I127" s="853">
        <f>+E126*3.5</f>
        <v>0</v>
      </c>
      <c r="J127" s="853" t="s">
        <v>410</v>
      </c>
      <c r="K127" s="1274"/>
    </row>
    <row r="128" spans="1:11" ht="13.5" hidden="1" customHeight="1">
      <c r="A128" s="1258"/>
      <c r="B128" s="1258"/>
      <c r="C128" s="1258"/>
      <c r="D128" s="1258"/>
      <c r="E128" s="1264"/>
      <c r="F128" s="1274"/>
      <c r="G128" s="856" t="s">
        <v>1927</v>
      </c>
      <c r="H128" s="856"/>
      <c r="I128" s="1258" t="s">
        <v>1869</v>
      </c>
      <c r="J128" s="1258"/>
      <c r="K128" s="1274"/>
    </row>
    <row r="129" spans="1:11" ht="13.5" hidden="1" customHeight="1">
      <c r="A129" s="1258"/>
      <c r="B129" s="1258"/>
      <c r="C129" s="1258"/>
      <c r="D129" s="1258"/>
      <c r="E129" s="1267"/>
      <c r="F129" s="1274"/>
      <c r="G129" s="856" t="s">
        <v>541</v>
      </c>
      <c r="H129" s="856" t="s">
        <v>1821</v>
      </c>
      <c r="I129" s="853">
        <f>+E126*8</f>
        <v>0</v>
      </c>
      <c r="J129" s="853" t="s">
        <v>1819</v>
      </c>
      <c r="K129" s="1274"/>
    </row>
    <row r="130" spans="1:11" ht="13.5" hidden="1" customHeight="1">
      <c r="A130" s="1258">
        <v>2</v>
      </c>
      <c r="B130" s="1258" t="s">
        <v>1931</v>
      </c>
      <c r="C130" s="1258" t="s">
        <v>1913</v>
      </c>
      <c r="D130" s="1258" t="s">
        <v>1923</v>
      </c>
      <c r="E130" s="1263"/>
      <c r="F130" s="1274"/>
      <c r="G130" s="856" t="s">
        <v>1825</v>
      </c>
      <c r="H130" s="856" t="s">
        <v>618</v>
      </c>
      <c r="I130" s="853">
        <f>+E130*0.7</f>
        <v>0</v>
      </c>
      <c r="J130" s="853" t="s">
        <v>1824</v>
      </c>
      <c r="K130" s="1274"/>
    </row>
    <row r="131" spans="1:11" ht="13.5" hidden="1" customHeight="1">
      <c r="A131" s="1258"/>
      <c r="B131" s="1258"/>
      <c r="C131" s="1258"/>
      <c r="D131" s="1258"/>
      <c r="E131" s="1264"/>
      <c r="F131" s="1274"/>
      <c r="G131" s="856" t="s">
        <v>1927</v>
      </c>
      <c r="H131" s="856"/>
      <c r="I131" s="1258" t="s">
        <v>1869</v>
      </c>
      <c r="J131" s="1258"/>
      <c r="K131" s="1274"/>
    </row>
    <row r="132" spans="1:11" ht="13.5" hidden="1" customHeight="1">
      <c r="A132" s="1258"/>
      <c r="B132" s="1258"/>
      <c r="C132" s="1258"/>
      <c r="D132" s="1258"/>
      <c r="E132" s="1264"/>
      <c r="F132" s="1274"/>
      <c r="G132" s="856" t="s">
        <v>1827</v>
      </c>
      <c r="H132" s="856" t="s">
        <v>527</v>
      </c>
      <c r="I132" s="853">
        <f>+E130*5</f>
        <v>0</v>
      </c>
      <c r="J132" s="853" t="s">
        <v>410</v>
      </c>
      <c r="K132" s="1274"/>
    </row>
    <row r="133" spans="1:11" ht="13.5" hidden="1" customHeight="1">
      <c r="A133" s="1258"/>
      <c r="B133" s="1258"/>
      <c r="C133" s="1258"/>
      <c r="D133" s="1258"/>
      <c r="E133" s="1267"/>
      <c r="F133" s="1274"/>
      <c r="G133" s="856" t="s">
        <v>541</v>
      </c>
      <c r="H133" s="856" t="s">
        <v>1821</v>
      </c>
      <c r="I133" s="853">
        <f>+E130*8</f>
        <v>0</v>
      </c>
      <c r="J133" s="853" t="s">
        <v>1819</v>
      </c>
      <c r="K133" s="1274"/>
    </row>
    <row r="134" spans="1:11" ht="13.5" customHeight="1">
      <c r="A134" s="1273" t="s">
        <v>1933</v>
      </c>
      <c r="B134" s="1273"/>
      <c r="C134" s="1273"/>
      <c r="D134" s="1273"/>
      <c r="E134" s="1273"/>
      <c r="F134" s="1273"/>
      <c r="G134" s="1273"/>
      <c r="H134" s="1273"/>
      <c r="I134" s="1273"/>
      <c r="J134" s="1273"/>
      <c r="K134" s="1273"/>
    </row>
    <row r="135" spans="1:11" ht="13.5" customHeight="1">
      <c r="A135" s="853" t="s">
        <v>1934</v>
      </c>
      <c r="B135" s="853" t="s">
        <v>1857</v>
      </c>
      <c r="C135" s="853" t="s">
        <v>1858</v>
      </c>
      <c r="D135" s="853" t="s">
        <v>1813</v>
      </c>
      <c r="E135" s="854"/>
      <c r="F135" s="853" t="s">
        <v>1860</v>
      </c>
      <c r="G135" s="853" t="s">
        <v>1815</v>
      </c>
      <c r="H135" s="853" t="s">
        <v>1816</v>
      </c>
      <c r="I135" s="853" t="s">
        <v>592</v>
      </c>
      <c r="J135" s="853" t="s">
        <v>591</v>
      </c>
      <c r="K135" s="853" t="s">
        <v>590</v>
      </c>
    </row>
    <row r="136" spans="1:11" s="867" customFormat="1" ht="13.5" hidden="1" customHeight="1">
      <c r="A136" s="1269" t="s">
        <v>1935</v>
      </c>
      <c r="B136" s="1269">
        <v>50</v>
      </c>
      <c r="C136" s="1269" t="s">
        <v>1936</v>
      </c>
      <c r="D136" s="1269" t="s">
        <v>1937</v>
      </c>
      <c r="E136" s="1270"/>
      <c r="F136" s="1269" t="s">
        <v>1938</v>
      </c>
      <c r="G136" s="864" t="s">
        <v>1939</v>
      </c>
      <c r="H136" s="865" t="s">
        <v>532</v>
      </c>
      <c r="I136" s="866">
        <f>+E136*0.7</f>
        <v>0</v>
      </c>
      <c r="J136" s="866" t="s">
        <v>431</v>
      </c>
      <c r="K136" s="1269"/>
    </row>
    <row r="137" spans="1:11" s="867" customFormat="1" ht="13.5" hidden="1" customHeight="1">
      <c r="A137" s="1269"/>
      <c r="B137" s="1269"/>
      <c r="C137" s="1269"/>
      <c r="D137" s="1269"/>
      <c r="E137" s="1271"/>
      <c r="F137" s="1269"/>
      <c r="G137" s="856" t="s">
        <v>1940</v>
      </c>
      <c r="H137" s="856" t="s">
        <v>1821</v>
      </c>
      <c r="I137" s="853">
        <f>+E136*4</f>
        <v>0</v>
      </c>
      <c r="J137" s="853" t="s">
        <v>1819</v>
      </c>
      <c r="K137" s="1269"/>
    </row>
    <row r="138" spans="1:11" s="867" customFormat="1" ht="13.5" hidden="1" customHeight="1">
      <c r="A138" s="1269"/>
      <c r="B138" s="1269"/>
      <c r="C138" s="1269"/>
      <c r="D138" s="1269"/>
      <c r="E138" s="1272"/>
      <c r="F138" s="1269"/>
      <c r="G138" s="864" t="s">
        <v>1827</v>
      </c>
      <c r="H138" s="864" t="s">
        <v>527</v>
      </c>
      <c r="I138" s="866">
        <f>+E136*1</f>
        <v>0</v>
      </c>
      <c r="J138" s="866" t="s">
        <v>1887</v>
      </c>
      <c r="K138" s="1269"/>
    </row>
    <row r="139" spans="1:11" s="867" customFormat="1" ht="13.5" hidden="1" customHeight="1">
      <c r="A139" s="1269" t="s">
        <v>1935</v>
      </c>
      <c r="B139" s="1269">
        <v>50</v>
      </c>
      <c r="C139" s="1269" t="s">
        <v>1936</v>
      </c>
      <c r="D139" s="1269" t="s">
        <v>1941</v>
      </c>
      <c r="E139" s="1270"/>
      <c r="F139" s="1269" t="s">
        <v>1938</v>
      </c>
      <c r="G139" s="864" t="s">
        <v>1942</v>
      </c>
      <c r="H139" s="865" t="s">
        <v>532</v>
      </c>
      <c r="I139" s="866">
        <f>+E139*0.7</f>
        <v>0</v>
      </c>
      <c r="J139" s="866" t="s">
        <v>431</v>
      </c>
      <c r="K139" s="1269"/>
    </row>
    <row r="140" spans="1:11" s="867" customFormat="1" ht="13.5" hidden="1" customHeight="1">
      <c r="A140" s="1269"/>
      <c r="B140" s="1269"/>
      <c r="C140" s="1269"/>
      <c r="D140" s="1269"/>
      <c r="E140" s="1271"/>
      <c r="F140" s="1269"/>
      <c r="G140" s="856" t="s">
        <v>1940</v>
      </c>
      <c r="H140" s="856" t="s">
        <v>1821</v>
      </c>
      <c r="I140" s="853">
        <f>+E139*4</f>
        <v>0</v>
      </c>
      <c r="J140" s="853" t="s">
        <v>1819</v>
      </c>
      <c r="K140" s="1269"/>
    </row>
    <row r="141" spans="1:11" s="867" customFormat="1" ht="13.5" hidden="1" customHeight="1">
      <c r="A141" s="1269"/>
      <c r="B141" s="1269"/>
      <c r="C141" s="1269"/>
      <c r="D141" s="1269"/>
      <c r="E141" s="1272"/>
      <c r="F141" s="1269"/>
      <c r="G141" s="864" t="s">
        <v>1827</v>
      </c>
      <c r="H141" s="864" t="s">
        <v>527</v>
      </c>
      <c r="I141" s="866">
        <f>+E139*2</f>
        <v>0</v>
      </c>
      <c r="J141" s="866" t="s">
        <v>1887</v>
      </c>
      <c r="K141" s="1269"/>
    </row>
    <row r="142" spans="1:11" s="867" customFormat="1" ht="13.5" hidden="1" customHeight="1">
      <c r="A142" s="1269" t="s">
        <v>1935</v>
      </c>
      <c r="B142" s="1269">
        <v>50</v>
      </c>
      <c r="C142" s="1269" t="s">
        <v>1943</v>
      </c>
      <c r="D142" s="1269" t="s">
        <v>1899</v>
      </c>
      <c r="E142" s="1270"/>
      <c r="F142" s="1269" t="s">
        <v>1938</v>
      </c>
      <c r="G142" s="864" t="s">
        <v>1942</v>
      </c>
      <c r="H142" s="865" t="s">
        <v>532</v>
      </c>
      <c r="I142" s="866">
        <f>+E142*2</f>
        <v>0</v>
      </c>
      <c r="J142" s="866" t="s">
        <v>431</v>
      </c>
      <c r="K142" s="1269"/>
    </row>
    <row r="143" spans="1:11" s="867" customFormat="1" ht="13.5" hidden="1" customHeight="1">
      <c r="A143" s="1269"/>
      <c r="B143" s="1269"/>
      <c r="C143" s="1269"/>
      <c r="D143" s="1269"/>
      <c r="E143" s="1271"/>
      <c r="F143" s="1269"/>
      <c r="G143" s="856" t="s">
        <v>1940</v>
      </c>
      <c r="H143" s="856" t="s">
        <v>1821</v>
      </c>
      <c r="I143" s="853">
        <f>+E142*4</f>
        <v>0</v>
      </c>
      <c r="J143" s="853" t="s">
        <v>1819</v>
      </c>
      <c r="K143" s="1269"/>
    </row>
    <row r="144" spans="1:11" s="867" customFormat="1" ht="13.5" hidden="1" customHeight="1">
      <c r="A144" s="1269"/>
      <c r="B144" s="1269"/>
      <c r="C144" s="1269"/>
      <c r="D144" s="1269"/>
      <c r="E144" s="1272"/>
      <c r="F144" s="1269"/>
      <c r="G144" s="864" t="s">
        <v>1827</v>
      </c>
      <c r="H144" s="864" t="s">
        <v>527</v>
      </c>
      <c r="I144" s="866">
        <f>+E142*2.5</f>
        <v>0</v>
      </c>
      <c r="J144" s="866" t="s">
        <v>1887</v>
      </c>
      <c r="K144" s="1269"/>
    </row>
    <row r="145" spans="1:11" s="867" customFormat="1" ht="13.5" hidden="1" customHeight="1">
      <c r="A145" s="1269" t="s">
        <v>1935</v>
      </c>
      <c r="B145" s="1269">
        <v>75</v>
      </c>
      <c r="C145" s="1269" t="s">
        <v>1936</v>
      </c>
      <c r="D145" s="1269" t="s">
        <v>1944</v>
      </c>
      <c r="E145" s="1270"/>
      <c r="F145" s="1269" t="s">
        <v>1945</v>
      </c>
      <c r="G145" s="864" t="s">
        <v>1825</v>
      </c>
      <c r="H145" s="865" t="s">
        <v>532</v>
      </c>
      <c r="I145" s="866">
        <f>+E145*0.5</f>
        <v>0</v>
      </c>
      <c r="J145" s="866" t="s">
        <v>431</v>
      </c>
      <c r="K145" s="1269"/>
    </row>
    <row r="146" spans="1:11" s="867" customFormat="1" ht="13.5" hidden="1" customHeight="1">
      <c r="A146" s="1269"/>
      <c r="B146" s="1269"/>
      <c r="C146" s="1269"/>
      <c r="D146" s="1269"/>
      <c r="E146" s="1271"/>
      <c r="F146" s="1269"/>
      <c r="G146" s="856" t="s">
        <v>541</v>
      </c>
      <c r="H146" s="856" t="s">
        <v>1821</v>
      </c>
      <c r="I146" s="853">
        <f>+E145*8</f>
        <v>0</v>
      </c>
      <c r="J146" s="853" t="s">
        <v>1819</v>
      </c>
      <c r="K146" s="1269"/>
    </row>
    <row r="147" spans="1:11" s="867" customFormat="1" ht="13.5" hidden="1" customHeight="1">
      <c r="A147" s="1269"/>
      <c r="B147" s="1269"/>
      <c r="C147" s="1269"/>
      <c r="D147" s="1269"/>
      <c r="E147" s="1272"/>
      <c r="F147" s="1269"/>
      <c r="G147" s="864" t="s">
        <v>1827</v>
      </c>
      <c r="H147" s="864" t="s">
        <v>527</v>
      </c>
      <c r="I147" s="866">
        <f>+E145*1.5</f>
        <v>0</v>
      </c>
      <c r="J147" s="866" t="s">
        <v>1887</v>
      </c>
      <c r="K147" s="1269"/>
    </row>
    <row r="148" spans="1:11" s="867" customFormat="1" ht="13.5" hidden="1" customHeight="1">
      <c r="A148" s="1269" t="s">
        <v>1935</v>
      </c>
      <c r="B148" s="1269">
        <v>75</v>
      </c>
      <c r="C148" s="1269" t="s">
        <v>1936</v>
      </c>
      <c r="D148" s="1269" t="s">
        <v>1941</v>
      </c>
      <c r="E148" s="1270"/>
      <c r="F148" s="1269" t="s">
        <v>1945</v>
      </c>
      <c r="G148" s="864" t="s">
        <v>1825</v>
      </c>
      <c r="H148" s="865" t="s">
        <v>532</v>
      </c>
      <c r="I148" s="866">
        <f>+E148*0.5</f>
        <v>0</v>
      </c>
      <c r="J148" s="866" t="s">
        <v>431</v>
      </c>
      <c r="K148" s="1269"/>
    </row>
    <row r="149" spans="1:11" s="867" customFormat="1" ht="13.5" hidden="1" customHeight="1">
      <c r="A149" s="1269"/>
      <c r="B149" s="1269"/>
      <c r="C149" s="1269"/>
      <c r="D149" s="1269"/>
      <c r="E149" s="1271"/>
      <c r="F149" s="1269"/>
      <c r="G149" s="856" t="s">
        <v>541</v>
      </c>
      <c r="H149" s="856" t="s">
        <v>1821</v>
      </c>
      <c r="I149" s="853">
        <f>+E148*8</f>
        <v>0</v>
      </c>
      <c r="J149" s="853" t="s">
        <v>1819</v>
      </c>
      <c r="K149" s="1269"/>
    </row>
    <row r="150" spans="1:11" s="867" customFormat="1" ht="13.5" hidden="1" customHeight="1">
      <c r="A150" s="1269"/>
      <c r="B150" s="1269"/>
      <c r="C150" s="1269"/>
      <c r="D150" s="1269"/>
      <c r="E150" s="1272"/>
      <c r="F150" s="1269"/>
      <c r="G150" s="864" t="s">
        <v>1827</v>
      </c>
      <c r="H150" s="864" t="s">
        <v>527</v>
      </c>
      <c r="I150" s="866">
        <f>+E148*2</f>
        <v>0</v>
      </c>
      <c r="J150" s="866" t="s">
        <v>1887</v>
      </c>
      <c r="K150" s="1269"/>
    </row>
    <row r="151" spans="1:11" s="867" customFormat="1" ht="13.5" hidden="1" customHeight="1">
      <c r="A151" s="1269" t="s">
        <v>1935</v>
      </c>
      <c r="B151" s="1269">
        <v>75</v>
      </c>
      <c r="C151" s="1269" t="s">
        <v>1943</v>
      </c>
      <c r="D151" s="1269" t="s">
        <v>1899</v>
      </c>
      <c r="E151" s="1270"/>
      <c r="F151" s="1269" t="s">
        <v>1938</v>
      </c>
      <c r="G151" s="864" t="s">
        <v>1825</v>
      </c>
      <c r="H151" s="865" t="s">
        <v>532</v>
      </c>
      <c r="I151" s="866">
        <f>+E151*2</f>
        <v>0</v>
      </c>
      <c r="J151" s="866" t="s">
        <v>431</v>
      </c>
      <c r="K151" s="1269"/>
    </row>
    <row r="152" spans="1:11" s="867" customFormat="1" ht="13.5" hidden="1" customHeight="1">
      <c r="A152" s="1269"/>
      <c r="B152" s="1269"/>
      <c r="C152" s="1269"/>
      <c r="D152" s="1269"/>
      <c r="E152" s="1271"/>
      <c r="F152" s="1269"/>
      <c r="G152" s="856" t="s">
        <v>541</v>
      </c>
      <c r="H152" s="856" t="s">
        <v>1821</v>
      </c>
      <c r="I152" s="853">
        <f>+E151*8</f>
        <v>0</v>
      </c>
      <c r="J152" s="853" t="s">
        <v>1819</v>
      </c>
      <c r="K152" s="1269"/>
    </row>
    <row r="153" spans="1:11" s="867" customFormat="1" ht="13.5" hidden="1" customHeight="1">
      <c r="A153" s="1269"/>
      <c r="B153" s="1269"/>
      <c r="C153" s="1269"/>
      <c r="D153" s="1269"/>
      <c r="E153" s="1272"/>
      <c r="F153" s="1269"/>
      <c r="G153" s="864" t="s">
        <v>1827</v>
      </c>
      <c r="H153" s="864" t="s">
        <v>527</v>
      </c>
      <c r="I153" s="866">
        <f>+E151*2.5</f>
        <v>0</v>
      </c>
      <c r="J153" s="866" t="s">
        <v>1887</v>
      </c>
      <c r="K153" s="1269"/>
    </row>
    <row r="154" spans="1:11" s="867" customFormat="1" ht="13.5" hidden="1" customHeight="1">
      <c r="A154" s="1269" t="s">
        <v>1935</v>
      </c>
      <c r="B154" s="1269">
        <v>150</v>
      </c>
      <c r="C154" s="1269" t="s">
        <v>1936</v>
      </c>
      <c r="D154" s="1269" t="s">
        <v>1944</v>
      </c>
      <c r="E154" s="1270"/>
      <c r="F154" s="1269" t="s">
        <v>1938</v>
      </c>
      <c r="G154" s="864" t="s">
        <v>1825</v>
      </c>
      <c r="H154" s="865" t="s">
        <v>532</v>
      </c>
      <c r="I154" s="866">
        <f>+E154*0.5</f>
        <v>0</v>
      </c>
      <c r="J154" s="866" t="s">
        <v>431</v>
      </c>
      <c r="K154" s="1269"/>
    </row>
    <row r="155" spans="1:11" s="867" customFormat="1" ht="13.5" hidden="1" customHeight="1">
      <c r="A155" s="1269"/>
      <c r="B155" s="1269"/>
      <c r="C155" s="1269"/>
      <c r="D155" s="1269"/>
      <c r="E155" s="1271"/>
      <c r="F155" s="1269"/>
      <c r="G155" s="856" t="s">
        <v>541</v>
      </c>
      <c r="H155" s="856" t="s">
        <v>1821</v>
      </c>
      <c r="I155" s="853">
        <f>+E154*8</f>
        <v>0</v>
      </c>
      <c r="J155" s="853" t="s">
        <v>1819</v>
      </c>
      <c r="K155" s="1269"/>
    </row>
    <row r="156" spans="1:11" s="867" customFormat="1" ht="13.5" hidden="1" customHeight="1">
      <c r="A156" s="1269"/>
      <c r="B156" s="1269"/>
      <c r="C156" s="1269"/>
      <c r="D156" s="1269"/>
      <c r="E156" s="1272"/>
      <c r="F156" s="1269"/>
      <c r="G156" s="864" t="s">
        <v>1827</v>
      </c>
      <c r="H156" s="864" t="s">
        <v>527</v>
      </c>
      <c r="I156" s="866">
        <f>+E154*1</f>
        <v>0</v>
      </c>
      <c r="J156" s="866" t="s">
        <v>1887</v>
      </c>
      <c r="K156" s="1269"/>
    </row>
    <row r="157" spans="1:11" s="867" customFormat="1" ht="13.5" hidden="1" customHeight="1">
      <c r="A157" s="1269" t="s">
        <v>1935</v>
      </c>
      <c r="B157" s="1269">
        <v>150</v>
      </c>
      <c r="C157" s="1269" t="s">
        <v>1936</v>
      </c>
      <c r="D157" s="1269" t="s">
        <v>1941</v>
      </c>
      <c r="E157" s="1270"/>
      <c r="F157" s="1269" t="s">
        <v>1938</v>
      </c>
      <c r="G157" s="864" t="s">
        <v>1825</v>
      </c>
      <c r="H157" s="865" t="s">
        <v>532</v>
      </c>
      <c r="I157" s="866">
        <f>+E157*0.5</f>
        <v>0</v>
      </c>
      <c r="J157" s="866" t="s">
        <v>431</v>
      </c>
      <c r="K157" s="1269"/>
    </row>
    <row r="158" spans="1:11" s="867" customFormat="1" ht="13.5" hidden="1" customHeight="1">
      <c r="A158" s="1269"/>
      <c r="B158" s="1269"/>
      <c r="C158" s="1269"/>
      <c r="D158" s="1269"/>
      <c r="E158" s="1271"/>
      <c r="F158" s="1269"/>
      <c r="G158" s="856" t="s">
        <v>541</v>
      </c>
      <c r="H158" s="856" t="s">
        <v>1821</v>
      </c>
      <c r="I158" s="853">
        <f>+E157*8</f>
        <v>0</v>
      </c>
      <c r="J158" s="853" t="s">
        <v>1819</v>
      </c>
      <c r="K158" s="1269"/>
    </row>
    <row r="159" spans="1:11" s="867" customFormat="1" ht="13.5" hidden="1" customHeight="1">
      <c r="A159" s="1269"/>
      <c r="B159" s="1269"/>
      <c r="C159" s="1269"/>
      <c r="D159" s="1269"/>
      <c r="E159" s="1272"/>
      <c r="F159" s="1269"/>
      <c r="G159" s="864" t="s">
        <v>1827</v>
      </c>
      <c r="H159" s="864" t="s">
        <v>527</v>
      </c>
      <c r="I159" s="866">
        <f>+E157*1.5</f>
        <v>0</v>
      </c>
      <c r="J159" s="866" t="s">
        <v>1887</v>
      </c>
      <c r="K159" s="1269"/>
    </row>
    <row r="160" spans="1:11" s="867" customFormat="1" ht="13.5" hidden="1" customHeight="1">
      <c r="A160" s="1269" t="s">
        <v>1935</v>
      </c>
      <c r="B160" s="1269">
        <v>150</v>
      </c>
      <c r="C160" s="1269" t="s">
        <v>1943</v>
      </c>
      <c r="D160" s="1269" t="s">
        <v>1899</v>
      </c>
      <c r="E160" s="1270"/>
      <c r="F160" s="1269" t="s">
        <v>1938</v>
      </c>
      <c r="G160" s="864" t="s">
        <v>1825</v>
      </c>
      <c r="H160" s="865" t="s">
        <v>532</v>
      </c>
      <c r="I160" s="866">
        <f>+E160*2</f>
        <v>0</v>
      </c>
      <c r="J160" s="866" t="s">
        <v>431</v>
      </c>
      <c r="K160" s="1269"/>
    </row>
    <row r="161" spans="1:15" s="867" customFormat="1" ht="13.5" hidden="1" customHeight="1">
      <c r="A161" s="1269"/>
      <c r="B161" s="1269"/>
      <c r="C161" s="1269"/>
      <c r="D161" s="1269"/>
      <c r="E161" s="1271"/>
      <c r="F161" s="1269"/>
      <c r="G161" s="856" t="s">
        <v>541</v>
      </c>
      <c r="H161" s="856" t="s">
        <v>1821</v>
      </c>
      <c r="I161" s="853">
        <f>+E160*8</f>
        <v>0</v>
      </c>
      <c r="J161" s="853" t="s">
        <v>1819</v>
      </c>
      <c r="K161" s="1269"/>
    </row>
    <row r="162" spans="1:15" s="867" customFormat="1" ht="13.5" hidden="1" customHeight="1">
      <c r="A162" s="1269"/>
      <c r="B162" s="1269"/>
      <c r="C162" s="1269"/>
      <c r="D162" s="1269"/>
      <c r="E162" s="1272"/>
      <c r="F162" s="1269"/>
      <c r="G162" s="864" t="s">
        <v>1827</v>
      </c>
      <c r="H162" s="864" t="s">
        <v>527</v>
      </c>
      <c r="I162" s="866">
        <f>+E160*2.5</f>
        <v>0</v>
      </c>
      <c r="J162" s="866" t="s">
        <v>1887</v>
      </c>
      <c r="K162" s="1269"/>
    </row>
    <row r="163" spans="1:15" ht="13.5" hidden="1" customHeight="1">
      <c r="A163" s="1258" t="s">
        <v>1935</v>
      </c>
      <c r="B163" s="1258" t="s">
        <v>1946</v>
      </c>
      <c r="C163" s="1258" t="s">
        <v>1936</v>
      </c>
      <c r="D163" s="1258" t="s">
        <v>1854</v>
      </c>
      <c r="E163" s="1263"/>
      <c r="F163" s="1258" t="s">
        <v>1938</v>
      </c>
      <c r="G163" s="864" t="s">
        <v>1825</v>
      </c>
      <c r="H163" s="865" t="s">
        <v>532</v>
      </c>
      <c r="I163" s="866">
        <f>+E163*1</f>
        <v>0</v>
      </c>
      <c r="J163" s="866" t="s">
        <v>431</v>
      </c>
      <c r="K163" s="1268"/>
    </row>
    <row r="164" spans="1:15" ht="13.5" hidden="1" customHeight="1">
      <c r="A164" s="1258"/>
      <c r="B164" s="1258"/>
      <c r="C164" s="1258"/>
      <c r="D164" s="1258"/>
      <c r="E164" s="1264"/>
      <c r="F164" s="1258"/>
      <c r="G164" s="856" t="s">
        <v>541</v>
      </c>
      <c r="H164" s="856" t="s">
        <v>1821</v>
      </c>
      <c r="I164" s="853">
        <f>+E163*8</f>
        <v>0</v>
      </c>
      <c r="J164" s="853" t="s">
        <v>1819</v>
      </c>
      <c r="K164" s="1268"/>
    </row>
    <row r="165" spans="1:15" ht="13.5" hidden="1" customHeight="1">
      <c r="A165" s="1258"/>
      <c r="B165" s="1258"/>
      <c r="C165" s="1258"/>
      <c r="D165" s="1258"/>
      <c r="E165" s="1267"/>
      <c r="F165" s="1258"/>
      <c r="G165" s="864" t="s">
        <v>1827</v>
      </c>
      <c r="H165" s="864" t="s">
        <v>527</v>
      </c>
      <c r="I165" s="866">
        <f>+E163*2.5</f>
        <v>0</v>
      </c>
      <c r="J165" s="866" t="s">
        <v>1887</v>
      </c>
      <c r="K165" s="1268"/>
    </row>
    <row r="166" spans="1:15" ht="17.25" hidden="1" customHeight="1">
      <c r="A166" s="1258" t="s">
        <v>1947</v>
      </c>
      <c r="B166" s="1258" t="s">
        <v>1948</v>
      </c>
      <c r="C166" s="1258" t="s">
        <v>1851</v>
      </c>
      <c r="D166" s="1258" t="s">
        <v>1851</v>
      </c>
      <c r="E166" s="1263"/>
      <c r="F166" s="1258" t="s">
        <v>1949</v>
      </c>
      <c r="G166" s="856" t="s">
        <v>1825</v>
      </c>
      <c r="H166" s="859" t="s">
        <v>532</v>
      </c>
      <c r="I166" s="853">
        <f>+E166*0.5</f>
        <v>0</v>
      </c>
      <c r="J166" s="853" t="s">
        <v>1824</v>
      </c>
      <c r="K166" s="1258"/>
    </row>
    <row r="167" spans="1:15" ht="17.25" hidden="1" customHeight="1">
      <c r="A167" s="1258"/>
      <c r="B167" s="1258"/>
      <c r="C167" s="1258"/>
      <c r="D167" s="1258"/>
      <c r="E167" s="1264"/>
      <c r="F167" s="1258"/>
      <c r="G167" s="856" t="s">
        <v>1950</v>
      </c>
      <c r="H167" s="859"/>
      <c r="I167" s="853">
        <f>+E166*5</f>
        <v>0</v>
      </c>
      <c r="J167" s="853" t="s">
        <v>1951</v>
      </c>
      <c r="K167" s="1258"/>
    </row>
    <row r="168" spans="1:15" ht="17.25" hidden="1" customHeight="1">
      <c r="A168" s="1258"/>
      <c r="B168" s="1258"/>
      <c r="C168" s="1258"/>
      <c r="D168" s="1258"/>
      <c r="E168" s="1267"/>
      <c r="F168" s="1258"/>
      <c r="G168" s="856" t="s">
        <v>1827</v>
      </c>
      <c r="H168" s="856" t="s">
        <v>527</v>
      </c>
      <c r="I168" s="853">
        <f>+E166*2.5</f>
        <v>0</v>
      </c>
      <c r="J168" s="853" t="s">
        <v>1887</v>
      </c>
      <c r="K168" s="1258"/>
    </row>
    <row r="169" spans="1:15" ht="13.5" hidden="1" customHeight="1">
      <c r="A169" s="1258" t="s">
        <v>1952</v>
      </c>
      <c r="B169" s="1258" t="s">
        <v>1953</v>
      </c>
      <c r="C169" s="1258" t="s">
        <v>1954</v>
      </c>
      <c r="D169" s="1258" t="s">
        <v>1851</v>
      </c>
      <c r="E169" s="1263"/>
      <c r="F169" s="1258" t="s">
        <v>1955</v>
      </c>
      <c r="G169" s="856" t="s">
        <v>1825</v>
      </c>
      <c r="H169" s="865" t="s">
        <v>532</v>
      </c>
      <c r="I169" s="853">
        <f>+E169*1</f>
        <v>0</v>
      </c>
      <c r="J169" s="853" t="s">
        <v>431</v>
      </c>
      <c r="K169" s="1258" t="s">
        <v>1956</v>
      </c>
    </row>
    <row r="170" spans="1:15" ht="13.5" hidden="1" customHeight="1">
      <c r="A170" s="1258"/>
      <c r="B170" s="1258"/>
      <c r="C170" s="1258"/>
      <c r="D170" s="1258"/>
      <c r="E170" s="1264"/>
      <c r="F170" s="1258"/>
      <c r="G170" s="856" t="s">
        <v>541</v>
      </c>
      <c r="H170" s="856" t="s">
        <v>1821</v>
      </c>
      <c r="I170" s="853">
        <f>+E169*4</f>
        <v>0</v>
      </c>
      <c r="J170" s="853" t="s">
        <v>1819</v>
      </c>
      <c r="K170" s="1258"/>
    </row>
    <row r="171" spans="1:15" ht="13.5" hidden="1" customHeight="1">
      <c r="A171" s="1258"/>
      <c r="B171" s="1258"/>
      <c r="C171" s="1258"/>
      <c r="D171" s="1258"/>
      <c r="E171" s="1267"/>
      <c r="F171" s="1258"/>
      <c r="G171" s="856" t="s">
        <v>1827</v>
      </c>
      <c r="H171" s="856" t="s">
        <v>527</v>
      </c>
      <c r="I171" s="853">
        <f>+E169*3</f>
        <v>0</v>
      </c>
      <c r="J171" s="853" t="s">
        <v>1887</v>
      </c>
      <c r="K171" s="1258"/>
    </row>
    <row r="172" spans="1:15" ht="13.5" hidden="1" customHeight="1">
      <c r="A172" s="1258" t="s">
        <v>1952</v>
      </c>
      <c r="B172" s="1258" t="s">
        <v>1957</v>
      </c>
      <c r="C172" s="1258" t="s">
        <v>1954</v>
      </c>
      <c r="D172" s="1258" t="s">
        <v>1851</v>
      </c>
      <c r="E172" s="1263"/>
      <c r="F172" s="1258" t="s">
        <v>1955</v>
      </c>
      <c r="G172" s="856" t="s">
        <v>1825</v>
      </c>
      <c r="H172" s="865" t="s">
        <v>532</v>
      </c>
      <c r="I172" s="853">
        <f>+E172*1.5</f>
        <v>0</v>
      </c>
      <c r="J172" s="853" t="s">
        <v>431</v>
      </c>
      <c r="K172" s="1258" t="s">
        <v>1956</v>
      </c>
    </row>
    <row r="173" spans="1:15" ht="13.5" hidden="1" customHeight="1">
      <c r="A173" s="1258"/>
      <c r="B173" s="1258"/>
      <c r="C173" s="1258"/>
      <c r="D173" s="1258"/>
      <c r="E173" s="1264"/>
      <c r="F173" s="1258"/>
      <c r="G173" s="856" t="s">
        <v>541</v>
      </c>
      <c r="H173" s="856" t="s">
        <v>1821</v>
      </c>
      <c r="I173" s="853">
        <f>+E172*4</f>
        <v>0</v>
      </c>
      <c r="J173" s="853" t="s">
        <v>1819</v>
      </c>
      <c r="K173" s="1258"/>
    </row>
    <row r="174" spans="1:15" ht="13.5" hidden="1" customHeight="1">
      <c r="A174" s="1258"/>
      <c r="B174" s="1258"/>
      <c r="C174" s="1258"/>
      <c r="D174" s="1258"/>
      <c r="E174" s="1267"/>
      <c r="F174" s="1258"/>
      <c r="G174" s="856" t="s">
        <v>1827</v>
      </c>
      <c r="H174" s="856" t="s">
        <v>527</v>
      </c>
      <c r="I174" s="853">
        <f>+E172*4</f>
        <v>0</v>
      </c>
      <c r="J174" s="853" t="s">
        <v>1887</v>
      </c>
      <c r="K174" s="1258"/>
    </row>
    <row r="175" spans="1:15" ht="13.5" hidden="1" customHeight="1">
      <c r="A175" s="1258" t="s">
        <v>1958</v>
      </c>
      <c r="B175" s="1258" t="s">
        <v>1959</v>
      </c>
      <c r="C175" s="1258"/>
      <c r="D175" s="1258"/>
      <c r="E175" s="1263"/>
      <c r="F175" s="1258" t="s">
        <v>1938</v>
      </c>
      <c r="G175" s="856" t="s">
        <v>1825</v>
      </c>
      <c r="H175" s="865" t="s">
        <v>532</v>
      </c>
      <c r="I175" s="853">
        <f>+E175*1.5</f>
        <v>0</v>
      </c>
      <c r="J175" s="853" t="s">
        <v>431</v>
      </c>
      <c r="K175" s="1258" t="s">
        <v>1956</v>
      </c>
      <c r="L175" s="868"/>
      <c r="M175" s="868"/>
      <c r="N175" s="868"/>
      <c r="O175" s="868"/>
    </row>
    <row r="176" spans="1:15" ht="13.5" hidden="1" customHeight="1">
      <c r="A176" s="1258"/>
      <c r="B176" s="1258"/>
      <c r="C176" s="1258"/>
      <c r="D176" s="1258"/>
      <c r="E176" s="1267"/>
      <c r="F176" s="1258"/>
      <c r="G176" s="856" t="s">
        <v>1827</v>
      </c>
      <c r="H176" s="856" t="s">
        <v>527</v>
      </c>
      <c r="I176" s="853">
        <f>+E175*4</f>
        <v>0</v>
      </c>
      <c r="J176" s="853" t="s">
        <v>1887</v>
      </c>
      <c r="K176" s="1258"/>
      <c r="L176" s="868"/>
      <c r="M176" s="868"/>
      <c r="N176" s="868"/>
      <c r="O176" s="868"/>
    </row>
    <row r="177" spans="1:15" ht="13.5" hidden="1" customHeight="1">
      <c r="A177" s="1258" t="s">
        <v>1960</v>
      </c>
      <c r="B177" s="1258" t="s">
        <v>1961</v>
      </c>
      <c r="C177" s="1258">
        <v>50</v>
      </c>
      <c r="D177" s="1258" t="s">
        <v>1962</v>
      </c>
      <c r="E177" s="1263"/>
      <c r="F177" s="1258" t="s">
        <v>1963</v>
      </c>
      <c r="G177" s="856" t="s">
        <v>1939</v>
      </c>
      <c r="H177" s="859"/>
      <c r="I177" s="853">
        <f>+E177*1</f>
        <v>0</v>
      </c>
      <c r="J177" s="853" t="s">
        <v>1819</v>
      </c>
      <c r="K177" s="1258"/>
      <c r="L177" s="868"/>
      <c r="M177" s="868"/>
      <c r="N177" s="868"/>
      <c r="O177" s="868"/>
    </row>
    <row r="178" spans="1:15" ht="13.5" hidden="1" customHeight="1">
      <c r="A178" s="1258"/>
      <c r="B178" s="1258"/>
      <c r="C178" s="1258"/>
      <c r="D178" s="1258"/>
      <c r="E178" s="1264"/>
      <c r="F178" s="1258"/>
      <c r="G178" s="856" t="s">
        <v>1940</v>
      </c>
      <c r="H178" s="856" t="s">
        <v>1821</v>
      </c>
      <c r="I178" s="853">
        <f>+E177*4</f>
        <v>0</v>
      </c>
      <c r="J178" s="853" t="s">
        <v>1819</v>
      </c>
      <c r="K178" s="1258"/>
      <c r="L178" s="868"/>
      <c r="M178" s="868"/>
      <c r="N178" s="868"/>
      <c r="O178" s="868"/>
    </row>
    <row r="179" spans="1:15" ht="13.5" hidden="1" customHeight="1">
      <c r="A179" s="1258"/>
      <c r="B179" s="1258"/>
      <c r="C179" s="1258"/>
      <c r="D179" s="1258"/>
      <c r="E179" s="1267"/>
      <c r="F179" s="1258"/>
      <c r="G179" s="856" t="s">
        <v>1827</v>
      </c>
      <c r="H179" s="856" t="s">
        <v>527</v>
      </c>
      <c r="I179" s="853">
        <f>+E177*1.5</f>
        <v>0</v>
      </c>
      <c r="J179" s="853" t="s">
        <v>1887</v>
      </c>
      <c r="K179" s="1258"/>
      <c r="L179" s="868"/>
      <c r="M179" s="868"/>
      <c r="N179" s="868"/>
      <c r="O179" s="868"/>
    </row>
    <row r="180" spans="1:15" ht="13.5" hidden="1" customHeight="1">
      <c r="A180" s="1258" t="s">
        <v>1960</v>
      </c>
      <c r="B180" s="1258" t="s">
        <v>1964</v>
      </c>
      <c r="C180" s="1258">
        <v>50</v>
      </c>
      <c r="D180" s="1258" t="s">
        <v>1962</v>
      </c>
      <c r="E180" s="1263"/>
      <c r="F180" s="1258" t="s">
        <v>1963</v>
      </c>
      <c r="G180" s="856" t="s">
        <v>1939</v>
      </c>
      <c r="H180" s="859"/>
      <c r="I180" s="853">
        <f>+E180*2</f>
        <v>0</v>
      </c>
      <c r="J180" s="853" t="s">
        <v>1819</v>
      </c>
      <c r="K180" s="1258"/>
      <c r="L180" s="868"/>
      <c r="M180" s="868"/>
      <c r="N180" s="868"/>
      <c r="O180" s="868"/>
    </row>
    <row r="181" spans="1:15" ht="13.5" hidden="1" customHeight="1">
      <c r="A181" s="1258"/>
      <c r="B181" s="1258"/>
      <c r="C181" s="1258"/>
      <c r="D181" s="1258"/>
      <c r="E181" s="1264"/>
      <c r="F181" s="1258"/>
      <c r="G181" s="856" t="s">
        <v>1940</v>
      </c>
      <c r="H181" s="856" t="s">
        <v>1821</v>
      </c>
      <c r="I181" s="853">
        <f>+E180*4</f>
        <v>0</v>
      </c>
      <c r="J181" s="853" t="s">
        <v>1819</v>
      </c>
      <c r="K181" s="1258"/>
      <c r="L181" s="868"/>
      <c r="M181" s="868"/>
      <c r="N181" s="868"/>
      <c r="O181" s="868"/>
    </row>
    <row r="182" spans="1:15" ht="13.5" hidden="1" customHeight="1">
      <c r="A182" s="1258"/>
      <c r="B182" s="1258"/>
      <c r="C182" s="1258"/>
      <c r="D182" s="1258"/>
      <c r="E182" s="1267"/>
      <c r="F182" s="1258"/>
      <c r="G182" s="856" t="s">
        <v>1827</v>
      </c>
      <c r="H182" s="856" t="s">
        <v>527</v>
      </c>
      <c r="I182" s="853">
        <f>+E180*2.5</f>
        <v>0</v>
      </c>
      <c r="J182" s="853" t="s">
        <v>1887</v>
      </c>
      <c r="K182" s="1258"/>
      <c r="L182" s="868"/>
      <c r="M182" s="868"/>
      <c r="N182" s="868"/>
      <c r="O182" s="868"/>
    </row>
    <row r="183" spans="1:15" ht="13.5" hidden="1" customHeight="1">
      <c r="A183" s="1258" t="s">
        <v>1960</v>
      </c>
      <c r="B183" s="1258" t="s">
        <v>1961</v>
      </c>
      <c r="C183" s="1258">
        <v>50</v>
      </c>
      <c r="D183" s="1258" t="s">
        <v>1965</v>
      </c>
      <c r="E183" s="1263"/>
      <c r="F183" s="1258" t="s">
        <v>1963</v>
      </c>
      <c r="G183" s="856" t="s">
        <v>1942</v>
      </c>
      <c r="H183" s="859"/>
      <c r="I183" s="853">
        <f>+E183*1</f>
        <v>0</v>
      </c>
      <c r="J183" s="853" t="s">
        <v>1819</v>
      </c>
      <c r="K183" s="1258"/>
      <c r="L183" s="868"/>
      <c r="M183" s="868"/>
      <c r="N183" s="868"/>
      <c r="O183" s="868"/>
    </row>
    <row r="184" spans="1:15" ht="13.5" hidden="1" customHeight="1">
      <c r="A184" s="1258"/>
      <c r="B184" s="1258"/>
      <c r="C184" s="1258"/>
      <c r="D184" s="1258"/>
      <c r="E184" s="1264"/>
      <c r="F184" s="1258"/>
      <c r="G184" s="856" t="s">
        <v>1940</v>
      </c>
      <c r="H184" s="856" t="s">
        <v>1821</v>
      </c>
      <c r="I184" s="853">
        <f>+E183*4</f>
        <v>0</v>
      </c>
      <c r="J184" s="853" t="s">
        <v>1819</v>
      </c>
      <c r="K184" s="1258"/>
      <c r="L184" s="868"/>
      <c r="M184" s="868"/>
      <c r="N184" s="868"/>
      <c r="O184" s="868"/>
    </row>
    <row r="185" spans="1:15" ht="13.5" hidden="1" customHeight="1">
      <c r="A185" s="1258"/>
      <c r="B185" s="1258"/>
      <c r="C185" s="1258"/>
      <c r="D185" s="1258"/>
      <c r="E185" s="1267"/>
      <c r="F185" s="1258"/>
      <c r="G185" s="856" t="s">
        <v>1827</v>
      </c>
      <c r="H185" s="856" t="s">
        <v>527</v>
      </c>
      <c r="I185" s="853">
        <f>+E183*1.5</f>
        <v>0</v>
      </c>
      <c r="J185" s="853" t="s">
        <v>1887</v>
      </c>
      <c r="K185" s="1258"/>
      <c r="L185" s="868"/>
      <c r="M185" s="868"/>
      <c r="N185" s="868"/>
      <c r="O185" s="868"/>
    </row>
    <row r="186" spans="1:15" ht="13.5" hidden="1" customHeight="1">
      <c r="A186" s="1258" t="s">
        <v>1960</v>
      </c>
      <c r="B186" s="1258" t="s">
        <v>1964</v>
      </c>
      <c r="C186" s="1258">
        <v>50</v>
      </c>
      <c r="D186" s="1258" t="s">
        <v>1965</v>
      </c>
      <c r="E186" s="1263"/>
      <c r="F186" s="1258" t="s">
        <v>1963</v>
      </c>
      <c r="G186" s="856" t="s">
        <v>1942</v>
      </c>
      <c r="H186" s="859"/>
      <c r="I186" s="853">
        <f>+E186*2</f>
        <v>0</v>
      </c>
      <c r="J186" s="853" t="s">
        <v>1819</v>
      </c>
      <c r="K186" s="1258"/>
      <c r="L186" s="868"/>
      <c r="M186" s="868"/>
      <c r="N186" s="868"/>
      <c r="O186" s="868"/>
    </row>
    <row r="187" spans="1:15" ht="13.5" hidden="1" customHeight="1">
      <c r="A187" s="1258"/>
      <c r="B187" s="1258"/>
      <c r="C187" s="1258"/>
      <c r="D187" s="1258"/>
      <c r="E187" s="1264"/>
      <c r="F187" s="1258"/>
      <c r="G187" s="856" t="s">
        <v>1940</v>
      </c>
      <c r="H187" s="856" t="s">
        <v>1821</v>
      </c>
      <c r="I187" s="853">
        <f>+E186*4</f>
        <v>0</v>
      </c>
      <c r="J187" s="853" t="s">
        <v>1819</v>
      </c>
      <c r="K187" s="1258"/>
      <c r="L187" s="868"/>
      <c r="M187" s="868"/>
      <c r="N187" s="868"/>
      <c r="O187" s="868"/>
    </row>
    <row r="188" spans="1:15" ht="13.5" hidden="1" customHeight="1">
      <c r="A188" s="1258"/>
      <c r="B188" s="1258"/>
      <c r="C188" s="1258"/>
      <c r="D188" s="1258"/>
      <c r="E188" s="1267"/>
      <c r="F188" s="1258"/>
      <c r="G188" s="856" t="s">
        <v>1827</v>
      </c>
      <c r="H188" s="856" t="s">
        <v>527</v>
      </c>
      <c r="I188" s="853">
        <f>+E186*2.5</f>
        <v>0</v>
      </c>
      <c r="J188" s="853" t="s">
        <v>1887</v>
      </c>
      <c r="K188" s="1258"/>
      <c r="L188" s="868"/>
      <c r="M188" s="868"/>
      <c r="N188" s="868"/>
      <c r="O188" s="868"/>
    </row>
    <row r="189" spans="1:15" ht="13.5" hidden="1" customHeight="1">
      <c r="A189" s="1258" t="s">
        <v>1966</v>
      </c>
      <c r="B189" s="1258" t="s">
        <v>1959</v>
      </c>
      <c r="C189" s="1258" t="s">
        <v>1959</v>
      </c>
      <c r="D189" s="1258" t="s">
        <v>1959</v>
      </c>
      <c r="E189" s="1263"/>
      <c r="F189" s="1258" t="s">
        <v>1938</v>
      </c>
      <c r="G189" s="856" t="s">
        <v>1825</v>
      </c>
      <c r="H189" s="865" t="s">
        <v>532</v>
      </c>
      <c r="I189" s="853">
        <f>+E189*1</f>
        <v>0</v>
      </c>
      <c r="J189" s="853" t="s">
        <v>431</v>
      </c>
      <c r="K189" s="1258" t="s">
        <v>1956</v>
      </c>
      <c r="L189" s="868"/>
      <c r="M189" s="868"/>
      <c r="N189" s="868"/>
      <c r="O189" s="868"/>
    </row>
    <row r="190" spans="1:15" ht="13.5" hidden="1" customHeight="1">
      <c r="A190" s="1258"/>
      <c r="B190" s="1258"/>
      <c r="C190" s="1258"/>
      <c r="D190" s="1258"/>
      <c r="E190" s="1267"/>
      <c r="F190" s="1258"/>
      <c r="G190" s="856" t="s">
        <v>1827</v>
      </c>
      <c r="H190" s="856" t="s">
        <v>527</v>
      </c>
      <c r="I190" s="853">
        <f>+E189*3</f>
        <v>0</v>
      </c>
      <c r="J190" s="853" t="s">
        <v>1887</v>
      </c>
      <c r="K190" s="1258"/>
      <c r="L190" s="868"/>
      <c r="M190" s="868"/>
      <c r="N190" s="868"/>
      <c r="O190" s="868"/>
    </row>
    <row r="191" spans="1:15" ht="13.5" hidden="1" customHeight="1">
      <c r="A191" s="1258" t="s">
        <v>1967</v>
      </c>
      <c r="B191" s="1258" t="s">
        <v>1961</v>
      </c>
      <c r="C191" s="1258" t="s">
        <v>1959</v>
      </c>
      <c r="D191" s="1258" t="s">
        <v>1902</v>
      </c>
      <c r="E191" s="1263"/>
      <c r="F191" s="1265" t="s">
        <v>1968</v>
      </c>
      <c r="G191" s="856" t="s">
        <v>1825</v>
      </c>
      <c r="H191" s="865" t="s">
        <v>532</v>
      </c>
      <c r="I191" s="853">
        <f>+E191*0.3</f>
        <v>0</v>
      </c>
      <c r="J191" s="853" t="s">
        <v>431</v>
      </c>
      <c r="K191" s="1258"/>
      <c r="L191" s="868"/>
      <c r="M191" s="868"/>
      <c r="N191" s="868"/>
      <c r="O191" s="868"/>
    </row>
    <row r="192" spans="1:15" ht="13.5" hidden="1" customHeight="1">
      <c r="A192" s="1258"/>
      <c r="B192" s="1258"/>
      <c r="C192" s="1258"/>
      <c r="D192" s="1258"/>
      <c r="E192" s="1264"/>
      <c r="F192" s="1265"/>
      <c r="G192" s="856" t="s">
        <v>541</v>
      </c>
      <c r="H192" s="856" t="s">
        <v>1821</v>
      </c>
      <c r="I192" s="853">
        <f>+E191*8</f>
        <v>0</v>
      </c>
      <c r="J192" s="853" t="s">
        <v>1819</v>
      </c>
      <c r="K192" s="1258"/>
      <c r="L192" s="868"/>
      <c r="M192" s="868"/>
      <c r="N192" s="868"/>
      <c r="O192" s="868"/>
    </row>
    <row r="193" spans="1:15" ht="13.5" hidden="1" customHeight="1">
      <c r="A193" s="1258"/>
      <c r="B193" s="1258"/>
      <c r="C193" s="1258"/>
      <c r="D193" s="1258"/>
      <c r="E193" s="1267"/>
      <c r="F193" s="1265"/>
      <c r="G193" s="856" t="s">
        <v>1827</v>
      </c>
      <c r="H193" s="856" t="s">
        <v>527</v>
      </c>
      <c r="I193" s="853">
        <f>+E191*1.5</f>
        <v>0</v>
      </c>
      <c r="J193" s="853" t="s">
        <v>1887</v>
      </c>
      <c r="K193" s="1258"/>
      <c r="L193" s="868"/>
      <c r="M193" s="868"/>
      <c r="N193" s="868"/>
      <c r="O193" s="868"/>
    </row>
    <row r="194" spans="1:15" ht="13.5" hidden="1" customHeight="1">
      <c r="A194" s="1258" t="s">
        <v>1969</v>
      </c>
      <c r="B194" s="1258" t="s">
        <v>1899</v>
      </c>
      <c r="C194" s="1258" t="s">
        <v>1970</v>
      </c>
      <c r="D194" s="1258" t="s">
        <v>1959</v>
      </c>
      <c r="E194" s="1263"/>
      <c r="F194" s="1265" t="s">
        <v>1971</v>
      </c>
      <c r="G194" s="856" t="s">
        <v>1825</v>
      </c>
      <c r="H194" s="865" t="s">
        <v>532</v>
      </c>
      <c r="I194" s="853">
        <f>+E194*1</f>
        <v>0</v>
      </c>
      <c r="J194" s="853" t="s">
        <v>431</v>
      </c>
      <c r="K194" s="1258" t="s">
        <v>1972</v>
      </c>
      <c r="L194" s="868"/>
      <c r="M194" s="868"/>
      <c r="N194" s="868"/>
      <c r="O194" s="868"/>
    </row>
    <row r="195" spans="1:15" ht="13.5" hidden="1" customHeight="1">
      <c r="A195" s="1258"/>
      <c r="B195" s="1258"/>
      <c r="C195" s="1258"/>
      <c r="D195" s="1258"/>
      <c r="E195" s="1264"/>
      <c r="F195" s="1265"/>
      <c r="G195" s="856" t="s">
        <v>1973</v>
      </c>
      <c r="H195" s="856" t="s">
        <v>1821</v>
      </c>
      <c r="I195" s="853">
        <f>+E194*4</f>
        <v>0</v>
      </c>
      <c r="J195" s="853" t="s">
        <v>1819</v>
      </c>
      <c r="K195" s="1258"/>
      <c r="L195" s="868"/>
      <c r="M195" s="868"/>
      <c r="N195" s="868"/>
      <c r="O195" s="868"/>
    </row>
    <row r="196" spans="1:15" ht="13.5" hidden="1" customHeight="1">
      <c r="A196" s="1259"/>
      <c r="B196" s="1259"/>
      <c r="C196" s="1259"/>
      <c r="D196" s="1259"/>
      <c r="E196" s="1264"/>
      <c r="F196" s="1266"/>
      <c r="G196" s="869" t="s">
        <v>1827</v>
      </c>
      <c r="H196" s="869" t="s">
        <v>527</v>
      </c>
      <c r="I196" s="870">
        <f>+E194*5</f>
        <v>0</v>
      </c>
      <c r="J196" s="870" t="s">
        <v>1887</v>
      </c>
      <c r="K196" s="1259"/>
      <c r="L196" s="868"/>
      <c r="M196" s="868"/>
      <c r="N196" s="868"/>
      <c r="O196" s="868"/>
    </row>
    <row r="197" spans="1:15" ht="13.5" customHeight="1">
      <c r="A197" s="1260" t="s">
        <v>1969</v>
      </c>
      <c r="B197" s="1260" t="s">
        <v>1974</v>
      </c>
      <c r="C197" s="1260" t="s">
        <v>1970</v>
      </c>
      <c r="D197" s="1260" t="s">
        <v>1959</v>
      </c>
      <c r="E197" s="1261">
        <v>1</v>
      </c>
      <c r="F197" s="1262" t="s">
        <v>1963</v>
      </c>
      <c r="G197" s="871" t="s">
        <v>1825</v>
      </c>
      <c r="H197" s="872" t="s">
        <v>532</v>
      </c>
      <c r="I197" s="873">
        <f>+E197*1.5</f>
        <v>1.5</v>
      </c>
      <c r="J197" s="873" t="s">
        <v>431</v>
      </c>
      <c r="K197" s="1260" t="s">
        <v>1972</v>
      </c>
      <c r="L197" s="874"/>
      <c r="M197" s="874"/>
      <c r="N197" s="874"/>
      <c r="O197" s="874"/>
    </row>
    <row r="198" spans="1:15" ht="13.5" customHeight="1">
      <c r="A198" s="1260"/>
      <c r="B198" s="1260"/>
      <c r="C198" s="1260"/>
      <c r="D198" s="1260"/>
      <c r="E198" s="1261"/>
      <c r="F198" s="1262"/>
      <c r="G198" s="871" t="s">
        <v>1973</v>
      </c>
      <c r="H198" s="871" t="s">
        <v>1821</v>
      </c>
      <c r="I198" s="873">
        <f>+E197*4</f>
        <v>4</v>
      </c>
      <c r="J198" s="873" t="s">
        <v>1819</v>
      </c>
      <c r="K198" s="1260"/>
      <c r="L198" s="874"/>
      <c r="M198" s="874"/>
      <c r="N198" s="874"/>
      <c r="O198" s="874"/>
    </row>
    <row r="199" spans="1:15" ht="13.5" customHeight="1">
      <c r="A199" s="1260"/>
      <c r="B199" s="1260"/>
      <c r="C199" s="1260"/>
      <c r="D199" s="1260"/>
      <c r="E199" s="1261"/>
      <c r="F199" s="1262"/>
      <c r="G199" s="871" t="s">
        <v>1827</v>
      </c>
      <c r="H199" s="871" t="s">
        <v>527</v>
      </c>
      <c r="I199" s="873">
        <f>+E197*5</f>
        <v>5</v>
      </c>
      <c r="J199" s="873" t="s">
        <v>1887</v>
      </c>
      <c r="K199" s="1260"/>
      <c r="L199" s="874"/>
      <c r="M199" s="874"/>
      <c r="N199" s="874"/>
      <c r="O199" s="874"/>
    </row>
    <row r="200" spans="1:15" ht="18" customHeight="1">
      <c r="A200" s="875"/>
      <c r="B200" s="875"/>
      <c r="C200" s="875"/>
      <c r="D200" s="875"/>
      <c r="E200" s="876"/>
      <c r="F200" s="873" t="s">
        <v>1975</v>
      </c>
      <c r="G200" s="871" t="s">
        <v>1976</v>
      </c>
      <c r="H200" s="875"/>
      <c r="I200" s="875"/>
      <c r="J200" s="873" t="s">
        <v>1951</v>
      </c>
      <c r="K200" s="877"/>
    </row>
    <row r="201" spans="1:15" ht="18" customHeight="1">
      <c r="A201" s="875"/>
      <c r="B201" s="875"/>
      <c r="C201" s="875"/>
      <c r="D201" s="875"/>
      <c r="E201" s="876"/>
      <c r="F201" s="873"/>
      <c r="G201" s="857" t="s">
        <v>1977</v>
      </c>
      <c r="H201" s="878"/>
      <c r="I201" s="857"/>
      <c r="J201" s="857" t="s">
        <v>1951</v>
      </c>
      <c r="K201" s="877"/>
    </row>
    <row r="202" spans="1:15" ht="13.5" customHeight="1">
      <c r="A202" s="879" t="s">
        <v>1978</v>
      </c>
      <c r="B202" s="880"/>
      <c r="C202" s="880"/>
      <c r="D202" s="880"/>
      <c r="E202" s="881"/>
      <c r="F202" s="880"/>
      <c r="G202" s="880"/>
    </row>
    <row r="209" spans="7:7" ht="13.5" customHeight="1">
      <c r="G209" s="857"/>
    </row>
  </sheetData>
  <mergeCells count="382">
    <mergeCell ref="A1:K1"/>
    <mergeCell ref="A2:B2"/>
    <mergeCell ref="I2:J2"/>
    <mergeCell ref="A3:B3"/>
    <mergeCell ref="C3:D3"/>
    <mergeCell ref="E3:F3"/>
    <mergeCell ref="G3:H3"/>
    <mergeCell ref="I3:J4"/>
    <mergeCell ref="K3:K4"/>
    <mergeCell ref="A4:B4"/>
    <mergeCell ref="C4:D4"/>
    <mergeCell ref="E4:F4"/>
    <mergeCell ref="G4:H4"/>
    <mergeCell ref="A5:K5"/>
    <mergeCell ref="A6:K6"/>
    <mergeCell ref="A8:A11"/>
    <mergeCell ref="B8:B11"/>
    <mergeCell ref="C8:C11"/>
    <mergeCell ref="D8:D11"/>
    <mergeCell ref="E8:E11"/>
    <mergeCell ref="F8:F11"/>
    <mergeCell ref="K8:K11"/>
    <mergeCell ref="A12:A15"/>
    <mergeCell ref="B12:B15"/>
    <mergeCell ref="C12:C15"/>
    <mergeCell ref="D12:D15"/>
    <mergeCell ref="E12:E15"/>
    <mergeCell ref="F12:F15"/>
    <mergeCell ref="K12:K15"/>
    <mergeCell ref="A20:A23"/>
    <mergeCell ref="B20:B23"/>
    <mergeCell ref="C20:C23"/>
    <mergeCell ref="D20:D23"/>
    <mergeCell ref="E20:E23"/>
    <mergeCell ref="F20:F23"/>
    <mergeCell ref="A16:A19"/>
    <mergeCell ref="B16:B19"/>
    <mergeCell ref="C16:C19"/>
    <mergeCell ref="D16:D19"/>
    <mergeCell ref="E16:E19"/>
    <mergeCell ref="F16:F19"/>
    <mergeCell ref="I27:J27"/>
    <mergeCell ref="A29:A33"/>
    <mergeCell ref="B29:B33"/>
    <mergeCell ref="C29:C33"/>
    <mergeCell ref="D29:D33"/>
    <mergeCell ref="E29:E33"/>
    <mergeCell ref="F29:F33"/>
    <mergeCell ref="I32:J32"/>
    <mergeCell ref="A24:A28"/>
    <mergeCell ref="B24:B28"/>
    <mergeCell ref="C24:C28"/>
    <mergeCell ref="D24:D28"/>
    <mergeCell ref="E24:E28"/>
    <mergeCell ref="F24:F28"/>
    <mergeCell ref="A40:A43"/>
    <mergeCell ref="B40:B43"/>
    <mergeCell ref="C40:C43"/>
    <mergeCell ref="D40:D43"/>
    <mergeCell ref="E40:E43"/>
    <mergeCell ref="F40:F43"/>
    <mergeCell ref="A34:K34"/>
    <mergeCell ref="A36:A39"/>
    <mergeCell ref="B36:B39"/>
    <mergeCell ref="C36:C39"/>
    <mergeCell ref="D36:D39"/>
    <mergeCell ref="E36:E39"/>
    <mergeCell ref="F36:F39"/>
    <mergeCell ref="B50:B53"/>
    <mergeCell ref="C50:C53"/>
    <mergeCell ref="D50:D53"/>
    <mergeCell ref="E50:E53"/>
    <mergeCell ref="F50:F53"/>
    <mergeCell ref="I52:J52"/>
    <mergeCell ref="A44:K44"/>
    <mergeCell ref="A46:A49"/>
    <mergeCell ref="B46:B49"/>
    <mergeCell ref="C46:C49"/>
    <mergeCell ref="D46:D49"/>
    <mergeCell ref="E46:E49"/>
    <mergeCell ref="F46:F49"/>
    <mergeCell ref="K46:K77"/>
    <mergeCell ref="I48:J48"/>
    <mergeCell ref="A50:A53"/>
    <mergeCell ref="I56:J56"/>
    <mergeCell ref="A58:A61"/>
    <mergeCell ref="B58:B61"/>
    <mergeCell ref="C58:C61"/>
    <mergeCell ref="D58:D61"/>
    <mergeCell ref="E58:E61"/>
    <mergeCell ref="F58:F61"/>
    <mergeCell ref="I60:J60"/>
    <mergeCell ref="A54:A57"/>
    <mergeCell ref="B54:B57"/>
    <mergeCell ref="C54:C57"/>
    <mergeCell ref="D54:D57"/>
    <mergeCell ref="E54:E57"/>
    <mergeCell ref="F54:F57"/>
    <mergeCell ref="I64:J64"/>
    <mergeCell ref="A66:A69"/>
    <mergeCell ref="B66:B69"/>
    <mergeCell ref="C66:C69"/>
    <mergeCell ref="D66:D69"/>
    <mergeCell ref="E66:E69"/>
    <mergeCell ref="F66:F69"/>
    <mergeCell ref="I68:J68"/>
    <mergeCell ref="A62:A65"/>
    <mergeCell ref="B62:B65"/>
    <mergeCell ref="C62:C65"/>
    <mergeCell ref="D62:D65"/>
    <mergeCell ref="E62:E65"/>
    <mergeCell ref="F62:F65"/>
    <mergeCell ref="I72:J72"/>
    <mergeCell ref="A74:A77"/>
    <mergeCell ref="B74:B77"/>
    <mergeCell ref="C74:C77"/>
    <mergeCell ref="D74:D77"/>
    <mergeCell ref="E74:E77"/>
    <mergeCell ref="F74:F77"/>
    <mergeCell ref="I76:J76"/>
    <mergeCell ref="A70:A73"/>
    <mergeCell ref="B70:B73"/>
    <mergeCell ref="C70:C73"/>
    <mergeCell ref="D70:D73"/>
    <mergeCell ref="E70:E73"/>
    <mergeCell ref="F70:F73"/>
    <mergeCell ref="A78:K78"/>
    <mergeCell ref="A79:K79"/>
    <mergeCell ref="A81:A83"/>
    <mergeCell ref="B81:B83"/>
    <mergeCell ref="C81:C83"/>
    <mergeCell ref="D81:D83"/>
    <mergeCell ref="E81:E83"/>
    <mergeCell ref="F81:F83"/>
    <mergeCell ref="K81:K83"/>
    <mergeCell ref="K84:K86"/>
    <mergeCell ref="A87:A89"/>
    <mergeCell ref="B87:B89"/>
    <mergeCell ref="C87:C89"/>
    <mergeCell ref="D87:D89"/>
    <mergeCell ref="E87:E89"/>
    <mergeCell ref="F87:F89"/>
    <mergeCell ref="K87:K89"/>
    <mergeCell ref="A84:A86"/>
    <mergeCell ref="B84:B86"/>
    <mergeCell ref="C84:C86"/>
    <mergeCell ref="D84:D86"/>
    <mergeCell ref="E84:E86"/>
    <mergeCell ref="F84:F86"/>
    <mergeCell ref="K90:K92"/>
    <mergeCell ref="A93:A95"/>
    <mergeCell ref="B93:B95"/>
    <mergeCell ref="C93:C95"/>
    <mergeCell ref="D93:D95"/>
    <mergeCell ref="E93:E95"/>
    <mergeCell ref="F93:F95"/>
    <mergeCell ref="K93:K95"/>
    <mergeCell ref="A90:A92"/>
    <mergeCell ref="B90:B92"/>
    <mergeCell ref="C90:C92"/>
    <mergeCell ref="D90:D92"/>
    <mergeCell ref="E90:E92"/>
    <mergeCell ref="F90:F92"/>
    <mergeCell ref="K96:K98"/>
    <mergeCell ref="A99:A101"/>
    <mergeCell ref="B99:B101"/>
    <mergeCell ref="C99:C101"/>
    <mergeCell ref="D99:D101"/>
    <mergeCell ref="E99:E101"/>
    <mergeCell ref="F99:F101"/>
    <mergeCell ref="K99:K101"/>
    <mergeCell ref="A96:A98"/>
    <mergeCell ref="B96:B98"/>
    <mergeCell ref="C96:C98"/>
    <mergeCell ref="D96:D98"/>
    <mergeCell ref="E96:E98"/>
    <mergeCell ref="F96:F98"/>
    <mergeCell ref="B110:B112"/>
    <mergeCell ref="C110:C112"/>
    <mergeCell ref="D110:D112"/>
    <mergeCell ref="E110:E112"/>
    <mergeCell ref="F110:F112"/>
    <mergeCell ref="A113:K113"/>
    <mergeCell ref="K102:K104"/>
    <mergeCell ref="A105:K105"/>
    <mergeCell ref="A107:A109"/>
    <mergeCell ref="B107:B109"/>
    <mergeCell ref="C107:C109"/>
    <mergeCell ref="D107:D109"/>
    <mergeCell ref="E107:E109"/>
    <mergeCell ref="F107:F109"/>
    <mergeCell ref="K107:K112"/>
    <mergeCell ref="A110:A112"/>
    <mergeCell ref="A102:A104"/>
    <mergeCell ref="B102:B104"/>
    <mergeCell ref="C102:C104"/>
    <mergeCell ref="D102:D104"/>
    <mergeCell ref="E102:E104"/>
    <mergeCell ref="F102:F104"/>
    <mergeCell ref="B120:B123"/>
    <mergeCell ref="C120:C123"/>
    <mergeCell ref="D120:D123"/>
    <mergeCell ref="E120:E123"/>
    <mergeCell ref="I122:J122"/>
    <mergeCell ref="A124:K124"/>
    <mergeCell ref="A114:K114"/>
    <mergeCell ref="A116:A119"/>
    <mergeCell ref="B116:B119"/>
    <mergeCell ref="C116:C119"/>
    <mergeCell ref="D116:D119"/>
    <mergeCell ref="E116:E119"/>
    <mergeCell ref="F116:F123"/>
    <mergeCell ref="K116:K123"/>
    <mergeCell ref="I118:J118"/>
    <mergeCell ref="A120:A123"/>
    <mergeCell ref="A134:K134"/>
    <mergeCell ref="A136:A138"/>
    <mergeCell ref="B136:B138"/>
    <mergeCell ref="C136:C138"/>
    <mergeCell ref="D136:D138"/>
    <mergeCell ref="E136:E138"/>
    <mergeCell ref="F136:F138"/>
    <mergeCell ref="K136:K138"/>
    <mergeCell ref="K126:K133"/>
    <mergeCell ref="I128:J128"/>
    <mergeCell ref="A130:A133"/>
    <mergeCell ref="B130:B133"/>
    <mergeCell ref="C130:C133"/>
    <mergeCell ref="D130:D133"/>
    <mergeCell ref="E130:E133"/>
    <mergeCell ref="I131:J131"/>
    <mergeCell ref="A126:A129"/>
    <mergeCell ref="B126:B129"/>
    <mergeCell ref="C126:C129"/>
    <mergeCell ref="D126:D129"/>
    <mergeCell ref="E126:E129"/>
    <mergeCell ref="F126:F133"/>
    <mergeCell ref="K139:K141"/>
    <mergeCell ref="A142:A144"/>
    <mergeCell ref="B142:B144"/>
    <mergeCell ref="C142:C144"/>
    <mergeCell ref="D142:D144"/>
    <mergeCell ref="E142:E144"/>
    <mergeCell ref="F142:F144"/>
    <mergeCell ref="K142:K144"/>
    <mergeCell ref="A139:A141"/>
    <mergeCell ref="B139:B141"/>
    <mergeCell ref="C139:C141"/>
    <mergeCell ref="D139:D141"/>
    <mergeCell ref="E139:E141"/>
    <mergeCell ref="F139:F141"/>
    <mergeCell ref="K145:K147"/>
    <mergeCell ref="A148:A150"/>
    <mergeCell ref="B148:B150"/>
    <mergeCell ref="C148:C150"/>
    <mergeCell ref="D148:D150"/>
    <mergeCell ref="E148:E150"/>
    <mergeCell ref="F148:F150"/>
    <mergeCell ref="K148:K150"/>
    <mergeCell ref="A145:A147"/>
    <mergeCell ref="B145:B147"/>
    <mergeCell ref="C145:C147"/>
    <mergeCell ref="D145:D147"/>
    <mergeCell ref="E145:E147"/>
    <mergeCell ref="F145:F147"/>
    <mergeCell ref="K151:K153"/>
    <mergeCell ref="A154:A156"/>
    <mergeCell ref="B154:B156"/>
    <mergeCell ref="C154:C156"/>
    <mergeCell ref="D154:D156"/>
    <mergeCell ref="E154:E156"/>
    <mergeCell ref="F154:F156"/>
    <mergeCell ref="K154:K156"/>
    <mergeCell ref="A151:A153"/>
    <mergeCell ref="B151:B153"/>
    <mergeCell ref="C151:C153"/>
    <mergeCell ref="D151:D153"/>
    <mergeCell ref="E151:E153"/>
    <mergeCell ref="F151:F153"/>
    <mergeCell ref="K157:K159"/>
    <mergeCell ref="A160:A162"/>
    <mergeCell ref="B160:B162"/>
    <mergeCell ref="C160:C162"/>
    <mergeCell ref="D160:D162"/>
    <mergeCell ref="E160:E162"/>
    <mergeCell ref="F160:F162"/>
    <mergeCell ref="K160:K162"/>
    <mergeCell ref="A157:A159"/>
    <mergeCell ref="B157:B159"/>
    <mergeCell ref="C157:C159"/>
    <mergeCell ref="D157:D159"/>
    <mergeCell ref="E157:E159"/>
    <mergeCell ref="F157:F159"/>
    <mergeCell ref="K163:K165"/>
    <mergeCell ref="A166:A168"/>
    <mergeCell ref="B166:B168"/>
    <mergeCell ref="C166:C168"/>
    <mergeCell ref="D166:D168"/>
    <mergeCell ref="E166:E168"/>
    <mergeCell ref="F166:F168"/>
    <mergeCell ref="K166:K168"/>
    <mergeCell ref="A163:A165"/>
    <mergeCell ref="B163:B165"/>
    <mergeCell ref="C163:C165"/>
    <mergeCell ref="D163:D165"/>
    <mergeCell ref="E163:E165"/>
    <mergeCell ref="F163:F165"/>
    <mergeCell ref="K169:K171"/>
    <mergeCell ref="A172:A174"/>
    <mergeCell ref="B172:B174"/>
    <mergeCell ref="C172:C174"/>
    <mergeCell ref="D172:D174"/>
    <mergeCell ref="E172:E174"/>
    <mergeCell ref="F172:F174"/>
    <mergeCell ref="K172:K174"/>
    <mergeCell ref="A169:A171"/>
    <mergeCell ref="B169:B171"/>
    <mergeCell ref="C169:C171"/>
    <mergeCell ref="D169:D171"/>
    <mergeCell ref="E169:E171"/>
    <mergeCell ref="F169:F171"/>
    <mergeCell ref="A175:A176"/>
    <mergeCell ref="B175:D176"/>
    <mergeCell ref="E175:E176"/>
    <mergeCell ref="F175:F176"/>
    <mergeCell ref="K175:K176"/>
    <mergeCell ref="A177:A179"/>
    <mergeCell ref="B177:B179"/>
    <mergeCell ref="C177:C179"/>
    <mergeCell ref="D177:D179"/>
    <mergeCell ref="E177:E179"/>
    <mergeCell ref="F177:F179"/>
    <mergeCell ref="K177:K179"/>
    <mergeCell ref="A180:A182"/>
    <mergeCell ref="B180:B182"/>
    <mergeCell ref="C180:C182"/>
    <mergeCell ref="D180:D182"/>
    <mergeCell ref="E180:E182"/>
    <mergeCell ref="F180:F182"/>
    <mergeCell ref="K180:K182"/>
    <mergeCell ref="K183:K185"/>
    <mergeCell ref="A186:A188"/>
    <mergeCell ref="B186:B188"/>
    <mergeCell ref="C186:C188"/>
    <mergeCell ref="D186:D188"/>
    <mergeCell ref="E186:E188"/>
    <mergeCell ref="F186:F188"/>
    <mergeCell ref="K186:K188"/>
    <mergeCell ref="A183:A185"/>
    <mergeCell ref="B183:B185"/>
    <mergeCell ref="C183:C185"/>
    <mergeCell ref="D183:D185"/>
    <mergeCell ref="E183:E185"/>
    <mergeCell ref="F183:F185"/>
    <mergeCell ref="K189:K190"/>
    <mergeCell ref="A191:A193"/>
    <mergeCell ref="B191:B193"/>
    <mergeCell ref="C191:C193"/>
    <mergeCell ref="D191:D193"/>
    <mergeCell ref="E191:E193"/>
    <mergeCell ref="F191:F193"/>
    <mergeCell ref="K191:K193"/>
    <mergeCell ref="A189:A190"/>
    <mergeCell ref="B189:B190"/>
    <mergeCell ref="C189:C190"/>
    <mergeCell ref="D189:D190"/>
    <mergeCell ref="E189:E190"/>
    <mergeCell ref="F189:F190"/>
    <mergeCell ref="K194:K196"/>
    <mergeCell ref="A197:A199"/>
    <mergeCell ref="B197:B199"/>
    <mergeCell ref="C197:C199"/>
    <mergeCell ref="D197:D199"/>
    <mergeCell ref="E197:E199"/>
    <mergeCell ref="F197:F199"/>
    <mergeCell ref="K197:K199"/>
    <mergeCell ref="A194:A196"/>
    <mergeCell ref="B194:B196"/>
    <mergeCell ref="C194:C196"/>
    <mergeCell ref="D194:D196"/>
    <mergeCell ref="E194:E196"/>
    <mergeCell ref="F194:F196"/>
  </mergeCells>
  <phoneticPr fontId="140" type="noConversion"/>
  <printOptions horizontalCentered="1" verticalCentered="1"/>
  <pageMargins left="0.39370078740157483" right="0.39370078740157483" top="0.59055118110236227" bottom="0.23622047244094491" header="0.15748031496062992" footer="0.23622047244094491"/>
  <pageSetup paperSize="9" scale="85" orientation="portrait" r:id="rId1"/>
  <headerFooter>
    <oddHeader>&amp;C&amp;"-,加粗"&amp;12
                    &amp;16厨柜、浴室柜包装材料用量表          &amp;8版本号：130222</oddHeader>
    <oddFooter>&amp;L&amp;8北京意德法家木业有限公司技术部编制&amp;R第 &amp;P 页，共 &amp;N 页</oddFooter>
  </headerFooter>
</worksheet>
</file>

<file path=xl/worksheets/sheet9.xml><?xml version="1.0" encoding="utf-8"?>
<worksheet xmlns="http://schemas.openxmlformats.org/spreadsheetml/2006/main" xmlns:r="http://schemas.openxmlformats.org/officeDocument/2006/relationships">
  <dimension ref="A1:O209"/>
  <sheetViews>
    <sheetView view="pageBreakPreview" zoomScaleSheetLayoutView="100" workbookViewId="0">
      <selection activeCell="F116" sqref="F116:F123"/>
    </sheetView>
  </sheetViews>
  <sheetFormatPr defaultColWidth="8.875" defaultRowHeight="19.5" customHeight="1"/>
  <cols>
    <col min="1" max="4" width="5.375" style="884" customWidth="1"/>
    <col min="5" max="5" width="5.375" style="917" customWidth="1"/>
    <col min="6" max="6" width="6.375" style="884" customWidth="1"/>
    <col min="7" max="7" width="38.625" style="884" customWidth="1"/>
    <col min="8" max="8" width="1.125" style="884" hidden="1" customWidth="1"/>
    <col min="9" max="9" width="5.5" style="884" bestFit="1" customWidth="1"/>
    <col min="10" max="10" width="4.875" style="884" customWidth="1"/>
    <col min="11" max="11" width="13.75" style="916" customWidth="1"/>
    <col min="12" max="12" width="8.875" style="884"/>
    <col min="13" max="13" width="26.5" style="884" customWidth="1"/>
    <col min="14" max="16384" width="8.875" style="884"/>
  </cols>
  <sheetData>
    <row r="1" spans="1:13" ht="19.5" customHeight="1">
      <c r="A1" s="1289" t="s">
        <v>2151</v>
      </c>
      <c r="B1" s="1289"/>
      <c r="C1" s="1289"/>
      <c r="D1" s="1289"/>
      <c r="E1" s="1289"/>
      <c r="F1" s="1289"/>
      <c r="G1" s="1289"/>
      <c r="H1" s="1289"/>
      <c r="I1" s="1289"/>
      <c r="J1" s="1289"/>
      <c r="K1" s="1289"/>
    </row>
    <row r="2" spans="1:13" ht="19.5" customHeight="1">
      <c r="A2" s="1290" t="s">
        <v>51</v>
      </c>
      <c r="B2" s="1290"/>
      <c r="C2" s="885" t="str">
        <f>下料单!H2</f>
        <v>S400383705</v>
      </c>
      <c r="D2" s="885"/>
      <c r="E2" s="885"/>
      <c r="F2" s="885"/>
      <c r="G2" s="885"/>
      <c r="H2" s="885"/>
      <c r="I2" s="1290" t="s">
        <v>398</v>
      </c>
      <c r="J2" s="1290"/>
      <c r="K2" s="886" t="str">
        <f>下料单!S2</f>
        <v>西安</v>
      </c>
    </row>
    <row r="3" spans="1:13" ht="19.5" customHeight="1">
      <c r="A3" s="1291" t="s">
        <v>42</v>
      </c>
      <c r="B3" s="1291"/>
      <c r="C3" s="1291" t="str">
        <f>下料单!C2</f>
        <v>杜鹃</v>
      </c>
      <c r="D3" s="1291"/>
      <c r="E3" s="1291" t="s">
        <v>53</v>
      </c>
      <c r="F3" s="1291"/>
      <c r="G3" s="1292"/>
      <c r="H3" s="1292"/>
      <c r="I3" s="1291" t="s">
        <v>44</v>
      </c>
      <c r="J3" s="1291"/>
      <c r="K3" s="1293" t="str">
        <f>下料单!AC2</f>
        <v>免漆</v>
      </c>
    </row>
    <row r="4" spans="1:13" ht="19.5" customHeight="1">
      <c r="A4" s="1291" t="str">
        <f>[4]下料单!P2</f>
        <v>版本型录号</v>
      </c>
      <c r="B4" s="1291"/>
      <c r="C4" s="1291">
        <f>下料单!N2</f>
        <v>0</v>
      </c>
      <c r="D4" s="1291"/>
      <c r="E4" s="1291" t="s">
        <v>95</v>
      </c>
      <c r="F4" s="1291"/>
      <c r="G4" s="1295"/>
      <c r="H4" s="1295"/>
      <c r="I4" s="1291"/>
      <c r="J4" s="1291"/>
      <c r="K4" s="1294"/>
    </row>
    <row r="5" spans="1:13" ht="19.5" hidden="1" customHeight="1">
      <c r="A5" s="1296" t="s">
        <v>616</v>
      </c>
      <c r="B5" s="1296"/>
      <c r="C5" s="1296"/>
      <c r="D5" s="1296"/>
      <c r="E5" s="1296"/>
      <c r="F5" s="1296"/>
      <c r="G5" s="1296"/>
      <c r="H5" s="1296"/>
      <c r="I5" s="1296"/>
      <c r="J5" s="1296"/>
      <c r="K5" s="1296"/>
    </row>
    <row r="6" spans="1:13" ht="19.5" hidden="1" customHeight="1">
      <c r="A6" s="1297" t="s">
        <v>1812</v>
      </c>
      <c r="B6" s="1298"/>
      <c r="C6" s="1298"/>
      <c r="D6" s="1298"/>
      <c r="E6" s="1298"/>
      <c r="F6" s="1298"/>
      <c r="G6" s="1298"/>
      <c r="H6" s="1298"/>
      <c r="I6" s="1298"/>
      <c r="J6" s="1298"/>
      <c r="K6" s="1299"/>
    </row>
    <row r="7" spans="1:13" ht="19.5" hidden="1" customHeight="1">
      <c r="A7" s="887" t="s">
        <v>608</v>
      </c>
      <c r="B7" s="887" t="s">
        <v>598</v>
      </c>
      <c r="C7" s="887" t="s">
        <v>597</v>
      </c>
      <c r="D7" s="887" t="s">
        <v>596</v>
      </c>
      <c r="E7" s="888"/>
      <c r="F7" s="887" t="s">
        <v>607</v>
      </c>
      <c r="G7" s="887" t="s">
        <v>1979</v>
      </c>
      <c r="H7" s="887" t="s">
        <v>1980</v>
      </c>
      <c r="I7" s="887" t="s">
        <v>592</v>
      </c>
      <c r="J7" s="887" t="s">
        <v>591</v>
      </c>
      <c r="K7" s="887" t="s">
        <v>590</v>
      </c>
      <c r="M7" s="889"/>
    </row>
    <row r="8" spans="1:13" ht="19.5" hidden="1" customHeight="1">
      <c r="A8" s="1300">
        <v>1</v>
      </c>
      <c r="B8" s="1300">
        <v>150</v>
      </c>
      <c r="C8" s="1300">
        <v>720</v>
      </c>
      <c r="D8" s="1300">
        <v>560</v>
      </c>
      <c r="E8" s="1303"/>
      <c r="F8" s="1300" t="s">
        <v>1981</v>
      </c>
      <c r="G8" s="890" t="s">
        <v>1982</v>
      </c>
      <c r="H8" s="890" t="s">
        <v>615</v>
      </c>
      <c r="I8" s="887">
        <f>+E8*1</f>
        <v>0</v>
      </c>
      <c r="J8" s="887" t="s">
        <v>1983</v>
      </c>
      <c r="K8" s="1300" t="s">
        <v>1984</v>
      </c>
    </row>
    <row r="9" spans="1:13" ht="19.5" hidden="1" customHeight="1">
      <c r="A9" s="1301"/>
      <c r="B9" s="1301"/>
      <c r="C9" s="1301"/>
      <c r="D9" s="1301"/>
      <c r="E9" s="1304"/>
      <c r="F9" s="1301"/>
      <c r="G9" s="890" t="s">
        <v>541</v>
      </c>
      <c r="H9" s="890" t="s">
        <v>1985</v>
      </c>
      <c r="I9" s="887">
        <f>+E8*8</f>
        <v>0</v>
      </c>
      <c r="J9" s="887" t="s">
        <v>1983</v>
      </c>
      <c r="K9" s="1301"/>
    </row>
    <row r="10" spans="1:13" ht="19.5" hidden="1" customHeight="1">
      <c r="A10" s="1301"/>
      <c r="B10" s="1301"/>
      <c r="C10" s="1301"/>
      <c r="D10" s="1301"/>
      <c r="E10" s="1304"/>
      <c r="F10" s="1301"/>
      <c r="G10" s="890" t="s">
        <v>1986</v>
      </c>
      <c r="H10" s="890" t="s">
        <v>527</v>
      </c>
      <c r="I10" s="887">
        <f>+E8*1.6</f>
        <v>0</v>
      </c>
      <c r="J10" s="887" t="s">
        <v>410</v>
      </c>
      <c r="K10" s="1301"/>
    </row>
    <row r="11" spans="1:13" ht="19.5" hidden="1" customHeight="1">
      <c r="A11" s="1302"/>
      <c r="B11" s="1302"/>
      <c r="C11" s="1302"/>
      <c r="D11" s="1302"/>
      <c r="E11" s="1305"/>
      <c r="F11" s="1302"/>
      <c r="G11" s="891" t="s">
        <v>1987</v>
      </c>
      <c r="H11" s="890"/>
      <c r="I11" s="887">
        <f>E8*0.5</f>
        <v>0</v>
      </c>
      <c r="J11" s="887" t="s">
        <v>1988</v>
      </c>
      <c r="K11" s="1302"/>
    </row>
    <row r="12" spans="1:13" ht="19.5" hidden="1" customHeight="1">
      <c r="A12" s="1300">
        <v>2</v>
      </c>
      <c r="B12" s="1300">
        <v>150</v>
      </c>
      <c r="C12" s="1300">
        <v>720</v>
      </c>
      <c r="D12" s="1300">
        <v>560</v>
      </c>
      <c r="E12" s="1303"/>
      <c r="F12" s="1300" t="s">
        <v>1981</v>
      </c>
      <c r="G12" s="890" t="s">
        <v>1989</v>
      </c>
      <c r="H12" s="890" t="s">
        <v>615</v>
      </c>
      <c r="I12" s="887">
        <f>+E12*0.7</f>
        <v>0</v>
      </c>
      <c r="J12" s="887" t="s">
        <v>1988</v>
      </c>
      <c r="K12" s="1300" t="s">
        <v>1990</v>
      </c>
    </row>
    <row r="13" spans="1:13" ht="19.5" hidden="1" customHeight="1">
      <c r="A13" s="1301"/>
      <c r="B13" s="1301"/>
      <c r="C13" s="1301"/>
      <c r="D13" s="1301"/>
      <c r="E13" s="1304"/>
      <c r="F13" s="1301"/>
      <c r="G13" s="890" t="s">
        <v>541</v>
      </c>
      <c r="H13" s="890" t="s">
        <v>1985</v>
      </c>
      <c r="I13" s="887">
        <f>+E12*8</f>
        <v>0</v>
      </c>
      <c r="J13" s="887" t="s">
        <v>1983</v>
      </c>
      <c r="K13" s="1301"/>
    </row>
    <row r="14" spans="1:13" ht="19.5" hidden="1" customHeight="1">
      <c r="A14" s="1301"/>
      <c r="B14" s="1301"/>
      <c r="C14" s="1301"/>
      <c r="D14" s="1301"/>
      <c r="E14" s="1304"/>
      <c r="F14" s="1301"/>
      <c r="G14" s="890" t="s">
        <v>1827</v>
      </c>
      <c r="H14" s="890" t="s">
        <v>527</v>
      </c>
      <c r="I14" s="887">
        <f>+E12*1.6</f>
        <v>0</v>
      </c>
      <c r="J14" s="887" t="s">
        <v>410</v>
      </c>
      <c r="K14" s="1301"/>
    </row>
    <row r="15" spans="1:13" ht="19.5" hidden="1" customHeight="1">
      <c r="A15" s="1302"/>
      <c r="B15" s="1302"/>
      <c r="C15" s="1302"/>
      <c r="D15" s="1302"/>
      <c r="E15" s="1305"/>
      <c r="F15" s="1302"/>
      <c r="G15" s="891" t="s">
        <v>1987</v>
      </c>
      <c r="H15" s="890"/>
      <c r="I15" s="887">
        <f>E12*0.5</f>
        <v>0</v>
      </c>
      <c r="J15" s="887" t="s">
        <v>1988</v>
      </c>
      <c r="K15" s="1302"/>
    </row>
    <row r="16" spans="1:13" ht="19.5" hidden="1" customHeight="1">
      <c r="A16" s="1300">
        <v>3</v>
      </c>
      <c r="B16" s="1300">
        <v>300</v>
      </c>
      <c r="C16" s="1300">
        <v>720</v>
      </c>
      <c r="D16" s="1300">
        <v>560</v>
      </c>
      <c r="E16" s="1303"/>
      <c r="F16" s="1300" t="s">
        <v>1981</v>
      </c>
      <c r="G16" s="890" t="s">
        <v>1991</v>
      </c>
      <c r="H16" s="890" t="s">
        <v>615</v>
      </c>
      <c r="I16" s="887">
        <f>+E16*1</f>
        <v>0</v>
      </c>
      <c r="J16" s="887" t="s">
        <v>1983</v>
      </c>
      <c r="K16" s="887"/>
    </row>
    <row r="17" spans="1:11" ht="19.5" hidden="1" customHeight="1">
      <c r="A17" s="1301"/>
      <c r="B17" s="1301"/>
      <c r="C17" s="1301"/>
      <c r="D17" s="1301"/>
      <c r="E17" s="1304"/>
      <c r="F17" s="1301"/>
      <c r="G17" s="890" t="s">
        <v>541</v>
      </c>
      <c r="H17" s="890" t="s">
        <v>1985</v>
      </c>
      <c r="I17" s="887">
        <f>+E16*8</f>
        <v>0</v>
      </c>
      <c r="J17" s="887" t="s">
        <v>1983</v>
      </c>
      <c r="K17" s="887"/>
    </row>
    <row r="18" spans="1:11" ht="19.5" hidden="1" customHeight="1">
      <c r="A18" s="1301"/>
      <c r="B18" s="1301"/>
      <c r="C18" s="1301"/>
      <c r="D18" s="1301"/>
      <c r="E18" s="1304"/>
      <c r="F18" s="1301"/>
      <c r="G18" s="890" t="s">
        <v>1986</v>
      </c>
      <c r="H18" s="890" t="s">
        <v>527</v>
      </c>
      <c r="I18" s="887">
        <f>+E16*1.9</f>
        <v>0</v>
      </c>
      <c r="J18" s="887" t="s">
        <v>410</v>
      </c>
      <c r="K18" s="887"/>
    </row>
    <row r="19" spans="1:11" ht="19.5" hidden="1" customHeight="1">
      <c r="A19" s="1302"/>
      <c r="B19" s="1302"/>
      <c r="C19" s="1302"/>
      <c r="D19" s="1302"/>
      <c r="E19" s="1305"/>
      <c r="F19" s="1302"/>
      <c r="G19" s="891" t="s">
        <v>1987</v>
      </c>
      <c r="H19" s="890"/>
      <c r="I19" s="887">
        <f>E16*0.5</f>
        <v>0</v>
      </c>
      <c r="J19" s="887" t="s">
        <v>1988</v>
      </c>
      <c r="K19" s="887"/>
    </row>
    <row r="20" spans="1:11" ht="19.5" hidden="1" customHeight="1">
      <c r="A20" s="1300">
        <v>4</v>
      </c>
      <c r="B20" s="1300">
        <v>450</v>
      </c>
      <c r="C20" s="1300">
        <v>720</v>
      </c>
      <c r="D20" s="1300">
        <v>560</v>
      </c>
      <c r="E20" s="1303"/>
      <c r="F20" s="1300" t="s">
        <v>1992</v>
      </c>
      <c r="G20" s="890" t="s">
        <v>1993</v>
      </c>
      <c r="H20" s="890" t="s">
        <v>615</v>
      </c>
      <c r="I20" s="887">
        <f>+E20*1</f>
        <v>0</v>
      </c>
      <c r="J20" s="887" t="s">
        <v>1983</v>
      </c>
      <c r="K20" s="887"/>
    </row>
    <row r="21" spans="1:11" ht="19.5" hidden="1" customHeight="1">
      <c r="A21" s="1301"/>
      <c r="B21" s="1301"/>
      <c r="C21" s="1301"/>
      <c r="D21" s="1301"/>
      <c r="E21" s="1304"/>
      <c r="F21" s="1301"/>
      <c r="G21" s="890" t="s">
        <v>541</v>
      </c>
      <c r="H21" s="890" t="s">
        <v>1985</v>
      </c>
      <c r="I21" s="887">
        <f>+E20*8</f>
        <v>0</v>
      </c>
      <c r="J21" s="887" t="s">
        <v>1983</v>
      </c>
      <c r="K21" s="887"/>
    </row>
    <row r="22" spans="1:11" ht="19.5" hidden="1" customHeight="1">
      <c r="A22" s="1301"/>
      <c r="B22" s="1301"/>
      <c r="C22" s="1301"/>
      <c r="D22" s="1301"/>
      <c r="E22" s="1304"/>
      <c r="F22" s="1301"/>
      <c r="G22" s="890" t="s">
        <v>1986</v>
      </c>
      <c r="H22" s="890" t="s">
        <v>527</v>
      </c>
      <c r="I22" s="887">
        <f>+E20*2.2</f>
        <v>0</v>
      </c>
      <c r="J22" s="887" t="s">
        <v>1994</v>
      </c>
      <c r="K22" s="887"/>
    </row>
    <row r="23" spans="1:11" ht="19.5" hidden="1" customHeight="1">
      <c r="A23" s="1302"/>
      <c r="B23" s="1302"/>
      <c r="C23" s="1302"/>
      <c r="D23" s="1302"/>
      <c r="E23" s="1305"/>
      <c r="F23" s="1302"/>
      <c r="G23" s="891" t="s">
        <v>1987</v>
      </c>
      <c r="H23" s="890"/>
      <c r="I23" s="887">
        <f>E20*0.5</f>
        <v>0</v>
      </c>
      <c r="J23" s="887" t="s">
        <v>1988</v>
      </c>
      <c r="K23" s="887"/>
    </row>
    <row r="24" spans="1:11" ht="19.5" hidden="1" customHeight="1">
      <c r="A24" s="1300">
        <v>5</v>
      </c>
      <c r="B24" s="1300">
        <v>600</v>
      </c>
      <c r="C24" s="1300">
        <v>720</v>
      </c>
      <c r="D24" s="1300">
        <v>560</v>
      </c>
      <c r="E24" s="1303"/>
      <c r="F24" s="1300" t="s">
        <v>1992</v>
      </c>
      <c r="G24" s="892" t="s">
        <v>1995</v>
      </c>
      <c r="H24" s="890" t="s">
        <v>614</v>
      </c>
      <c r="I24" s="887">
        <f>+E24*1</f>
        <v>0</v>
      </c>
      <c r="J24" s="887" t="s">
        <v>1983</v>
      </c>
      <c r="K24" s="887"/>
    </row>
    <row r="25" spans="1:11" ht="19.5" hidden="1" customHeight="1">
      <c r="A25" s="1301"/>
      <c r="B25" s="1301"/>
      <c r="C25" s="1301"/>
      <c r="D25" s="1301"/>
      <c r="E25" s="1304"/>
      <c r="F25" s="1301"/>
      <c r="G25" s="890" t="s">
        <v>541</v>
      </c>
      <c r="H25" s="890" t="s">
        <v>1985</v>
      </c>
      <c r="I25" s="887">
        <f>+E24*8</f>
        <v>0</v>
      </c>
      <c r="J25" s="887" t="s">
        <v>1983</v>
      </c>
      <c r="K25" s="887"/>
    </row>
    <row r="26" spans="1:11" ht="19.5" hidden="1" customHeight="1">
      <c r="A26" s="1301"/>
      <c r="B26" s="1301"/>
      <c r="C26" s="1301"/>
      <c r="D26" s="1301"/>
      <c r="E26" s="1304"/>
      <c r="F26" s="1301"/>
      <c r="G26" s="890" t="s">
        <v>1827</v>
      </c>
      <c r="H26" s="890" t="s">
        <v>527</v>
      </c>
      <c r="I26" s="887">
        <f>+E24*2.5</f>
        <v>0</v>
      </c>
      <c r="J26" s="887" t="s">
        <v>410</v>
      </c>
      <c r="K26" s="887"/>
    </row>
    <row r="27" spans="1:11" ht="19.5" hidden="1" customHeight="1">
      <c r="A27" s="1301"/>
      <c r="B27" s="1301"/>
      <c r="C27" s="1301"/>
      <c r="D27" s="1301"/>
      <c r="E27" s="1304"/>
      <c r="F27" s="1301"/>
      <c r="G27" s="890" t="s">
        <v>1996</v>
      </c>
      <c r="H27" s="893" t="s">
        <v>611</v>
      </c>
      <c r="I27" s="1306" t="s">
        <v>1997</v>
      </c>
      <c r="J27" s="1306"/>
      <c r="K27" s="894" t="s">
        <v>1998</v>
      </c>
    </row>
    <row r="28" spans="1:11" ht="19.5" hidden="1" customHeight="1">
      <c r="A28" s="1302"/>
      <c r="B28" s="1302"/>
      <c r="C28" s="1302"/>
      <c r="D28" s="1302"/>
      <c r="E28" s="1305"/>
      <c r="F28" s="1302"/>
      <c r="G28" s="891" t="s">
        <v>1987</v>
      </c>
      <c r="H28" s="893"/>
      <c r="I28" s="887">
        <f>E24*0.5</f>
        <v>0</v>
      </c>
      <c r="J28" s="887" t="s">
        <v>1988</v>
      </c>
      <c r="K28" s="894"/>
    </row>
    <row r="29" spans="1:11" ht="19.5" hidden="1" customHeight="1">
      <c r="A29" s="1300">
        <v>6</v>
      </c>
      <c r="B29" s="1300">
        <v>900</v>
      </c>
      <c r="C29" s="1300">
        <v>720</v>
      </c>
      <c r="D29" s="1300">
        <v>560</v>
      </c>
      <c r="E29" s="1303"/>
      <c r="F29" s="1300" t="s">
        <v>1992</v>
      </c>
      <c r="G29" s="890" t="s">
        <v>1999</v>
      </c>
      <c r="H29" s="890" t="s">
        <v>613</v>
      </c>
      <c r="I29" s="887">
        <f>+E29*1</f>
        <v>0</v>
      </c>
      <c r="J29" s="887" t="s">
        <v>1983</v>
      </c>
      <c r="K29" s="887"/>
    </row>
    <row r="30" spans="1:11" ht="19.5" hidden="1" customHeight="1">
      <c r="A30" s="1301"/>
      <c r="B30" s="1301"/>
      <c r="C30" s="1301"/>
      <c r="D30" s="1301"/>
      <c r="E30" s="1304"/>
      <c r="F30" s="1301"/>
      <c r="G30" s="890" t="s">
        <v>541</v>
      </c>
      <c r="H30" s="890" t="s">
        <v>1985</v>
      </c>
      <c r="I30" s="887">
        <f>+E29*8</f>
        <v>0</v>
      </c>
      <c r="J30" s="887" t="s">
        <v>1983</v>
      </c>
      <c r="K30" s="887"/>
    </row>
    <row r="31" spans="1:11" ht="19.5" hidden="1" customHeight="1">
      <c r="A31" s="1301"/>
      <c r="B31" s="1301"/>
      <c r="C31" s="1301"/>
      <c r="D31" s="1301"/>
      <c r="E31" s="1304"/>
      <c r="F31" s="1301"/>
      <c r="G31" s="890" t="s">
        <v>1827</v>
      </c>
      <c r="H31" s="890" t="s">
        <v>527</v>
      </c>
      <c r="I31" s="887">
        <f>+E29*3.1</f>
        <v>0</v>
      </c>
      <c r="J31" s="887" t="s">
        <v>410</v>
      </c>
      <c r="K31" s="887"/>
    </row>
    <row r="32" spans="1:11" ht="19.5" hidden="1" customHeight="1">
      <c r="A32" s="1301"/>
      <c r="B32" s="1301"/>
      <c r="C32" s="1301"/>
      <c r="D32" s="1301"/>
      <c r="E32" s="1304"/>
      <c r="F32" s="1301"/>
      <c r="G32" s="890" t="s">
        <v>1996</v>
      </c>
      <c r="H32" s="893" t="s">
        <v>611</v>
      </c>
      <c r="I32" s="1306" t="s">
        <v>1997</v>
      </c>
      <c r="J32" s="1306"/>
      <c r="K32" s="894" t="s">
        <v>1998</v>
      </c>
    </row>
    <row r="33" spans="1:11" ht="19.5" hidden="1" customHeight="1">
      <c r="A33" s="1302"/>
      <c r="B33" s="1302"/>
      <c r="C33" s="1302"/>
      <c r="D33" s="1302"/>
      <c r="E33" s="1305"/>
      <c r="F33" s="1302"/>
      <c r="G33" s="891" t="s">
        <v>1987</v>
      </c>
      <c r="H33" s="895"/>
      <c r="I33" s="887">
        <f>E29*1</f>
        <v>0</v>
      </c>
      <c r="J33" s="887" t="s">
        <v>1988</v>
      </c>
      <c r="K33" s="896"/>
    </row>
    <row r="34" spans="1:11" ht="19.5" hidden="1" customHeight="1">
      <c r="A34" s="1297" t="s">
        <v>2000</v>
      </c>
      <c r="B34" s="1298"/>
      <c r="C34" s="1298"/>
      <c r="D34" s="1298"/>
      <c r="E34" s="1298"/>
      <c r="F34" s="1298"/>
      <c r="G34" s="1298"/>
      <c r="H34" s="1298"/>
      <c r="I34" s="1298"/>
      <c r="J34" s="1298"/>
      <c r="K34" s="1299"/>
    </row>
    <row r="35" spans="1:11" ht="19.5" hidden="1" customHeight="1">
      <c r="A35" s="887" t="s">
        <v>608</v>
      </c>
      <c r="B35" s="887" t="s">
        <v>2001</v>
      </c>
      <c r="C35" s="887" t="s">
        <v>2002</v>
      </c>
      <c r="D35" s="887" t="s">
        <v>2003</v>
      </c>
      <c r="E35" s="888"/>
      <c r="F35" s="887" t="s">
        <v>2004</v>
      </c>
      <c r="G35" s="887" t="s">
        <v>1979</v>
      </c>
      <c r="H35" s="887" t="s">
        <v>1980</v>
      </c>
      <c r="I35" s="887" t="s">
        <v>592</v>
      </c>
      <c r="J35" s="887" t="s">
        <v>591</v>
      </c>
      <c r="K35" s="887" t="s">
        <v>2005</v>
      </c>
    </row>
    <row r="36" spans="1:11" ht="19.5" hidden="1" customHeight="1">
      <c r="A36" s="1300">
        <v>1</v>
      </c>
      <c r="B36" s="1300" t="s">
        <v>2006</v>
      </c>
      <c r="C36" s="1300" t="s">
        <v>2007</v>
      </c>
      <c r="D36" s="1300" t="s">
        <v>2007</v>
      </c>
      <c r="E36" s="1303"/>
      <c r="F36" s="1300" t="s">
        <v>2008</v>
      </c>
      <c r="G36" s="890" t="s">
        <v>1989</v>
      </c>
      <c r="H36" s="893" t="s">
        <v>2009</v>
      </c>
      <c r="I36" s="887">
        <f>+E36*1</f>
        <v>0</v>
      </c>
      <c r="J36" s="887" t="s">
        <v>1988</v>
      </c>
      <c r="K36" s="887"/>
    </row>
    <row r="37" spans="1:11" ht="19.5" hidden="1" customHeight="1">
      <c r="A37" s="1301"/>
      <c r="B37" s="1301"/>
      <c r="C37" s="1301"/>
      <c r="D37" s="1301"/>
      <c r="E37" s="1304"/>
      <c r="F37" s="1301"/>
      <c r="G37" s="890" t="s">
        <v>541</v>
      </c>
      <c r="H37" s="890" t="s">
        <v>1985</v>
      </c>
      <c r="I37" s="887">
        <f>+E36*8</f>
        <v>0</v>
      </c>
      <c r="J37" s="887" t="s">
        <v>1983</v>
      </c>
      <c r="K37" s="887"/>
    </row>
    <row r="38" spans="1:11" ht="19.5" hidden="1" customHeight="1">
      <c r="A38" s="1301"/>
      <c r="B38" s="1301"/>
      <c r="C38" s="1301"/>
      <c r="D38" s="1301"/>
      <c r="E38" s="1304"/>
      <c r="F38" s="1301"/>
      <c r="G38" s="890" t="s">
        <v>1827</v>
      </c>
      <c r="H38" s="890" t="s">
        <v>527</v>
      </c>
      <c r="I38" s="887">
        <f>+E36*2.5</f>
        <v>0</v>
      </c>
      <c r="J38" s="887" t="s">
        <v>410</v>
      </c>
      <c r="K38" s="887"/>
    </row>
    <row r="39" spans="1:11" ht="19.5" hidden="1" customHeight="1">
      <c r="A39" s="1302"/>
      <c r="B39" s="1302"/>
      <c r="C39" s="1302"/>
      <c r="D39" s="1302"/>
      <c r="E39" s="1305"/>
      <c r="F39" s="1302"/>
      <c r="G39" s="891" t="s">
        <v>1987</v>
      </c>
      <c r="H39" s="890"/>
      <c r="I39" s="887">
        <f>E36*0.5</f>
        <v>0</v>
      </c>
      <c r="J39" s="887" t="s">
        <v>1988</v>
      </c>
      <c r="K39" s="887"/>
    </row>
    <row r="40" spans="1:11" ht="19.5" hidden="1" customHeight="1">
      <c r="A40" s="1300">
        <v>2</v>
      </c>
      <c r="B40" s="1300" t="s">
        <v>2010</v>
      </c>
      <c r="C40" s="1300" t="s">
        <v>2007</v>
      </c>
      <c r="D40" s="1300" t="s">
        <v>2007</v>
      </c>
      <c r="E40" s="1303"/>
      <c r="F40" s="1300" t="s">
        <v>2008</v>
      </c>
      <c r="G40" s="890" t="s">
        <v>1989</v>
      </c>
      <c r="H40" s="893" t="s">
        <v>2009</v>
      </c>
      <c r="I40" s="887">
        <f>+E40*1.3</f>
        <v>0</v>
      </c>
      <c r="J40" s="887" t="s">
        <v>1988</v>
      </c>
      <c r="K40" s="887"/>
    </row>
    <row r="41" spans="1:11" ht="19.5" hidden="1" customHeight="1">
      <c r="A41" s="1301"/>
      <c r="B41" s="1301"/>
      <c r="C41" s="1301"/>
      <c r="D41" s="1301"/>
      <c r="E41" s="1304"/>
      <c r="F41" s="1301"/>
      <c r="G41" s="890" t="s">
        <v>541</v>
      </c>
      <c r="H41" s="890" t="s">
        <v>1985</v>
      </c>
      <c r="I41" s="887">
        <f>+E40*8</f>
        <v>0</v>
      </c>
      <c r="J41" s="887" t="s">
        <v>1983</v>
      </c>
      <c r="K41" s="887"/>
    </row>
    <row r="42" spans="1:11" ht="19.5" hidden="1" customHeight="1">
      <c r="A42" s="1301"/>
      <c r="B42" s="1301"/>
      <c r="C42" s="1301"/>
      <c r="D42" s="1301"/>
      <c r="E42" s="1304"/>
      <c r="F42" s="1301"/>
      <c r="G42" s="890" t="s">
        <v>1827</v>
      </c>
      <c r="H42" s="890" t="s">
        <v>527</v>
      </c>
      <c r="I42" s="887">
        <f>+E40*3.2</f>
        <v>0</v>
      </c>
      <c r="J42" s="887" t="s">
        <v>410</v>
      </c>
      <c r="K42" s="887"/>
    </row>
    <row r="43" spans="1:11" ht="19.5" hidden="1" customHeight="1">
      <c r="A43" s="1302"/>
      <c r="B43" s="1302"/>
      <c r="C43" s="1302"/>
      <c r="D43" s="1302"/>
      <c r="E43" s="1305"/>
      <c r="F43" s="1302"/>
      <c r="G43" s="891" t="s">
        <v>1987</v>
      </c>
      <c r="H43" s="890"/>
      <c r="I43" s="887">
        <f>E40*1</f>
        <v>0</v>
      </c>
      <c r="J43" s="887" t="s">
        <v>1988</v>
      </c>
      <c r="K43" s="887"/>
    </row>
    <row r="44" spans="1:11" ht="19.5" hidden="1" customHeight="1">
      <c r="A44" s="1308" t="s">
        <v>2011</v>
      </c>
      <c r="B44" s="1308"/>
      <c r="C44" s="1308"/>
      <c r="D44" s="1308"/>
      <c r="E44" s="1308"/>
      <c r="F44" s="1308"/>
      <c r="G44" s="1308"/>
      <c r="H44" s="1308"/>
      <c r="I44" s="1308"/>
      <c r="J44" s="1308"/>
      <c r="K44" s="1308"/>
    </row>
    <row r="45" spans="1:11" ht="19.5" hidden="1" customHeight="1">
      <c r="A45" s="887" t="s">
        <v>2012</v>
      </c>
      <c r="B45" s="887" t="s">
        <v>2001</v>
      </c>
      <c r="C45" s="887" t="s">
        <v>2002</v>
      </c>
      <c r="D45" s="887" t="s">
        <v>2003</v>
      </c>
      <c r="E45" s="888"/>
      <c r="F45" s="887" t="s">
        <v>2013</v>
      </c>
      <c r="G45" s="887" t="s">
        <v>1979</v>
      </c>
      <c r="H45" s="887" t="s">
        <v>1980</v>
      </c>
      <c r="I45" s="887" t="s">
        <v>2014</v>
      </c>
      <c r="J45" s="887" t="s">
        <v>2015</v>
      </c>
      <c r="K45" s="887" t="s">
        <v>2005</v>
      </c>
    </row>
    <row r="46" spans="1:11" ht="19.5" hidden="1" customHeight="1">
      <c r="A46" s="1306" t="s">
        <v>2016</v>
      </c>
      <c r="B46" s="1306" t="s">
        <v>2017</v>
      </c>
      <c r="C46" s="1306">
        <v>720</v>
      </c>
      <c r="D46" s="1306">
        <v>560</v>
      </c>
      <c r="E46" s="1303"/>
      <c r="F46" s="1307" t="s">
        <v>2018</v>
      </c>
      <c r="G46" s="890" t="s">
        <v>2019</v>
      </c>
      <c r="H46" s="890" t="s">
        <v>2020</v>
      </c>
      <c r="I46" s="887">
        <f>+E46*1</f>
        <v>0</v>
      </c>
      <c r="J46" s="887" t="s">
        <v>1983</v>
      </c>
      <c r="K46" s="1300"/>
    </row>
    <row r="47" spans="1:11" ht="19.5" hidden="1" customHeight="1">
      <c r="A47" s="1306"/>
      <c r="B47" s="1306"/>
      <c r="C47" s="1306"/>
      <c r="D47" s="1306"/>
      <c r="E47" s="1304"/>
      <c r="F47" s="1307"/>
      <c r="G47" s="890" t="s">
        <v>1827</v>
      </c>
      <c r="H47" s="890" t="s">
        <v>527</v>
      </c>
      <c r="I47" s="887">
        <f>+E46*1.3</f>
        <v>0</v>
      </c>
      <c r="J47" s="887" t="s">
        <v>410</v>
      </c>
      <c r="K47" s="1301"/>
    </row>
    <row r="48" spans="1:11" ht="19.5" hidden="1" customHeight="1">
      <c r="A48" s="1306"/>
      <c r="B48" s="1306"/>
      <c r="C48" s="1306"/>
      <c r="D48" s="1306"/>
      <c r="E48" s="1304"/>
      <c r="F48" s="1307"/>
      <c r="G48" s="890" t="s">
        <v>1996</v>
      </c>
      <c r="H48" s="890"/>
      <c r="I48" s="1306" t="s">
        <v>1997</v>
      </c>
      <c r="J48" s="1306"/>
      <c r="K48" s="1301"/>
    </row>
    <row r="49" spans="1:11" ht="19.5" hidden="1" customHeight="1">
      <c r="A49" s="1306"/>
      <c r="B49" s="1306"/>
      <c r="C49" s="1306"/>
      <c r="D49" s="1306"/>
      <c r="E49" s="1305"/>
      <c r="F49" s="1307"/>
      <c r="G49" s="890" t="s">
        <v>2021</v>
      </c>
      <c r="H49" s="890" t="s">
        <v>1985</v>
      </c>
      <c r="I49" s="887">
        <f>+E46*8</f>
        <v>0</v>
      </c>
      <c r="J49" s="887" t="s">
        <v>1983</v>
      </c>
      <c r="K49" s="1301"/>
    </row>
    <row r="50" spans="1:11" ht="19.5" hidden="1" customHeight="1">
      <c r="A50" s="1306" t="s">
        <v>2022</v>
      </c>
      <c r="B50" s="1306" t="s">
        <v>2023</v>
      </c>
      <c r="C50" s="1306">
        <v>720</v>
      </c>
      <c r="D50" s="1306">
        <v>560</v>
      </c>
      <c r="E50" s="1303"/>
      <c r="F50" s="1307" t="s">
        <v>2018</v>
      </c>
      <c r="G50" s="890" t="s">
        <v>2024</v>
      </c>
      <c r="H50" s="890" t="s">
        <v>2025</v>
      </c>
      <c r="I50" s="887">
        <f>+E50*1</f>
        <v>0</v>
      </c>
      <c r="J50" s="887" t="s">
        <v>1983</v>
      </c>
      <c r="K50" s="1301"/>
    </row>
    <row r="51" spans="1:11" ht="19.5" hidden="1" customHeight="1">
      <c r="A51" s="1306"/>
      <c r="B51" s="1306"/>
      <c r="C51" s="1306"/>
      <c r="D51" s="1306"/>
      <c r="E51" s="1304"/>
      <c r="F51" s="1307"/>
      <c r="G51" s="890" t="s">
        <v>1827</v>
      </c>
      <c r="H51" s="890" t="s">
        <v>527</v>
      </c>
      <c r="I51" s="887">
        <f>+E50*1.3</f>
        <v>0</v>
      </c>
      <c r="J51" s="887" t="s">
        <v>410</v>
      </c>
      <c r="K51" s="1301"/>
    </row>
    <row r="52" spans="1:11" ht="19.5" hidden="1" customHeight="1">
      <c r="A52" s="1306"/>
      <c r="B52" s="1306"/>
      <c r="C52" s="1306"/>
      <c r="D52" s="1306"/>
      <c r="E52" s="1304"/>
      <c r="F52" s="1307"/>
      <c r="G52" s="890" t="s">
        <v>1996</v>
      </c>
      <c r="H52" s="890"/>
      <c r="I52" s="1306" t="s">
        <v>1997</v>
      </c>
      <c r="J52" s="1306"/>
      <c r="K52" s="1301"/>
    </row>
    <row r="53" spans="1:11" ht="19.5" hidden="1" customHeight="1">
      <c r="A53" s="1306"/>
      <c r="B53" s="1306"/>
      <c r="C53" s="1306"/>
      <c r="D53" s="1306"/>
      <c r="E53" s="1305"/>
      <c r="F53" s="1307"/>
      <c r="G53" s="890" t="s">
        <v>541</v>
      </c>
      <c r="H53" s="890" t="s">
        <v>1985</v>
      </c>
      <c r="I53" s="887">
        <f>+E50*8</f>
        <v>0</v>
      </c>
      <c r="J53" s="887" t="s">
        <v>1983</v>
      </c>
      <c r="K53" s="1301"/>
    </row>
    <row r="54" spans="1:11" ht="19.5" hidden="1" customHeight="1">
      <c r="A54" s="1306" t="s">
        <v>2026</v>
      </c>
      <c r="B54" s="1306" t="s">
        <v>2027</v>
      </c>
      <c r="C54" s="1306">
        <v>720</v>
      </c>
      <c r="D54" s="1306">
        <v>560</v>
      </c>
      <c r="E54" s="1303"/>
      <c r="F54" s="1307" t="s">
        <v>2028</v>
      </c>
      <c r="G54" s="890" t="s">
        <v>2029</v>
      </c>
      <c r="H54" s="890" t="s">
        <v>2030</v>
      </c>
      <c r="I54" s="887">
        <f>+E54*1</f>
        <v>0</v>
      </c>
      <c r="J54" s="887" t="s">
        <v>2031</v>
      </c>
      <c r="K54" s="1301"/>
    </row>
    <row r="55" spans="1:11" ht="19.5" hidden="1" customHeight="1">
      <c r="A55" s="1306"/>
      <c r="B55" s="1306"/>
      <c r="C55" s="1306"/>
      <c r="D55" s="1306"/>
      <c r="E55" s="1304"/>
      <c r="F55" s="1307"/>
      <c r="G55" s="890" t="s">
        <v>1827</v>
      </c>
      <c r="H55" s="890" t="s">
        <v>527</v>
      </c>
      <c r="I55" s="887">
        <f>+E54*1.5</f>
        <v>0</v>
      </c>
      <c r="J55" s="887" t="s">
        <v>410</v>
      </c>
      <c r="K55" s="1301"/>
    </row>
    <row r="56" spans="1:11" ht="19.5" hidden="1" customHeight="1">
      <c r="A56" s="1306"/>
      <c r="B56" s="1306"/>
      <c r="C56" s="1306"/>
      <c r="D56" s="1306"/>
      <c r="E56" s="1304"/>
      <c r="F56" s="1307"/>
      <c r="G56" s="890" t="s">
        <v>2032</v>
      </c>
      <c r="H56" s="890"/>
      <c r="I56" s="1306" t="s">
        <v>2033</v>
      </c>
      <c r="J56" s="1306"/>
      <c r="K56" s="1301"/>
    </row>
    <row r="57" spans="1:11" ht="19.5" hidden="1" customHeight="1">
      <c r="A57" s="1306"/>
      <c r="B57" s="1306"/>
      <c r="C57" s="1306"/>
      <c r="D57" s="1306"/>
      <c r="E57" s="1305"/>
      <c r="F57" s="1307"/>
      <c r="G57" s="890" t="s">
        <v>541</v>
      </c>
      <c r="H57" s="890" t="s">
        <v>2034</v>
      </c>
      <c r="I57" s="887">
        <f>+E54*8</f>
        <v>0</v>
      </c>
      <c r="J57" s="887" t="s">
        <v>2031</v>
      </c>
      <c r="K57" s="1301"/>
    </row>
    <row r="58" spans="1:11" ht="19.5" hidden="1" customHeight="1">
      <c r="A58" s="1306" t="s">
        <v>2035</v>
      </c>
      <c r="B58" s="1306" t="s">
        <v>2036</v>
      </c>
      <c r="C58" s="1306">
        <v>720</v>
      </c>
      <c r="D58" s="1306">
        <v>300</v>
      </c>
      <c r="E58" s="1303"/>
      <c r="F58" s="1307" t="s">
        <v>2037</v>
      </c>
      <c r="G58" s="890" t="s">
        <v>2038</v>
      </c>
      <c r="H58" s="897" t="s">
        <v>2039</v>
      </c>
      <c r="I58" s="887">
        <f>+E58*1</f>
        <v>0</v>
      </c>
      <c r="J58" s="887" t="s">
        <v>2031</v>
      </c>
      <c r="K58" s="1301"/>
    </row>
    <row r="59" spans="1:11" ht="19.5" hidden="1" customHeight="1">
      <c r="A59" s="1306"/>
      <c r="B59" s="1306"/>
      <c r="C59" s="1306"/>
      <c r="D59" s="1306"/>
      <c r="E59" s="1304"/>
      <c r="F59" s="1307"/>
      <c r="G59" s="890" t="s">
        <v>1827</v>
      </c>
      <c r="H59" s="890" t="s">
        <v>527</v>
      </c>
      <c r="I59" s="887">
        <f>+E58*0.8</f>
        <v>0</v>
      </c>
      <c r="J59" s="887" t="s">
        <v>410</v>
      </c>
      <c r="K59" s="1301"/>
    </row>
    <row r="60" spans="1:11" ht="19.5" hidden="1" customHeight="1">
      <c r="A60" s="1306"/>
      <c r="B60" s="1306"/>
      <c r="C60" s="1306"/>
      <c r="D60" s="1306"/>
      <c r="E60" s="1304"/>
      <c r="F60" s="1307"/>
      <c r="G60" s="890" t="s">
        <v>2032</v>
      </c>
      <c r="H60" s="890"/>
      <c r="I60" s="1306" t="s">
        <v>2033</v>
      </c>
      <c r="J60" s="1306"/>
      <c r="K60" s="1301"/>
    </row>
    <row r="61" spans="1:11" ht="19.5" hidden="1" customHeight="1">
      <c r="A61" s="1306"/>
      <c r="B61" s="1306"/>
      <c r="C61" s="1306"/>
      <c r="D61" s="1306"/>
      <c r="E61" s="1305"/>
      <c r="F61" s="1307"/>
      <c r="G61" s="890" t="s">
        <v>541</v>
      </c>
      <c r="H61" s="890" t="s">
        <v>2034</v>
      </c>
      <c r="I61" s="887">
        <f>+E58*8</f>
        <v>0</v>
      </c>
      <c r="J61" s="887" t="s">
        <v>2031</v>
      </c>
      <c r="K61" s="1301"/>
    </row>
    <row r="62" spans="1:11" ht="19.5" hidden="1" customHeight="1">
      <c r="A62" s="1306" t="s">
        <v>2040</v>
      </c>
      <c r="B62" s="1306" t="s">
        <v>2041</v>
      </c>
      <c r="C62" s="1306">
        <v>720</v>
      </c>
      <c r="D62" s="1306">
        <v>300</v>
      </c>
      <c r="E62" s="1303"/>
      <c r="F62" s="1307" t="s">
        <v>2037</v>
      </c>
      <c r="G62" s="890" t="s">
        <v>2042</v>
      </c>
      <c r="H62" s="897" t="s">
        <v>2039</v>
      </c>
      <c r="I62" s="887">
        <f>+E62*1</f>
        <v>0</v>
      </c>
      <c r="J62" s="887" t="s">
        <v>2031</v>
      </c>
      <c r="K62" s="1301"/>
    </row>
    <row r="63" spans="1:11" ht="19.5" hidden="1" customHeight="1">
      <c r="A63" s="1306"/>
      <c r="B63" s="1306"/>
      <c r="C63" s="1306"/>
      <c r="D63" s="1306"/>
      <c r="E63" s="1304"/>
      <c r="F63" s="1307"/>
      <c r="G63" s="890" t="s">
        <v>1827</v>
      </c>
      <c r="H63" s="890" t="s">
        <v>527</v>
      </c>
      <c r="I63" s="887">
        <f>+E62*0.8</f>
        <v>0</v>
      </c>
      <c r="J63" s="887" t="s">
        <v>2043</v>
      </c>
      <c r="K63" s="1301"/>
    </row>
    <row r="64" spans="1:11" ht="19.5" hidden="1" customHeight="1">
      <c r="A64" s="1306"/>
      <c r="B64" s="1306"/>
      <c r="C64" s="1306"/>
      <c r="D64" s="1306"/>
      <c r="E64" s="1304"/>
      <c r="F64" s="1307"/>
      <c r="G64" s="890" t="s">
        <v>2032</v>
      </c>
      <c r="H64" s="890"/>
      <c r="I64" s="1306" t="s">
        <v>2033</v>
      </c>
      <c r="J64" s="1306"/>
      <c r="K64" s="1301"/>
    </row>
    <row r="65" spans="1:11" ht="19.5" hidden="1" customHeight="1">
      <c r="A65" s="1306"/>
      <c r="B65" s="1306"/>
      <c r="C65" s="1306"/>
      <c r="D65" s="1306"/>
      <c r="E65" s="1305"/>
      <c r="F65" s="1307"/>
      <c r="G65" s="890" t="s">
        <v>541</v>
      </c>
      <c r="H65" s="890" t="s">
        <v>2034</v>
      </c>
      <c r="I65" s="887">
        <f>+E62*8</f>
        <v>0</v>
      </c>
      <c r="J65" s="887" t="s">
        <v>2031</v>
      </c>
      <c r="K65" s="1301"/>
    </row>
    <row r="66" spans="1:11" ht="19.5" hidden="1" customHeight="1">
      <c r="A66" s="1306" t="s">
        <v>2044</v>
      </c>
      <c r="B66" s="1306" t="s">
        <v>2045</v>
      </c>
      <c r="C66" s="1306">
        <v>720</v>
      </c>
      <c r="D66" s="1306">
        <v>300</v>
      </c>
      <c r="E66" s="1303"/>
      <c r="F66" s="1307" t="s">
        <v>2046</v>
      </c>
      <c r="G66" s="890" t="s">
        <v>2047</v>
      </c>
      <c r="H66" s="897" t="s">
        <v>2048</v>
      </c>
      <c r="I66" s="887">
        <f>+E66*1</f>
        <v>0</v>
      </c>
      <c r="J66" s="887" t="s">
        <v>2031</v>
      </c>
      <c r="K66" s="1301"/>
    </row>
    <row r="67" spans="1:11" ht="19.5" hidden="1" customHeight="1">
      <c r="A67" s="1306"/>
      <c r="B67" s="1306"/>
      <c r="C67" s="1306"/>
      <c r="D67" s="1306"/>
      <c r="E67" s="1304"/>
      <c r="F67" s="1307"/>
      <c r="G67" s="890" t="s">
        <v>1827</v>
      </c>
      <c r="H67" s="890" t="s">
        <v>527</v>
      </c>
      <c r="I67" s="887">
        <f>+E66*1</f>
        <v>0</v>
      </c>
      <c r="J67" s="887" t="s">
        <v>2043</v>
      </c>
      <c r="K67" s="1301"/>
    </row>
    <row r="68" spans="1:11" ht="19.5" hidden="1" customHeight="1">
      <c r="A68" s="1306"/>
      <c r="B68" s="1306"/>
      <c r="C68" s="1306"/>
      <c r="D68" s="1306"/>
      <c r="E68" s="1304"/>
      <c r="F68" s="1307"/>
      <c r="G68" s="890" t="s">
        <v>2032</v>
      </c>
      <c r="H68" s="890"/>
      <c r="I68" s="1306" t="s">
        <v>2033</v>
      </c>
      <c r="J68" s="1306"/>
      <c r="K68" s="1301"/>
    </row>
    <row r="69" spans="1:11" ht="19.5" hidden="1" customHeight="1">
      <c r="A69" s="1306"/>
      <c r="B69" s="1306"/>
      <c r="C69" s="1306"/>
      <c r="D69" s="1306"/>
      <c r="E69" s="1305"/>
      <c r="F69" s="1307"/>
      <c r="G69" s="890" t="s">
        <v>541</v>
      </c>
      <c r="H69" s="890" t="s">
        <v>2034</v>
      </c>
      <c r="I69" s="887">
        <f>+E66*8</f>
        <v>0</v>
      </c>
      <c r="J69" s="887" t="s">
        <v>2031</v>
      </c>
      <c r="K69" s="1301"/>
    </row>
    <row r="70" spans="1:11" ht="19.5" hidden="1" customHeight="1">
      <c r="A70" s="1306" t="s">
        <v>2049</v>
      </c>
      <c r="B70" s="1306" t="s">
        <v>2027</v>
      </c>
      <c r="C70" s="1306">
        <v>720</v>
      </c>
      <c r="D70" s="1306">
        <v>300</v>
      </c>
      <c r="E70" s="1303"/>
      <c r="F70" s="1307" t="s">
        <v>2046</v>
      </c>
      <c r="G70" s="890" t="s">
        <v>2050</v>
      </c>
      <c r="H70" s="897" t="s">
        <v>2051</v>
      </c>
      <c r="I70" s="887">
        <f>+E70*1</f>
        <v>0</v>
      </c>
      <c r="J70" s="887" t="s">
        <v>2031</v>
      </c>
      <c r="K70" s="1301"/>
    </row>
    <row r="71" spans="1:11" ht="19.5" hidden="1" customHeight="1">
      <c r="A71" s="1306"/>
      <c r="B71" s="1306"/>
      <c r="C71" s="1306"/>
      <c r="D71" s="1306"/>
      <c r="E71" s="1304"/>
      <c r="F71" s="1307"/>
      <c r="G71" s="890" t="s">
        <v>1827</v>
      </c>
      <c r="H71" s="890" t="s">
        <v>527</v>
      </c>
      <c r="I71" s="887">
        <f>+E70*1.4</f>
        <v>0</v>
      </c>
      <c r="J71" s="887" t="s">
        <v>2043</v>
      </c>
      <c r="K71" s="1301"/>
    </row>
    <row r="72" spans="1:11" ht="19.5" hidden="1" customHeight="1">
      <c r="A72" s="1306"/>
      <c r="B72" s="1306"/>
      <c r="C72" s="1306"/>
      <c r="D72" s="1306"/>
      <c r="E72" s="1304"/>
      <c r="F72" s="1307"/>
      <c r="G72" s="890" t="s">
        <v>2032</v>
      </c>
      <c r="H72" s="890"/>
      <c r="I72" s="1306" t="s">
        <v>2033</v>
      </c>
      <c r="J72" s="1306"/>
      <c r="K72" s="1301"/>
    </row>
    <row r="73" spans="1:11" ht="19.5" hidden="1" customHeight="1">
      <c r="A73" s="1306"/>
      <c r="B73" s="1306"/>
      <c r="C73" s="1306"/>
      <c r="D73" s="1306"/>
      <c r="E73" s="1305"/>
      <c r="F73" s="1307"/>
      <c r="G73" s="890" t="s">
        <v>541</v>
      </c>
      <c r="H73" s="890" t="s">
        <v>2034</v>
      </c>
      <c r="I73" s="887">
        <f>+E70*8</f>
        <v>0</v>
      </c>
      <c r="J73" s="887" t="s">
        <v>2031</v>
      </c>
      <c r="K73" s="1301"/>
    </row>
    <row r="74" spans="1:11" ht="19.5" hidden="1" customHeight="1">
      <c r="A74" s="1306" t="s">
        <v>660</v>
      </c>
      <c r="B74" s="1306" t="s">
        <v>659</v>
      </c>
      <c r="C74" s="1306">
        <v>2160</v>
      </c>
      <c r="D74" s="1306">
        <v>560</v>
      </c>
      <c r="E74" s="1303"/>
      <c r="F74" s="1307" t="s">
        <v>2052</v>
      </c>
      <c r="G74" s="890" t="s">
        <v>2053</v>
      </c>
      <c r="H74" s="893" t="s">
        <v>2054</v>
      </c>
      <c r="I74" s="887">
        <f>+E74*1</f>
        <v>0</v>
      </c>
      <c r="J74" s="887" t="s">
        <v>2055</v>
      </c>
      <c r="K74" s="1301"/>
    </row>
    <row r="75" spans="1:11" ht="19.5" hidden="1" customHeight="1">
      <c r="A75" s="1306"/>
      <c r="B75" s="1306"/>
      <c r="C75" s="1306"/>
      <c r="D75" s="1306"/>
      <c r="E75" s="1304"/>
      <c r="F75" s="1307"/>
      <c r="G75" s="890" t="s">
        <v>1827</v>
      </c>
      <c r="H75" s="890" t="s">
        <v>527</v>
      </c>
      <c r="I75" s="887">
        <f>+E74*2.5</f>
        <v>0</v>
      </c>
      <c r="J75" s="887" t="s">
        <v>410</v>
      </c>
      <c r="K75" s="1301"/>
    </row>
    <row r="76" spans="1:11" ht="19.5" hidden="1" customHeight="1">
      <c r="A76" s="1306"/>
      <c r="B76" s="1306"/>
      <c r="C76" s="1306"/>
      <c r="D76" s="1306"/>
      <c r="E76" s="1304"/>
      <c r="F76" s="1307"/>
      <c r="G76" s="890" t="s">
        <v>2032</v>
      </c>
      <c r="H76" s="890"/>
      <c r="I76" s="1306" t="s">
        <v>2033</v>
      </c>
      <c r="J76" s="1306"/>
      <c r="K76" s="1301"/>
    </row>
    <row r="77" spans="1:11" ht="19.5" hidden="1" customHeight="1">
      <c r="A77" s="1306"/>
      <c r="B77" s="1306"/>
      <c r="C77" s="1306"/>
      <c r="D77" s="1306"/>
      <c r="E77" s="1305"/>
      <c r="F77" s="1307"/>
      <c r="G77" s="890" t="s">
        <v>541</v>
      </c>
      <c r="H77" s="890" t="s">
        <v>2034</v>
      </c>
      <c r="I77" s="887">
        <f>+E74*8</f>
        <v>0</v>
      </c>
      <c r="J77" s="887" t="s">
        <v>2031</v>
      </c>
      <c r="K77" s="1302"/>
    </row>
    <row r="78" spans="1:11" ht="19.5" hidden="1" customHeight="1">
      <c r="A78" s="1307" t="s">
        <v>2056</v>
      </c>
      <c r="B78" s="1307"/>
      <c r="C78" s="1307"/>
      <c r="D78" s="1307"/>
      <c r="E78" s="1307"/>
      <c r="F78" s="1307"/>
      <c r="G78" s="1307"/>
      <c r="H78" s="1307"/>
      <c r="I78" s="1307"/>
      <c r="J78" s="1307"/>
      <c r="K78" s="1307"/>
    </row>
    <row r="79" spans="1:11" ht="19.5" hidden="1" customHeight="1">
      <c r="A79" s="1309" t="s">
        <v>2057</v>
      </c>
      <c r="B79" s="1309"/>
      <c r="C79" s="1309"/>
      <c r="D79" s="1309"/>
      <c r="E79" s="1309"/>
      <c r="F79" s="1309"/>
      <c r="G79" s="1309"/>
      <c r="H79" s="1309"/>
      <c r="I79" s="1309"/>
      <c r="J79" s="1309"/>
      <c r="K79" s="1309"/>
    </row>
    <row r="80" spans="1:11" ht="19.5" hidden="1" customHeight="1">
      <c r="A80" s="887" t="s">
        <v>608</v>
      </c>
      <c r="B80" s="887" t="s">
        <v>2058</v>
      </c>
      <c r="C80" s="887" t="s">
        <v>2059</v>
      </c>
      <c r="D80" s="887" t="s">
        <v>2060</v>
      </c>
      <c r="E80" s="888"/>
      <c r="F80" s="887" t="s">
        <v>2061</v>
      </c>
      <c r="G80" s="887" t="s">
        <v>2062</v>
      </c>
      <c r="H80" s="887" t="s">
        <v>2063</v>
      </c>
      <c r="I80" s="887" t="s">
        <v>592</v>
      </c>
      <c r="J80" s="887" t="s">
        <v>591</v>
      </c>
      <c r="K80" s="887" t="s">
        <v>2064</v>
      </c>
    </row>
    <row r="81" spans="1:11" ht="19.5" hidden="1" customHeight="1">
      <c r="A81" s="1306">
        <v>1</v>
      </c>
      <c r="B81" s="1306" t="s">
        <v>2065</v>
      </c>
      <c r="C81" s="1306" t="s">
        <v>2066</v>
      </c>
      <c r="D81" s="1306" t="s">
        <v>2066</v>
      </c>
      <c r="E81" s="1303"/>
      <c r="F81" s="1306" t="s">
        <v>2067</v>
      </c>
      <c r="G81" s="890" t="s">
        <v>2068</v>
      </c>
      <c r="H81" s="893" t="s">
        <v>2054</v>
      </c>
      <c r="I81" s="887">
        <f>+E81*0.3</f>
        <v>0</v>
      </c>
      <c r="J81" s="887" t="s">
        <v>2055</v>
      </c>
      <c r="K81" s="1306"/>
    </row>
    <row r="82" spans="1:11" ht="19.5" hidden="1" customHeight="1">
      <c r="A82" s="1306"/>
      <c r="B82" s="1306"/>
      <c r="C82" s="1306"/>
      <c r="D82" s="1306"/>
      <c r="E82" s="1304"/>
      <c r="F82" s="1306"/>
      <c r="G82" s="890" t="s">
        <v>1827</v>
      </c>
      <c r="H82" s="890" t="s">
        <v>527</v>
      </c>
      <c r="I82" s="887">
        <f>+E81*1</f>
        <v>0</v>
      </c>
      <c r="J82" s="887" t="s">
        <v>410</v>
      </c>
      <c r="K82" s="1306"/>
    </row>
    <row r="83" spans="1:11" ht="19.5" hidden="1" customHeight="1">
      <c r="A83" s="1306"/>
      <c r="B83" s="1306"/>
      <c r="C83" s="1306"/>
      <c r="D83" s="1306"/>
      <c r="E83" s="1305"/>
      <c r="F83" s="1306"/>
      <c r="G83" s="890" t="s">
        <v>541</v>
      </c>
      <c r="H83" s="890" t="s">
        <v>2034</v>
      </c>
      <c r="I83" s="887">
        <f>+E81*8</f>
        <v>0</v>
      </c>
      <c r="J83" s="887" t="s">
        <v>2031</v>
      </c>
      <c r="K83" s="1306"/>
    </row>
    <row r="84" spans="1:11" ht="19.5" hidden="1" customHeight="1">
      <c r="A84" s="1306">
        <v>2</v>
      </c>
      <c r="B84" s="1306" t="s">
        <v>2069</v>
      </c>
      <c r="C84" s="1306" t="s">
        <v>2066</v>
      </c>
      <c r="D84" s="1306" t="s">
        <v>2066</v>
      </c>
      <c r="E84" s="1303"/>
      <c r="F84" s="1306" t="s">
        <v>2067</v>
      </c>
      <c r="G84" s="890" t="s">
        <v>2068</v>
      </c>
      <c r="H84" s="893" t="s">
        <v>2054</v>
      </c>
      <c r="I84" s="887">
        <f>+E84*0.4</f>
        <v>0</v>
      </c>
      <c r="J84" s="887" t="s">
        <v>2055</v>
      </c>
      <c r="K84" s="1306"/>
    </row>
    <row r="85" spans="1:11" ht="19.5" hidden="1" customHeight="1">
      <c r="A85" s="1306"/>
      <c r="B85" s="1306"/>
      <c r="C85" s="1306"/>
      <c r="D85" s="1306"/>
      <c r="E85" s="1304"/>
      <c r="F85" s="1306"/>
      <c r="G85" s="890" t="s">
        <v>1827</v>
      </c>
      <c r="H85" s="890" t="s">
        <v>527</v>
      </c>
      <c r="I85" s="887">
        <f>+E84*1.5</f>
        <v>0</v>
      </c>
      <c r="J85" s="887" t="s">
        <v>410</v>
      </c>
      <c r="K85" s="1306"/>
    </row>
    <row r="86" spans="1:11" ht="19.5" hidden="1" customHeight="1">
      <c r="A86" s="1306"/>
      <c r="B86" s="1306"/>
      <c r="C86" s="1306"/>
      <c r="D86" s="1306"/>
      <c r="E86" s="1305"/>
      <c r="F86" s="1306"/>
      <c r="G86" s="890" t="s">
        <v>541</v>
      </c>
      <c r="H86" s="890" t="s">
        <v>2034</v>
      </c>
      <c r="I86" s="887">
        <f>+E84*8</f>
        <v>0</v>
      </c>
      <c r="J86" s="887" t="s">
        <v>2031</v>
      </c>
      <c r="K86" s="1306"/>
    </row>
    <row r="87" spans="1:11" ht="19.5" hidden="1" customHeight="1">
      <c r="A87" s="1306">
        <v>3</v>
      </c>
      <c r="B87" s="1306" t="s">
        <v>2065</v>
      </c>
      <c r="C87" s="1306" t="s">
        <v>2066</v>
      </c>
      <c r="D87" s="1306" t="s">
        <v>2066</v>
      </c>
      <c r="E87" s="1303"/>
      <c r="F87" s="1306" t="s">
        <v>2070</v>
      </c>
      <c r="G87" s="890" t="s">
        <v>2068</v>
      </c>
      <c r="H87" s="893" t="s">
        <v>2054</v>
      </c>
      <c r="I87" s="887">
        <f>+E87*0.4</f>
        <v>0</v>
      </c>
      <c r="J87" s="887" t="s">
        <v>2055</v>
      </c>
      <c r="K87" s="1306"/>
    </row>
    <row r="88" spans="1:11" ht="19.5" hidden="1" customHeight="1">
      <c r="A88" s="1306"/>
      <c r="B88" s="1306"/>
      <c r="C88" s="1306"/>
      <c r="D88" s="1306"/>
      <c r="E88" s="1304"/>
      <c r="F88" s="1306"/>
      <c r="G88" s="890" t="s">
        <v>1827</v>
      </c>
      <c r="H88" s="890" t="s">
        <v>527</v>
      </c>
      <c r="I88" s="887">
        <f>+E87*1.5</f>
        <v>0</v>
      </c>
      <c r="J88" s="887" t="s">
        <v>410</v>
      </c>
      <c r="K88" s="1306"/>
    </row>
    <row r="89" spans="1:11" ht="19.5" hidden="1" customHeight="1">
      <c r="A89" s="1306"/>
      <c r="B89" s="1306"/>
      <c r="C89" s="1306"/>
      <c r="D89" s="1306"/>
      <c r="E89" s="1305"/>
      <c r="F89" s="1306"/>
      <c r="G89" s="890" t="s">
        <v>541</v>
      </c>
      <c r="H89" s="890" t="s">
        <v>2034</v>
      </c>
      <c r="I89" s="887">
        <f>+E87*8</f>
        <v>0</v>
      </c>
      <c r="J89" s="887" t="s">
        <v>2031</v>
      </c>
      <c r="K89" s="1306"/>
    </row>
    <row r="90" spans="1:11" ht="19.5" hidden="1" customHeight="1">
      <c r="A90" s="1306">
        <v>4</v>
      </c>
      <c r="B90" s="1306" t="s">
        <v>2069</v>
      </c>
      <c r="C90" s="1306" t="s">
        <v>2066</v>
      </c>
      <c r="D90" s="1306" t="s">
        <v>2066</v>
      </c>
      <c r="E90" s="1303"/>
      <c r="F90" s="1306" t="s">
        <v>2070</v>
      </c>
      <c r="G90" s="890" t="s">
        <v>2068</v>
      </c>
      <c r="H90" s="893" t="s">
        <v>2054</v>
      </c>
      <c r="I90" s="887">
        <f>+E90*0.6</f>
        <v>0</v>
      </c>
      <c r="J90" s="887" t="s">
        <v>2055</v>
      </c>
      <c r="K90" s="1306"/>
    </row>
    <row r="91" spans="1:11" ht="19.5" hidden="1" customHeight="1">
      <c r="A91" s="1306"/>
      <c r="B91" s="1306"/>
      <c r="C91" s="1306"/>
      <c r="D91" s="1306"/>
      <c r="E91" s="1304"/>
      <c r="F91" s="1306"/>
      <c r="G91" s="890" t="s">
        <v>1827</v>
      </c>
      <c r="H91" s="890" t="s">
        <v>527</v>
      </c>
      <c r="I91" s="887">
        <f>+E90*1.5</f>
        <v>0</v>
      </c>
      <c r="J91" s="887" t="s">
        <v>410</v>
      </c>
      <c r="K91" s="1306"/>
    </row>
    <row r="92" spans="1:11" ht="19.5" hidden="1" customHeight="1">
      <c r="A92" s="1306"/>
      <c r="B92" s="1306"/>
      <c r="C92" s="1306"/>
      <c r="D92" s="1306"/>
      <c r="E92" s="1305"/>
      <c r="F92" s="1306"/>
      <c r="G92" s="890" t="s">
        <v>541</v>
      </c>
      <c r="H92" s="890" t="s">
        <v>2034</v>
      </c>
      <c r="I92" s="887">
        <f>+E90*8</f>
        <v>0</v>
      </c>
      <c r="J92" s="887" t="s">
        <v>2031</v>
      </c>
      <c r="K92" s="1306"/>
    </row>
    <row r="93" spans="1:11" ht="19.5" hidden="1" customHeight="1">
      <c r="A93" s="1306">
        <v>5</v>
      </c>
      <c r="B93" s="1306" t="s">
        <v>2066</v>
      </c>
      <c r="C93" s="1306" t="s">
        <v>2066</v>
      </c>
      <c r="D93" s="1306" t="s">
        <v>2071</v>
      </c>
      <c r="E93" s="1303"/>
      <c r="F93" s="1307" t="s">
        <v>2072</v>
      </c>
      <c r="G93" s="890" t="s">
        <v>2068</v>
      </c>
      <c r="H93" s="893" t="s">
        <v>2054</v>
      </c>
      <c r="I93" s="887">
        <f>+E93*0.5</f>
        <v>0</v>
      </c>
      <c r="J93" s="887" t="s">
        <v>2055</v>
      </c>
      <c r="K93" s="1306"/>
    </row>
    <row r="94" spans="1:11" ht="19.5" hidden="1" customHeight="1">
      <c r="A94" s="1306"/>
      <c r="B94" s="1306"/>
      <c r="C94" s="1306"/>
      <c r="D94" s="1306"/>
      <c r="E94" s="1304"/>
      <c r="F94" s="1307"/>
      <c r="G94" s="890" t="s">
        <v>1827</v>
      </c>
      <c r="H94" s="890" t="s">
        <v>527</v>
      </c>
      <c r="I94" s="887">
        <f>+E93*2</f>
        <v>0</v>
      </c>
      <c r="J94" s="887" t="s">
        <v>410</v>
      </c>
      <c r="K94" s="1306"/>
    </row>
    <row r="95" spans="1:11" ht="19.5" hidden="1" customHeight="1">
      <c r="A95" s="1306"/>
      <c r="B95" s="1306"/>
      <c r="C95" s="1306"/>
      <c r="D95" s="1306"/>
      <c r="E95" s="1305"/>
      <c r="F95" s="1307"/>
      <c r="G95" s="890" t="s">
        <v>541</v>
      </c>
      <c r="H95" s="890" t="s">
        <v>2034</v>
      </c>
      <c r="I95" s="887">
        <f>+E93*8</f>
        <v>0</v>
      </c>
      <c r="J95" s="887" t="s">
        <v>2031</v>
      </c>
      <c r="K95" s="1306"/>
    </row>
    <row r="96" spans="1:11" ht="19.5" hidden="1" customHeight="1">
      <c r="A96" s="1306">
        <v>6</v>
      </c>
      <c r="B96" s="1306" t="s">
        <v>2066</v>
      </c>
      <c r="C96" s="1306" t="s">
        <v>2066</v>
      </c>
      <c r="D96" s="1306" t="s">
        <v>2073</v>
      </c>
      <c r="E96" s="1303"/>
      <c r="F96" s="1307" t="s">
        <v>2072</v>
      </c>
      <c r="G96" s="890" t="s">
        <v>2068</v>
      </c>
      <c r="H96" s="893" t="s">
        <v>2054</v>
      </c>
      <c r="I96" s="887">
        <f>+E96*0.8</f>
        <v>0</v>
      </c>
      <c r="J96" s="887" t="s">
        <v>2055</v>
      </c>
      <c r="K96" s="1306"/>
    </row>
    <row r="97" spans="1:11" ht="19.5" hidden="1" customHeight="1">
      <c r="A97" s="1306"/>
      <c r="B97" s="1306"/>
      <c r="C97" s="1306"/>
      <c r="D97" s="1306"/>
      <c r="E97" s="1304"/>
      <c r="F97" s="1307"/>
      <c r="G97" s="890" t="s">
        <v>1827</v>
      </c>
      <c r="H97" s="890" t="s">
        <v>527</v>
      </c>
      <c r="I97" s="887">
        <f>+E96*2</f>
        <v>0</v>
      </c>
      <c r="J97" s="887" t="s">
        <v>410</v>
      </c>
      <c r="K97" s="1306"/>
    </row>
    <row r="98" spans="1:11" ht="19.5" hidden="1" customHeight="1">
      <c r="A98" s="1306"/>
      <c r="B98" s="1306"/>
      <c r="C98" s="1306"/>
      <c r="D98" s="1306"/>
      <c r="E98" s="1305"/>
      <c r="F98" s="1307"/>
      <c r="G98" s="890" t="s">
        <v>541</v>
      </c>
      <c r="H98" s="890" t="s">
        <v>2034</v>
      </c>
      <c r="I98" s="887">
        <f>+E96*8</f>
        <v>0</v>
      </c>
      <c r="J98" s="887" t="s">
        <v>2031</v>
      </c>
      <c r="K98" s="1306"/>
    </row>
    <row r="99" spans="1:11" ht="19.5" hidden="1" customHeight="1">
      <c r="A99" s="1306">
        <v>7</v>
      </c>
      <c r="B99" s="1306" t="s">
        <v>2066</v>
      </c>
      <c r="C99" s="1306" t="s">
        <v>2066</v>
      </c>
      <c r="D99" s="1306" t="s">
        <v>2071</v>
      </c>
      <c r="E99" s="1303"/>
      <c r="F99" s="1306" t="s">
        <v>2074</v>
      </c>
      <c r="G99" s="890" t="s">
        <v>2068</v>
      </c>
      <c r="H99" s="893" t="s">
        <v>2054</v>
      </c>
      <c r="I99" s="887">
        <f>+E99*0.5</f>
        <v>0</v>
      </c>
      <c r="J99" s="887" t="s">
        <v>2055</v>
      </c>
      <c r="K99" s="1306"/>
    </row>
    <row r="100" spans="1:11" ht="19.5" hidden="1" customHeight="1">
      <c r="A100" s="1306"/>
      <c r="B100" s="1306"/>
      <c r="C100" s="1306"/>
      <c r="D100" s="1306"/>
      <c r="E100" s="1304"/>
      <c r="F100" s="1306"/>
      <c r="G100" s="890" t="s">
        <v>1827</v>
      </c>
      <c r="H100" s="890" t="s">
        <v>527</v>
      </c>
      <c r="I100" s="887">
        <f>+E99*2.5</f>
        <v>0</v>
      </c>
      <c r="J100" s="887" t="s">
        <v>410</v>
      </c>
      <c r="K100" s="1306"/>
    </row>
    <row r="101" spans="1:11" ht="19.5" hidden="1" customHeight="1">
      <c r="A101" s="1306"/>
      <c r="B101" s="1306"/>
      <c r="C101" s="1306"/>
      <c r="D101" s="1306"/>
      <c r="E101" s="1305"/>
      <c r="F101" s="1306"/>
      <c r="G101" s="890" t="s">
        <v>541</v>
      </c>
      <c r="H101" s="890" t="s">
        <v>2034</v>
      </c>
      <c r="I101" s="887">
        <f>+E99*8</f>
        <v>0</v>
      </c>
      <c r="J101" s="887" t="s">
        <v>2031</v>
      </c>
      <c r="K101" s="1306"/>
    </row>
    <row r="102" spans="1:11" ht="19.5" hidden="1" customHeight="1">
      <c r="A102" s="1306">
        <v>8</v>
      </c>
      <c r="B102" s="1306" t="s">
        <v>2066</v>
      </c>
      <c r="C102" s="1306" t="s">
        <v>2066</v>
      </c>
      <c r="D102" s="1306" t="s">
        <v>2073</v>
      </c>
      <c r="E102" s="1303"/>
      <c r="F102" s="1306" t="s">
        <v>2074</v>
      </c>
      <c r="G102" s="890" t="s">
        <v>2068</v>
      </c>
      <c r="H102" s="893" t="s">
        <v>2054</v>
      </c>
      <c r="I102" s="887">
        <f>+E102*1</f>
        <v>0</v>
      </c>
      <c r="J102" s="887" t="s">
        <v>2055</v>
      </c>
      <c r="K102" s="1306"/>
    </row>
    <row r="103" spans="1:11" ht="19.5" hidden="1" customHeight="1">
      <c r="A103" s="1306"/>
      <c r="B103" s="1306"/>
      <c r="C103" s="1306"/>
      <c r="D103" s="1306"/>
      <c r="E103" s="1304"/>
      <c r="F103" s="1306"/>
      <c r="G103" s="890" t="s">
        <v>1827</v>
      </c>
      <c r="H103" s="890" t="s">
        <v>527</v>
      </c>
      <c r="I103" s="887">
        <f>+E102*2.5</f>
        <v>0</v>
      </c>
      <c r="J103" s="887" t="s">
        <v>410</v>
      </c>
      <c r="K103" s="1306"/>
    </row>
    <row r="104" spans="1:11" ht="19.5" hidden="1" customHeight="1">
      <c r="A104" s="1306"/>
      <c r="B104" s="1306"/>
      <c r="C104" s="1306"/>
      <c r="D104" s="1306"/>
      <c r="E104" s="1305"/>
      <c r="F104" s="1306"/>
      <c r="G104" s="890" t="s">
        <v>541</v>
      </c>
      <c r="H104" s="890" t="s">
        <v>2034</v>
      </c>
      <c r="I104" s="887">
        <f>+E102*8</f>
        <v>0</v>
      </c>
      <c r="J104" s="887" t="s">
        <v>2031</v>
      </c>
      <c r="K104" s="1306"/>
    </row>
    <row r="105" spans="1:11" ht="19.5" hidden="1" customHeight="1">
      <c r="A105" s="1309" t="s">
        <v>2075</v>
      </c>
      <c r="B105" s="1309"/>
      <c r="C105" s="1309"/>
      <c r="D105" s="1309"/>
      <c r="E105" s="1309"/>
      <c r="F105" s="1309"/>
      <c r="G105" s="1309"/>
      <c r="H105" s="1309"/>
      <c r="I105" s="1309"/>
      <c r="J105" s="1309"/>
      <c r="K105" s="1309"/>
    </row>
    <row r="106" spans="1:11" ht="19.5" hidden="1" customHeight="1">
      <c r="A106" s="887" t="s">
        <v>608</v>
      </c>
      <c r="B106" s="887" t="s">
        <v>2058</v>
      </c>
      <c r="C106" s="887" t="s">
        <v>2059</v>
      </c>
      <c r="D106" s="887" t="s">
        <v>2076</v>
      </c>
      <c r="E106" s="888"/>
      <c r="F106" s="887" t="s">
        <v>2061</v>
      </c>
      <c r="G106" s="887" t="s">
        <v>2062</v>
      </c>
      <c r="H106" s="887" t="s">
        <v>2063</v>
      </c>
      <c r="I106" s="887" t="s">
        <v>592</v>
      </c>
      <c r="J106" s="887" t="s">
        <v>591</v>
      </c>
      <c r="K106" s="887" t="s">
        <v>590</v>
      </c>
    </row>
    <row r="107" spans="1:11" ht="19.5" hidden="1" customHeight="1">
      <c r="A107" s="1306">
        <v>1</v>
      </c>
      <c r="B107" s="1306" t="s">
        <v>2077</v>
      </c>
      <c r="C107" s="1306" t="s">
        <v>2078</v>
      </c>
      <c r="D107" s="1306" t="s">
        <v>2079</v>
      </c>
      <c r="E107" s="1303"/>
      <c r="F107" s="1306" t="s">
        <v>2080</v>
      </c>
      <c r="G107" s="890" t="s">
        <v>2068</v>
      </c>
      <c r="H107" s="893" t="s">
        <v>2054</v>
      </c>
      <c r="I107" s="887">
        <f>+E107*0.7</f>
        <v>0</v>
      </c>
      <c r="J107" s="887" t="s">
        <v>2055</v>
      </c>
      <c r="K107" s="1306" t="s">
        <v>2081</v>
      </c>
    </row>
    <row r="108" spans="1:11" ht="19.5" hidden="1" customHeight="1">
      <c r="A108" s="1306"/>
      <c r="B108" s="1306"/>
      <c r="C108" s="1306"/>
      <c r="D108" s="1306"/>
      <c r="E108" s="1304"/>
      <c r="F108" s="1306"/>
      <c r="G108" s="890" t="s">
        <v>2082</v>
      </c>
      <c r="H108" s="893"/>
      <c r="I108" s="887">
        <f>E107*1</f>
        <v>0</v>
      </c>
      <c r="J108" s="887" t="s">
        <v>2055</v>
      </c>
      <c r="K108" s="1306"/>
    </row>
    <row r="109" spans="1:11" ht="19.5" hidden="1" customHeight="1">
      <c r="A109" s="1306"/>
      <c r="B109" s="1306"/>
      <c r="C109" s="1306"/>
      <c r="D109" s="1306"/>
      <c r="E109" s="1305"/>
      <c r="F109" s="1306"/>
      <c r="G109" s="890" t="s">
        <v>1827</v>
      </c>
      <c r="H109" s="890" t="s">
        <v>527</v>
      </c>
      <c r="I109" s="887">
        <f>+E107*2</f>
        <v>0</v>
      </c>
      <c r="J109" s="887" t="s">
        <v>2043</v>
      </c>
      <c r="K109" s="1306"/>
    </row>
    <row r="110" spans="1:11" ht="19.5" hidden="1" customHeight="1">
      <c r="A110" s="1306">
        <v>2</v>
      </c>
      <c r="B110" s="1306" t="s">
        <v>2077</v>
      </c>
      <c r="C110" s="1306" t="s">
        <v>2083</v>
      </c>
      <c r="D110" s="1306" t="s">
        <v>2079</v>
      </c>
      <c r="E110" s="1303"/>
      <c r="F110" s="1306" t="s">
        <v>2084</v>
      </c>
      <c r="G110" s="890" t="s">
        <v>2068</v>
      </c>
      <c r="H110" s="893" t="s">
        <v>2054</v>
      </c>
      <c r="I110" s="887">
        <f>+E110*1</f>
        <v>0</v>
      </c>
      <c r="J110" s="887" t="s">
        <v>2055</v>
      </c>
      <c r="K110" s="1306"/>
    </row>
    <row r="111" spans="1:11" ht="19.5" hidden="1" customHeight="1">
      <c r="A111" s="1306"/>
      <c r="B111" s="1306"/>
      <c r="C111" s="1306"/>
      <c r="D111" s="1306"/>
      <c r="E111" s="1304"/>
      <c r="F111" s="1306"/>
      <c r="G111" s="890" t="s">
        <v>2085</v>
      </c>
      <c r="H111" s="893"/>
      <c r="I111" s="887">
        <f>E110*1</f>
        <v>0</v>
      </c>
      <c r="J111" s="887" t="s">
        <v>2055</v>
      </c>
      <c r="K111" s="1306"/>
    </row>
    <row r="112" spans="1:11" ht="19.5" hidden="1" customHeight="1">
      <c r="A112" s="1306"/>
      <c r="B112" s="1306"/>
      <c r="C112" s="1306"/>
      <c r="D112" s="1306"/>
      <c r="E112" s="1305"/>
      <c r="F112" s="1306"/>
      <c r="G112" s="890" t="s">
        <v>1827</v>
      </c>
      <c r="H112" s="890" t="s">
        <v>527</v>
      </c>
      <c r="I112" s="887">
        <f>+E110*2.5</f>
        <v>0</v>
      </c>
      <c r="J112" s="887" t="s">
        <v>2043</v>
      </c>
      <c r="K112" s="1306"/>
    </row>
    <row r="113" spans="1:11" ht="19.5" customHeight="1">
      <c r="A113" s="1296" t="s">
        <v>2086</v>
      </c>
      <c r="B113" s="1296"/>
      <c r="C113" s="1296"/>
      <c r="D113" s="1296"/>
      <c r="E113" s="1296"/>
      <c r="F113" s="1296"/>
      <c r="G113" s="1296"/>
      <c r="H113" s="1296"/>
      <c r="I113" s="1296"/>
      <c r="J113" s="1296"/>
      <c r="K113" s="1296"/>
    </row>
    <row r="114" spans="1:11" ht="19.5" customHeight="1">
      <c r="A114" s="1309" t="s">
        <v>2087</v>
      </c>
      <c r="B114" s="1309"/>
      <c r="C114" s="1309"/>
      <c r="D114" s="1309"/>
      <c r="E114" s="1309"/>
      <c r="F114" s="1309"/>
      <c r="G114" s="1309"/>
      <c r="H114" s="1309"/>
      <c r="I114" s="1309"/>
      <c r="J114" s="1309"/>
      <c r="K114" s="1309"/>
    </row>
    <row r="115" spans="1:11" ht="19.5" customHeight="1">
      <c r="A115" s="887" t="s">
        <v>2088</v>
      </c>
      <c r="B115" s="887" t="s">
        <v>2058</v>
      </c>
      <c r="C115" s="887" t="s">
        <v>2059</v>
      </c>
      <c r="D115" s="887" t="s">
        <v>2089</v>
      </c>
      <c r="E115" s="888"/>
      <c r="F115" s="887" t="s">
        <v>2090</v>
      </c>
      <c r="G115" s="887" t="s">
        <v>2062</v>
      </c>
      <c r="H115" s="887" t="s">
        <v>2063</v>
      </c>
      <c r="I115" s="887" t="s">
        <v>2076</v>
      </c>
      <c r="J115" s="887" t="s">
        <v>2091</v>
      </c>
      <c r="K115" s="887" t="s">
        <v>2064</v>
      </c>
    </row>
    <row r="116" spans="1:11" ht="19.5" customHeight="1">
      <c r="A116" s="1306" t="s">
        <v>2092</v>
      </c>
      <c r="B116" s="1306" t="s">
        <v>2093</v>
      </c>
      <c r="C116" s="1306" t="s">
        <v>2094</v>
      </c>
      <c r="D116" s="1306" t="s">
        <v>2095</v>
      </c>
      <c r="E116" s="1303"/>
      <c r="F116" s="1307" t="s">
        <v>2096</v>
      </c>
      <c r="G116" s="890" t="s">
        <v>2097</v>
      </c>
      <c r="H116" s="890" t="s">
        <v>618</v>
      </c>
      <c r="I116" s="887">
        <f>+E116*1</f>
        <v>0</v>
      </c>
      <c r="J116" s="887" t="s">
        <v>2031</v>
      </c>
      <c r="K116" s="1307" t="s">
        <v>2098</v>
      </c>
    </row>
    <row r="117" spans="1:11" ht="19.5" customHeight="1">
      <c r="A117" s="1306"/>
      <c r="B117" s="1306"/>
      <c r="C117" s="1306"/>
      <c r="D117" s="1306"/>
      <c r="E117" s="1304"/>
      <c r="F117" s="1307"/>
      <c r="G117" s="890" t="s">
        <v>1827</v>
      </c>
      <c r="H117" s="890" t="s">
        <v>527</v>
      </c>
      <c r="I117" s="887">
        <f>+E116*2.6</f>
        <v>0</v>
      </c>
      <c r="J117" s="887" t="s">
        <v>410</v>
      </c>
      <c r="K117" s="1307"/>
    </row>
    <row r="118" spans="1:11" ht="19.5" customHeight="1">
      <c r="A118" s="1306"/>
      <c r="B118" s="1306"/>
      <c r="C118" s="1306"/>
      <c r="D118" s="1306"/>
      <c r="E118" s="1304"/>
      <c r="F118" s="1307"/>
      <c r="G118" s="890" t="s">
        <v>2099</v>
      </c>
      <c r="H118" s="890"/>
      <c r="I118" s="1306" t="s">
        <v>2033</v>
      </c>
      <c r="J118" s="1306"/>
      <c r="K118" s="1307"/>
    </row>
    <row r="119" spans="1:11" ht="19.5" customHeight="1">
      <c r="A119" s="1306"/>
      <c r="B119" s="1306"/>
      <c r="C119" s="1306"/>
      <c r="D119" s="1306"/>
      <c r="E119" s="1305"/>
      <c r="F119" s="1307"/>
      <c r="G119" s="890" t="s">
        <v>541</v>
      </c>
      <c r="H119" s="890" t="s">
        <v>2034</v>
      </c>
      <c r="I119" s="887">
        <f>+E116*8</f>
        <v>0</v>
      </c>
      <c r="J119" s="887" t="s">
        <v>2031</v>
      </c>
      <c r="K119" s="1307"/>
    </row>
    <row r="120" spans="1:11" ht="19.5" customHeight="1">
      <c r="A120" s="1306" t="s">
        <v>631</v>
      </c>
      <c r="B120" s="1306" t="s">
        <v>2100</v>
      </c>
      <c r="C120" s="1306" t="s">
        <v>2094</v>
      </c>
      <c r="D120" s="1306" t="s">
        <v>2095</v>
      </c>
      <c r="E120" s="1303"/>
      <c r="F120" s="1307"/>
      <c r="G120" s="890" t="s">
        <v>2101</v>
      </c>
      <c r="H120" s="890" t="s">
        <v>627</v>
      </c>
      <c r="I120" s="887">
        <f>+E120*1</f>
        <v>0</v>
      </c>
      <c r="J120" s="887" t="s">
        <v>2031</v>
      </c>
      <c r="K120" s="1307"/>
    </row>
    <row r="121" spans="1:11" ht="19.5" customHeight="1">
      <c r="A121" s="1306"/>
      <c r="B121" s="1306"/>
      <c r="C121" s="1306"/>
      <c r="D121" s="1306"/>
      <c r="E121" s="1304"/>
      <c r="F121" s="1307"/>
      <c r="G121" s="890" t="s">
        <v>1827</v>
      </c>
      <c r="H121" s="890" t="s">
        <v>527</v>
      </c>
      <c r="I121" s="887">
        <f>+E120*3.4</f>
        <v>0</v>
      </c>
      <c r="J121" s="887" t="s">
        <v>410</v>
      </c>
      <c r="K121" s="1307"/>
    </row>
    <row r="122" spans="1:11" ht="19.5" customHeight="1">
      <c r="A122" s="1306"/>
      <c r="B122" s="1306"/>
      <c r="C122" s="1306"/>
      <c r="D122" s="1306"/>
      <c r="E122" s="1304"/>
      <c r="F122" s="1307"/>
      <c r="G122" s="890" t="s">
        <v>2099</v>
      </c>
      <c r="H122" s="890"/>
      <c r="I122" s="1306" t="s">
        <v>2033</v>
      </c>
      <c r="J122" s="1306"/>
      <c r="K122" s="1307"/>
    </row>
    <row r="123" spans="1:11" ht="19.5" customHeight="1">
      <c r="A123" s="1306"/>
      <c r="B123" s="1306"/>
      <c r="C123" s="1306"/>
      <c r="D123" s="1306"/>
      <c r="E123" s="1305"/>
      <c r="F123" s="1307"/>
      <c r="G123" s="890" t="s">
        <v>541</v>
      </c>
      <c r="H123" s="890" t="s">
        <v>2034</v>
      </c>
      <c r="I123" s="887">
        <f>+E120*8</f>
        <v>0</v>
      </c>
      <c r="J123" s="887" t="s">
        <v>2031</v>
      </c>
      <c r="K123" s="1307"/>
    </row>
    <row r="124" spans="1:11" ht="19.5" customHeight="1">
      <c r="A124" s="1309" t="s">
        <v>2102</v>
      </c>
      <c r="B124" s="1309"/>
      <c r="C124" s="1309"/>
      <c r="D124" s="1309"/>
      <c r="E124" s="1309"/>
      <c r="F124" s="1309"/>
      <c r="G124" s="1309"/>
      <c r="H124" s="1309"/>
      <c r="I124" s="1309"/>
      <c r="J124" s="1309"/>
      <c r="K124" s="1309"/>
    </row>
    <row r="125" spans="1:11" ht="19.5" customHeight="1">
      <c r="A125" s="887" t="s">
        <v>608</v>
      </c>
      <c r="B125" s="887" t="s">
        <v>2058</v>
      </c>
      <c r="C125" s="887" t="s">
        <v>2059</v>
      </c>
      <c r="D125" s="887" t="s">
        <v>2089</v>
      </c>
      <c r="E125" s="888"/>
      <c r="F125" s="887" t="s">
        <v>2061</v>
      </c>
      <c r="G125" s="887" t="s">
        <v>2062</v>
      </c>
      <c r="H125" s="887" t="s">
        <v>2063</v>
      </c>
      <c r="I125" s="887" t="s">
        <v>592</v>
      </c>
      <c r="J125" s="887" t="s">
        <v>591</v>
      </c>
      <c r="K125" s="887" t="s">
        <v>2064</v>
      </c>
    </row>
    <row r="126" spans="1:11" ht="19.5" customHeight="1">
      <c r="A126" s="1306">
        <v>1</v>
      </c>
      <c r="B126" s="1306" t="s">
        <v>2103</v>
      </c>
      <c r="C126" s="1306" t="s">
        <v>2078</v>
      </c>
      <c r="D126" s="1306" t="s">
        <v>2095</v>
      </c>
      <c r="E126" s="1303"/>
      <c r="F126" s="1307" t="s">
        <v>2104</v>
      </c>
      <c r="G126" s="890" t="s">
        <v>2068</v>
      </c>
      <c r="H126" s="890" t="s">
        <v>618</v>
      </c>
      <c r="I126" s="887">
        <f>+E126*0.4</f>
        <v>0</v>
      </c>
      <c r="J126" s="887" t="s">
        <v>2055</v>
      </c>
      <c r="K126" s="1307"/>
    </row>
    <row r="127" spans="1:11" ht="19.5" customHeight="1">
      <c r="A127" s="1306"/>
      <c r="B127" s="1306"/>
      <c r="C127" s="1306"/>
      <c r="D127" s="1306"/>
      <c r="E127" s="1304"/>
      <c r="F127" s="1307"/>
      <c r="G127" s="890" t="s">
        <v>1827</v>
      </c>
      <c r="H127" s="890" t="s">
        <v>527</v>
      </c>
      <c r="I127" s="887">
        <f>+E126*3.5</f>
        <v>0</v>
      </c>
      <c r="J127" s="887" t="s">
        <v>410</v>
      </c>
      <c r="K127" s="1307"/>
    </row>
    <row r="128" spans="1:11" ht="19.5" customHeight="1">
      <c r="A128" s="1306"/>
      <c r="B128" s="1306"/>
      <c r="C128" s="1306"/>
      <c r="D128" s="1306"/>
      <c r="E128" s="1304"/>
      <c r="F128" s="1307"/>
      <c r="G128" s="890" t="s">
        <v>2099</v>
      </c>
      <c r="H128" s="890"/>
      <c r="I128" s="1306" t="s">
        <v>2033</v>
      </c>
      <c r="J128" s="1306"/>
      <c r="K128" s="1307"/>
    </row>
    <row r="129" spans="1:11" ht="19.5" customHeight="1">
      <c r="A129" s="1306"/>
      <c r="B129" s="1306"/>
      <c r="C129" s="1306"/>
      <c r="D129" s="1306"/>
      <c r="E129" s="1305"/>
      <c r="F129" s="1307"/>
      <c r="G129" s="890" t="s">
        <v>541</v>
      </c>
      <c r="H129" s="890" t="s">
        <v>2034</v>
      </c>
      <c r="I129" s="887">
        <f>+E126*8</f>
        <v>0</v>
      </c>
      <c r="J129" s="887" t="s">
        <v>2031</v>
      </c>
      <c r="K129" s="1307"/>
    </row>
    <row r="130" spans="1:11" ht="19.5" customHeight="1">
      <c r="A130" s="1306">
        <v>2</v>
      </c>
      <c r="B130" s="1306" t="s">
        <v>2103</v>
      </c>
      <c r="C130" s="1306" t="s">
        <v>2083</v>
      </c>
      <c r="D130" s="1306" t="s">
        <v>2095</v>
      </c>
      <c r="E130" s="1303"/>
      <c r="F130" s="1307"/>
      <c r="G130" s="890" t="s">
        <v>2068</v>
      </c>
      <c r="H130" s="890" t="s">
        <v>618</v>
      </c>
      <c r="I130" s="887">
        <f>+E130*0.7</f>
        <v>0</v>
      </c>
      <c r="J130" s="887" t="s">
        <v>2055</v>
      </c>
      <c r="K130" s="1307"/>
    </row>
    <row r="131" spans="1:11" ht="19.5" customHeight="1">
      <c r="A131" s="1306"/>
      <c r="B131" s="1306"/>
      <c r="C131" s="1306"/>
      <c r="D131" s="1306"/>
      <c r="E131" s="1304"/>
      <c r="F131" s="1307"/>
      <c r="G131" s="890" t="s">
        <v>2099</v>
      </c>
      <c r="H131" s="890"/>
      <c r="I131" s="1306" t="s">
        <v>2033</v>
      </c>
      <c r="J131" s="1306"/>
      <c r="K131" s="1307"/>
    </row>
    <row r="132" spans="1:11" ht="19.5" customHeight="1">
      <c r="A132" s="1306"/>
      <c r="B132" s="1306"/>
      <c r="C132" s="1306"/>
      <c r="D132" s="1306"/>
      <c r="E132" s="1304"/>
      <c r="F132" s="1307"/>
      <c r="G132" s="890" t="s">
        <v>1827</v>
      </c>
      <c r="H132" s="890" t="s">
        <v>527</v>
      </c>
      <c r="I132" s="887">
        <f>+E130*5</f>
        <v>0</v>
      </c>
      <c r="J132" s="887" t="s">
        <v>410</v>
      </c>
      <c r="K132" s="1307"/>
    </row>
    <row r="133" spans="1:11" ht="19.5" customHeight="1">
      <c r="A133" s="1306"/>
      <c r="B133" s="1306"/>
      <c r="C133" s="1306"/>
      <c r="D133" s="1306"/>
      <c r="E133" s="1305"/>
      <c r="F133" s="1307"/>
      <c r="G133" s="890" t="s">
        <v>541</v>
      </c>
      <c r="H133" s="890" t="s">
        <v>2034</v>
      </c>
      <c r="I133" s="887">
        <f>+E130*8</f>
        <v>0</v>
      </c>
      <c r="J133" s="887" t="s">
        <v>2031</v>
      </c>
      <c r="K133" s="1307"/>
    </row>
    <row r="134" spans="1:11" ht="19.5" customHeight="1">
      <c r="A134" s="1296" t="s">
        <v>2105</v>
      </c>
      <c r="B134" s="1296"/>
      <c r="C134" s="1296"/>
      <c r="D134" s="1296"/>
      <c r="E134" s="1296"/>
      <c r="F134" s="1296"/>
      <c r="G134" s="1296"/>
      <c r="H134" s="1296"/>
      <c r="I134" s="1296"/>
      <c r="J134" s="1296"/>
      <c r="K134" s="1296"/>
    </row>
    <row r="135" spans="1:11" ht="19.5" customHeight="1">
      <c r="A135" s="887" t="s">
        <v>2106</v>
      </c>
      <c r="B135" s="887" t="s">
        <v>2058</v>
      </c>
      <c r="C135" s="887" t="s">
        <v>2059</v>
      </c>
      <c r="D135" s="887" t="s">
        <v>2060</v>
      </c>
      <c r="E135" s="888"/>
      <c r="F135" s="887" t="s">
        <v>2076</v>
      </c>
      <c r="G135" s="887" t="s">
        <v>2062</v>
      </c>
      <c r="H135" s="887" t="s">
        <v>2063</v>
      </c>
      <c r="I135" s="887" t="s">
        <v>592</v>
      </c>
      <c r="J135" s="887" t="s">
        <v>591</v>
      </c>
      <c r="K135" s="887" t="s">
        <v>590</v>
      </c>
    </row>
    <row r="136" spans="1:11" s="901" customFormat="1" ht="19.5" customHeight="1">
      <c r="A136" s="1310" t="s">
        <v>2107</v>
      </c>
      <c r="B136" s="1310">
        <v>50</v>
      </c>
      <c r="C136" s="1310" t="s">
        <v>2108</v>
      </c>
      <c r="D136" s="1310" t="s">
        <v>2109</v>
      </c>
      <c r="E136" s="1311"/>
      <c r="F136" s="1310" t="s">
        <v>2110</v>
      </c>
      <c r="G136" s="898" t="s">
        <v>2111</v>
      </c>
      <c r="H136" s="899" t="s">
        <v>532</v>
      </c>
      <c r="I136" s="900">
        <f>+E136*0.7</f>
        <v>0</v>
      </c>
      <c r="J136" s="900" t="s">
        <v>431</v>
      </c>
      <c r="K136" s="1310"/>
    </row>
    <row r="137" spans="1:11" s="901" customFormat="1" ht="19.5" customHeight="1">
      <c r="A137" s="1310"/>
      <c r="B137" s="1310"/>
      <c r="C137" s="1310"/>
      <c r="D137" s="1310"/>
      <c r="E137" s="1312"/>
      <c r="F137" s="1310"/>
      <c r="G137" s="890" t="s">
        <v>2112</v>
      </c>
      <c r="H137" s="890" t="s">
        <v>2034</v>
      </c>
      <c r="I137" s="887">
        <f>+E136*4</f>
        <v>0</v>
      </c>
      <c r="J137" s="887" t="s">
        <v>2031</v>
      </c>
      <c r="K137" s="1310"/>
    </row>
    <row r="138" spans="1:11" s="901" customFormat="1" ht="19.5" customHeight="1">
      <c r="A138" s="1310"/>
      <c r="B138" s="1310"/>
      <c r="C138" s="1310"/>
      <c r="D138" s="1310"/>
      <c r="E138" s="1313"/>
      <c r="F138" s="1310"/>
      <c r="G138" s="898" t="s">
        <v>1827</v>
      </c>
      <c r="H138" s="898" t="s">
        <v>527</v>
      </c>
      <c r="I138" s="900">
        <f>+E136*1</f>
        <v>0</v>
      </c>
      <c r="J138" s="900" t="s">
        <v>2043</v>
      </c>
      <c r="K138" s="1310"/>
    </row>
    <row r="139" spans="1:11" s="901" customFormat="1" ht="19.5" customHeight="1">
      <c r="A139" s="1310" t="s">
        <v>2107</v>
      </c>
      <c r="B139" s="1310">
        <v>50</v>
      </c>
      <c r="C139" s="1310" t="s">
        <v>2108</v>
      </c>
      <c r="D139" s="1310" t="s">
        <v>2113</v>
      </c>
      <c r="E139" s="1311"/>
      <c r="F139" s="1310" t="s">
        <v>2110</v>
      </c>
      <c r="G139" s="898" t="s">
        <v>2114</v>
      </c>
      <c r="H139" s="899" t="s">
        <v>532</v>
      </c>
      <c r="I139" s="900">
        <f>+E139*0.7</f>
        <v>0</v>
      </c>
      <c r="J139" s="900" t="s">
        <v>431</v>
      </c>
      <c r="K139" s="1310"/>
    </row>
    <row r="140" spans="1:11" s="901" customFormat="1" ht="19.5" customHeight="1">
      <c r="A140" s="1310"/>
      <c r="B140" s="1310"/>
      <c r="C140" s="1310"/>
      <c r="D140" s="1310"/>
      <c r="E140" s="1312"/>
      <c r="F140" s="1310"/>
      <c r="G140" s="890" t="s">
        <v>2112</v>
      </c>
      <c r="H140" s="890" t="s">
        <v>2034</v>
      </c>
      <c r="I140" s="887">
        <f>+E139*4</f>
        <v>0</v>
      </c>
      <c r="J140" s="887" t="s">
        <v>2031</v>
      </c>
      <c r="K140" s="1310"/>
    </row>
    <row r="141" spans="1:11" s="901" customFormat="1" ht="19.5" customHeight="1">
      <c r="A141" s="1310"/>
      <c r="B141" s="1310"/>
      <c r="C141" s="1310"/>
      <c r="D141" s="1310"/>
      <c r="E141" s="1313"/>
      <c r="F141" s="1310"/>
      <c r="G141" s="898" t="s">
        <v>1827</v>
      </c>
      <c r="H141" s="898" t="s">
        <v>527</v>
      </c>
      <c r="I141" s="900">
        <f>+E139*2</f>
        <v>0</v>
      </c>
      <c r="J141" s="900" t="s">
        <v>2043</v>
      </c>
      <c r="K141" s="1310"/>
    </row>
    <row r="142" spans="1:11" s="901" customFormat="1" ht="19.5" customHeight="1">
      <c r="A142" s="1310" t="s">
        <v>2107</v>
      </c>
      <c r="B142" s="1310">
        <v>50</v>
      </c>
      <c r="C142" s="1310" t="s">
        <v>2115</v>
      </c>
      <c r="D142" s="1310" t="s">
        <v>2065</v>
      </c>
      <c r="E142" s="1311"/>
      <c r="F142" s="1310" t="s">
        <v>2110</v>
      </c>
      <c r="G142" s="898" t="s">
        <v>2114</v>
      </c>
      <c r="H142" s="899" t="s">
        <v>532</v>
      </c>
      <c r="I142" s="900">
        <f>+E142*2</f>
        <v>0</v>
      </c>
      <c r="J142" s="900" t="s">
        <v>431</v>
      </c>
      <c r="K142" s="1310"/>
    </row>
    <row r="143" spans="1:11" s="901" customFormat="1" ht="19.5" customHeight="1">
      <c r="A143" s="1310"/>
      <c r="B143" s="1310"/>
      <c r="C143" s="1310"/>
      <c r="D143" s="1310"/>
      <c r="E143" s="1312"/>
      <c r="F143" s="1310"/>
      <c r="G143" s="890" t="s">
        <v>2112</v>
      </c>
      <c r="H143" s="890" t="s">
        <v>2034</v>
      </c>
      <c r="I143" s="887">
        <f>+E142*4</f>
        <v>0</v>
      </c>
      <c r="J143" s="887" t="s">
        <v>2031</v>
      </c>
      <c r="K143" s="1310"/>
    </row>
    <row r="144" spans="1:11" s="901" customFormat="1" ht="19.5" customHeight="1">
      <c r="A144" s="1310"/>
      <c r="B144" s="1310"/>
      <c r="C144" s="1310"/>
      <c r="D144" s="1310"/>
      <c r="E144" s="1313"/>
      <c r="F144" s="1310"/>
      <c r="G144" s="898" t="s">
        <v>1827</v>
      </c>
      <c r="H144" s="898" t="s">
        <v>527</v>
      </c>
      <c r="I144" s="900">
        <f>+E142*2.5</f>
        <v>0</v>
      </c>
      <c r="J144" s="900" t="s">
        <v>2043</v>
      </c>
      <c r="K144" s="1310"/>
    </row>
    <row r="145" spans="1:11" s="901" customFormat="1" ht="19.5" customHeight="1">
      <c r="A145" s="1310" t="s">
        <v>2107</v>
      </c>
      <c r="B145" s="1310">
        <v>75</v>
      </c>
      <c r="C145" s="1310" t="s">
        <v>2108</v>
      </c>
      <c r="D145" s="1310" t="s">
        <v>2116</v>
      </c>
      <c r="E145" s="1311"/>
      <c r="F145" s="1310" t="s">
        <v>2117</v>
      </c>
      <c r="G145" s="898" t="s">
        <v>2068</v>
      </c>
      <c r="H145" s="899" t="s">
        <v>532</v>
      </c>
      <c r="I145" s="900">
        <f>+E145*0.5</f>
        <v>0</v>
      </c>
      <c r="J145" s="900" t="s">
        <v>431</v>
      </c>
      <c r="K145" s="1310"/>
    </row>
    <row r="146" spans="1:11" s="901" customFormat="1" ht="19.5" customHeight="1">
      <c r="A146" s="1310"/>
      <c r="B146" s="1310"/>
      <c r="C146" s="1310"/>
      <c r="D146" s="1310"/>
      <c r="E146" s="1312"/>
      <c r="F146" s="1310"/>
      <c r="G146" s="890" t="s">
        <v>541</v>
      </c>
      <c r="H146" s="890" t="s">
        <v>2034</v>
      </c>
      <c r="I146" s="887">
        <f>+E145*8</f>
        <v>0</v>
      </c>
      <c r="J146" s="887" t="s">
        <v>2031</v>
      </c>
      <c r="K146" s="1310"/>
    </row>
    <row r="147" spans="1:11" s="901" customFormat="1" ht="19.5" customHeight="1">
      <c r="A147" s="1310"/>
      <c r="B147" s="1310"/>
      <c r="C147" s="1310"/>
      <c r="D147" s="1310"/>
      <c r="E147" s="1313"/>
      <c r="F147" s="1310"/>
      <c r="G147" s="898" t="s">
        <v>1827</v>
      </c>
      <c r="H147" s="898" t="s">
        <v>527</v>
      </c>
      <c r="I147" s="900">
        <f>+E145*1.5</f>
        <v>0</v>
      </c>
      <c r="J147" s="900" t="s">
        <v>2043</v>
      </c>
      <c r="K147" s="1310"/>
    </row>
    <row r="148" spans="1:11" s="901" customFormat="1" ht="19.5" customHeight="1">
      <c r="A148" s="1310" t="s">
        <v>2107</v>
      </c>
      <c r="B148" s="1310">
        <v>75</v>
      </c>
      <c r="C148" s="1310" t="s">
        <v>2108</v>
      </c>
      <c r="D148" s="1310" t="s">
        <v>2113</v>
      </c>
      <c r="E148" s="1311"/>
      <c r="F148" s="1310" t="s">
        <v>2117</v>
      </c>
      <c r="G148" s="898" t="s">
        <v>2068</v>
      </c>
      <c r="H148" s="899" t="s">
        <v>532</v>
      </c>
      <c r="I148" s="900">
        <f>+E148*0.5</f>
        <v>0</v>
      </c>
      <c r="J148" s="900" t="s">
        <v>431</v>
      </c>
      <c r="K148" s="1310"/>
    </row>
    <row r="149" spans="1:11" s="901" customFormat="1" ht="19.5" customHeight="1">
      <c r="A149" s="1310"/>
      <c r="B149" s="1310"/>
      <c r="C149" s="1310"/>
      <c r="D149" s="1310"/>
      <c r="E149" s="1312"/>
      <c r="F149" s="1310"/>
      <c r="G149" s="890" t="s">
        <v>541</v>
      </c>
      <c r="H149" s="890" t="s">
        <v>2034</v>
      </c>
      <c r="I149" s="887">
        <f>+E148*8</f>
        <v>0</v>
      </c>
      <c r="J149" s="887" t="s">
        <v>2031</v>
      </c>
      <c r="K149" s="1310"/>
    </row>
    <row r="150" spans="1:11" s="901" customFormat="1" ht="19.5" customHeight="1">
      <c r="A150" s="1310"/>
      <c r="B150" s="1310"/>
      <c r="C150" s="1310"/>
      <c r="D150" s="1310"/>
      <c r="E150" s="1313"/>
      <c r="F150" s="1310"/>
      <c r="G150" s="898" t="s">
        <v>1827</v>
      </c>
      <c r="H150" s="898" t="s">
        <v>527</v>
      </c>
      <c r="I150" s="900">
        <f>+E148*2</f>
        <v>0</v>
      </c>
      <c r="J150" s="900" t="s">
        <v>2043</v>
      </c>
      <c r="K150" s="1310"/>
    </row>
    <row r="151" spans="1:11" s="901" customFormat="1" ht="19.5" customHeight="1">
      <c r="A151" s="1310" t="s">
        <v>2107</v>
      </c>
      <c r="B151" s="1310">
        <v>75</v>
      </c>
      <c r="C151" s="1310" t="s">
        <v>2115</v>
      </c>
      <c r="D151" s="1310" t="s">
        <v>2065</v>
      </c>
      <c r="E151" s="1311"/>
      <c r="F151" s="1310" t="s">
        <v>2110</v>
      </c>
      <c r="G151" s="898" t="s">
        <v>2068</v>
      </c>
      <c r="H151" s="899" t="s">
        <v>532</v>
      </c>
      <c r="I151" s="900">
        <f>+E151*2</f>
        <v>0</v>
      </c>
      <c r="J151" s="900" t="s">
        <v>431</v>
      </c>
      <c r="K151" s="1310"/>
    </row>
    <row r="152" spans="1:11" s="901" customFormat="1" ht="19.5" customHeight="1">
      <c r="A152" s="1310"/>
      <c r="B152" s="1310"/>
      <c r="C152" s="1310"/>
      <c r="D152" s="1310"/>
      <c r="E152" s="1312"/>
      <c r="F152" s="1310"/>
      <c r="G152" s="890" t="s">
        <v>541</v>
      </c>
      <c r="H152" s="890" t="s">
        <v>2034</v>
      </c>
      <c r="I152" s="887">
        <f>+E151*8</f>
        <v>0</v>
      </c>
      <c r="J152" s="887" t="s">
        <v>2031</v>
      </c>
      <c r="K152" s="1310"/>
    </row>
    <row r="153" spans="1:11" s="901" customFormat="1" ht="19.5" customHeight="1">
      <c r="A153" s="1310"/>
      <c r="B153" s="1310"/>
      <c r="C153" s="1310"/>
      <c r="D153" s="1310"/>
      <c r="E153" s="1313"/>
      <c r="F153" s="1310"/>
      <c r="G153" s="898" t="s">
        <v>1827</v>
      </c>
      <c r="H153" s="898" t="s">
        <v>527</v>
      </c>
      <c r="I153" s="900">
        <f>+E151*2.5</f>
        <v>0</v>
      </c>
      <c r="J153" s="900" t="s">
        <v>2043</v>
      </c>
      <c r="K153" s="1310"/>
    </row>
    <row r="154" spans="1:11" s="901" customFormat="1" ht="19.5" customHeight="1">
      <c r="A154" s="1310" t="s">
        <v>2107</v>
      </c>
      <c r="B154" s="1310">
        <v>150</v>
      </c>
      <c r="C154" s="1310" t="s">
        <v>2108</v>
      </c>
      <c r="D154" s="1310" t="s">
        <v>2116</v>
      </c>
      <c r="E154" s="1311"/>
      <c r="F154" s="1310" t="s">
        <v>2110</v>
      </c>
      <c r="G154" s="898" t="s">
        <v>2068</v>
      </c>
      <c r="H154" s="899" t="s">
        <v>532</v>
      </c>
      <c r="I154" s="900">
        <f>+E154*0.5</f>
        <v>0</v>
      </c>
      <c r="J154" s="900" t="s">
        <v>431</v>
      </c>
      <c r="K154" s="1310"/>
    </row>
    <row r="155" spans="1:11" s="901" customFormat="1" ht="19.5" customHeight="1">
      <c r="A155" s="1310"/>
      <c r="B155" s="1310"/>
      <c r="C155" s="1310"/>
      <c r="D155" s="1310"/>
      <c r="E155" s="1312"/>
      <c r="F155" s="1310"/>
      <c r="G155" s="890" t="s">
        <v>541</v>
      </c>
      <c r="H155" s="890" t="s">
        <v>2034</v>
      </c>
      <c r="I155" s="887">
        <f>+E154*8</f>
        <v>0</v>
      </c>
      <c r="J155" s="887" t="s">
        <v>2031</v>
      </c>
      <c r="K155" s="1310"/>
    </row>
    <row r="156" spans="1:11" s="901" customFormat="1" ht="19.5" customHeight="1">
      <c r="A156" s="1310"/>
      <c r="B156" s="1310"/>
      <c r="C156" s="1310"/>
      <c r="D156" s="1310"/>
      <c r="E156" s="1313"/>
      <c r="F156" s="1310"/>
      <c r="G156" s="898" t="s">
        <v>1827</v>
      </c>
      <c r="H156" s="898" t="s">
        <v>527</v>
      </c>
      <c r="I156" s="900">
        <f>+E154*1</f>
        <v>0</v>
      </c>
      <c r="J156" s="900" t="s">
        <v>2043</v>
      </c>
      <c r="K156" s="1310"/>
    </row>
    <row r="157" spans="1:11" s="901" customFormat="1" ht="19.5" customHeight="1">
      <c r="A157" s="1310" t="s">
        <v>2107</v>
      </c>
      <c r="B157" s="1310">
        <v>150</v>
      </c>
      <c r="C157" s="1310" t="s">
        <v>2108</v>
      </c>
      <c r="D157" s="1310" t="s">
        <v>2113</v>
      </c>
      <c r="E157" s="1311"/>
      <c r="F157" s="1310" t="s">
        <v>2110</v>
      </c>
      <c r="G157" s="898" t="s">
        <v>2068</v>
      </c>
      <c r="H157" s="899" t="s">
        <v>532</v>
      </c>
      <c r="I157" s="900">
        <f>+E157*0.5</f>
        <v>0</v>
      </c>
      <c r="J157" s="900" t="s">
        <v>431</v>
      </c>
      <c r="K157" s="1310"/>
    </row>
    <row r="158" spans="1:11" s="901" customFormat="1" ht="19.5" customHeight="1">
      <c r="A158" s="1310"/>
      <c r="B158" s="1310"/>
      <c r="C158" s="1310"/>
      <c r="D158" s="1310"/>
      <c r="E158" s="1312"/>
      <c r="F158" s="1310"/>
      <c r="G158" s="890" t="s">
        <v>541</v>
      </c>
      <c r="H158" s="890" t="s">
        <v>2034</v>
      </c>
      <c r="I158" s="887">
        <f>+E157*8</f>
        <v>0</v>
      </c>
      <c r="J158" s="887" t="s">
        <v>2031</v>
      </c>
      <c r="K158" s="1310"/>
    </row>
    <row r="159" spans="1:11" s="901" customFormat="1" ht="19.5" customHeight="1">
      <c r="A159" s="1310"/>
      <c r="B159" s="1310"/>
      <c r="C159" s="1310"/>
      <c r="D159" s="1310"/>
      <c r="E159" s="1313"/>
      <c r="F159" s="1310"/>
      <c r="G159" s="898" t="s">
        <v>1827</v>
      </c>
      <c r="H159" s="898" t="s">
        <v>527</v>
      </c>
      <c r="I159" s="900">
        <f>+E157*1.5</f>
        <v>0</v>
      </c>
      <c r="J159" s="900" t="s">
        <v>2043</v>
      </c>
      <c r="K159" s="1310"/>
    </row>
    <row r="160" spans="1:11" s="901" customFormat="1" ht="19.5" customHeight="1">
      <c r="A160" s="1310" t="s">
        <v>2107</v>
      </c>
      <c r="B160" s="1310">
        <v>150</v>
      </c>
      <c r="C160" s="1310" t="s">
        <v>2115</v>
      </c>
      <c r="D160" s="1310" t="s">
        <v>2065</v>
      </c>
      <c r="E160" s="1311"/>
      <c r="F160" s="1310" t="s">
        <v>2110</v>
      </c>
      <c r="G160" s="898" t="s">
        <v>2068</v>
      </c>
      <c r="H160" s="899" t="s">
        <v>532</v>
      </c>
      <c r="I160" s="900">
        <f>+E160*2</f>
        <v>0</v>
      </c>
      <c r="J160" s="900" t="s">
        <v>431</v>
      </c>
      <c r="K160" s="1310"/>
    </row>
    <row r="161" spans="1:15" s="901" customFormat="1" ht="19.5" customHeight="1">
      <c r="A161" s="1310"/>
      <c r="B161" s="1310"/>
      <c r="C161" s="1310"/>
      <c r="D161" s="1310"/>
      <c r="E161" s="1312"/>
      <c r="F161" s="1310"/>
      <c r="G161" s="890" t="s">
        <v>541</v>
      </c>
      <c r="H161" s="890" t="s">
        <v>2034</v>
      </c>
      <c r="I161" s="887">
        <f>+E160*8</f>
        <v>0</v>
      </c>
      <c r="J161" s="887" t="s">
        <v>2031</v>
      </c>
      <c r="K161" s="1310"/>
    </row>
    <row r="162" spans="1:15" s="901" customFormat="1" ht="19.5" customHeight="1">
      <c r="A162" s="1310"/>
      <c r="B162" s="1310"/>
      <c r="C162" s="1310"/>
      <c r="D162" s="1310"/>
      <c r="E162" s="1313"/>
      <c r="F162" s="1310"/>
      <c r="G162" s="898" t="s">
        <v>1827</v>
      </c>
      <c r="H162" s="898" t="s">
        <v>527</v>
      </c>
      <c r="I162" s="900">
        <f>+E160*2.5</f>
        <v>0</v>
      </c>
      <c r="J162" s="900" t="s">
        <v>2043</v>
      </c>
      <c r="K162" s="1310"/>
    </row>
    <row r="163" spans="1:15" ht="19.5" customHeight="1">
      <c r="A163" s="1306" t="s">
        <v>2107</v>
      </c>
      <c r="B163" s="1306" t="s">
        <v>2118</v>
      </c>
      <c r="C163" s="1306" t="s">
        <v>2108</v>
      </c>
      <c r="D163" s="1306" t="s">
        <v>2069</v>
      </c>
      <c r="E163" s="1303"/>
      <c r="F163" s="1306" t="s">
        <v>2110</v>
      </c>
      <c r="G163" s="898" t="s">
        <v>2068</v>
      </c>
      <c r="H163" s="899" t="s">
        <v>532</v>
      </c>
      <c r="I163" s="900">
        <f>+E163*1</f>
        <v>0</v>
      </c>
      <c r="J163" s="900" t="s">
        <v>431</v>
      </c>
      <c r="K163" s="1314"/>
    </row>
    <row r="164" spans="1:15" ht="19.5" customHeight="1">
      <c r="A164" s="1306"/>
      <c r="B164" s="1306"/>
      <c r="C164" s="1306"/>
      <c r="D164" s="1306"/>
      <c r="E164" s="1304"/>
      <c r="F164" s="1306"/>
      <c r="G164" s="890" t="s">
        <v>541</v>
      </c>
      <c r="H164" s="890" t="s">
        <v>2034</v>
      </c>
      <c r="I164" s="887">
        <f>+E163*8</f>
        <v>0</v>
      </c>
      <c r="J164" s="887" t="s">
        <v>2031</v>
      </c>
      <c r="K164" s="1314"/>
    </row>
    <row r="165" spans="1:15" ht="19.5" customHeight="1">
      <c r="A165" s="1306"/>
      <c r="B165" s="1306"/>
      <c r="C165" s="1306"/>
      <c r="D165" s="1306"/>
      <c r="E165" s="1305"/>
      <c r="F165" s="1306"/>
      <c r="G165" s="898" t="s">
        <v>1827</v>
      </c>
      <c r="H165" s="898" t="s">
        <v>527</v>
      </c>
      <c r="I165" s="900">
        <f>+E163*2.5</f>
        <v>0</v>
      </c>
      <c r="J165" s="900" t="s">
        <v>2043</v>
      </c>
      <c r="K165" s="1314"/>
    </row>
    <row r="166" spans="1:15" ht="19.5" customHeight="1">
      <c r="A166" s="1306" t="s">
        <v>2119</v>
      </c>
      <c r="B166" s="1306" t="s">
        <v>2120</v>
      </c>
      <c r="C166" s="1306" t="s">
        <v>2066</v>
      </c>
      <c r="D166" s="1306" t="s">
        <v>2066</v>
      </c>
      <c r="E166" s="1303"/>
      <c r="F166" s="1306" t="s">
        <v>2121</v>
      </c>
      <c r="G166" s="890" t="s">
        <v>2068</v>
      </c>
      <c r="H166" s="893" t="s">
        <v>532</v>
      </c>
      <c r="I166" s="887">
        <f>+E166*0.5</f>
        <v>0</v>
      </c>
      <c r="J166" s="887" t="s">
        <v>2055</v>
      </c>
      <c r="K166" s="1306"/>
    </row>
    <row r="167" spans="1:15" ht="19.5" customHeight="1">
      <c r="A167" s="1306"/>
      <c r="B167" s="1306"/>
      <c r="C167" s="1306"/>
      <c r="D167" s="1306"/>
      <c r="E167" s="1304"/>
      <c r="F167" s="1306"/>
      <c r="G167" s="890" t="s">
        <v>2122</v>
      </c>
      <c r="H167" s="893"/>
      <c r="I167" s="887">
        <f>+E166*5</f>
        <v>0</v>
      </c>
      <c r="J167" s="887" t="s">
        <v>2123</v>
      </c>
      <c r="K167" s="1306"/>
    </row>
    <row r="168" spans="1:15" ht="19.5" customHeight="1">
      <c r="A168" s="1306"/>
      <c r="B168" s="1306"/>
      <c r="C168" s="1306"/>
      <c r="D168" s="1306"/>
      <c r="E168" s="1305"/>
      <c r="F168" s="1306"/>
      <c r="G168" s="890" t="s">
        <v>1827</v>
      </c>
      <c r="H168" s="890" t="s">
        <v>527</v>
      </c>
      <c r="I168" s="887">
        <f>+E166*2.5</f>
        <v>0</v>
      </c>
      <c r="J168" s="887" t="s">
        <v>2043</v>
      </c>
      <c r="K168" s="1306"/>
    </row>
    <row r="169" spans="1:15" ht="19.5" customHeight="1">
      <c r="A169" s="1306" t="s">
        <v>2124</v>
      </c>
      <c r="B169" s="1306" t="s">
        <v>2125</v>
      </c>
      <c r="C169" s="1306" t="s">
        <v>2126</v>
      </c>
      <c r="D169" s="1306" t="s">
        <v>2066</v>
      </c>
      <c r="E169" s="1303"/>
      <c r="F169" s="1306" t="s">
        <v>2127</v>
      </c>
      <c r="G169" s="890" t="s">
        <v>2068</v>
      </c>
      <c r="H169" s="899" t="s">
        <v>532</v>
      </c>
      <c r="I169" s="887">
        <f>+E169*1</f>
        <v>0</v>
      </c>
      <c r="J169" s="887" t="s">
        <v>431</v>
      </c>
      <c r="K169" s="1306" t="s">
        <v>2128</v>
      </c>
    </row>
    <row r="170" spans="1:15" ht="19.5" customHeight="1">
      <c r="A170" s="1306"/>
      <c r="B170" s="1306"/>
      <c r="C170" s="1306"/>
      <c r="D170" s="1306"/>
      <c r="E170" s="1304"/>
      <c r="F170" s="1306"/>
      <c r="G170" s="890" t="s">
        <v>541</v>
      </c>
      <c r="H170" s="890" t="s">
        <v>2034</v>
      </c>
      <c r="I170" s="887">
        <f>+E169*4</f>
        <v>0</v>
      </c>
      <c r="J170" s="887" t="s">
        <v>2031</v>
      </c>
      <c r="K170" s="1306"/>
    </row>
    <row r="171" spans="1:15" ht="19.5" customHeight="1">
      <c r="A171" s="1306"/>
      <c r="B171" s="1306"/>
      <c r="C171" s="1306"/>
      <c r="D171" s="1306"/>
      <c r="E171" s="1305"/>
      <c r="F171" s="1306"/>
      <c r="G171" s="890" t="s">
        <v>1827</v>
      </c>
      <c r="H171" s="890" t="s">
        <v>527</v>
      </c>
      <c r="I171" s="887">
        <f>+E169*3</f>
        <v>0</v>
      </c>
      <c r="J171" s="887" t="s">
        <v>2043</v>
      </c>
      <c r="K171" s="1306"/>
    </row>
    <row r="172" spans="1:15" ht="19.5" customHeight="1">
      <c r="A172" s="1306" t="s">
        <v>2124</v>
      </c>
      <c r="B172" s="1306" t="s">
        <v>2129</v>
      </c>
      <c r="C172" s="1306" t="s">
        <v>2126</v>
      </c>
      <c r="D172" s="1306" t="s">
        <v>2066</v>
      </c>
      <c r="E172" s="1303"/>
      <c r="F172" s="1306" t="s">
        <v>2127</v>
      </c>
      <c r="G172" s="890" t="s">
        <v>2068</v>
      </c>
      <c r="H172" s="899" t="s">
        <v>532</v>
      </c>
      <c r="I172" s="887">
        <f>+E172*1.5</f>
        <v>0</v>
      </c>
      <c r="J172" s="887" t="s">
        <v>431</v>
      </c>
      <c r="K172" s="1306" t="s">
        <v>2128</v>
      </c>
    </row>
    <row r="173" spans="1:15" ht="19.5" customHeight="1">
      <c r="A173" s="1306"/>
      <c r="B173" s="1306"/>
      <c r="C173" s="1306"/>
      <c r="D173" s="1306"/>
      <c r="E173" s="1304"/>
      <c r="F173" s="1306"/>
      <c r="G173" s="890" t="s">
        <v>541</v>
      </c>
      <c r="H173" s="890" t="s">
        <v>2034</v>
      </c>
      <c r="I173" s="887">
        <f>+E172*4</f>
        <v>0</v>
      </c>
      <c r="J173" s="887" t="s">
        <v>2031</v>
      </c>
      <c r="K173" s="1306"/>
    </row>
    <row r="174" spans="1:15" ht="19.5" customHeight="1">
      <c r="A174" s="1306"/>
      <c r="B174" s="1306"/>
      <c r="C174" s="1306"/>
      <c r="D174" s="1306"/>
      <c r="E174" s="1305"/>
      <c r="F174" s="1306"/>
      <c r="G174" s="890" t="s">
        <v>1827</v>
      </c>
      <c r="H174" s="890" t="s">
        <v>527</v>
      </c>
      <c r="I174" s="887">
        <f>+E172*4</f>
        <v>0</v>
      </c>
      <c r="J174" s="887" t="s">
        <v>2043</v>
      </c>
      <c r="K174" s="1306"/>
    </row>
    <row r="175" spans="1:15" ht="19.5" customHeight="1">
      <c r="A175" s="1306" t="s">
        <v>2130</v>
      </c>
      <c r="B175" s="1306" t="s">
        <v>2131</v>
      </c>
      <c r="C175" s="1306"/>
      <c r="D175" s="1306"/>
      <c r="E175" s="1303"/>
      <c r="F175" s="1306" t="s">
        <v>2110</v>
      </c>
      <c r="G175" s="890" t="s">
        <v>2068</v>
      </c>
      <c r="H175" s="899" t="s">
        <v>532</v>
      </c>
      <c r="I175" s="887">
        <f>+E175*1.5</f>
        <v>0</v>
      </c>
      <c r="J175" s="887" t="s">
        <v>431</v>
      </c>
      <c r="K175" s="1306" t="s">
        <v>2128</v>
      </c>
      <c r="L175" s="902"/>
      <c r="M175" s="902"/>
      <c r="N175" s="902"/>
      <c r="O175" s="902"/>
    </row>
    <row r="176" spans="1:15" ht="19.5" customHeight="1">
      <c r="A176" s="1306"/>
      <c r="B176" s="1306"/>
      <c r="C176" s="1306"/>
      <c r="D176" s="1306"/>
      <c r="E176" s="1305"/>
      <c r="F176" s="1306"/>
      <c r="G176" s="890" t="s">
        <v>1827</v>
      </c>
      <c r="H176" s="890" t="s">
        <v>527</v>
      </c>
      <c r="I176" s="887">
        <f>+E175*4</f>
        <v>0</v>
      </c>
      <c r="J176" s="887" t="s">
        <v>2043</v>
      </c>
      <c r="K176" s="1306"/>
      <c r="L176" s="902"/>
      <c r="M176" s="902"/>
      <c r="N176" s="902"/>
      <c r="O176" s="902"/>
    </row>
    <row r="177" spans="1:15" ht="19.5" customHeight="1">
      <c r="A177" s="1306" t="s">
        <v>2132</v>
      </c>
      <c r="B177" s="1306" t="s">
        <v>2133</v>
      </c>
      <c r="C177" s="1306">
        <v>50</v>
      </c>
      <c r="D177" s="1306" t="s">
        <v>2134</v>
      </c>
      <c r="E177" s="1303"/>
      <c r="F177" s="1306" t="s">
        <v>2135</v>
      </c>
      <c r="G177" s="890" t="s">
        <v>2111</v>
      </c>
      <c r="H177" s="893"/>
      <c r="I177" s="887">
        <f>+E177*1</f>
        <v>0</v>
      </c>
      <c r="J177" s="887" t="s">
        <v>2031</v>
      </c>
      <c r="K177" s="1306"/>
      <c r="L177" s="902"/>
      <c r="M177" s="902"/>
      <c r="N177" s="902"/>
      <c r="O177" s="902"/>
    </row>
    <row r="178" spans="1:15" ht="19.5" customHeight="1">
      <c r="A178" s="1306"/>
      <c r="B178" s="1306"/>
      <c r="C178" s="1306"/>
      <c r="D178" s="1306"/>
      <c r="E178" s="1304"/>
      <c r="F178" s="1306"/>
      <c r="G178" s="890" t="s">
        <v>2112</v>
      </c>
      <c r="H178" s="890" t="s">
        <v>2034</v>
      </c>
      <c r="I178" s="887">
        <f>+E177*4</f>
        <v>0</v>
      </c>
      <c r="J178" s="887" t="s">
        <v>2031</v>
      </c>
      <c r="K178" s="1306"/>
      <c r="L178" s="902"/>
      <c r="M178" s="902"/>
      <c r="N178" s="902"/>
      <c r="O178" s="902"/>
    </row>
    <row r="179" spans="1:15" ht="19.5" customHeight="1">
      <c r="A179" s="1306"/>
      <c r="B179" s="1306"/>
      <c r="C179" s="1306"/>
      <c r="D179" s="1306"/>
      <c r="E179" s="1305"/>
      <c r="F179" s="1306"/>
      <c r="G179" s="890" t="s">
        <v>1827</v>
      </c>
      <c r="H179" s="890" t="s">
        <v>527</v>
      </c>
      <c r="I179" s="887">
        <f>+E177*1.5</f>
        <v>0</v>
      </c>
      <c r="J179" s="887" t="s">
        <v>2043</v>
      </c>
      <c r="K179" s="1306"/>
      <c r="L179" s="902"/>
      <c r="M179" s="902"/>
      <c r="N179" s="902"/>
      <c r="O179" s="902"/>
    </row>
    <row r="180" spans="1:15" ht="19.5" customHeight="1">
      <c r="A180" s="1306" t="s">
        <v>2132</v>
      </c>
      <c r="B180" s="1306" t="s">
        <v>2136</v>
      </c>
      <c r="C180" s="1306">
        <v>50</v>
      </c>
      <c r="D180" s="1306" t="s">
        <v>2134</v>
      </c>
      <c r="E180" s="1303"/>
      <c r="F180" s="1306" t="s">
        <v>2135</v>
      </c>
      <c r="G180" s="890" t="s">
        <v>2111</v>
      </c>
      <c r="H180" s="893"/>
      <c r="I180" s="887">
        <f>+E180*2</f>
        <v>0</v>
      </c>
      <c r="J180" s="887" t="s">
        <v>2031</v>
      </c>
      <c r="K180" s="1306"/>
      <c r="L180" s="902"/>
      <c r="M180" s="902"/>
      <c r="N180" s="902"/>
      <c r="O180" s="902"/>
    </row>
    <row r="181" spans="1:15" ht="19.5" customHeight="1">
      <c r="A181" s="1306"/>
      <c r="B181" s="1306"/>
      <c r="C181" s="1306"/>
      <c r="D181" s="1306"/>
      <c r="E181" s="1304"/>
      <c r="F181" s="1306"/>
      <c r="G181" s="890" t="s">
        <v>2112</v>
      </c>
      <c r="H181" s="890" t="s">
        <v>2034</v>
      </c>
      <c r="I181" s="887">
        <f>+E180*4</f>
        <v>0</v>
      </c>
      <c r="J181" s="887" t="s">
        <v>2031</v>
      </c>
      <c r="K181" s="1306"/>
      <c r="L181" s="902"/>
      <c r="M181" s="902"/>
      <c r="N181" s="902"/>
      <c r="O181" s="902"/>
    </row>
    <row r="182" spans="1:15" ht="19.5" customHeight="1">
      <c r="A182" s="1306"/>
      <c r="B182" s="1306"/>
      <c r="C182" s="1306"/>
      <c r="D182" s="1306"/>
      <c r="E182" s="1305"/>
      <c r="F182" s="1306"/>
      <c r="G182" s="890" t="s">
        <v>1827</v>
      </c>
      <c r="H182" s="890" t="s">
        <v>527</v>
      </c>
      <c r="I182" s="887">
        <f>+E180*2.5</f>
        <v>0</v>
      </c>
      <c r="J182" s="887" t="s">
        <v>2043</v>
      </c>
      <c r="K182" s="1306"/>
      <c r="L182" s="902"/>
      <c r="M182" s="902"/>
      <c r="N182" s="902"/>
      <c r="O182" s="902"/>
    </row>
    <row r="183" spans="1:15" ht="19.5" customHeight="1">
      <c r="A183" s="1306" t="s">
        <v>2132</v>
      </c>
      <c r="B183" s="1306" t="s">
        <v>2133</v>
      </c>
      <c r="C183" s="1306">
        <v>50</v>
      </c>
      <c r="D183" s="1306" t="s">
        <v>2137</v>
      </c>
      <c r="E183" s="1303"/>
      <c r="F183" s="1306" t="s">
        <v>2135</v>
      </c>
      <c r="G183" s="890" t="s">
        <v>2114</v>
      </c>
      <c r="H183" s="893"/>
      <c r="I183" s="887">
        <f>+E183*1</f>
        <v>0</v>
      </c>
      <c r="J183" s="887" t="s">
        <v>2031</v>
      </c>
      <c r="K183" s="1306"/>
      <c r="L183" s="902"/>
      <c r="M183" s="902"/>
      <c r="N183" s="902"/>
      <c r="O183" s="902"/>
    </row>
    <row r="184" spans="1:15" ht="19.5" customHeight="1">
      <c r="A184" s="1306"/>
      <c r="B184" s="1306"/>
      <c r="C184" s="1306"/>
      <c r="D184" s="1306"/>
      <c r="E184" s="1304"/>
      <c r="F184" s="1306"/>
      <c r="G184" s="890" t="s">
        <v>2112</v>
      </c>
      <c r="H184" s="890" t="s">
        <v>2034</v>
      </c>
      <c r="I184" s="887">
        <f>+E183*4</f>
        <v>0</v>
      </c>
      <c r="J184" s="887" t="s">
        <v>2031</v>
      </c>
      <c r="K184" s="1306"/>
      <c r="L184" s="902"/>
      <c r="M184" s="902"/>
      <c r="N184" s="902"/>
      <c r="O184" s="902"/>
    </row>
    <row r="185" spans="1:15" ht="19.5" customHeight="1">
      <c r="A185" s="1306"/>
      <c r="B185" s="1306"/>
      <c r="C185" s="1306"/>
      <c r="D185" s="1306"/>
      <c r="E185" s="1305"/>
      <c r="F185" s="1306"/>
      <c r="G185" s="890" t="s">
        <v>1827</v>
      </c>
      <c r="H185" s="890" t="s">
        <v>527</v>
      </c>
      <c r="I185" s="887">
        <f>+E183*1.5</f>
        <v>0</v>
      </c>
      <c r="J185" s="887" t="s">
        <v>2043</v>
      </c>
      <c r="K185" s="1306"/>
      <c r="L185" s="902"/>
      <c r="M185" s="902"/>
      <c r="N185" s="902"/>
      <c r="O185" s="902"/>
    </row>
    <row r="186" spans="1:15" ht="19.5" customHeight="1">
      <c r="A186" s="1306" t="s">
        <v>2132</v>
      </c>
      <c r="B186" s="1306" t="s">
        <v>2136</v>
      </c>
      <c r="C186" s="1306">
        <v>50</v>
      </c>
      <c r="D186" s="1306" t="s">
        <v>2137</v>
      </c>
      <c r="E186" s="1303"/>
      <c r="F186" s="1306" t="s">
        <v>2135</v>
      </c>
      <c r="G186" s="890" t="s">
        <v>2114</v>
      </c>
      <c r="H186" s="893"/>
      <c r="I186" s="887">
        <f>+E186*2</f>
        <v>0</v>
      </c>
      <c r="J186" s="887" t="s">
        <v>2031</v>
      </c>
      <c r="K186" s="1306"/>
      <c r="L186" s="902"/>
      <c r="M186" s="902"/>
      <c r="N186" s="902"/>
      <c r="O186" s="902"/>
    </row>
    <row r="187" spans="1:15" ht="19.5" customHeight="1">
      <c r="A187" s="1306"/>
      <c r="B187" s="1306"/>
      <c r="C187" s="1306"/>
      <c r="D187" s="1306"/>
      <c r="E187" s="1304"/>
      <c r="F187" s="1306"/>
      <c r="G187" s="890" t="s">
        <v>2112</v>
      </c>
      <c r="H187" s="890" t="s">
        <v>2034</v>
      </c>
      <c r="I187" s="887">
        <f>+E186*4</f>
        <v>0</v>
      </c>
      <c r="J187" s="887" t="s">
        <v>2031</v>
      </c>
      <c r="K187" s="1306"/>
      <c r="L187" s="902"/>
      <c r="M187" s="902"/>
      <c r="N187" s="902"/>
      <c r="O187" s="902"/>
    </row>
    <row r="188" spans="1:15" ht="19.5" customHeight="1">
      <c r="A188" s="1306"/>
      <c r="B188" s="1306"/>
      <c r="C188" s="1306"/>
      <c r="D188" s="1306"/>
      <c r="E188" s="1305"/>
      <c r="F188" s="1306"/>
      <c r="G188" s="890" t="s">
        <v>1827</v>
      </c>
      <c r="H188" s="890" t="s">
        <v>527</v>
      </c>
      <c r="I188" s="887">
        <f>+E186*2.5</f>
        <v>0</v>
      </c>
      <c r="J188" s="887" t="s">
        <v>2043</v>
      </c>
      <c r="K188" s="1306"/>
      <c r="L188" s="902"/>
      <c r="M188" s="902"/>
      <c r="N188" s="902"/>
      <c r="O188" s="902"/>
    </row>
    <row r="189" spans="1:15" ht="19.5" customHeight="1">
      <c r="A189" s="1306" t="s">
        <v>2138</v>
      </c>
      <c r="B189" s="1306" t="s">
        <v>2131</v>
      </c>
      <c r="C189" s="1306" t="s">
        <v>2131</v>
      </c>
      <c r="D189" s="1306" t="s">
        <v>2131</v>
      </c>
      <c r="E189" s="1303"/>
      <c r="F189" s="1306" t="s">
        <v>2110</v>
      </c>
      <c r="G189" s="890" t="s">
        <v>2068</v>
      </c>
      <c r="H189" s="899" t="s">
        <v>532</v>
      </c>
      <c r="I189" s="887">
        <f>+E189*1</f>
        <v>0</v>
      </c>
      <c r="J189" s="887" t="s">
        <v>431</v>
      </c>
      <c r="K189" s="1306" t="s">
        <v>2128</v>
      </c>
      <c r="L189" s="902"/>
      <c r="M189" s="902"/>
      <c r="N189" s="902"/>
      <c r="O189" s="902"/>
    </row>
    <row r="190" spans="1:15" ht="19.5" customHeight="1">
      <c r="A190" s="1306"/>
      <c r="B190" s="1306"/>
      <c r="C190" s="1306"/>
      <c r="D190" s="1306"/>
      <c r="E190" s="1305"/>
      <c r="F190" s="1306"/>
      <c r="G190" s="890" t="s">
        <v>1827</v>
      </c>
      <c r="H190" s="890" t="s">
        <v>527</v>
      </c>
      <c r="I190" s="887">
        <f>+E189*3</f>
        <v>0</v>
      </c>
      <c r="J190" s="887" t="s">
        <v>2043</v>
      </c>
      <c r="K190" s="1306"/>
      <c r="L190" s="902"/>
      <c r="M190" s="902"/>
      <c r="N190" s="902"/>
      <c r="O190" s="902"/>
    </row>
    <row r="191" spans="1:15" ht="19.5" customHeight="1">
      <c r="A191" s="1306" t="s">
        <v>2139</v>
      </c>
      <c r="B191" s="1306" t="s">
        <v>2133</v>
      </c>
      <c r="C191" s="1306" t="s">
        <v>2131</v>
      </c>
      <c r="D191" s="1306" t="s">
        <v>2071</v>
      </c>
      <c r="E191" s="1303"/>
      <c r="F191" s="1315" t="s">
        <v>2140</v>
      </c>
      <c r="G191" s="890" t="s">
        <v>2068</v>
      </c>
      <c r="H191" s="899" t="s">
        <v>532</v>
      </c>
      <c r="I191" s="887">
        <f>+E191*0.3</f>
        <v>0</v>
      </c>
      <c r="J191" s="887" t="s">
        <v>431</v>
      </c>
      <c r="K191" s="1306"/>
      <c r="L191" s="902"/>
      <c r="M191" s="902"/>
      <c r="N191" s="902"/>
      <c r="O191" s="902"/>
    </row>
    <row r="192" spans="1:15" ht="19.5" customHeight="1">
      <c r="A192" s="1306"/>
      <c r="B192" s="1306"/>
      <c r="C192" s="1306"/>
      <c r="D192" s="1306"/>
      <c r="E192" s="1304"/>
      <c r="F192" s="1315"/>
      <c r="G192" s="890" t="s">
        <v>541</v>
      </c>
      <c r="H192" s="890" t="s">
        <v>2034</v>
      </c>
      <c r="I192" s="887">
        <f>+E191*8</f>
        <v>0</v>
      </c>
      <c r="J192" s="887" t="s">
        <v>2031</v>
      </c>
      <c r="K192" s="1306"/>
      <c r="L192" s="902"/>
      <c r="M192" s="902"/>
      <c r="N192" s="902"/>
      <c r="O192" s="902"/>
    </row>
    <row r="193" spans="1:15" ht="19.5" customHeight="1">
      <c r="A193" s="1306"/>
      <c r="B193" s="1306"/>
      <c r="C193" s="1306"/>
      <c r="D193" s="1306"/>
      <c r="E193" s="1305"/>
      <c r="F193" s="1315"/>
      <c r="G193" s="890" t="s">
        <v>1827</v>
      </c>
      <c r="H193" s="890" t="s">
        <v>527</v>
      </c>
      <c r="I193" s="887">
        <f>+E191*1.5</f>
        <v>0</v>
      </c>
      <c r="J193" s="887" t="s">
        <v>2043</v>
      </c>
      <c r="K193" s="1306"/>
      <c r="L193" s="902"/>
      <c r="M193" s="902"/>
      <c r="N193" s="902"/>
      <c r="O193" s="902"/>
    </row>
    <row r="194" spans="1:15" ht="19.5" customHeight="1">
      <c r="A194" s="1306" t="s">
        <v>2141</v>
      </c>
      <c r="B194" s="1306" t="s">
        <v>2065</v>
      </c>
      <c r="C194" s="1306" t="s">
        <v>2142</v>
      </c>
      <c r="D194" s="1306" t="s">
        <v>2131</v>
      </c>
      <c r="E194" s="1303"/>
      <c r="F194" s="1315" t="s">
        <v>2143</v>
      </c>
      <c r="G194" s="890" t="s">
        <v>2068</v>
      </c>
      <c r="H194" s="899" t="s">
        <v>532</v>
      </c>
      <c r="I194" s="887">
        <f>+E194*1</f>
        <v>0</v>
      </c>
      <c r="J194" s="887" t="s">
        <v>431</v>
      </c>
      <c r="K194" s="1306" t="s">
        <v>2144</v>
      </c>
      <c r="L194" s="902"/>
      <c r="M194" s="902"/>
      <c r="N194" s="902"/>
      <c r="O194" s="902"/>
    </row>
    <row r="195" spans="1:15" ht="19.5" customHeight="1">
      <c r="A195" s="1306"/>
      <c r="B195" s="1306"/>
      <c r="C195" s="1306"/>
      <c r="D195" s="1306"/>
      <c r="E195" s="1304"/>
      <c r="F195" s="1315"/>
      <c r="G195" s="890" t="s">
        <v>2145</v>
      </c>
      <c r="H195" s="890" t="s">
        <v>2034</v>
      </c>
      <c r="I195" s="887">
        <f>+E194*4</f>
        <v>0</v>
      </c>
      <c r="J195" s="887" t="s">
        <v>2031</v>
      </c>
      <c r="K195" s="1306"/>
      <c r="L195" s="902"/>
      <c r="M195" s="902"/>
      <c r="N195" s="902"/>
      <c r="O195" s="902"/>
    </row>
    <row r="196" spans="1:15" ht="19.5" customHeight="1">
      <c r="A196" s="1300"/>
      <c r="B196" s="1300"/>
      <c r="C196" s="1300"/>
      <c r="D196" s="1300"/>
      <c r="E196" s="1304"/>
      <c r="F196" s="1319"/>
      <c r="G196" s="903" t="s">
        <v>1827</v>
      </c>
      <c r="H196" s="903" t="s">
        <v>527</v>
      </c>
      <c r="I196" s="904">
        <f>+E194*5</f>
        <v>0</v>
      </c>
      <c r="J196" s="904" t="s">
        <v>2043</v>
      </c>
      <c r="K196" s="1300"/>
      <c r="L196" s="902"/>
      <c r="M196" s="902"/>
      <c r="N196" s="902"/>
      <c r="O196" s="902"/>
    </row>
    <row r="197" spans="1:15" ht="19.5" customHeight="1">
      <c r="A197" s="1316" t="s">
        <v>2141</v>
      </c>
      <c r="B197" s="1316" t="s">
        <v>2146</v>
      </c>
      <c r="C197" s="1316" t="s">
        <v>2142</v>
      </c>
      <c r="D197" s="1316" t="s">
        <v>2131</v>
      </c>
      <c r="E197" s="1317"/>
      <c r="F197" s="1318" t="s">
        <v>2135</v>
      </c>
      <c r="G197" s="905" t="s">
        <v>2068</v>
      </c>
      <c r="H197" s="906" t="s">
        <v>532</v>
      </c>
      <c r="I197" s="907">
        <f>+E197*1.5</f>
        <v>0</v>
      </c>
      <c r="J197" s="907" t="s">
        <v>431</v>
      </c>
      <c r="K197" s="1316" t="s">
        <v>2144</v>
      </c>
      <c r="L197" s="908"/>
      <c r="M197" s="908"/>
      <c r="N197" s="908"/>
      <c r="O197" s="908"/>
    </row>
    <row r="198" spans="1:15" ht="19.5" customHeight="1">
      <c r="A198" s="1316"/>
      <c r="B198" s="1316"/>
      <c r="C198" s="1316"/>
      <c r="D198" s="1316"/>
      <c r="E198" s="1317"/>
      <c r="F198" s="1318"/>
      <c r="G198" s="905" t="s">
        <v>2145</v>
      </c>
      <c r="H198" s="905" t="s">
        <v>2034</v>
      </c>
      <c r="I198" s="907">
        <f>+E197*4</f>
        <v>0</v>
      </c>
      <c r="J198" s="907" t="s">
        <v>2031</v>
      </c>
      <c r="K198" s="1316"/>
      <c r="L198" s="908"/>
      <c r="M198" s="908"/>
      <c r="N198" s="908"/>
      <c r="O198" s="908"/>
    </row>
    <row r="199" spans="1:15" ht="19.5" customHeight="1">
      <c r="A199" s="1316"/>
      <c r="B199" s="1316"/>
      <c r="C199" s="1316"/>
      <c r="D199" s="1316"/>
      <c r="E199" s="1317"/>
      <c r="F199" s="1318"/>
      <c r="G199" s="905" t="s">
        <v>1827</v>
      </c>
      <c r="H199" s="905" t="s">
        <v>527</v>
      </c>
      <c r="I199" s="907">
        <f>+E197*5</f>
        <v>0</v>
      </c>
      <c r="J199" s="907" t="s">
        <v>2043</v>
      </c>
      <c r="K199" s="1316"/>
      <c r="L199" s="908"/>
      <c r="M199" s="908"/>
      <c r="N199" s="908"/>
      <c r="O199" s="908"/>
    </row>
    <row r="200" spans="1:15" ht="19.5" customHeight="1">
      <c r="A200" s="909"/>
      <c r="B200" s="909"/>
      <c r="C200" s="909"/>
      <c r="D200" s="909"/>
      <c r="E200" s="910"/>
      <c r="F200" s="907" t="s">
        <v>2147</v>
      </c>
      <c r="G200" s="905" t="s">
        <v>2148</v>
      </c>
      <c r="H200" s="909"/>
      <c r="I200" s="909"/>
      <c r="J200" s="907" t="s">
        <v>2123</v>
      </c>
      <c r="K200" s="911"/>
    </row>
    <row r="201" spans="1:15" ht="19.5" customHeight="1">
      <c r="A201" s="909"/>
      <c r="B201" s="909"/>
      <c r="C201" s="909"/>
      <c r="D201" s="909"/>
      <c r="E201" s="910"/>
      <c r="F201" s="907"/>
      <c r="G201" s="891" t="s">
        <v>2149</v>
      </c>
      <c r="H201" s="912"/>
      <c r="I201" s="891"/>
      <c r="J201" s="891" t="s">
        <v>2123</v>
      </c>
      <c r="K201" s="911"/>
    </row>
    <row r="202" spans="1:15" ht="19.5" customHeight="1">
      <c r="A202" s="913" t="s">
        <v>2150</v>
      </c>
      <c r="B202" s="914"/>
      <c r="C202" s="914"/>
      <c r="D202" s="914"/>
      <c r="E202" s="915"/>
      <c r="F202" s="914"/>
      <c r="G202" s="914"/>
    </row>
    <row r="209" spans="7:7" ht="19.5" customHeight="1">
      <c r="G209" s="891"/>
    </row>
  </sheetData>
  <mergeCells count="382">
    <mergeCell ref="K194:K196"/>
    <mergeCell ref="A197:A199"/>
    <mergeCell ref="B197:B199"/>
    <mergeCell ref="C197:C199"/>
    <mergeCell ref="D197:D199"/>
    <mergeCell ref="E197:E199"/>
    <mergeCell ref="F197:F199"/>
    <mergeCell ref="K197:K199"/>
    <mergeCell ref="A194:A196"/>
    <mergeCell ref="B194:B196"/>
    <mergeCell ref="C194:C196"/>
    <mergeCell ref="D194:D196"/>
    <mergeCell ref="E194:E196"/>
    <mergeCell ref="F194:F196"/>
    <mergeCell ref="K189:K190"/>
    <mergeCell ref="A191:A193"/>
    <mergeCell ref="B191:B193"/>
    <mergeCell ref="C191:C193"/>
    <mergeCell ref="D191:D193"/>
    <mergeCell ref="E191:E193"/>
    <mergeCell ref="F191:F193"/>
    <mergeCell ref="K191:K193"/>
    <mergeCell ref="A189:A190"/>
    <mergeCell ref="B189:B190"/>
    <mergeCell ref="C189:C190"/>
    <mergeCell ref="D189:D190"/>
    <mergeCell ref="E189:E190"/>
    <mergeCell ref="F189:F190"/>
    <mergeCell ref="A180:A182"/>
    <mergeCell ref="B180:B182"/>
    <mergeCell ref="C180:C182"/>
    <mergeCell ref="D180:D182"/>
    <mergeCell ref="E180:E182"/>
    <mergeCell ref="F180:F182"/>
    <mergeCell ref="K180:K182"/>
    <mergeCell ref="K183:K185"/>
    <mergeCell ref="A186:A188"/>
    <mergeCell ref="B186:B188"/>
    <mergeCell ref="C186:C188"/>
    <mergeCell ref="D186:D188"/>
    <mergeCell ref="E186:E188"/>
    <mergeCell ref="F186:F188"/>
    <mergeCell ref="K186:K188"/>
    <mergeCell ref="A183:A185"/>
    <mergeCell ref="B183:B185"/>
    <mergeCell ref="C183:C185"/>
    <mergeCell ref="D183:D185"/>
    <mergeCell ref="E183:E185"/>
    <mergeCell ref="F183:F185"/>
    <mergeCell ref="A175:A176"/>
    <mergeCell ref="B175:D176"/>
    <mergeCell ref="E175:E176"/>
    <mergeCell ref="F175:F176"/>
    <mergeCell ref="K175:K176"/>
    <mergeCell ref="A177:A179"/>
    <mergeCell ref="B177:B179"/>
    <mergeCell ref="C177:C179"/>
    <mergeCell ref="D177:D179"/>
    <mergeCell ref="E177:E179"/>
    <mergeCell ref="F177:F179"/>
    <mergeCell ref="K177:K179"/>
    <mergeCell ref="K169:K171"/>
    <mergeCell ref="A172:A174"/>
    <mergeCell ref="B172:B174"/>
    <mergeCell ref="C172:C174"/>
    <mergeCell ref="D172:D174"/>
    <mergeCell ref="E172:E174"/>
    <mergeCell ref="F172:F174"/>
    <mergeCell ref="K172:K174"/>
    <mergeCell ref="A169:A171"/>
    <mergeCell ref="B169:B171"/>
    <mergeCell ref="C169:C171"/>
    <mergeCell ref="D169:D171"/>
    <mergeCell ref="E169:E171"/>
    <mergeCell ref="F169:F171"/>
    <mergeCell ref="K163:K165"/>
    <mergeCell ref="A166:A168"/>
    <mergeCell ref="B166:B168"/>
    <mergeCell ref="C166:C168"/>
    <mergeCell ref="D166:D168"/>
    <mergeCell ref="E166:E168"/>
    <mergeCell ref="F166:F168"/>
    <mergeCell ref="K166:K168"/>
    <mergeCell ref="A163:A165"/>
    <mergeCell ref="B163:B165"/>
    <mergeCell ref="C163:C165"/>
    <mergeCell ref="D163:D165"/>
    <mergeCell ref="E163:E165"/>
    <mergeCell ref="F163:F165"/>
    <mergeCell ref="K157:K159"/>
    <mergeCell ref="A160:A162"/>
    <mergeCell ref="B160:B162"/>
    <mergeCell ref="C160:C162"/>
    <mergeCell ref="D160:D162"/>
    <mergeCell ref="E160:E162"/>
    <mergeCell ref="F160:F162"/>
    <mergeCell ref="K160:K162"/>
    <mergeCell ref="A157:A159"/>
    <mergeCell ref="B157:B159"/>
    <mergeCell ref="C157:C159"/>
    <mergeCell ref="D157:D159"/>
    <mergeCell ref="E157:E159"/>
    <mergeCell ref="F157:F159"/>
    <mergeCell ref="K151:K153"/>
    <mergeCell ref="A154:A156"/>
    <mergeCell ref="B154:B156"/>
    <mergeCell ref="C154:C156"/>
    <mergeCell ref="D154:D156"/>
    <mergeCell ref="E154:E156"/>
    <mergeCell ref="F154:F156"/>
    <mergeCell ref="K154:K156"/>
    <mergeCell ref="A151:A153"/>
    <mergeCell ref="B151:B153"/>
    <mergeCell ref="C151:C153"/>
    <mergeCell ref="D151:D153"/>
    <mergeCell ref="E151:E153"/>
    <mergeCell ref="F151:F153"/>
    <mergeCell ref="K145:K147"/>
    <mergeCell ref="A148:A150"/>
    <mergeCell ref="B148:B150"/>
    <mergeCell ref="C148:C150"/>
    <mergeCell ref="D148:D150"/>
    <mergeCell ref="E148:E150"/>
    <mergeCell ref="F148:F150"/>
    <mergeCell ref="K148:K150"/>
    <mergeCell ref="A145:A147"/>
    <mergeCell ref="B145:B147"/>
    <mergeCell ref="C145:C147"/>
    <mergeCell ref="D145:D147"/>
    <mergeCell ref="E145:E147"/>
    <mergeCell ref="F145:F147"/>
    <mergeCell ref="K139:K141"/>
    <mergeCell ref="A142:A144"/>
    <mergeCell ref="B142:B144"/>
    <mergeCell ref="C142:C144"/>
    <mergeCell ref="D142:D144"/>
    <mergeCell ref="E142:E144"/>
    <mergeCell ref="F142:F144"/>
    <mergeCell ref="K142:K144"/>
    <mergeCell ref="A139:A141"/>
    <mergeCell ref="B139:B141"/>
    <mergeCell ref="C139:C141"/>
    <mergeCell ref="D139:D141"/>
    <mergeCell ref="E139:E141"/>
    <mergeCell ref="F139:F141"/>
    <mergeCell ref="A134:K134"/>
    <mergeCell ref="A136:A138"/>
    <mergeCell ref="B136:B138"/>
    <mergeCell ref="C136:C138"/>
    <mergeCell ref="D136:D138"/>
    <mergeCell ref="E136:E138"/>
    <mergeCell ref="F136:F138"/>
    <mergeCell ref="K136:K138"/>
    <mergeCell ref="K126:K133"/>
    <mergeCell ref="I128:J128"/>
    <mergeCell ref="A130:A133"/>
    <mergeCell ref="B130:B133"/>
    <mergeCell ref="C130:C133"/>
    <mergeCell ref="D130:D133"/>
    <mergeCell ref="E130:E133"/>
    <mergeCell ref="I131:J131"/>
    <mergeCell ref="A126:A129"/>
    <mergeCell ref="B126:B129"/>
    <mergeCell ref="C126:C129"/>
    <mergeCell ref="D126:D129"/>
    <mergeCell ref="E126:E129"/>
    <mergeCell ref="F126:F133"/>
    <mergeCell ref="B120:B123"/>
    <mergeCell ref="C120:C123"/>
    <mergeCell ref="D120:D123"/>
    <mergeCell ref="E120:E123"/>
    <mergeCell ref="I122:J122"/>
    <mergeCell ref="A124:K124"/>
    <mergeCell ref="A114:K114"/>
    <mergeCell ref="A116:A119"/>
    <mergeCell ref="B116:B119"/>
    <mergeCell ref="C116:C119"/>
    <mergeCell ref="D116:D119"/>
    <mergeCell ref="E116:E119"/>
    <mergeCell ref="F116:F123"/>
    <mergeCell ref="K116:K123"/>
    <mergeCell ref="I118:J118"/>
    <mergeCell ref="A120:A123"/>
    <mergeCell ref="B110:B112"/>
    <mergeCell ref="C110:C112"/>
    <mergeCell ref="D110:D112"/>
    <mergeCell ref="E110:E112"/>
    <mergeCell ref="F110:F112"/>
    <mergeCell ref="A113:K113"/>
    <mergeCell ref="K102:K104"/>
    <mergeCell ref="A105:K105"/>
    <mergeCell ref="A107:A109"/>
    <mergeCell ref="B107:B109"/>
    <mergeCell ref="C107:C109"/>
    <mergeCell ref="D107:D109"/>
    <mergeCell ref="E107:E109"/>
    <mergeCell ref="F107:F109"/>
    <mergeCell ref="K107:K112"/>
    <mergeCell ref="A110:A112"/>
    <mergeCell ref="A102:A104"/>
    <mergeCell ref="B102:B104"/>
    <mergeCell ref="C102:C104"/>
    <mergeCell ref="D102:D104"/>
    <mergeCell ref="E102:E104"/>
    <mergeCell ref="F102:F104"/>
    <mergeCell ref="K96:K98"/>
    <mergeCell ref="A99:A101"/>
    <mergeCell ref="B99:B101"/>
    <mergeCell ref="C99:C101"/>
    <mergeCell ref="D99:D101"/>
    <mergeCell ref="E99:E101"/>
    <mergeCell ref="F99:F101"/>
    <mergeCell ref="K99:K101"/>
    <mergeCell ref="A96:A98"/>
    <mergeCell ref="B96:B98"/>
    <mergeCell ref="C96:C98"/>
    <mergeCell ref="D96:D98"/>
    <mergeCell ref="E96:E98"/>
    <mergeCell ref="F96:F98"/>
    <mergeCell ref="K90:K92"/>
    <mergeCell ref="A93:A95"/>
    <mergeCell ref="B93:B95"/>
    <mergeCell ref="C93:C95"/>
    <mergeCell ref="D93:D95"/>
    <mergeCell ref="E93:E95"/>
    <mergeCell ref="F93:F95"/>
    <mergeCell ref="K93:K95"/>
    <mergeCell ref="A90:A92"/>
    <mergeCell ref="B90:B92"/>
    <mergeCell ref="C90:C92"/>
    <mergeCell ref="D90:D92"/>
    <mergeCell ref="E90:E92"/>
    <mergeCell ref="F90:F92"/>
    <mergeCell ref="K84:K86"/>
    <mergeCell ref="A87:A89"/>
    <mergeCell ref="B87:B89"/>
    <mergeCell ref="C87:C89"/>
    <mergeCell ref="D87:D89"/>
    <mergeCell ref="E87:E89"/>
    <mergeCell ref="F87:F89"/>
    <mergeCell ref="K87:K89"/>
    <mergeCell ref="A84:A86"/>
    <mergeCell ref="B84:B86"/>
    <mergeCell ref="C84:C86"/>
    <mergeCell ref="D84:D86"/>
    <mergeCell ref="E84:E86"/>
    <mergeCell ref="F84:F86"/>
    <mergeCell ref="A78:K78"/>
    <mergeCell ref="A79:K79"/>
    <mergeCell ref="A81:A83"/>
    <mergeCell ref="B81:B83"/>
    <mergeCell ref="C81:C83"/>
    <mergeCell ref="D81:D83"/>
    <mergeCell ref="E81:E83"/>
    <mergeCell ref="F81:F83"/>
    <mergeCell ref="K81:K83"/>
    <mergeCell ref="I72:J72"/>
    <mergeCell ref="A74:A77"/>
    <mergeCell ref="B74:B77"/>
    <mergeCell ref="C74:C77"/>
    <mergeCell ref="D74:D77"/>
    <mergeCell ref="E74:E77"/>
    <mergeCell ref="F74:F77"/>
    <mergeCell ref="I76:J76"/>
    <mergeCell ref="A70:A73"/>
    <mergeCell ref="B70:B73"/>
    <mergeCell ref="C70:C73"/>
    <mergeCell ref="D70:D73"/>
    <mergeCell ref="E70:E73"/>
    <mergeCell ref="F70:F73"/>
    <mergeCell ref="A54:A57"/>
    <mergeCell ref="B54:B57"/>
    <mergeCell ref="C54:C57"/>
    <mergeCell ref="D54:D57"/>
    <mergeCell ref="E54:E57"/>
    <mergeCell ref="F54:F57"/>
    <mergeCell ref="I64:J64"/>
    <mergeCell ref="A66:A69"/>
    <mergeCell ref="B66:B69"/>
    <mergeCell ref="C66:C69"/>
    <mergeCell ref="D66:D69"/>
    <mergeCell ref="E66:E69"/>
    <mergeCell ref="F66:F69"/>
    <mergeCell ref="I68:J68"/>
    <mergeCell ref="A62:A65"/>
    <mergeCell ref="B62:B65"/>
    <mergeCell ref="C62:C65"/>
    <mergeCell ref="D62:D65"/>
    <mergeCell ref="E62:E65"/>
    <mergeCell ref="F62:F65"/>
    <mergeCell ref="B50:B53"/>
    <mergeCell ref="C50:C53"/>
    <mergeCell ref="D50:D53"/>
    <mergeCell ref="E50:E53"/>
    <mergeCell ref="F50:F53"/>
    <mergeCell ref="I52:J52"/>
    <mergeCell ref="A44:K44"/>
    <mergeCell ref="A46:A49"/>
    <mergeCell ref="B46:B49"/>
    <mergeCell ref="C46:C49"/>
    <mergeCell ref="D46:D49"/>
    <mergeCell ref="E46:E49"/>
    <mergeCell ref="F46:F49"/>
    <mergeCell ref="K46:K77"/>
    <mergeCell ref="I48:J48"/>
    <mergeCell ref="A50:A53"/>
    <mergeCell ref="I56:J56"/>
    <mergeCell ref="A58:A61"/>
    <mergeCell ref="B58:B61"/>
    <mergeCell ref="C58:C61"/>
    <mergeCell ref="D58:D61"/>
    <mergeCell ref="E58:E61"/>
    <mergeCell ref="F58:F61"/>
    <mergeCell ref="I60:J60"/>
    <mergeCell ref="A40:A43"/>
    <mergeCell ref="B40:B43"/>
    <mergeCell ref="C40:C43"/>
    <mergeCell ref="D40:D43"/>
    <mergeCell ref="E40:E43"/>
    <mergeCell ref="F40:F43"/>
    <mergeCell ref="A34:K34"/>
    <mergeCell ref="A36:A39"/>
    <mergeCell ref="B36:B39"/>
    <mergeCell ref="C36:C39"/>
    <mergeCell ref="D36:D39"/>
    <mergeCell ref="E36:E39"/>
    <mergeCell ref="F36:F39"/>
    <mergeCell ref="I27:J27"/>
    <mergeCell ref="A29:A33"/>
    <mergeCell ref="B29:B33"/>
    <mergeCell ref="C29:C33"/>
    <mergeCell ref="D29:D33"/>
    <mergeCell ref="E29:E33"/>
    <mergeCell ref="F29:F33"/>
    <mergeCell ref="I32:J32"/>
    <mergeCell ref="A24:A28"/>
    <mergeCell ref="B24:B28"/>
    <mergeCell ref="C24:C28"/>
    <mergeCell ref="D24:D28"/>
    <mergeCell ref="E24:E28"/>
    <mergeCell ref="F24:F28"/>
    <mergeCell ref="A12:A15"/>
    <mergeCell ref="B12:B15"/>
    <mergeCell ref="C12:C15"/>
    <mergeCell ref="D12:D15"/>
    <mergeCell ref="E12:E15"/>
    <mergeCell ref="F12:F15"/>
    <mergeCell ref="K12:K15"/>
    <mergeCell ref="A20:A23"/>
    <mergeCell ref="B20:B23"/>
    <mergeCell ref="C20:C23"/>
    <mergeCell ref="D20:D23"/>
    <mergeCell ref="E20:E23"/>
    <mergeCell ref="F20:F23"/>
    <mergeCell ref="A16:A19"/>
    <mergeCell ref="B16:B19"/>
    <mergeCell ref="C16:C19"/>
    <mergeCell ref="D16:D19"/>
    <mergeCell ref="E16:E19"/>
    <mergeCell ref="F16:F19"/>
    <mergeCell ref="A5:K5"/>
    <mergeCell ref="A6:K6"/>
    <mergeCell ref="A8:A11"/>
    <mergeCell ref="B8:B11"/>
    <mergeCell ref="C8:C11"/>
    <mergeCell ref="D8:D11"/>
    <mergeCell ref="E8:E11"/>
    <mergeCell ref="F8:F11"/>
    <mergeCell ref="K8:K11"/>
    <mergeCell ref="A1:K1"/>
    <mergeCell ref="A2:B2"/>
    <mergeCell ref="I2:J2"/>
    <mergeCell ref="A3:B3"/>
    <mergeCell ref="C3:D3"/>
    <mergeCell ref="E3:F3"/>
    <mergeCell ref="G3:H3"/>
    <mergeCell ref="I3:J4"/>
    <mergeCell ref="K3:K4"/>
    <mergeCell ref="A4:B4"/>
    <mergeCell ref="C4:D4"/>
    <mergeCell ref="E4:F4"/>
    <mergeCell ref="G4:H4"/>
  </mergeCells>
  <phoneticPr fontId="140" type="noConversion"/>
  <pageMargins left="0.7" right="0.7" top="0.75" bottom="0.75" header="0.3" footer="0.3"/>
  <pageSetup paperSize="9" scale="80" orientation="portrait" r:id="rId1"/>
</worksheet>
</file>

<file path=xl/worksheets/sheet10.xml><?xml version="1.0" encoding="utf-8"?>
<worksheet xmlns="http://schemas.openxmlformats.org/spreadsheetml/2006/main" xmlns:r="http://schemas.openxmlformats.org/officeDocument/2006/relationships">
  <sheetPr>
    <tabColor rgb="FF92D050"/>
  </sheetPr>
  <dimension ref="A1:I47"/>
  <sheetViews>
    <sheetView view="pageBreakPreview" zoomScale="115" zoomScaleNormal="115" zoomScaleSheetLayoutView="115" workbookViewId="0">
      <selection activeCell="E5" sqref="E5:F8"/>
    </sheetView>
  </sheetViews>
  <sheetFormatPr defaultRowHeight="17.100000000000001" customHeight="1"/>
  <cols>
    <col min="1" max="1" width="9.625" style="292" customWidth="1"/>
    <col min="2" max="2" width="12.625" style="292" bestFit="1" customWidth="1"/>
    <col min="3" max="9" width="9.625" style="292" customWidth="1"/>
    <col min="10" max="16384" width="9" style="292"/>
  </cols>
  <sheetData>
    <row r="1" spans="1:9" ht="18" customHeight="1">
      <c r="A1" s="1320" t="s">
        <v>1538</v>
      </c>
      <c r="B1" s="1320"/>
      <c r="C1" s="1320"/>
      <c r="D1" s="1320"/>
      <c r="E1" s="1320"/>
      <c r="F1" s="1320"/>
      <c r="G1" s="1320"/>
      <c r="H1" s="1320"/>
      <c r="I1" s="626" t="e">
        <f>+柜体!#REF!</f>
        <v>#REF!</v>
      </c>
    </row>
    <row r="2" spans="1:9" ht="17.100000000000001" customHeight="1">
      <c r="A2" s="629" t="s">
        <v>1487</v>
      </c>
      <c r="B2" s="1321" t="e">
        <f>+柜体!#REF!</f>
        <v>#REF!</v>
      </c>
      <c r="C2" s="1321"/>
      <c r="D2" s="629" t="s">
        <v>1488</v>
      </c>
      <c r="E2" s="1321" t="e">
        <f>+柜体!#REF!</f>
        <v>#REF!</v>
      </c>
      <c r="F2" s="1321"/>
      <c r="G2" s="629"/>
      <c r="H2" s="631" t="s">
        <v>1489</v>
      </c>
      <c r="I2" s="630" t="e">
        <f>+柜体!#REF!</f>
        <v>#REF!</v>
      </c>
    </row>
    <row r="3" spans="1:9" ht="17.100000000000001" customHeight="1">
      <c r="A3" s="629" t="s">
        <v>42</v>
      </c>
      <c r="B3" s="1322" t="str">
        <f>下料单!C2</f>
        <v>杜鹃</v>
      </c>
      <c r="C3" s="1322"/>
      <c r="D3" s="629" t="s">
        <v>1363</v>
      </c>
      <c r="E3" s="1322" t="str">
        <f>下料单!H2</f>
        <v>S400383705</v>
      </c>
      <c r="F3" s="1322"/>
      <c r="G3" s="629" t="s">
        <v>950</v>
      </c>
      <c r="H3" s="1323"/>
      <c r="I3" s="1322"/>
    </row>
    <row r="4" spans="1:9" ht="17.100000000000001" customHeight="1">
      <c r="A4" s="629" t="s">
        <v>1365</v>
      </c>
      <c r="B4" s="1324" t="e">
        <f>+柜体!#REF!</f>
        <v>#REF!</v>
      </c>
      <c r="C4" s="1324"/>
      <c r="D4" s="629" t="s">
        <v>1366</v>
      </c>
      <c r="E4" s="1325">
        <f>'免漆门板单 (2)'!C6:I6</f>
        <v>0</v>
      </c>
      <c r="F4" s="1325"/>
      <c r="G4" s="629" t="s">
        <v>53</v>
      </c>
      <c r="H4" s="1322"/>
      <c r="I4" s="1322"/>
    </row>
    <row r="5" spans="1:9" ht="17.100000000000001" customHeight="1">
      <c r="A5" s="629" t="s">
        <v>93</v>
      </c>
      <c r="B5" s="1322" t="str">
        <f>下料单!S2</f>
        <v>西安</v>
      </c>
      <c r="C5" s="1322"/>
      <c r="D5" s="629" t="str">
        <f>[5]下料单!M2</f>
        <v>版本型录号</v>
      </c>
      <c r="E5" s="1322">
        <f>下料单!N2</f>
        <v>0</v>
      </c>
      <c r="F5" s="1322"/>
      <c r="G5" s="629" t="s">
        <v>95</v>
      </c>
      <c r="H5" s="1323">
        <f>下料单!X2</f>
        <v>0</v>
      </c>
      <c r="I5" s="1323"/>
    </row>
    <row r="6" spans="1:9" ht="17.100000000000001" customHeight="1">
      <c r="A6" s="629" t="s">
        <v>97</v>
      </c>
      <c r="B6" s="629" t="s">
        <v>98</v>
      </c>
      <c r="C6" s="629" t="s">
        <v>1373</v>
      </c>
      <c r="D6" s="629" t="s">
        <v>1374</v>
      </c>
      <c r="E6" s="629" t="s">
        <v>100</v>
      </c>
      <c r="F6" s="629" t="s">
        <v>1376</v>
      </c>
      <c r="G6" s="629" t="s">
        <v>1377</v>
      </c>
      <c r="H6" s="1327"/>
      <c r="I6" s="1328"/>
    </row>
    <row r="7" spans="1:9" ht="17.100000000000001" customHeight="1">
      <c r="A7" s="633" t="s">
        <v>11</v>
      </c>
      <c r="B7" s="633" t="s">
        <v>111</v>
      </c>
      <c r="C7" s="633" t="s">
        <v>112</v>
      </c>
      <c r="D7" s="632" t="s">
        <v>950</v>
      </c>
      <c r="E7" s="632" t="s">
        <v>113</v>
      </c>
      <c r="F7" s="633" t="s">
        <v>115</v>
      </c>
      <c r="G7" s="633" t="s">
        <v>116</v>
      </c>
      <c r="H7" s="1329" t="s">
        <v>10</v>
      </c>
      <c r="I7" s="1329"/>
    </row>
    <row r="8" spans="1:9" ht="17.100000000000001" customHeight="1">
      <c r="A8" s="633">
        <v>1</v>
      </c>
      <c r="B8" s="633" t="s">
        <v>117</v>
      </c>
      <c r="C8" s="294" t="str">
        <f>'免漆门板单 (2)'!K4</f>
        <v>0块</v>
      </c>
      <c r="D8" s="633"/>
      <c r="E8" s="633"/>
      <c r="F8" s="633"/>
      <c r="G8" s="633"/>
      <c r="H8" s="1326"/>
      <c r="I8" s="1326"/>
    </row>
    <row r="9" spans="1:9" ht="17.100000000000001" customHeight="1">
      <c r="A9" s="633">
        <v>2</v>
      </c>
      <c r="B9" s="633" t="s">
        <v>951</v>
      </c>
      <c r="C9" s="294"/>
      <c r="D9" s="633"/>
      <c r="E9" s="633"/>
      <c r="F9" s="633"/>
      <c r="G9" s="633"/>
      <c r="H9" s="1326"/>
      <c r="I9" s="1326"/>
    </row>
    <row r="10" spans="1:9" ht="17.100000000000001" customHeight="1">
      <c r="A10" s="633">
        <v>3</v>
      </c>
      <c r="B10" s="633" t="s">
        <v>952</v>
      </c>
      <c r="C10" s="294"/>
      <c r="D10" s="633"/>
      <c r="E10" s="633"/>
      <c r="F10" s="633"/>
      <c r="G10" s="633"/>
      <c r="H10" s="1326"/>
      <c r="I10" s="1326"/>
    </row>
    <row r="11" spans="1:9" ht="17.100000000000001" customHeight="1">
      <c r="A11" s="633">
        <v>4</v>
      </c>
      <c r="B11" s="633" t="s">
        <v>953</v>
      </c>
      <c r="C11" s="294"/>
      <c r="D11" s="633"/>
      <c r="E11" s="633"/>
      <c r="F11" s="633"/>
      <c r="G11" s="633"/>
      <c r="H11" s="1326"/>
      <c r="I11" s="1326"/>
    </row>
    <row r="12" spans="1:9" ht="17.100000000000001" customHeight="1">
      <c r="A12" s="633">
        <v>5</v>
      </c>
      <c r="B12" s="633" t="s">
        <v>954</v>
      </c>
      <c r="C12" s="294"/>
      <c r="D12" s="633"/>
      <c r="E12" s="633"/>
      <c r="F12" s="633"/>
      <c r="G12" s="633"/>
      <c r="H12" s="1326"/>
      <c r="I12" s="1326"/>
    </row>
    <row r="13" spans="1:9" ht="17.100000000000001" customHeight="1">
      <c r="A13" s="633">
        <v>6</v>
      </c>
      <c r="B13" s="633" t="s">
        <v>955</v>
      </c>
      <c r="C13" s="294"/>
      <c r="D13" s="633"/>
      <c r="E13" s="633"/>
      <c r="F13" s="633"/>
      <c r="G13" s="633"/>
      <c r="H13" s="1326"/>
      <c r="I13" s="1326"/>
    </row>
    <row r="14" spans="1:9" ht="17.100000000000001" customHeight="1">
      <c r="A14" s="633">
        <v>7</v>
      </c>
      <c r="B14" s="633" t="s">
        <v>956</v>
      </c>
      <c r="C14" s="294"/>
      <c r="D14" s="633"/>
      <c r="E14" s="633"/>
      <c r="F14" s="633"/>
      <c r="G14" s="633"/>
      <c r="H14" s="1326"/>
      <c r="I14" s="1326"/>
    </row>
    <row r="15" spans="1:9" ht="17.100000000000001" customHeight="1">
      <c r="A15" s="633">
        <v>8</v>
      </c>
      <c r="B15" s="633" t="s">
        <v>957</v>
      </c>
      <c r="C15" s="294"/>
      <c r="D15" s="633"/>
      <c r="E15" s="633"/>
      <c r="F15" s="633"/>
      <c r="G15" s="633"/>
      <c r="H15" s="1326"/>
      <c r="I15" s="1326"/>
    </row>
    <row r="16" spans="1:9" ht="17.100000000000001" customHeight="1">
      <c r="A16" s="633">
        <v>9</v>
      </c>
      <c r="B16" s="633" t="s">
        <v>958</v>
      </c>
      <c r="C16" s="294"/>
      <c r="D16" s="633"/>
      <c r="E16" s="294"/>
      <c r="F16" s="633"/>
      <c r="G16" s="633"/>
      <c r="H16" s="1326"/>
      <c r="I16" s="1326"/>
    </row>
    <row r="17" spans="1:9" ht="17.100000000000001" customHeight="1">
      <c r="A17" s="633">
        <v>10</v>
      </c>
      <c r="B17" s="633" t="s">
        <v>959</v>
      </c>
      <c r="C17" s="294"/>
      <c r="D17" s="633"/>
      <c r="E17" s="633"/>
      <c r="F17" s="633"/>
      <c r="G17" s="633"/>
      <c r="H17" s="1326"/>
      <c r="I17" s="1326"/>
    </row>
    <row r="18" spans="1:9" ht="17.100000000000001" customHeight="1">
      <c r="A18" s="633">
        <v>11</v>
      </c>
      <c r="B18" s="633" t="s">
        <v>120</v>
      </c>
      <c r="C18" s="294"/>
      <c r="D18" s="633"/>
      <c r="E18" s="633"/>
      <c r="F18" s="633"/>
      <c r="G18" s="633"/>
      <c r="H18" s="1326"/>
      <c r="I18" s="1326"/>
    </row>
    <row r="19" spans="1:9" ht="17.100000000000001" customHeight="1">
      <c r="A19" s="633">
        <v>12</v>
      </c>
      <c r="B19" s="633" t="s">
        <v>89</v>
      </c>
      <c r="C19" s="294"/>
      <c r="D19" s="633"/>
      <c r="E19" s="633"/>
      <c r="F19" s="633"/>
      <c r="G19" s="633"/>
      <c r="H19" s="1326"/>
      <c r="I19" s="1326"/>
    </row>
    <row r="20" spans="1:9" ht="17.100000000000001" customHeight="1">
      <c r="A20" s="633">
        <v>13</v>
      </c>
      <c r="B20" s="633" t="s">
        <v>118</v>
      </c>
      <c r="C20" s="294" t="str">
        <f>C8</f>
        <v>0块</v>
      </c>
      <c r="D20" s="633"/>
      <c r="E20" s="633"/>
      <c r="F20" s="633"/>
      <c r="G20" s="633"/>
      <c r="H20" s="1326"/>
      <c r="I20" s="1326"/>
    </row>
    <row r="21" spans="1:9" ht="17.100000000000001" customHeight="1">
      <c r="A21" s="633">
        <v>14</v>
      </c>
      <c r="B21" s="633" t="s">
        <v>119</v>
      </c>
      <c r="C21" s="294"/>
      <c r="D21" s="633"/>
      <c r="E21" s="633"/>
      <c r="F21" s="633"/>
      <c r="G21" s="633"/>
      <c r="H21" s="1326"/>
      <c r="I21" s="1326"/>
    </row>
    <row r="22" spans="1:9" ht="17.100000000000001" customHeight="1">
      <c r="A22" s="633">
        <v>15</v>
      </c>
      <c r="B22" s="633" t="s">
        <v>960</v>
      </c>
      <c r="C22" s="294"/>
      <c r="D22" s="633"/>
      <c r="E22" s="633"/>
      <c r="F22" s="633"/>
      <c r="G22" s="633"/>
      <c r="H22" s="1326"/>
      <c r="I22" s="1326"/>
    </row>
    <row r="23" spans="1:9" ht="17.100000000000001" customHeight="1">
      <c r="A23" s="633">
        <v>16</v>
      </c>
      <c r="B23" s="633" t="s">
        <v>961</v>
      </c>
      <c r="C23" s="294"/>
      <c r="D23" s="633"/>
      <c r="E23" s="633"/>
      <c r="F23" s="633"/>
      <c r="G23" s="633"/>
      <c r="H23" s="1326"/>
      <c r="I23" s="1326"/>
    </row>
    <row r="24" spans="1:9" ht="17.100000000000001" customHeight="1">
      <c r="A24" s="633">
        <v>17</v>
      </c>
      <c r="B24" s="633" t="s">
        <v>962</v>
      </c>
      <c r="C24" s="294"/>
      <c r="D24" s="633"/>
      <c r="E24" s="633"/>
      <c r="F24" s="633"/>
      <c r="G24" s="633"/>
      <c r="H24" s="1326"/>
      <c r="I24" s="1326"/>
    </row>
    <row r="25" spans="1:9" ht="17.100000000000001" customHeight="1">
      <c r="A25" s="633">
        <v>18</v>
      </c>
      <c r="B25" s="633" t="s">
        <v>963</v>
      </c>
      <c r="C25" s="294"/>
      <c r="D25" s="633"/>
      <c r="E25" s="633"/>
      <c r="F25" s="633"/>
      <c r="G25" s="633"/>
      <c r="H25" s="1326"/>
      <c r="I25" s="1326"/>
    </row>
    <row r="26" spans="1:9" ht="17.100000000000001" customHeight="1">
      <c r="A26" s="633">
        <v>19</v>
      </c>
      <c r="B26" s="633" t="s">
        <v>964</v>
      </c>
      <c r="C26" s="294"/>
      <c r="D26" s="633"/>
      <c r="E26" s="633"/>
      <c r="F26" s="633"/>
      <c r="G26" s="633"/>
      <c r="H26" s="1326"/>
      <c r="I26" s="1326"/>
    </row>
    <row r="27" spans="1:9" ht="17.100000000000001" customHeight="1">
      <c r="A27" s="633">
        <v>20</v>
      </c>
      <c r="B27" s="633" t="s">
        <v>965</v>
      </c>
      <c r="C27" s="294"/>
      <c r="D27" s="633"/>
      <c r="E27" s="633"/>
      <c r="F27" s="633"/>
      <c r="G27" s="633"/>
      <c r="H27" s="1326"/>
      <c r="I27" s="1326"/>
    </row>
    <row r="28" spans="1:9" ht="17.100000000000001" customHeight="1">
      <c r="A28" s="633">
        <v>21</v>
      </c>
      <c r="B28" s="633" t="s">
        <v>966</v>
      </c>
      <c r="C28" s="294"/>
      <c r="D28" s="633"/>
      <c r="E28" s="633"/>
      <c r="F28" s="633"/>
      <c r="G28" s="633"/>
      <c r="H28" s="1326"/>
      <c r="I28" s="1326"/>
    </row>
    <row r="29" spans="1:9" ht="17.100000000000001" customHeight="1">
      <c r="A29" s="633">
        <v>22</v>
      </c>
      <c r="B29" s="633" t="s">
        <v>967</v>
      </c>
      <c r="C29" s="294"/>
      <c r="D29" s="633"/>
      <c r="E29" s="633"/>
      <c r="F29" s="633"/>
      <c r="G29" s="633"/>
      <c r="H29" s="1326"/>
      <c r="I29" s="1326"/>
    </row>
    <row r="30" spans="1:9" ht="17.100000000000001" customHeight="1">
      <c r="A30" s="633">
        <v>23</v>
      </c>
      <c r="B30" s="633" t="s">
        <v>968</v>
      </c>
      <c r="C30" s="294"/>
      <c r="D30" s="633"/>
      <c r="E30" s="633"/>
      <c r="F30" s="633"/>
      <c r="G30" s="633"/>
      <c r="H30" s="1326"/>
      <c r="I30" s="1326"/>
    </row>
    <row r="31" spans="1:9" ht="17.100000000000001" customHeight="1">
      <c r="A31" s="633">
        <v>24</v>
      </c>
      <c r="B31" s="633" t="s">
        <v>969</v>
      </c>
      <c r="C31" s="294"/>
      <c r="D31" s="633"/>
      <c r="E31" s="633"/>
      <c r="F31" s="633"/>
      <c r="G31" s="633"/>
      <c r="H31" s="1326"/>
      <c r="I31" s="1326"/>
    </row>
    <row r="32" spans="1:9" ht="17.100000000000001" customHeight="1">
      <c r="A32" s="633">
        <v>25</v>
      </c>
      <c r="B32" s="633" t="s">
        <v>970</v>
      </c>
      <c r="C32" s="294"/>
      <c r="D32" s="633"/>
      <c r="E32" s="633"/>
      <c r="F32" s="633"/>
      <c r="G32" s="633"/>
      <c r="H32" s="1326"/>
      <c r="I32" s="1326"/>
    </row>
    <row r="33" spans="1:9" ht="17.100000000000001" customHeight="1">
      <c r="A33" s="633">
        <v>26</v>
      </c>
      <c r="B33" s="633" t="s">
        <v>971</v>
      </c>
      <c r="C33" s="633"/>
      <c r="D33" s="633"/>
      <c r="E33" s="633"/>
      <c r="F33" s="633"/>
      <c r="G33" s="633"/>
      <c r="H33" s="1326"/>
      <c r="I33" s="1326"/>
    </row>
    <row r="34" spans="1:9" ht="17.100000000000001" customHeight="1">
      <c r="A34" s="633">
        <v>27</v>
      </c>
      <c r="B34" s="633" t="s">
        <v>972</v>
      </c>
      <c r="C34" s="633"/>
      <c r="D34" s="633"/>
      <c r="E34" s="633"/>
      <c r="F34" s="633"/>
      <c r="G34" s="633"/>
      <c r="H34" s="1326"/>
      <c r="I34" s="1326"/>
    </row>
    <row r="35" spans="1:9" ht="17.100000000000001" customHeight="1">
      <c r="A35" s="633">
        <v>28</v>
      </c>
      <c r="B35" s="633" t="s">
        <v>973</v>
      </c>
      <c r="C35" s="633"/>
      <c r="D35" s="633"/>
      <c r="E35" s="633"/>
      <c r="F35" s="633"/>
      <c r="G35" s="633"/>
      <c r="H35" s="1326"/>
      <c r="I35" s="1326"/>
    </row>
    <row r="36" spans="1:9" ht="17.100000000000001" customHeight="1">
      <c r="A36" s="633">
        <v>29</v>
      </c>
      <c r="B36" s="633" t="s">
        <v>974</v>
      </c>
      <c r="C36" s="633"/>
      <c r="D36" s="633"/>
      <c r="E36" s="633"/>
      <c r="F36" s="633"/>
      <c r="G36" s="633"/>
      <c r="H36" s="1326"/>
      <c r="I36" s="1326"/>
    </row>
    <row r="37" spans="1:9" ht="17.100000000000001" customHeight="1">
      <c r="A37" s="633">
        <v>30</v>
      </c>
      <c r="B37" s="633" t="s">
        <v>125</v>
      </c>
      <c r="C37" s="633"/>
      <c r="D37" s="633"/>
      <c r="E37" s="633"/>
      <c r="F37" s="633"/>
      <c r="G37" s="633"/>
      <c r="H37" s="1326"/>
      <c r="I37" s="1326"/>
    </row>
    <row r="38" spans="1:9" ht="17.100000000000001" customHeight="1">
      <c r="A38" s="633">
        <v>31</v>
      </c>
      <c r="B38" s="633" t="s">
        <v>975</v>
      </c>
      <c r="C38" s="633"/>
      <c r="D38" s="633"/>
      <c r="E38" s="633"/>
      <c r="F38" s="633"/>
      <c r="G38" s="633"/>
      <c r="H38" s="1326"/>
      <c r="I38" s="1326"/>
    </row>
    <row r="39" spans="1:9" ht="17.100000000000001" customHeight="1">
      <c r="A39" s="633">
        <v>32</v>
      </c>
      <c r="B39" s="633" t="s">
        <v>127</v>
      </c>
      <c r="C39" s="633"/>
      <c r="D39" s="633"/>
      <c r="E39" s="633"/>
      <c r="F39" s="633"/>
      <c r="G39" s="633"/>
      <c r="H39" s="1326"/>
      <c r="I39" s="1326"/>
    </row>
    <row r="40" spans="1:9" ht="17.100000000000001" customHeight="1">
      <c r="A40" s="633">
        <v>33</v>
      </c>
      <c r="B40" s="633" t="s">
        <v>128</v>
      </c>
      <c r="C40" s="633"/>
      <c r="D40" s="633"/>
      <c r="E40" s="633"/>
      <c r="F40" s="633"/>
      <c r="G40" s="633"/>
      <c r="H40" s="1326"/>
      <c r="I40" s="1326"/>
    </row>
    <row r="41" spans="1:9" ht="17.100000000000001" customHeight="1">
      <c r="A41" s="633">
        <v>34</v>
      </c>
      <c r="B41" s="633" t="s">
        <v>130</v>
      </c>
      <c r="C41" s="633"/>
      <c r="D41" s="633"/>
      <c r="E41" s="633"/>
      <c r="F41" s="633"/>
      <c r="G41" s="633"/>
      <c r="H41" s="1326"/>
      <c r="I41" s="1326"/>
    </row>
    <row r="42" spans="1:9" ht="17.100000000000001" customHeight="1">
      <c r="A42" s="633">
        <v>35</v>
      </c>
      <c r="B42" s="633" t="s">
        <v>132</v>
      </c>
      <c r="C42" s="633"/>
      <c r="D42" s="633"/>
      <c r="E42" s="633"/>
      <c r="F42" s="633"/>
      <c r="G42" s="633"/>
      <c r="H42" s="1326"/>
      <c r="I42" s="1326"/>
    </row>
    <row r="43" spans="1:9" ht="17.100000000000001" customHeight="1">
      <c r="A43" s="633">
        <v>36</v>
      </c>
      <c r="B43" s="633" t="s">
        <v>976</v>
      </c>
      <c r="C43" s="633"/>
      <c r="D43" s="633"/>
      <c r="E43" s="633"/>
      <c r="F43" s="633"/>
      <c r="G43" s="633"/>
      <c r="H43" s="1326"/>
      <c r="I43" s="1326"/>
    </row>
    <row r="44" spans="1:9" ht="17.100000000000001" customHeight="1">
      <c r="A44" s="633">
        <v>37</v>
      </c>
      <c r="B44" s="633" t="s">
        <v>136</v>
      </c>
      <c r="C44" s="633"/>
      <c r="D44" s="633"/>
      <c r="E44" s="633"/>
      <c r="F44" s="633"/>
      <c r="G44" s="633"/>
      <c r="H44" s="1326"/>
      <c r="I44" s="1326"/>
    </row>
    <row r="45" spans="1:9" ht="17.100000000000001" customHeight="1">
      <c r="A45" s="633">
        <v>38</v>
      </c>
      <c r="B45" s="633" t="s">
        <v>977</v>
      </c>
      <c r="C45" s="633"/>
      <c r="D45" s="633"/>
      <c r="E45" s="633"/>
      <c r="F45" s="633"/>
      <c r="G45" s="633"/>
      <c r="H45" s="1326"/>
      <c r="I45" s="1326"/>
    </row>
    <row r="46" spans="1:9" ht="17.100000000000001" customHeight="1">
      <c r="A46" s="633">
        <v>39</v>
      </c>
      <c r="B46" s="633" t="s">
        <v>137</v>
      </c>
      <c r="C46" s="633"/>
      <c r="D46" s="633"/>
      <c r="E46" s="633"/>
      <c r="F46" s="633"/>
      <c r="G46" s="633"/>
      <c r="H46" s="1326"/>
      <c r="I46" s="1326"/>
    </row>
    <row r="47" spans="1:9" ht="17.100000000000001" customHeight="1">
      <c r="A47" s="295"/>
      <c r="B47" s="293" t="s">
        <v>139</v>
      </c>
      <c r="C47" s="296"/>
      <c r="D47" s="297"/>
      <c r="E47" s="296" t="s">
        <v>978</v>
      </c>
      <c r="F47" s="295"/>
      <c r="G47" s="295"/>
      <c r="H47" s="295"/>
    </row>
  </sheetData>
  <mergeCells count="53">
    <mergeCell ref="H42:I42"/>
    <mergeCell ref="H43:I43"/>
    <mergeCell ref="H44:I44"/>
    <mergeCell ref="H45:I45"/>
    <mergeCell ref="H46:I46"/>
    <mergeCell ref="H41:I41"/>
    <mergeCell ref="H30:I30"/>
    <mergeCell ref="H31:I31"/>
    <mergeCell ref="H32:I32"/>
    <mergeCell ref="H33:I33"/>
    <mergeCell ref="H34:I34"/>
    <mergeCell ref="H35:I35"/>
    <mergeCell ref="H36:I36"/>
    <mergeCell ref="H37:I37"/>
    <mergeCell ref="H38:I38"/>
    <mergeCell ref="H39:I39"/>
    <mergeCell ref="H40:I40"/>
    <mergeCell ref="H29:I29"/>
    <mergeCell ref="H18:I18"/>
    <mergeCell ref="H19:I19"/>
    <mergeCell ref="H20:I20"/>
    <mergeCell ref="H21:I21"/>
    <mergeCell ref="H22:I22"/>
    <mergeCell ref="H23:I23"/>
    <mergeCell ref="H24:I24"/>
    <mergeCell ref="H25:I25"/>
    <mergeCell ref="H26:I26"/>
    <mergeCell ref="H27:I27"/>
    <mergeCell ref="H28:I28"/>
    <mergeCell ref="H17:I17"/>
    <mergeCell ref="H6:I6"/>
    <mergeCell ref="H7:I7"/>
    <mergeCell ref="H8:I8"/>
    <mergeCell ref="H9:I9"/>
    <mergeCell ref="H10:I10"/>
    <mergeCell ref="H11:I11"/>
    <mergeCell ref="H12:I12"/>
    <mergeCell ref="H13:I13"/>
    <mergeCell ref="H14:I14"/>
    <mergeCell ref="H15:I15"/>
    <mergeCell ref="H16:I16"/>
    <mergeCell ref="B4:C4"/>
    <mergeCell ref="E4:F4"/>
    <mergeCell ref="H4:I4"/>
    <mergeCell ref="B5:C5"/>
    <mergeCell ref="E5:F5"/>
    <mergeCell ref="H5:I5"/>
    <mergeCell ref="A1:H1"/>
    <mergeCell ref="B2:C2"/>
    <mergeCell ref="E2:F2"/>
    <mergeCell ref="B3:C3"/>
    <mergeCell ref="E3:F3"/>
    <mergeCell ref="H3:I3"/>
  </mergeCells>
  <phoneticPr fontId="83" type="noConversion"/>
  <pageMargins left="0.59055118110236227" right="0.59055118110236227" top="0.62992125984251968" bottom="0.23622047244094491" header="0.23622047244094491" footer="0.23622047244094491"/>
  <pageSetup paperSize="9" scale="94" orientation="portrait" r:id="rId1"/>
  <headerFooter alignWithMargins="0"/>
</worksheet>
</file>

<file path=xl/worksheets/sheet11.xml><?xml version="1.0" encoding="utf-8"?>
<worksheet xmlns="http://schemas.openxmlformats.org/spreadsheetml/2006/main" xmlns:r="http://schemas.openxmlformats.org/officeDocument/2006/relationships">
  <sheetPr>
    <tabColor rgb="FF92D050"/>
  </sheetPr>
  <dimension ref="A1:Z755"/>
  <sheetViews>
    <sheetView workbookViewId="0">
      <selection activeCell="E5" sqref="E5:F8"/>
    </sheetView>
  </sheetViews>
  <sheetFormatPr defaultRowHeight="14.25"/>
  <cols>
    <col min="1" max="1" width="8.125" style="216" customWidth="1"/>
    <col min="2" max="2" width="6.25" style="216" customWidth="1"/>
    <col min="3" max="3" width="6.375" style="216" customWidth="1"/>
    <col min="4" max="4" width="5.375" style="216" customWidth="1"/>
    <col min="5" max="5" width="5.875" style="240" customWidth="1"/>
    <col min="6" max="6" width="5.75" style="273" customWidth="1"/>
    <col min="7" max="7" width="5.25" style="216" customWidth="1"/>
    <col min="8" max="8" width="5.625" style="216" customWidth="1"/>
    <col min="9" max="9" width="7.875" style="216" customWidth="1"/>
    <col min="10" max="10" width="9" style="216"/>
    <col min="11" max="11" width="12.25" style="216" customWidth="1"/>
    <col min="12" max="16" width="9" style="216"/>
    <col min="17" max="17" width="9" style="216" customWidth="1"/>
    <col min="18" max="18" width="15.5" style="216" customWidth="1"/>
    <col min="19" max="19" width="11.25" style="216" customWidth="1"/>
    <col min="20" max="21" width="9" style="216" customWidth="1"/>
    <col min="22" max="22" width="43" style="216" customWidth="1"/>
    <col min="23" max="23" width="36.125" style="216" customWidth="1"/>
    <col min="24" max="24" width="39.625" style="216" customWidth="1"/>
    <col min="25" max="25" width="23.375" style="216" customWidth="1"/>
    <col min="26" max="16384" width="9" style="216"/>
  </cols>
  <sheetData>
    <row r="1" spans="1:26" ht="12.95" customHeight="1">
      <c r="A1" s="213"/>
      <c r="B1" s="213"/>
      <c r="C1" s="213"/>
      <c r="D1" s="213"/>
      <c r="E1" s="214"/>
      <c r="F1" s="215"/>
    </row>
    <row r="2" spans="1:26" ht="12.95" customHeight="1">
      <c r="A2" s="217"/>
      <c r="B2" s="217"/>
      <c r="C2" s="217"/>
      <c r="D2" s="217"/>
      <c r="E2" s="214"/>
      <c r="F2" s="1330" t="s">
        <v>981</v>
      </c>
      <c r="G2" s="1330"/>
      <c r="H2" s="1330"/>
      <c r="I2" s="1330"/>
      <c r="J2" s="1330"/>
      <c r="K2" s="1330"/>
    </row>
    <row r="3" spans="1:26" ht="18.75">
      <c r="A3" s="1331" t="s">
        <v>852</v>
      </c>
      <c r="B3" s="1331"/>
      <c r="C3" s="1331"/>
      <c r="D3" s="1331"/>
      <c r="E3" s="1331"/>
      <c r="F3" s="1331"/>
      <c r="G3" s="1331"/>
      <c r="H3" s="1331"/>
      <c r="I3" s="1331"/>
      <c r="J3" s="1331"/>
      <c r="K3" s="1331"/>
      <c r="L3" s="216">
        <f>VLOOKUP(C6,V:Z,5,0)</f>
        <v>0</v>
      </c>
    </row>
    <row r="4" spans="1:26" ht="18" customHeight="1">
      <c r="A4" s="1332" t="s">
        <v>853</v>
      </c>
      <c r="B4" s="1332"/>
      <c r="C4" s="1333" t="str">
        <f>下料单!C2</f>
        <v>杜鹃</v>
      </c>
      <c r="D4" s="1333"/>
      <c r="E4" s="1333"/>
      <c r="F4" s="1334" t="s">
        <v>519</v>
      </c>
      <c r="G4" s="1334"/>
      <c r="H4" s="1333">
        <f>下料单!N2</f>
        <v>0</v>
      </c>
      <c r="I4" s="1333"/>
      <c r="J4" s="634" t="s">
        <v>854</v>
      </c>
      <c r="K4" s="218" t="str">
        <f>SUM(D10:D37)&amp;"块"</f>
        <v>0块</v>
      </c>
    </row>
    <row r="5" spans="1:26" ht="19.5" customHeight="1">
      <c r="A5" s="1334" t="s">
        <v>41</v>
      </c>
      <c r="B5" s="1334"/>
      <c r="C5" s="1339" t="str">
        <f>下料单!H2</f>
        <v>S400383705</v>
      </c>
      <c r="D5" s="1339"/>
      <c r="E5" s="1339"/>
      <c r="F5" s="1334" t="s">
        <v>39</v>
      </c>
      <c r="G5" s="1334"/>
      <c r="H5" s="1340"/>
      <c r="I5" s="1341"/>
      <c r="J5" s="634" t="s">
        <v>803</v>
      </c>
      <c r="K5" s="219" t="str">
        <f>下料单!S2</f>
        <v>西安</v>
      </c>
      <c r="R5" s="216" t="s">
        <v>855</v>
      </c>
      <c r="S5" s="216" t="s">
        <v>121</v>
      </c>
    </row>
    <row r="6" spans="1:26" ht="19.5" customHeight="1">
      <c r="A6" s="1334" t="s">
        <v>856</v>
      </c>
      <c r="B6" s="1334"/>
      <c r="C6" s="1342" t="s">
        <v>857</v>
      </c>
      <c r="D6" s="1342"/>
      <c r="E6" s="1342"/>
      <c r="F6" s="1342"/>
      <c r="G6" s="1342"/>
      <c r="H6" s="1342"/>
      <c r="I6" s="1342"/>
      <c r="J6" s="634" t="s">
        <v>836</v>
      </c>
      <c r="K6" s="220" t="str">
        <f>下料单!AB2</f>
        <v>左岸都市II</v>
      </c>
      <c r="R6" s="216" t="s">
        <v>858</v>
      </c>
      <c r="S6" s="216" t="s">
        <v>859</v>
      </c>
      <c r="T6" s="216" t="s">
        <v>860</v>
      </c>
    </row>
    <row r="7" spans="1:26" ht="14.25" customHeight="1" thickBot="1">
      <c r="A7" s="636"/>
      <c r="B7" s="636"/>
      <c r="C7" s="221"/>
      <c r="D7" s="221"/>
      <c r="E7" s="222"/>
      <c r="F7" s="223"/>
      <c r="G7" s="636"/>
      <c r="H7" s="636"/>
      <c r="I7" s="224"/>
      <c r="J7" s="224"/>
      <c r="K7" s="225"/>
      <c r="R7" s="216" t="s">
        <v>861</v>
      </c>
      <c r="S7" s="216" t="s">
        <v>859</v>
      </c>
      <c r="T7" s="216">
        <v>3</v>
      </c>
    </row>
    <row r="8" spans="1:26" ht="18" customHeight="1">
      <c r="A8" s="226" t="s">
        <v>862</v>
      </c>
      <c r="B8" s="1343" t="s">
        <v>863</v>
      </c>
      <c r="C8" s="1343"/>
      <c r="D8" s="1343"/>
      <c r="E8" s="1344" t="s">
        <v>864</v>
      </c>
      <c r="F8" s="1344"/>
      <c r="G8" s="1344"/>
      <c r="H8" s="1345" t="s">
        <v>865</v>
      </c>
      <c r="I8" s="1346"/>
      <c r="J8" s="1346"/>
      <c r="K8" s="1347"/>
      <c r="R8" s="216" t="s">
        <v>866</v>
      </c>
      <c r="S8" s="216" t="s">
        <v>859</v>
      </c>
      <c r="T8" s="216">
        <v>1</v>
      </c>
      <c r="W8" s="224"/>
      <c r="X8" s="224"/>
      <c r="Y8" s="224"/>
    </row>
    <row r="9" spans="1:26" ht="22.5" customHeight="1">
      <c r="A9" s="227" t="s">
        <v>867</v>
      </c>
      <c r="B9" s="228" t="s">
        <v>851</v>
      </c>
      <c r="C9" s="228" t="s">
        <v>868</v>
      </c>
      <c r="D9" s="228" t="s">
        <v>36</v>
      </c>
      <c r="E9" s="229" t="s">
        <v>851</v>
      </c>
      <c r="F9" s="230" t="s">
        <v>868</v>
      </c>
      <c r="G9" s="228" t="s">
        <v>36</v>
      </c>
      <c r="H9" s="1335" t="s">
        <v>869</v>
      </c>
      <c r="I9" s="1336"/>
      <c r="J9" s="1335" t="s">
        <v>10</v>
      </c>
      <c r="K9" s="1348"/>
      <c r="L9" s="231" t="s">
        <v>14</v>
      </c>
      <c r="M9" s="231" t="s">
        <v>870</v>
      </c>
      <c r="N9" s="231" t="s">
        <v>871</v>
      </c>
      <c r="O9" s="232" t="s">
        <v>872</v>
      </c>
      <c r="R9" s="216" t="s">
        <v>873</v>
      </c>
      <c r="S9" s="216" t="s">
        <v>121</v>
      </c>
      <c r="V9" s="216" t="str">
        <f t="shared" ref="V9:V22" si="0">W9&amp;"+"&amp;Y9</f>
        <v>M01-01触感浅橡(横纹）+2.0*22浅橡PVC</v>
      </c>
      <c r="W9" s="224" t="s">
        <v>874</v>
      </c>
      <c r="X9" s="224" t="s">
        <v>875</v>
      </c>
      <c r="Y9" s="216" t="s">
        <v>876</v>
      </c>
      <c r="Z9" s="216">
        <v>2</v>
      </c>
    </row>
    <row r="10" spans="1:26" ht="17.100000000000001" customHeight="1">
      <c r="A10" s="233"/>
      <c r="B10" s="234"/>
      <c r="C10" s="234"/>
      <c r="D10" s="235"/>
      <c r="E10" s="236">
        <f>C10-3</f>
        <v>-3</v>
      </c>
      <c r="F10" s="237">
        <f>B10-3</f>
        <v>-3</v>
      </c>
      <c r="G10" s="235">
        <f>D10</f>
        <v>0</v>
      </c>
      <c r="H10" s="1335"/>
      <c r="I10" s="1336"/>
      <c r="J10" s="1337"/>
      <c r="K10" s="1338"/>
      <c r="L10" s="216">
        <f>(B10+C10+80)*2*G10/1000</f>
        <v>0</v>
      </c>
      <c r="M10" s="216">
        <f>(B10+C10)*D10*2/0.9/1000</f>
        <v>0</v>
      </c>
      <c r="N10" s="216">
        <f t="shared" ref="N10:N37" si="1">B10*C10*D10/1000000</f>
        <v>0</v>
      </c>
      <c r="O10" s="216">
        <f>B10*C10*D10/1000000/2.88/0.85</f>
        <v>0</v>
      </c>
      <c r="Q10" s="216">
        <f>B10*C10*D10/1000000/2.88</f>
        <v>0</v>
      </c>
      <c r="V10" s="216" t="str">
        <f t="shared" si="0"/>
        <v>M03-01触感红樱桃(横纹）+2.0*22红樱桃橡PVC</v>
      </c>
      <c r="W10" s="224" t="s">
        <v>877</v>
      </c>
      <c r="X10" s="224" t="s">
        <v>878</v>
      </c>
      <c r="Y10" s="216" t="s">
        <v>879</v>
      </c>
      <c r="Z10" s="216">
        <v>3</v>
      </c>
    </row>
    <row r="11" spans="1:26" ht="17.100000000000001" customHeight="1">
      <c r="A11" s="233"/>
      <c r="B11" s="234"/>
      <c r="C11" s="234"/>
      <c r="D11" s="235"/>
      <c r="E11" s="236">
        <f t="shared" ref="E11:E36" si="2">C11-3</f>
        <v>-3</v>
      </c>
      <c r="F11" s="237">
        <f t="shared" ref="F11:F36" si="3">B11-3</f>
        <v>-3</v>
      </c>
      <c r="G11" s="235">
        <f t="shared" ref="G11:G36" si="4">D11</f>
        <v>0</v>
      </c>
      <c r="H11" s="1335"/>
      <c r="I11" s="1336"/>
      <c r="J11" s="1337"/>
      <c r="K11" s="1338"/>
      <c r="L11" s="216">
        <f t="shared" ref="L11:L37" si="5">(B11+C11+80)*2*G11/1000</f>
        <v>0</v>
      </c>
      <c r="M11" s="216">
        <f t="shared" ref="M11:M37" si="6">(B11+C11)*D11*2/0.9/1000</f>
        <v>0</v>
      </c>
      <c r="N11" s="216">
        <f t="shared" si="1"/>
        <v>0</v>
      </c>
      <c r="O11" s="216">
        <f t="shared" ref="O11:O37" si="7">B11*C11*D11/1000000/2.88/0.85</f>
        <v>0</v>
      </c>
      <c r="Q11" s="216">
        <f t="shared" ref="Q11:Q36" si="8">B11*C11*D11/1000000/2.88</f>
        <v>0</v>
      </c>
      <c r="V11" s="216" t="str">
        <f t="shared" si="0"/>
        <v>M06-01触感深橡(横纹）+2.0*22深橡PVC</v>
      </c>
      <c r="W11" s="224" t="s">
        <v>880</v>
      </c>
      <c r="X11" s="224" t="s">
        <v>881</v>
      </c>
      <c r="Y11" s="216" t="s">
        <v>882</v>
      </c>
      <c r="Z11" s="216">
        <v>2</v>
      </c>
    </row>
    <row r="12" spans="1:26" ht="17.100000000000001" customHeight="1">
      <c r="A12" s="233"/>
      <c r="B12" s="234"/>
      <c r="C12" s="234"/>
      <c r="D12" s="235"/>
      <c r="E12" s="236">
        <f t="shared" si="2"/>
        <v>-3</v>
      </c>
      <c r="F12" s="237">
        <f t="shared" si="3"/>
        <v>-3</v>
      </c>
      <c r="G12" s="235">
        <f t="shared" si="4"/>
        <v>0</v>
      </c>
      <c r="H12" s="1335"/>
      <c r="I12" s="1336"/>
      <c r="J12" s="1337"/>
      <c r="K12" s="1338"/>
      <c r="L12" s="216">
        <f t="shared" si="5"/>
        <v>0</v>
      </c>
      <c r="M12" s="216">
        <f t="shared" si="6"/>
        <v>0</v>
      </c>
      <c r="N12" s="216">
        <f t="shared" si="1"/>
        <v>0</v>
      </c>
      <c r="O12" s="216">
        <f t="shared" si="7"/>
        <v>0</v>
      </c>
      <c r="Q12" s="216">
        <f t="shared" si="8"/>
        <v>0</v>
      </c>
      <c r="W12" s="224"/>
      <c r="X12" s="224"/>
    </row>
    <row r="13" spans="1:26" ht="17.100000000000001" customHeight="1">
      <c r="A13" s="233"/>
      <c r="B13" s="234"/>
      <c r="C13" s="234"/>
      <c r="D13" s="235"/>
      <c r="E13" s="236">
        <f t="shared" si="2"/>
        <v>-3</v>
      </c>
      <c r="F13" s="237">
        <f t="shared" si="3"/>
        <v>-3</v>
      </c>
      <c r="G13" s="235">
        <f t="shared" si="4"/>
        <v>0</v>
      </c>
      <c r="H13" s="1335"/>
      <c r="I13" s="1336"/>
      <c r="J13" s="1337"/>
      <c r="K13" s="1338"/>
      <c r="L13" s="216">
        <f t="shared" si="5"/>
        <v>0</v>
      </c>
      <c r="M13" s="216">
        <f t="shared" si="6"/>
        <v>0</v>
      </c>
      <c r="N13" s="216">
        <f t="shared" si="1"/>
        <v>0</v>
      </c>
      <c r="O13" s="216">
        <f t="shared" si="7"/>
        <v>0</v>
      </c>
      <c r="Q13" s="216">
        <f t="shared" si="8"/>
        <v>0</v>
      </c>
      <c r="W13" s="224"/>
      <c r="X13" s="224"/>
    </row>
    <row r="14" spans="1:26" ht="17.100000000000001" customHeight="1">
      <c r="A14" s="233"/>
      <c r="B14" s="234"/>
      <c r="C14" s="234"/>
      <c r="D14" s="235"/>
      <c r="E14" s="236">
        <f t="shared" si="2"/>
        <v>-3</v>
      </c>
      <c r="F14" s="237">
        <f t="shared" si="3"/>
        <v>-3</v>
      </c>
      <c r="G14" s="235">
        <f t="shared" si="4"/>
        <v>0</v>
      </c>
      <c r="H14" s="1335"/>
      <c r="I14" s="1336"/>
      <c r="J14" s="1337"/>
      <c r="K14" s="1338"/>
      <c r="L14" s="216">
        <f t="shared" si="5"/>
        <v>0</v>
      </c>
      <c r="M14" s="216">
        <f t="shared" si="6"/>
        <v>0</v>
      </c>
      <c r="N14" s="216">
        <f t="shared" si="1"/>
        <v>0</v>
      </c>
      <c r="O14" s="216">
        <f t="shared" si="7"/>
        <v>0</v>
      </c>
      <c r="Q14" s="216">
        <f t="shared" si="8"/>
        <v>0</v>
      </c>
      <c r="V14" s="216" t="str">
        <f t="shared" si="0"/>
        <v>M11暖白+2.0*22暖白PVC</v>
      </c>
      <c r="W14" s="224" t="s">
        <v>883</v>
      </c>
      <c r="X14" s="224" t="s">
        <v>884</v>
      </c>
      <c r="Y14" s="224" t="s">
        <v>885</v>
      </c>
    </row>
    <row r="15" spans="1:26" ht="17.100000000000001" customHeight="1">
      <c r="A15" s="233"/>
      <c r="B15" s="234"/>
      <c r="C15" s="234"/>
      <c r="D15" s="235"/>
      <c r="E15" s="236">
        <f t="shared" si="2"/>
        <v>-3</v>
      </c>
      <c r="F15" s="237">
        <f t="shared" si="3"/>
        <v>-3</v>
      </c>
      <c r="G15" s="235">
        <f t="shared" si="4"/>
        <v>0</v>
      </c>
      <c r="H15" s="1335"/>
      <c r="I15" s="1336"/>
      <c r="J15" s="1337"/>
      <c r="K15" s="1338"/>
      <c r="L15" s="216">
        <f t="shared" si="5"/>
        <v>0</v>
      </c>
      <c r="M15" s="216">
        <f t="shared" si="6"/>
        <v>0</v>
      </c>
      <c r="N15" s="216">
        <f t="shared" si="1"/>
        <v>0</v>
      </c>
      <c r="O15" s="216">
        <f t="shared" si="7"/>
        <v>0</v>
      </c>
      <c r="Q15" s="216">
        <f t="shared" si="8"/>
        <v>0</v>
      </c>
      <c r="S15" s="224"/>
      <c r="V15" s="216" t="str">
        <f t="shared" si="0"/>
        <v>M07艺术胡桃(横纹）+2.0*22艺术胡桃PVC</v>
      </c>
      <c r="W15" s="224" t="s">
        <v>886</v>
      </c>
      <c r="X15" s="238" t="s">
        <v>887</v>
      </c>
      <c r="Y15" s="224" t="s">
        <v>888</v>
      </c>
      <c r="Z15" s="216">
        <v>3</v>
      </c>
    </row>
    <row r="16" spans="1:26" ht="17.100000000000001" customHeight="1">
      <c r="A16" s="233"/>
      <c r="B16" s="234"/>
      <c r="C16" s="234"/>
      <c r="D16" s="235"/>
      <c r="E16" s="236">
        <f t="shared" si="2"/>
        <v>-3</v>
      </c>
      <c r="F16" s="237">
        <f t="shared" si="3"/>
        <v>-3</v>
      </c>
      <c r="G16" s="235">
        <f t="shared" si="4"/>
        <v>0</v>
      </c>
      <c r="H16" s="1335"/>
      <c r="I16" s="1336"/>
      <c r="J16" s="1337"/>
      <c r="K16" s="1338"/>
      <c r="L16" s="216">
        <f t="shared" si="5"/>
        <v>0</v>
      </c>
      <c r="M16" s="216">
        <f t="shared" si="6"/>
        <v>0</v>
      </c>
      <c r="N16" s="216">
        <f t="shared" si="1"/>
        <v>0</v>
      </c>
      <c r="O16" s="216">
        <f t="shared" si="7"/>
        <v>0</v>
      </c>
      <c r="Q16" s="216">
        <f t="shared" si="8"/>
        <v>0</v>
      </c>
      <c r="V16" s="216" t="str">
        <f t="shared" si="0"/>
        <v>M13荷花白+2.0*22荷花白PVC</v>
      </c>
      <c r="W16" s="216" t="s">
        <v>889</v>
      </c>
      <c r="X16" s="239" t="s">
        <v>890</v>
      </c>
      <c r="Y16" s="224" t="s">
        <v>891</v>
      </c>
      <c r="Z16" s="216">
        <v>1</v>
      </c>
    </row>
    <row r="17" spans="1:26" ht="17.100000000000001" customHeight="1">
      <c r="A17" s="233"/>
      <c r="B17" s="234"/>
      <c r="C17" s="234"/>
      <c r="D17" s="235"/>
      <c r="E17" s="236">
        <f t="shared" si="2"/>
        <v>-3</v>
      </c>
      <c r="F17" s="237">
        <f t="shared" si="3"/>
        <v>-3</v>
      </c>
      <c r="G17" s="235">
        <f t="shared" si="4"/>
        <v>0</v>
      </c>
      <c r="H17" s="1335"/>
      <c r="I17" s="1336"/>
      <c r="J17" s="1337"/>
      <c r="K17" s="1338"/>
      <c r="L17" s="216">
        <f t="shared" si="5"/>
        <v>0</v>
      </c>
      <c r="M17" s="216">
        <f t="shared" si="6"/>
        <v>0</v>
      </c>
      <c r="N17" s="240">
        <f t="shared" si="1"/>
        <v>0</v>
      </c>
      <c r="O17" s="216">
        <f t="shared" si="7"/>
        <v>0</v>
      </c>
      <c r="Q17" s="216">
        <f t="shared" si="8"/>
        <v>0</v>
      </c>
      <c r="V17" s="216" t="s">
        <v>892</v>
      </c>
      <c r="W17" s="216" t="s">
        <v>893</v>
      </c>
      <c r="X17" s="216" t="s">
        <v>894</v>
      </c>
      <c r="Y17" s="224" t="s">
        <v>895</v>
      </c>
      <c r="Z17" s="216">
        <v>1</v>
      </c>
    </row>
    <row r="18" spans="1:26" ht="17.100000000000001" customHeight="1">
      <c r="A18" s="233"/>
      <c r="B18" s="234"/>
      <c r="C18" s="234"/>
      <c r="D18" s="235"/>
      <c r="E18" s="236">
        <f t="shared" si="2"/>
        <v>-3</v>
      </c>
      <c r="F18" s="237">
        <f t="shared" si="3"/>
        <v>-3</v>
      </c>
      <c r="G18" s="235">
        <f t="shared" si="4"/>
        <v>0</v>
      </c>
      <c r="H18" s="1335"/>
      <c r="I18" s="1336"/>
      <c r="J18" s="1337"/>
      <c r="K18" s="1338"/>
      <c r="L18" s="216">
        <f t="shared" si="5"/>
        <v>0</v>
      </c>
      <c r="M18" s="216">
        <f t="shared" si="6"/>
        <v>0</v>
      </c>
      <c r="N18" s="240">
        <f t="shared" si="1"/>
        <v>0</v>
      </c>
      <c r="O18" s="216">
        <f t="shared" si="7"/>
        <v>0</v>
      </c>
      <c r="Q18" s="216">
        <f t="shared" si="8"/>
        <v>0</v>
      </c>
      <c r="V18" s="216" t="str">
        <f t="shared" si="0"/>
        <v>M17豆绿哑光+T型铝封边</v>
      </c>
      <c r="W18" s="216" t="s">
        <v>896</v>
      </c>
      <c r="X18" s="216" t="s">
        <v>897</v>
      </c>
      <c r="Y18" s="224" t="s">
        <v>121</v>
      </c>
      <c r="Z18" s="216">
        <v>1</v>
      </c>
    </row>
    <row r="19" spans="1:26" ht="17.100000000000001" customHeight="1">
      <c r="A19" s="233"/>
      <c r="B19" s="234"/>
      <c r="C19" s="234"/>
      <c r="D19" s="235"/>
      <c r="E19" s="236">
        <f t="shared" si="2"/>
        <v>-3</v>
      </c>
      <c r="F19" s="237">
        <f t="shared" si="3"/>
        <v>-3</v>
      </c>
      <c r="G19" s="235">
        <f t="shared" si="4"/>
        <v>0</v>
      </c>
      <c r="H19" s="1335"/>
      <c r="I19" s="1336"/>
      <c r="J19" s="1337"/>
      <c r="K19" s="1338"/>
      <c r="L19" s="216">
        <f t="shared" si="5"/>
        <v>0</v>
      </c>
      <c r="M19" s="216">
        <f t="shared" si="6"/>
        <v>0</v>
      </c>
      <c r="N19" s="240">
        <f t="shared" si="1"/>
        <v>0</v>
      </c>
      <c r="O19" s="216">
        <f t="shared" si="7"/>
        <v>0</v>
      </c>
      <c r="Q19" s="216">
        <f t="shared" si="8"/>
        <v>0</v>
      </c>
      <c r="V19" s="216" t="str">
        <f t="shared" si="0"/>
        <v>M28白蜡木(横纹）+2.0*22白蜡木PVC</v>
      </c>
      <c r="W19" s="224" t="s">
        <v>898</v>
      </c>
      <c r="X19" s="224" t="s">
        <v>899</v>
      </c>
      <c r="Y19" s="224" t="s">
        <v>900</v>
      </c>
      <c r="Z19" s="216">
        <v>3</v>
      </c>
    </row>
    <row r="20" spans="1:26" ht="17.100000000000001" customHeight="1">
      <c r="A20" s="233"/>
      <c r="B20" s="234"/>
      <c r="C20" s="234"/>
      <c r="D20" s="235"/>
      <c r="E20" s="236">
        <f t="shared" si="2"/>
        <v>-3</v>
      </c>
      <c r="F20" s="237">
        <f t="shared" si="3"/>
        <v>-3</v>
      </c>
      <c r="G20" s="235">
        <f t="shared" si="4"/>
        <v>0</v>
      </c>
      <c r="H20" s="1335"/>
      <c r="I20" s="1336"/>
      <c r="J20" s="1337"/>
      <c r="K20" s="1338"/>
      <c r="L20" s="216">
        <f t="shared" si="5"/>
        <v>0</v>
      </c>
      <c r="M20" s="216">
        <f t="shared" si="6"/>
        <v>0</v>
      </c>
      <c r="N20" s="240">
        <f t="shared" si="1"/>
        <v>0</v>
      </c>
      <c r="O20" s="216">
        <f t="shared" si="7"/>
        <v>0</v>
      </c>
      <c r="Q20" s="216">
        <f t="shared" si="8"/>
        <v>0</v>
      </c>
      <c r="V20" s="216" t="str">
        <f t="shared" si="0"/>
        <v>M01-2浮雕浅橡(横纹）+2.0*22浮雕浅橡PVC</v>
      </c>
      <c r="W20" s="224" t="s">
        <v>901</v>
      </c>
      <c r="X20" s="224" t="s">
        <v>902</v>
      </c>
      <c r="Y20" s="216" t="s">
        <v>903</v>
      </c>
      <c r="Z20" s="216">
        <v>2</v>
      </c>
    </row>
    <row r="21" spans="1:26" ht="17.100000000000001" customHeight="1">
      <c r="A21" s="233"/>
      <c r="B21" s="234"/>
      <c r="C21" s="234"/>
      <c r="D21" s="235"/>
      <c r="E21" s="236">
        <f t="shared" si="2"/>
        <v>-3</v>
      </c>
      <c r="F21" s="237">
        <f t="shared" si="3"/>
        <v>-3</v>
      </c>
      <c r="G21" s="235">
        <f t="shared" si="4"/>
        <v>0</v>
      </c>
      <c r="H21" s="1335"/>
      <c r="I21" s="1336"/>
      <c r="J21" s="1337"/>
      <c r="K21" s="1338"/>
      <c r="L21" s="216">
        <f t="shared" si="5"/>
        <v>0</v>
      </c>
      <c r="M21" s="216">
        <f t="shared" si="6"/>
        <v>0</v>
      </c>
      <c r="N21" s="240">
        <f t="shared" si="1"/>
        <v>0</v>
      </c>
      <c r="O21" s="216">
        <f t="shared" si="7"/>
        <v>0</v>
      </c>
      <c r="Q21" s="216">
        <f t="shared" si="8"/>
        <v>0</v>
      </c>
      <c r="V21" s="216" t="str">
        <f t="shared" si="0"/>
        <v>M29-深胡桃(横纹）+2.0*22深胡桃PVC</v>
      </c>
      <c r="W21" s="224" t="s">
        <v>904</v>
      </c>
      <c r="X21" s="224" t="s">
        <v>905</v>
      </c>
      <c r="Y21" s="216" t="s">
        <v>906</v>
      </c>
      <c r="Z21" s="216">
        <v>2</v>
      </c>
    </row>
    <row r="22" spans="1:26" ht="17.100000000000001" customHeight="1">
      <c r="A22" s="233"/>
      <c r="B22" s="234"/>
      <c r="C22" s="234"/>
      <c r="D22" s="235"/>
      <c r="E22" s="236">
        <f t="shared" si="2"/>
        <v>-3</v>
      </c>
      <c r="F22" s="237">
        <f t="shared" si="3"/>
        <v>-3</v>
      </c>
      <c r="G22" s="235">
        <f t="shared" si="4"/>
        <v>0</v>
      </c>
      <c r="H22" s="1335"/>
      <c r="I22" s="1336"/>
      <c r="J22" s="1337"/>
      <c r="K22" s="1338"/>
      <c r="L22" s="216">
        <f t="shared" si="5"/>
        <v>0</v>
      </c>
      <c r="M22" s="216">
        <f t="shared" si="6"/>
        <v>0</v>
      </c>
      <c r="N22" s="216">
        <f t="shared" si="1"/>
        <v>0</v>
      </c>
      <c r="O22" s="216">
        <f t="shared" si="7"/>
        <v>0</v>
      </c>
      <c r="Q22" s="216">
        <f t="shared" si="8"/>
        <v>0</v>
      </c>
      <c r="V22" s="216" t="str">
        <f t="shared" si="0"/>
        <v>M30柚木(横纹）+2.0*22柚木PVC</v>
      </c>
      <c r="W22" s="224" t="s">
        <v>907</v>
      </c>
      <c r="X22" s="224" t="s">
        <v>908</v>
      </c>
      <c r="Y22" s="224" t="s">
        <v>909</v>
      </c>
      <c r="Z22" s="216">
        <v>2</v>
      </c>
    </row>
    <row r="23" spans="1:26" ht="17.100000000000001" customHeight="1">
      <c r="A23" s="233"/>
      <c r="B23" s="234"/>
      <c r="C23" s="234"/>
      <c r="D23" s="235"/>
      <c r="E23" s="236">
        <f t="shared" si="2"/>
        <v>-3</v>
      </c>
      <c r="F23" s="237">
        <f t="shared" si="3"/>
        <v>-3</v>
      </c>
      <c r="G23" s="235">
        <f t="shared" si="4"/>
        <v>0</v>
      </c>
      <c r="H23" s="1335"/>
      <c r="I23" s="1336"/>
      <c r="J23" s="1335"/>
      <c r="K23" s="1348"/>
      <c r="L23" s="216">
        <f t="shared" si="5"/>
        <v>0</v>
      </c>
      <c r="M23" s="216">
        <f t="shared" si="6"/>
        <v>0</v>
      </c>
      <c r="N23" s="216">
        <f t="shared" si="1"/>
        <v>0</v>
      </c>
      <c r="O23" s="216">
        <f t="shared" si="7"/>
        <v>0</v>
      </c>
      <c r="Q23" s="216">
        <f t="shared" si="8"/>
        <v>0</v>
      </c>
      <c r="W23" s="224"/>
      <c r="X23" s="224"/>
      <c r="Y23" s="224"/>
    </row>
    <row r="24" spans="1:26" ht="17.100000000000001" customHeight="1">
      <c r="A24" s="241"/>
      <c r="B24" s="234"/>
      <c r="C24" s="234"/>
      <c r="D24" s="235"/>
      <c r="E24" s="236">
        <f t="shared" si="2"/>
        <v>-3</v>
      </c>
      <c r="F24" s="237">
        <f t="shared" si="3"/>
        <v>-3</v>
      </c>
      <c r="G24" s="235">
        <f t="shared" si="4"/>
        <v>0</v>
      </c>
      <c r="H24" s="1335"/>
      <c r="I24" s="1336"/>
      <c r="J24" s="1335"/>
      <c r="K24" s="1348"/>
      <c r="L24" s="216">
        <f t="shared" si="5"/>
        <v>0</v>
      </c>
      <c r="M24" s="216">
        <f t="shared" si="6"/>
        <v>0</v>
      </c>
      <c r="N24" s="216">
        <f t="shared" si="1"/>
        <v>0</v>
      </c>
      <c r="O24" s="216">
        <f t="shared" si="7"/>
        <v>0</v>
      </c>
      <c r="Q24" s="216">
        <f t="shared" si="8"/>
        <v>0</v>
      </c>
    </row>
    <row r="25" spans="1:26" ht="17.100000000000001" customHeight="1">
      <c r="A25" s="241"/>
      <c r="B25" s="234"/>
      <c r="C25" s="234"/>
      <c r="D25" s="235"/>
      <c r="E25" s="236">
        <f t="shared" si="2"/>
        <v>-3</v>
      </c>
      <c r="F25" s="237">
        <f t="shared" si="3"/>
        <v>-3</v>
      </c>
      <c r="G25" s="235">
        <f t="shared" si="4"/>
        <v>0</v>
      </c>
      <c r="H25" s="1335"/>
      <c r="I25" s="1336"/>
      <c r="J25" s="1335"/>
      <c r="K25" s="1348"/>
      <c r="L25" s="216">
        <f t="shared" si="5"/>
        <v>0</v>
      </c>
      <c r="M25" s="216">
        <f t="shared" si="6"/>
        <v>0</v>
      </c>
      <c r="N25" s="216">
        <f t="shared" si="1"/>
        <v>0</v>
      </c>
      <c r="O25" s="216">
        <f t="shared" si="7"/>
        <v>0</v>
      </c>
      <c r="Q25" s="216">
        <f t="shared" si="8"/>
        <v>0</v>
      </c>
      <c r="X25" s="238"/>
      <c r="Y25" s="224"/>
    </row>
    <row r="26" spans="1:26" ht="17.100000000000001" customHeight="1">
      <c r="A26" s="242"/>
      <c r="B26" s="234"/>
      <c r="C26" s="234"/>
      <c r="D26" s="235"/>
      <c r="E26" s="236">
        <f t="shared" si="2"/>
        <v>-3</v>
      </c>
      <c r="F26" s="237">
        <f t="shared" si="3"/>
        <v>-3</v>
      </c>
      <c r="G26" s="235">
        <f t="shared" si="4"/>
        <v>0</v>
      </c>
      <c r="H26" s="1335"/>
      <c r="I26" s="1336"/>
      <c r="J26" s="1335"/>
      <c r="K26" s="1348"/>
      <c r="L26" s="216">
        <f t="shared" si="5"/>
        <v>0</v>
      </c>
      <c r="M26" s="216">
        <f t="shared" si="6"/>
        <v>0</v>
      </c>
      <c r="N26" s="216">
        <f t="shared" si="1"/>
        <v>0</v>
      </c>
      <c r="O26" s="216">
        <f t="shared" si="7"/>
        <v>0</v>
      </c>
      <c r="Q26" s="216">
        <f t="shared" si="8"/>
        <v>0</v>
      </c>
      <c r="Y26" s="224"/>
    </row>
    <row r="27" spans="1:26" ht="17.100000000000001" customHeight="1">
      <c r="A27" s="233"/>
      <c r="B27" s="234"/>
      <c r="C27" s="234"/>
      <c r="D27" s="235"/>
      <c r="E27" s="236">
        <f t="shared" si="2"/>
        <v>-3</v>
      </c>
      <c r="F27" s="237">
        <f t="shared" si="3"/>
        <v>-3</v>
      </c>
      <c r="G27" s="235">
        <f t="shared" si="4"/>
        <v>0</v>
      </c>
      <c r="H27" s="1335"/>
      <c r="I27" s="1336"/>
      <c r="J27" s="1335"/>
      <c r="K27" s="1348"/>
      <c r="L27" s="216">
        <f t="shared" si="5"/>
        <v>0</v>
      </c>
      <c r="M27" s="216">
        <f t="shared" si="6"/>
        <v>0</v>
      </c>
      <c r="N27" s="216">
        <f t="shared" si="1"/>
        <v>0</v>
      </c>
      <c r="O27" s="216">
        <f t="shared" si="7"/>
        <v>0</v>
      </c>
      <c r="Q27" s="216">
        <f t="shared" si="8"/>
        <v>0</v>
      </c>
      <c r="W27" s="224"/>
      <c r="X27" s="224"/>
      <c r="Y27" s="224"/>
    </row>
    <row r="28" spans="1:26" ht="17.100000000000001" customHeight="1">
      <c r="A28" s="243"/>
      <c r="B28" s="234"/>
      <c r="C28" s="234"/>
      <c r="D28" s="235"/>
      <c r="E28" s="236">
        <f t="shared" si="2"/>
        <v>-3</v>
      </c>
      <c r="F28" s="237">
        <f t="shared" si="3"/>
        <v>-3</v>
      </c>
      <c r="G28" s="235">
        <f t="shared" si="4"/>
        <v>0</v>
      </c>
      <c r="H28" s="1335"/>
      <c r="I28" s="1336"/>
      <c r="J28" s="1335"/>
      <c r="K28" s="1348"/>
      <c r="L28" s="216">
        <f t="shared" si="5"/>
        <v>0</v>
      </c>
      <c r="M28" s="216">
        <f t="shared" si="6"/>
        <v>0</v>
      </c>
      <c r="N28" s="216">
        <f t="shared" si="1"/>
        <v>0</v>
      </c>
      <c r="O28" s="216">
        <f t="shared" si="7"/>
        <v>0</v>
      </c>
      <c r="Q28" s="216">
        <f t="shared" si="8"/>
        <v>0</v>
      </c>
      <c r="U28" s="216" t="s">
        <v>910</v>
      </c>
      <c r="V28" s="216" t="str">
        <f>W28&amp;"+"&amp;Y28</f>
        <v>M43奶油灰高+铝色PVC2.0*22</v>
      </c>
      <c r="W28" s="224" t="str">
        <f>U28&amp;MIDB(X28,1,8)</f>
        <v>M43奶油灰高</v>
      </c>
      <c r="X28" s="216" t="s">
        <v>911</v>
      </c>
      <c r="Y28" s="216" t="s">
        <v>912</v>
      </c>
    </row>
    <row r="29" spans="1:26" ht="17.100000000000001" customHeight="1">
      <c r="A29" s="242"/>
      <c r="B29" s="234"/>
      <c r="C29" s="234"/>
      <c r="D29" s="235"/>
      <c r="E29" s="236">
        <f t="shared" si="2"/>
        <v>-3</v>
      </c>
      <c r="F29" s="237">
        <f t="shared" si="3"/>
        <v>-3</v>
      </c>
      <c r="G29" s="235">
        <f t="shared" si="4"/>
        <v>0</v>
      </c>
      <c r="H29" s="1335"/>
      <c r="I29" s="1336"/>
      <c r="J29" s="1335"/>
      <c r="K29" s="1348"/>
      <c r="L29" s="216">
        <f t="shared" si="5"/>
        <v>0</v>
      </c>
      <c r="M29" s="216">
        <f t="shared" si="6"/>
        <v>0</v>
      </c>
      <c r="N29" s="216">
        <f t="shared" si="1"/>
        <v>0</v>
      </c>
      <c r="O29" s="216">
        <f t="shared" si="7"/>
        <v>0</v>
      </c>
      <c r="Q29" s="216">
        <f t="shared" si="8"/>
        <v>0</v>
      </c>
      <c r="U29" s="216" t="s">
        <v>913</v>
      </c>
      <c r="V29" s="216" t="str">
        <f t="shared" ref="V29:V33" si="9">W29&amp;"+"&amp;Y29</f>
        <v>M38酒红高光+铝色PVC2.0*22</v>
      </c>
      <c r="W29" s="224" t="str">
        <f t="shared" ref="W29:W33" si="10">U29&amp;MIDB(X29,1,8)</f>
        <v>M38酒红高光</v>
      </c>
      <c r="X29" s="224" t="s">
        <v>914</v>
      </c>
      <c r="Y29" s="216" t="s">
        <v>912</v>
      </c>
    </row>
    <row r="30" spans="1:26" ht="17.100000000000001" customHeight="1">
      <c r="A30" s="242"/>
      <c r="B30" s="234"/>
      <c r="C30" s="234"/>
      <c r="D30" s="235"/>
      <c r="E30" s="236">
        <f t="shared" si="2"/>
        <v>-3</v>
      </c>
      <c r="F30" s="237">
        <f t="shared" si="3"/>
        <v>-3</v>
      </c>
      <c r="G30" s="235">
        <f t="shared" si="4"/>
        <v>0</v>
      </c>
      <c r="H30" s="1335"/>
      <c r="I30" s="1336"/>
      <c r="J30" s="1335"/>
      <c r="K30" s="1348"/>
      <c r="L30" s="216">
        <f t="shared" si="5"/>
        <v>0</v>
      </c>
      <c r="M30" s="216">
        <f t="shared" si="6"/>
        <v>0</v>
      </c>
      <c r="N30" s="216">
        <f t="shared" si="1"/>
        <v>0</v>
      </c>
      <c r="O30" s="216">
        <f t="shared" si="7"/>
        <v>0</v>
      </c>
      <c r="Q30" s="216">
        <f t="shared" si="8"/>
        <v>0</v>
      </c>
      <c r="U30" s="216" t="s">
        <v>915</v>
      </c>
      <c r="V30" s="216" t="str">
        <f t="shared" si="9"/>
        <v>M39黑檀高光+铝色PVC2.0*22</v>
      </c>
      <c r="W30" s="224" t="str">
        <f t="shared" si="10"/>
        <v>M39黑檀高光</v>
      </c>
      <c r="X30" s="224" t="s">
        <v>916</v>
      </c>
      <c r="Y30" s="216" t="s">
        <v>912</v>
      </c>
    </row>
    <row r="31" spans="1:26" ht="17.100000000000001" customHeight="1">
      <c r="A31" s="242"/>
      <c r="B31" s="234"/>
      <c r="C31" s="234"/>
      <c r="D31" s="235"/>
      <c r="E31" s="236">
        <f t="shared" si="2"/>
        <v>-3</v>
      </c>
      <c r="F31" s="237">
        <f t="shared" si="3"/>
        <v>-3</v>
      </c>
      <c r="G31" s="235">
        <f t="shared" si="4"/>
        <v>0</v>
      </c>
      <c r="H31" s="1335"/>
      <c r="I31" s="1336"/>
      <c r="J31" s="1335"/>
      <c r="K31" s="1348"/>
      <c r="L31" s="216">
        <f t="shared" si="5"/>
        <v>0</v>
      </c>
      <c r="M31" s="216">
        <f t="shared" si="6"/>
        <v>0</v>
      </c>
      <c r="N31" s="216">
        <f t="shared" si="1"/>
        <v>0</v>
      </c>
      <c r="O31" s="216">
        <f t="shared" si="7"/>
        <v>0</v>
      </c>
      <c r="Q31" s="216">
        <f t="shared" si="8"/>
        <v>0</v>
      </c>
      <c r="U31" s="216" t="s">
        <v>917</v>
      </c>
      <c r="V31" s="216" t="str">
        <f t="shared" si="9"/>
        <v>M40香槟高光+铝色PVC2.0*22</v>
      </c>
      <c r="W31" s="224" t="str">
        <f t="shared" si="10"/>
        <v>M40香槟高光</v>
      </c>
      <c r="X31" s="224" t="s">
        <v>918</v>
      </c>
      <c r="Y31" s="216" t="s">
        <v>912</v>
      </c>
    </row>
    <row r="32" spans="1:26" ht="17.100000000000001" customHeight="1">
      <c r="A32" s="242"/>
      <c r="B32" s="234"/>
      <c r="C32" s="234"/>
      <c r="D32" s="235"/>
      <c r="E32" s="236">
        <f t="shared" si="2"/>
        <v>-3</v>
      </c>
      <c r="F32" s="237">
        <f t="shared" si="3"/>
        <v>-3</v>
      </c>
      <c r="G32" s="235">
        <f t="shared" si="4"/>
        <v>0</v>
      </c>
      <c r="H32" s="1335"/>
      <c r="I32" s="1336"/>
      <c r="J32" s="1335"/>
      <c r="K32" s="1348"/>
      <c r="L32" s="216">
        <f t="shared" si="5"/>
        <v>0</v>
      </c>
      <c r="M32" s="216">
        <f t="shared" si="6"/>
        <v>0</v>
      </c>
      <c r="N32" s="216">
        <f t="shared" si="1"/>
        <v>0</v>
      </c>
      <c r="O32" s="216">
        <f t="shared" si="7"/>
        <v>0</v>
      </c>
      <c r="Q32" s="216">
        <f t="shared" si="8"/>
        <v>0</v>
      </c>
      <c r="U32" s="216" t="s">
        <v>919</v>
      </c>
      <c r="V32" s="216" t="str">
        <f t="shared" si="9"/>
        <v>M41湛蓝高光+铝色PVC2.0*22</v>
      </c>
      <c r="W32" s="224" t="str">
        <f t="shared" si="10"/>
        <v>M41湛蓝高光</v>
      </c>
      <c r="X32" s="224" t="s">
        <v>920</v>
      </c>
      <c r="Y32" s="216" t="s">
        <v>912</v>
      </c>
    </row>
    <row r="33" spans="1:25" ht="17.100000000000001" customHeight="1">
      <c r="A33" s="242"/>
      <c r="B33" s="234"/>
      <c r="C33" s="234"/>
      <c r="D33" s="235"/>
      <c r="E33" s="236">
        <f t="shared" si="2"/>
        <v>-3</v>
      </c>
      <c r="F33" s="237">
        <f t="shared" si="3"/>
        <v>-3</v>
      </c>
      <c r="G33" s="235">
        <f t="shared" si="4"/>
        <v>0</v>
      </c>
      <c r="H33" s="1335"/>
      <c r="I33" s="1336"/>
      <c r="J33" s="1335"/>
      <c r="K33" s="1348"/>
      <c r="L33" s="216">
        <f t="shared" si="5"/>
        <v>0</v>
      </c>
      <c r="M33" s="216">
        <f t="shared" si="6"/>
        <v>0</v>
      </c>
      <c r="N33" s="216">
        <f t="shared" si="1"/>
        <v>0</v>
      </c>
      <c r="O33" s="216">
        <f t="shared" si="7"/>
        <v>0</v>
      </c>
      <c r="Q33" s="216">
        <f t="shared" si="8"/>
        <v>0</v>
      </c>
      <c r="U33" s="216" t="s">
        <v>921</v>
      </c>
      <c r="V33" s="216" t="str">
        <f t="shared" si="9"/>
        <v>M42纯白高光+铝色PVC2.0*22</v>
      </c>
      <c r="W33" s="224" t="str">
        <f t="shared" si="10"/>
        <v>M42纯白高光</v>
      </c>
      <c r="X33" s="224" t="s">
        <v>922</v>
      </c>
      <c r="Y33" s="216" t="s">
        <v>912</v>
      </c>
    </row>
    <row r="34" spans="1:25" ht="17.100000000000001" customHeight="1">
      <c r="A34" s="242"/>
      <c r="B34" s="234"/>
      <c r="C34" s="234"/>
      <c r="D34" s="235"/>
      <c r="E34" s="236">
        <f t="shared" si="2"/>
        <v>-3</v>
      </c>
      <c r="F34" s="237">
        <f t="shared" si="3"/>
        <v>-3</v>
      </c>
      <c r="G34" s="235">
        <f t="shared" si="4"/>
        <v>0</v>
      </c>
      <c r="H34" s="1335"/>
      <c r="I34" s="1336"/>
      <c r="J34" s="1335"/>
      <c r="K34" s="1348"/>
      <c r="L34" s="216">
        <f t="shared" si="5"/>
        <v>0</v>
      </c>
      <c r="M34" s="216">
        <f t="shared" si="6"/>
        <v>0</v>
      </c>
      <c r="N34" s="216">
        <f t="shared" si="1"/>
        <v>0</v>
      </c>
      <c r="O34" s="216">
        <f t="shared" si="7"/>
        <v>0</v>
      </c>
      <c r="Q34" s="216">
        <f t="shared" si="8"/>
        <v>0</v>
      </c>
    </row>
    <row r="35" spans="1:25" ht="17.100000000000001" customHeight="1">
      <c r="A35" s="242"/>
      <c r="B35" s="234"/>
      <c r="C35" s="234"/>
      <c r="D35" s="235"/>
      <c r="E35" s="236">
        <f t="shared" si="2"/>
        <v>-3</v>
      </c>
      <c r="F35" s="237">
        <f t="shared" si="3"/>
        <v>-3</v>
      </c>
      <c r="G35" s="235">
        <f t="shared" si="4"/>
        <v>0</v>
      </c>
      <c r="H35" s="1335"/>
      <c r="I35" s="1336"/>
      <c r="J35" s="1335"/>
      <c r="K35" s="1348"/>
      <c r="L35" s="216">
        <f t="shared" si="5"/>
        <v>0</v>
      </c>
      <c r="M35" s="216">
        <f t="shared" si="6"/>
        <v>0</v>
      </c>
      <c r="N35" s="216">
        <f t="shared" si="1"/>
        <v>0</v>
      </c>
      <c r="O35" s="216">
        <f t="shared" si="7"/>
        <v>0</v>
      </c>
      <c r="Q35" s="216">
        <f t="shared" si="8"/>
        <v>0</v>
      </c>
      <c r="V35" s="216" t="str">
        <f>W35&amp;"+"&amp;Y35</f>
        <v>M21银灰波浪(横纹）+2.0*22银灰波浪PVC</v>
      </c>
      <c r="W35" s="224" t="s">
        <v>923</v>
      </c>
      <c r="X35" s="224" t="s">
        <v>924</v>
      </c>
      <c r="Y35" s="224" t="s">
        <v>925</v>
      </c>
    </row>
    <row r="36" spans="1:25" ht="17.100000000000001" customHeight="1">
      <c r="A36" s="244"/>
      <c r="B36" s="245"/>
      <c r="C36" s="245"/>
      <c r="D36" s="246"/>
      <c r="E36" s="236">
        <f t="shared" si="2"/>
        <v>-3</v>
      </c>
      <c r="F36" s="237">
        <f t="shared" si="3"/>
        <v>-3</v>
      </c>
      <c r="G36" s="235">
        <f t="shared" si="4"/>
        <v>0</v>
      </c>
      <c r="H36" s="1335"/>
      <c r="I36" s="1336"/>
      <c r="J36" s="1335"/>
      <c r="K36" s="1348"/>
      <c r="L36" s="216">
        <f t="shared" si="5"/>
        <v>0</v>
      </c>
      <c r="M36" s="216">
        <f t="shared" si="6"/>
        <v>0</v>
      </c>
      <c r="N36" s="216">
        <f t="shared" si="1"/>
        <v>0</v>
      </c>
      <c r="O36" s="216">
        <f t="shared" si="7"/>
        <v>0</v>
      </c>
      <c r="Q36" s="216">
        <f t="shared" si="8"/>
        <v>0</v>
      </c>
      <c r="V36" s="216" t="str">
        <f>W36&amp;"+"&amp;Y36</f>
        <v>M21银灰波浪(横纹）+T型铝封边</v>
      </c>
      <c r="W36" s="224" t="s">
        <v>923</v>
      </c>
      <c r="X36" s="224" t="s">
        <v>924</v>
      </c>
      <c r="Y36" s="224" t="s">
        <v>121</v>
      </c>
    </row>
    <row r="37" spans="1:25" ht="17.100000000000001" customHeight="1" thickBot="1">
      <c r="A37" s="247"/>
      <c r="B37" s="248"/>
      <c r="C37" s="248"/>
      <c r="D37" s="249"/>
      <c r="E37" s="236"/>
      <c r="F37" s="237"/>
      <c r="G37" s="235"/>
      <c r="H37" s="1350"/>
      <c r="I37" s="1351"/>
      <c r="J37" s="1350"/>
      <c r="K37" s="1352"/>
      <c r="L37" s="216">
        <f t="shared" si="5"/>
        <v>0</v>
      </c>
      <c r="M37" s="216">
        <f t="shared" si="6"/>
        <v>0</v>
      </c>
      <c r="N37" s="216">
        <f t="shared" si="1"/>
        <v>0</v>
      </c>
      <c r="O37" s="216">
        <f t="shared" si="7"/>
        <v>0</v>
      </c>
      <c r="V37" s="216" t="str">
        <f>W37&amp;"+"&amp;Y37</f>
        <v>M24荷花白波浪(横纹）+T型铝封边</v>
      </c>
      <c r="W37" s="224" t="s">
        <v>926</v>
      </c>
      <c r="X37" s="224" t="s">
        <v>927</v>
      </c>
      <c r="Y37" s="224" t="s">
        <v>121</v>
      </c>
    </row>
    <row r="38" spans="1:25" ht="17.100000000000001" customHeight="1">
      <c r="A38" s="1353"/>
      <c r="B38" s="1353"/>
      <c r="C38" s="1353"/>
      <c r="D38" s="1353"/>
      <c r="E38" s="1353"/>
      <c r="F38" s="1353"/>
      <c r="G38" s="1353"/>
      <c r="H38" s="1353"/>
      <c r="I38" s="1353"/>
      <c r="J38" s="1353"/>
      <c r="K38" s="1353"/>
      <c r="L38" s="216">
        <f>SUM(L10:L37)</f>
        <v>0</v>
      </c>
      <c r="M38" s="216">
        <f>SUM(M10:M37)</f>
        <v>0</v>
      </c>
      <c r="N38" s="216">
        <f>SUM(N10:N37)</f>
        <v>0</v>
      </c>
      <c r="O38" s="216">
        <f>SUM(O10:O37)</f>
        <v>0</v>
      </c>
      <c r="P38" s="216" t="s">
        <v>928</v>
      </c>
      <c r="Q38" s="216">
        <f>SUM(Q10:Q37)</f>
        <v>0</v>
      </c>
      <c r="V38" s="216" t="str">
        <f>W38&amp;"+"&amp;Y38</f>
        <v>M25银灰+2.0*22银灰PVC</v>
      </c>
      <c r="W38" s="216" t="s">
        <v>929</v>
      </c>
      <c r="X38" s="216" t="s">
        <v>930</v>
      </c>
      <c r="Y38" s="224" t="s">
        <v>931</v>
      </c>
    </row>
    <row r="39" spans="1:25" s="252" customFormat="1" ht="20.100000000000001" customHeight="1">
      <c r="A39" s="250"/>
      <c r="B39" s="1332" t="s">
        <v>865</v>
      </c>
      <c r="C39" s="1332"/>
      <c r="D39" s="1332"/>
      <c r="E39" s="1332"/>
      <c r="F39" s="1332"/>
      <c r="G39" s="1332"/>
      <c r="H39" s="1332"/>
      <c r="I39" s="1332"/>
      <c r="J39" s="634"/>
      <c r="K39" s="251"/>
      <c r="V39" s="224" t="s">
        <v>932</v>
      </c>
      <c r="W39" s="216" t="s">
        <v>933</v>
      </c>
      <c r="X39" s="216" t="s">
        <v>934</v>
      </c>
      <c r="Y39" s="224" t="s">
        <v>121</v>
      </c>
    </row>
    <row r="40" spans="1:25" ht="21" customHeight="1">
      <c r="A40" s="1353" t="s">
        <v>935</v>
      </c>
      <c r="B40" s="1353"/>
      <c r="C40" s="1353"/>
      <c r="D40" s="1353"/>
      <c r="E40" s="1353"/>
      <c r="F40" s="1353"/>
      <c r="G40" s="1353"/>
      <c r="H40" s="1353"/>
      <c r="I40" s="1353"/>
      <c r="J40" s="1353"/>
      <c r="K40" s="1353"/>
    </row>
    <row r="41" spans="1:25" ht="13.5" customHeight="1">
      <c r="A41" s="253"/>
      <c r="B41" s="254"/>
      <c r="C41" s="252"/>
      <c r="D41" s="252"/>
      <c r="E41" s="255"/>
      <c r="F41" s="256"/>
      <c r="G41" s="257"/>
      <c r="H41" s="635"/>
      <c r="I41" s="251"/>
      <c r="J41" s="251"/>
      <c r="K41" s="258"/>
    </row>
    <row r="42" spans="1:25" ht="18" customHeight="1">
      <c r="A42" s="250" t="s">
        <v>936</v>
      </c>
      <c r="B42" s="1354"/>
      <c r="C42" s="1354"/>
      <c r="D42" s="634"/>
      <c r="E42" s="259"/>
      <c r="F42" s="1355"/>
      <c r="G42" s="1355"/>
      <c r="H42" s="634"/>
      <c r="I42" s="251"/>
      <c r="J42" s="251"/>
      <c r="O42" s="260">
        <v>1</v>
      </c>
      <c r="P42" s="261" t="s">
        <v>937</v>
      </c>
      <c r="Q42" s="216">
        <f>+Q38/0.85</f>
        <v>0</v>
      </c>
    </row>
    <row r="43" spans="1:25" ht="21">
      <c r="A43" s="262"/>
      <c r="B43" s="1349"/>
      <c r="C43" s="1349"/>
      <c r="D43" s="263"/>
      <c r="E43" s="264"/>
      <c r="F43" s="265"/>
      <c r="G43" s="266"/>
      <c r="H43" s="263"/>
      <c r="I43" s="267"/>
      <c r="J43" s="267"/>
      <c r="K43" s="258"/>
      <c r="O43" s="260">
        <v>2</v>
      </c>
      <c r="P43" s="261" t="s">
        <v>938</v>
      </c>
      <c r="Q43" s="268">
        <f>+CEILING(Q38/0.6,0.5)</f>
        <v>0</v>
      </c>
    </row>
    <row r="44" spans="1:25" ht="20.25">
      <c r="A44" s="258"/>
      <c r="B44" s="258"/>
      <c r="C44" s="258"/>
      <c r="D44" s="258"/>
      <c r="E44" s="269"/>
      <c r="F44" s="270"/>
      <c r="G44" s="270"/>
      <c r="H44" s="258"/>
      <c r="I44" s="258"/>
      <c r="J44" s="258"/>
      <c r="K44" s="258"/>
      <c r="O44" s="260">
        <v>3</v>
      </c>
      <c r="P44" s="261" t="s">
        <v>939</v>
      </c>
      <c r="Q44" s="271">
        <f>+Q43</f>
        <v>0</v>
      </c>
    </row>
    <row r="45" spans="1:25" ht="20.25">
      <c r="A45" s="258"/>
      <c r="B45" s="258"/>
      <c r="C45" s="258"/>
      <c r="D45" s="258"/>
      <c r="E45" s="269"/>
      <c r="F45" s="270"/>
      <c r="G45" s="270"/>
      <c r="H45" s="258"/>
      <c r="I45" s="258"/>
      <c r="J45" s="258"/>
      <c r="K45" s="258"/>
    </row>
    <row r="46" spans="1:25" ht="20.25">
      <c r="A46" s="258"/>
      <c r="B46" s="258"/>
      <c r="C46" s="258"/>
      <c r="D46" s="258"/>
      <c r="E46" s="269"/>
      <c r="F46" s="270"/>
      <c r="G46" s="270"/>
      <c r="H46" s="258"/>
      <c r="I46" s="258"/>
      <c r="J46" s="258"/>
      <c r="K46" s="258"/>
    </row>
    <row r="47" spans="1:25" ht="20.25">
      <c r="A47" s="258"/>
      <c r="B47" s="258"/>
      <c r="C47" s="258"/>
      <c r="D47" s="258"/>
      <c r="E47" s="269"/>
      <c r="F47" s="270"/>
      <c r="G47" s="270"/>
      <c r="H47" s="258"/>
      <c r="I47" s="258"/>
      <c r="J47" s="258"/>
      <c r="K47" s="258"/>
    </row>
    <row r="48" spans="1:25" ht="20.25">
      <c r="A48" s="258"/>
      <c r="B48" s="258"/>
      <c r="C48" s="258"/>
      <c r="D48" s="258"/>
      <c r="E48" s="269"/>
      <c r="F48" s="270"/>
      <c r="G48" s="270"/>
      <c r="H48" s="258"/>
      <c r="I48" s="258"/>
      <c r="J48" s="258"/>
      <c r="K48" s="258"/>
    </row>
    <row r="49" spans="1:11" ht="20.25">
      <c r="A49" s="258"/>
      <c r="B49" s="258"/>
      <c r="C49" s="258"/>
      <c r="D49" s="258"/>
      <c r="E49" s="269"/>
      <c r="F49" s="270"/>
      <c r="G49" s="270"/>
      <c r="H49" s="258"/>
      <c r="I49" s="258"/>
      <c r="J49" s="258"/>
      <c r="K49" s="258"/>
    </row>
    <row r="50" spans="1:11" ht="20.25">
      <c r="A50" s="258"/>
      <c r="B50" s="258"/>
      <c r="C50" s="258"/>
      <c r="D50" s="258"/>
      <c r="E50" s="269"/>
      <c r="F50" s="270"/>
      <c r="G50" s="270"/>
      <c r="H50" s="258"/>
      <c r="I50" s="258"/>
      <c r="J50" s="258"/>
      <c r="K50" s="258"/>
    </row>
    <row r="51" spans="1:11" ht="20.25">
      <c r="A51" s="258"/>
      <c r="B51" s="258"/>
      <c r="C51" s="258"/>
      <c r="D51" s="258"/>
      <c r="E51" s="269"/>
      <c r="F51" s="270"/>
      <c r="G51" s="270"/>
      <c r="H51" s="258"/>
      <c r="I51" s="258"/>
      <c r="J51" s="258"/>
      <c r="K51" s="258"/>
    </row>
    <row r="52" spans="1:11" ht="20.25">
      <c r="A52" s="258"/>
      <c r="B52" s="258"/>
      <c r="C52" s="258"/>
      <c r="D52" s="258"/>
      <c r="E52" s="269"/>
      <c r="F52" s="270"/>
      <c r="G52" s="270"/>
      <c r="H52" s="258"/>
      <c r="I52" s="258"/>
      <c r="J52" s="258"/>
      <c r="K52" s="258"/>
    </row>
    <row r="53" spans="1:11" ht="20.25">
      <c r="A53" s="258"/>
      <c r="B53" s="258"/>
      <c r="C53" s="258"/>
      <c r="D53" s="258"/>
      <c r="E53" s="269"/>
      <c r="F53" s="270"/>
      <c r="G53" s="270"/>
      <c r="H53" s="258"/>
      <c r="I53" s="258"/>
      <c r="J53" s="258"/>
      <c r="K53" s="258"/>
    </row>
    <row r="54" spans="1:11" ht="20.25">
      <c r="A54" s="258"/>
      <c r="B54" s="258"/>
      <c r="C54" s="258"/>
      <c r="D54" s="258"/>
      <c r="E54" s="269"/>
      <c r="F54" s="270"/>
      <c r="G54" s="270"/>
      <c r="H54" s="258"/>
      <c r="I54" s="258"/>
      <c r="J54" s="258"/>
      <c r="K54" s="258"/>
    </row>
    <row r="55" spans="1:11" ht="20.25">
      <c r="A55" s="258"/>
      <c r="B55" s="258"/>
      <c r="C55" s="258"/>
      <c r="D55" s="258"/>
      <c r="E55" s="269"/>
      <c r="F55" s="270"/>
      <c r="G55" s="270"/>
      <c r="H55" s="258"/>
      <c r="I55" s="258"/>
      <c r="J55" s="258"/>
      <c r="K55" s="258"/>
    </row>
    <row r="56" spans="1:11" ht="20.25">
      <c r="A56" s="258"/>
      <c r="B56" s="258"/>
      <c r="C56" s="258"/>
      <c r="D56" s="258"/>
      <c r="E56" s="269"/>
      <c r="F56" s="270"/>
      <c r="G56" s="270"/>
      <c r="H56" s="258"/>
      <c r="I56" s="258"/>
      <c r="J56" s="258"/>
      <c r="K56" s="258"/>
    </row>
    <row r="57" spans="1:11" ht="20.25">
      <c r="A57" s="258"/>
      <c r="B57" s="258"/>
      <c r="C57" s="258"/>
      <c r="D57" s="258"/>
      <c r="E57" s="269"/>
      <c r="F57" s="270"/>
      <c r="G57" s="270"/>
      <c r="H57" s="258"/>
      <c r="I57" s="258"/>
      <c r="J57" s="258"/>
      <c r="K57" s="258"/>
    </row>
    <row r="58" spans="1:11" ht="20.25">
      <c r="A58" s="258"/>
      <c r="B58" s="258"/>
      <c r="C58" s="258"/>
      <c r="D58" s="258"/>
      <c r="E58" s="269"/>
      <c r="F58" s="270"/>
      <c r="G58" s="270"/>
      <c r="H58" s="258"/>
      <c r="I58" s="258"/>
      <c r="J58" s="258"/>
      <c r="K58" s="258"/>
    </row>
    <row r="59" spans="1:11" ht="20.25">
      <c r="A59" s="258"/>
      <c r="B59" s="258"/>
      <c r="C59" s="258"/>
      <c r="D59" s="258"/>
      <c r="E59" s="269"/>
      <c r="F59" s="270"/>
      <c r="G59" s="270"/>
      <c r="H59" s="258"/>
      <c r="I59" s="258"/>
      <c r="J59" s="258"/>
      <c r="K59" s="258"/>
    </row>
    <row r="60" spans="1:11" ht="20.25">
      <c r="A60" s="258"/>
      <c r="B60" s="258"/>
      <c r="C60" s="258"/>
      <c r="D60" s="258"/>
      <c r="E60" s="269"/>
      <c r="F60" s="270"/>
      <c r="G60" s="270"/>
      <c r="H60" s="258"/>
      <c r="I60" s="258"/>
      <c r="J60" s="258"/>
      <c r="K60" s="258"/>
    </row>
    <row r="61" spans="1:11" ht="20.25">
      <c r="A61" s="258"/>
      <c r="B61" s="258"/>
      <c r="C61" s="258"/>
      <c r="D61" s="258"/>
      <c r="E61" s="269"/>
      <c r="F61" s="270"/>
      <c r="G61" s="270"/>
      <c r="H61" s="258"/>
      <c r="I61" s="258"/>
      <c r="J61" s="258"/>
      <c r="K61" s="258"/>
    </row>
    <row r="62" spans="1:11" ht="20.25">
      <c r="A62" s="258"/>
      <c r="B62" s="258"/>
      <c r="C62" s="258"/>
      <c r="D62" s="258"/>
      <c r="E62" s="269"/>
      <c r="F62" s="270"/>
      <c r="G62" s="270"/>
      <c r="H62" s="258"/>
      <c r="I62" s="258"/>
      <c r="J62" s="258"/>
      <c r="K62" s="258"/>
    </row>
    <row r="63" spans="1:11" ht="20.25">
      <c r="A63" s="258"/>
      <c r="B63" s="258"/>
      <c r="C63" s="258"/>
      <c r="D63" s="258"/>
      <c r="E63" s="269"/>
      <c r="F63" s="270"/>
      <c r="G63" s="270"/>
      <c r="H63" s="258"/>
      <c r="I63" s="258"/>
      <c r="J63" s="258"/>
      <c r="K63" s="258"/>
    </row>
    <row r="64" spans="1:11" ht="20.25">
      <c r="A64" s="258"/>
      <c r="B64" s="258"/>
      <c r="C64" s="258"/>
      <c r="D64" s="258"/>
      <c r="E64" s="269"/>
      <c r="F64" s="270"/>
      <c r="G64" s="270"/>
      <c r="H64" s="258"/>
      <c r="I64" s="258"/>
      <c r="J64" s="258"/>
      <c r="K64" s="258"/>
    </row>
    <row r="65" spans="1:11" ht="20.25">
      <c r="A65" s="258"/>
      <c r="B65" s="258"/>
      <c r="C65" s="258"/>
      <c r="D65" s="258"/>
      <c r="E65" s="269"/>
      <c r="F65" s="270"/>
      <c r="G65" s="270"/>
      <c r="H65" s="258"/>
      <c r="I65" s="258"/>
      <c r="J65" s="258"/>
      <c r="K65" s="258"/>
    </row>
    <row r="66" spans="1:11" ht="20.25">
      <c r="A66" s="258"/>
      <c r="B66" s="258"/>
      <c r="C66" s="258"/>
      <c r="D66" s="258"/>
      <c r="E66" s="269"/>
      <c r="F66" s="270"/>
      <c r="G66" s="270"/>
      <c r="H66" s="258"/>
      <c r="I66" s="258"/>
      <c r="J66" s="258"/>
      <c r="K66" s="258"/>
    </row>
    <row r="67" spans="1:11" ht="20.25">
      <c r="A67" s="258"/>
      <c r="B67" s="258"/>
      <c r="C67" s="258"/>
      <c r="D67" s="258"/>
      <c r="E67" s="269"/>
      <c r="F67" s="270"/>
      <c r="G67" s="270"/>
      <c r="H67" s="258"/>
      <c r="I67" s="258"/>
      <c r="J67" s="258"/>
      <c r="K67" s="258"/>
    </row>
    <row r="68" spans="1:11" ht="20.25">
      <c r="A68" s="258"/>
      <c r="B68" s="258"/>
      <c r="C68" s="258"/>
      <c r="D68" s="258"/>
      <c r="E68" s="269"/>
      <c r="F68" s="270"/>
      <c r="G68" s="270"/>
      <c r="H68" s="258"/>
      <c r="I68" s="258"/>
      <c r="J68" s="258"/>
      <c r="K68" s="258"/>
    </row>
    <row r="69" spans="1:11" ht="20.25">
      <c r="A69" s="258"/>
      <c r="B69" s="258"/>
      <c r="C69" s="258"/>
      <c r="D69" s="258"/>
      <c r="E69" s="269"/>
      <c r="F69" s="270"/>
      <c r="G69" s="270"/>
      <c r="H69" s="258"/>
      <c r="I69" s="258"/>
      <c r="J69" s="258"/>
      <c r="K69" s="258"/>
    </row>
    <row r="70" spans="1:11" ht="20.25">
      <c r="A70" s="258"/>
      <c r="B70" s="258"/>
      <c r="C70" s="258"/>
      <c r="D70" s="258"/>
      <c r="E70" s="269"/>
      <c r="F70" s="270"/>
      <c r="G70" s="270"/>
      <c r="H70" s="258"/>
      <c r="I70" s="258"/>
      <c r="J70" s="258"/>
      <c r="K70" s="258"/>
    </row>
    <row r="71" spans="1:11" ht="20.25">
      <c r="A71" s="258"/>
      <c r="B71" s="258"/>
      <c r="C71" s="258"/>
      <c r="D71" s="258"/>
      <c r="E71" s="269"/>
      <c r="F71" s="270"/>
      <c r="G71" s="270"/>
      <c r="H71" s="258"/>
      <c r="I71" s="258"/>
      <c r="J71" s="258"/>
      <c r="K71" s="258"/>
    </row>
    <row r="72" spans="1:11" ht="20.25">
      <c r="A72" s="258"/>
      <c r="B72" s="258"/>
      <c r="C72" s="258"/>
      <c r="D72" s="258"/>
      <c r="E72" s="269"/>
      <c r="F72" s="270"/>
      <c r="G72" s="270"/>
      <c r="H72" s="258"/>
      <c r="I72" s="258"/>
      <c r="J72" s="258"/>
      <c r="K72" s="258"/>
    </row>
    <row r="73" spans="1:11" ht="20.25">
      <c r="A73" s="258"/>
      <c r="B73" s="258"/>
      <c r="C73" s="258"/>
      <c r="D73" s="258"/>
      <c r="E73" s="269"/>
      <c r="F73" s="270"/>
      <c r="G73" s="270"/>
      <c r="H73" s="258"/>
      <c r="I73" s="258"/>
      <c r="J73" s="258"/>
      <c r="K73" s="258"/>
    </row>
    <row r="74" spans="1:11" ht="20.25">
      <c r="A74" s="258"/>
      <c r="B74" s="258"/>
      <c r="C74" s="258"/>
      <c r="D74" s="258"/>
      <c r="E74" s="269"/>
      <c r="F74" s="270"/>
      <c r="G74" s="270"/>
      <c r="H74" s="258"/>
      <c r="I74" s="258"/>
      <c r="J74" s="258"/>
      <c r="K74" s="258"/>
    </row>
    <row r="75" spans="1:11" ht="20.25">
      <c r="A75" s="258"/>
      <c r="B75" s="258"/>
      <c r="C75" s="258"/>
      <c r="D75" s="258"/>
      <c r="E75" s="269"/>
      <c r="F75" s="270"/>
      <c r="G75" s="270"/>
      <c r="H75" s="258"/>
      <c r="I75" s="258"/>
      <c r="J75" s="258"/>
      <c r="K75" s="258"/>
    </row>
    <row r="76" spans="1:11" ht="20.25">
      <c r="A76" s="258"/>
      <c r="B76" s="258"/>
      <c r="C76" s="258"/>
      <c r="D76" s="258"/>
      <c r="E76" s="269"/>
      <c r="F76" s="270"/>
      <c r="G76" s="270"/>
      <c r="H76" s="258"/>
      <c r="I76" s="258"/>
      <c r="J76" s="258"/>
      <c r="K76" s="258"/>
    </row>
    <row r="77" spans="1:11" ht="20.25">
      <c r="A77" s="258"/>
      <c r="B77" s="258"/>
      <c r="C77" s="258"/>
      <c r="D77" s="258"/>
      <c r="E77" s="269"/>
      <c r="F77" s="270"/>
      <c r="G77" s="270"/>
      <c r="H77" s="258"/>
      <c r="I77" s="258"/>
      <c r="J77" s="258"/>
      <c r="K77" s="258"/>
    </row>
    <row r="78" spans="1:11" ht="20.25">
      <c r="A78" s="258"/>
      <c r="B78" s="258"/>
      <c r="C78" s="258"/>
      <c r="D78" s="258"/>
      <c r="E78" s="269"/>
      <c r="F78" s="270"/>
      <c r="G78" s="270"/>
      <c r="H78" s="258"/>
      <c r="I78" s="258"/>
      <c r="J78" s="258"/>
      <c r="K78" s="258"/>
    </row>
    <row r="79" spans="1:11" ht="20.25">
      <c r="A79" s="258"/>
      <c r="B79" s="258"/>
      <c r="C79" s="258"/>
      <c r="D79" s="258"/>
      <c r="E79" s="269"/>
      <c r="F79" s="270"/>
      <c r="G79" s="270"/>
      <c r="H79" s="258"/>
      <c r="I79" s="258"/>
      <c r="J79" s="258"/>
      <c r="K79" s="258"/>
    </row>
    <row r="80" spans="1:11" ht="20.25">
      <c r="A80" s="258"/>
      <c r="B80" s="258"/>
      <c r="C80" s="258"/>
      <c r="D80" s="258"/>
      <c r="E80" s="269"/>
      <c r="F80" s="270"/>
      <c r="G80" s="270"/>
      <c r="H80" s="258"/>
      <c r="I80" s="258"/>
      <c r="J80" s="258"/>
      <c r="K80" s="258"/>
    </row>
    <row r="81" spans="1:11" ht="20.25">
      <c r="A81" s="258"/>
      <c r="B81" s="258"/>
      <c r="C81" s="258"/>
      <c r="D81" s="258"/>
      <c r="E81" s="269"/>
      <c r="F81" s="270"/>
      <c r="G81" s="270"/>
      <c r="H81" s="258"/>
      <c r="I81" s="258"/>
      <c r="J81" s="258"/>
      <c r="K81" s="258"/>
    </row>
    <row r="82" spans="1:11" ht="20.25">
      <c r="A82" s="258"/>
      <c r="B82" s="258"/>
      <c r="C82" s="258"/>
      <c r="D82" s="258"/>
      <c r="E82" s="269"/>
      <c r="F82" s="270"/>
      <c r="G82" s="270"/>
      <c r="H82" s="258"/>
      <c r="I82" s="258"/>
      <c r="J82" s="258"/>
      <c r="K82" s="258"/>
    </row>
    <row r="83" spans="1:11" ht="20.25">
      <c r="A83" s="258"/>
      <c r="B83" s="258"/>
      <c r="C83" s="258"/>
      <c r="D83" s="258"/>
      <c r="E83" s="269"/>
      <c r="F83" s="270"/>
      <c r="G83" s="270"/>
      <c r="H83" s="258"/>
      <c r="I83" s="258"/>
      <c r="J83" s="258"/>
      <c r="K83" s="258"/>
    </row>
    <row r="84" spans="1:11" ht="20.25">
      <c r="A84" s="258"/>
      <c r="B84" s="258"/>
      <c r="C84" s="258"/>
      <c r="D84" s="258"/>
      <c r="E84" s="269"/>
      <c r="F84" s="270"/>
      <c r="G84" s="270"/>
      <c r="H84" s="258"/>
      <c r="I84" s="258"/>
      <c r="J84" s="258"/>
      <c r="K84" s="258"/>
    </row>
    <row r="85" spans="1:11" ht="20.25">
      <c r="A85" s="258"/>
      <c r="B85" s="258"/>
      <c r="C85" s="258"/>
      <c r="D85" s="258"/>
      <c r="E85" s="269"/>
      <c r="F85" s="270"/>
      <c r="G85" s="270"/>
      <c r="H85" s="258"/>
      <c r="I85" s="258"/>
      <c r="J85" s="258"/>
      <c r="K85" s="258"/>
    </row>
    <row r="86" spans="1:11" ht="20.25">
      <c r="A86" s="258"/>
      <c r="B86" s="258"/>
      <c r="C86" s="258"/>
      <c r="D86" s="258"/>
      <c r="E86" s="269"/>
      <c r="F86" s="270"/>
      <c r="G86" s="270"/>
      <c r="H86" s="258"/>
      <c r="I86" s="258"/>
      <c r="J86" s="258"/>
      <c r="K86" s="258"/>
    </row>
    <row r="87" spans="1:11" ht="20.25">
      <c r="A87" s="258"/>
      <c r="B87" s="258"/>
      <c r="C87" s="258"/>
      <c r="D87" s="258"/>
      <c r="E87" s="269"/>
      <c r="F87" s="270"/>
      <c r="G87" s="270"/>
      <c r="H87" s="258"/>
      <c r="I87" s="258"/>
      <c r="J87" s="258"/>
      <c r="K87" s="258"/>
    </row>
    <row r="88" spans="1:11" ht="20.25">
      <c r="A88" s="258"/>
      <c r="B88" s="258"/>
      <c r="C88" s="258"/>
      <c r="D88" s="258"/>
      <c r="E88" s="269"/>
      <c r="F88" s="270"/>
      <c r="G88" s="270"/>
      <c r="H88" s="258"/>
      <c r="I88" s="258"/>
      <c r="J88" s="258"/>
      <c r="K88" s="258"/>
    </row>
    <row r="89" spans="1:11" ht="20.25">
      <c r="A89" s="258"/>
      <c r="B89" s="258"/>
      <c r="C89" s="258"/>
      <c r="D89" s="258"/>
      <c r="E89" s="269"/>
      <c r="F89" s="270"/>
      <c r="G89" s="270"/>
      <c r="H89" s="258"/>
      <c r="I89" s="258"/>
      <c r="J89" s="258"/>
      <c r="K89" s="258"/>
    </row>
    <row r="90" spans="1:11" ht="20.25">
      <c r="A90" s="258"/>
      <c r="B90" s="258"/>
      <c r="C90" s="258"/>
      <c r="D90" s="258"/>
      <c r="E90" s="269"/>
      <c r="F90" s="270"/>
      <c r="G90" s="270"/>
      <c r="H90" s="258"/>
      <c r="I90" s="258"/>
      <c r="J90" s="258"/>
      <c r="K90" s="258"/>
    </row>
    <row r="91" spans="1:11" ht="20.25">
      <c r="A91" s="258"/>
      <c r="B91" s="258"/>
      <c r="C91" s="258"/>
      <c r="D91" s="258"/>
      <c r="E91" s="269"/>
      <c r="F91" s="270"/>
      <c r="G91" s="270"/>
      <c r="H91" s="258"/>
      <c r="I91" s="258"/>
      <c r="J91" s="258"/>
      <c r="K91" s="258"/>
    </row>
    <row r="92" spans="1:11" ht="20.25">
      <c r="A92" s="258"/>
      <c r="B92" s="258"/>
      <c r="C92" s="258"/>
      <c r="D92" s="258"/>
      <c r="E92" s="269"/>
      <c r="F92" s="270"/>
      <c r="G92" s="270"/>
      <c r="H92" s="258"/>
      <c r="I92" s="258"/>
      <c r="J92" s="258"/>
      <c r="K92" s="258"/>
    </row>
    <row r="93" spans="1:11" ht="20.25">
      <c r="A93" s="258"/>
      <c r="B93" s="258"/>
      <c r="C93" s="258"/>
      <c r="D93" s="258"/>
      <c r="E93" s="269"/>
      <c r="F93" s="270"/>
      <c r="G93" s="270"/>
      <c r="H93" s="258"/>
      <c r="I93" s="258"/>
      <c r="J93" s="258"/>
      <c r="K93" s="258"/>
    </row>
    <row r="94" spans="1:11" ht="20.25">
      <c r="A94" s="258"/>
      <c r="B94" s="258"/>
      <c r="C94" s="258"/>
      <c r="D94" s="258"/>
      <c r="E94" s="269"/>
      <c r="F94" s="270"/>
      <c r="G94" s="270"/>
      <c r="H94" s="258"/>
      <c r="I94" s="258"/>
      <c r="J94" s="258"/>
      <c r="K94" s="258"/>
    </row>
    <row r="95" spans="1:11" ht="20.25">
      <c r="A95" s="258"/>
      <c r="B95" s="258"/>
      <c r="C95" s="258"/>
      <c r="D95" s="258"/>
      <c r="E95" s="269"/>
      <c r="F95" s="270"/>
      <c r="G95" s="270"/>
      <c r="H95" s="258"/>
      <c r="I95" s="258"/>
      <c r="J95" s="258"/>
      <c r="K95" s="258"/>
    </row>
    <row r="96" spans="1:11" ht="20.25">
      <c r="A96" s="258"/>
      <c r="B96" s="258"/>
      <c r="C96" s="258"/>
      <c r="D96" s="258"/>
      <c r="E96" s="269"/>
      <c r="F96" s="270"/>
      <c r="G96" s="270"/>
      <c r="H96" s="258"/>
      <c r="I96" s="258"/>
      <c r="J96" s="258"/>
      <c r="K96" s="258"/>
    </row>
    <row r="97" spans="1:11" ht="20.25">
      <c r="A97" s="258"/>
      <c r="B97" s="258"/>
      <c r="C97" s="258"/>
      <c r="D97" s="258"/>
      <c r="E97" s="269"/>
      <c r="F97" s="270"/>
      <c r="G97" s="270"/>
      <c r="H97" s="258"/>
      <c r="I97" s="258"/>
      <c r="J97" s="258"/>
      <c r="K97" s="258"/>
    </row>
    <row r="98" spans="1:11" ht="20.25">
      <c r="A98" s="258"/>
      <c r="B98" s="258"/>
      <c r="C98" s="258"/>
      <c r="D98" s="258"/>
      <c r="E98" s="269"/>
      <c r="F98" s="270"/>
      <c r="G98" s="270"/>
      <c r="H98" s="258"/>
      <c r="I98" s="258"/>
      <c r="J98" s="258"/>
      <c r="K98" s="258"/>
    </row>
    <row r="99" spans="1:11" ht="20.25">
      <c r="A99" s="258"/>
      <c r="B99" s="258"/>
      <c r="C99" s="258"/>
      <c r="D99" s="258"/>
      <c r="E99" s="269"/>
      <c r="F99" s="270"/>
      <c r="G99" s="270"/>
      <c r="H99" s="258"/>
      <c r="I99" s="258"/>
      <c r="J99" s="258"/>
      <c r="K99" s="258"/>
    </row>
    <row r="100" spans="1:11" ht="20.25">
      <c r="A100" s="258"/>
      <c r="B100" s="258"/>
      <c r="C100" s="258"/>
      <c r="D100" s="258"/>
      <c r="E100" s="269"/>
      <c r="F100" s="270"/>
      <c r="G100" s="270"/>
      <c r="H100" s="258"/>
      <c r="I100" s="258"/>
      <c r="J100" s="258"/>
      <c r="K100" s="258"/>
    </row>
    <row r="101" spans="1:11" ht="20.25">
      <c r="A101" s="258"/>
      <c r="B101" s="258"/>
      <c r="C101" s="258"/>
      <c r="D101" s="258"/>
      <c r="E101" s="269"/>
      <c r="F101" s="270"/>
      <c r="G101" s="270"/>
      <c r="H101" s="258"/>
      <c r="I101" s="258"/>
      <c r="J101" s="258"/>
      <c r="K101" s="258"/>
    </row>
    <row r="102" spans="1:11" ht="20.25">
      <c r="A102" s="258"/>
      <c r="B102" s="258"/>
      <c r="C102" s="258"/>
      <c r="D102" s="258"/>
      <c r="E102" s="269"/>
      <c r="F102" s="272"/>
      <c r="G102" s="258"/>
      <c r="H102" s="258"/>
      <c r="I102" s="258"/>
      <c r="J102" s="258"/>
      <c r="K102" s="258"/>
    </row>
    <row r="103" spans="1:11" ht="20.25">
      <c r="A103" s="258"/>
      <c r="B103" s="258"/>
      <c r="C103" s="258"/>
      <c r="D103" s="258"/>
      <c r="E103" s="269"/>
      <c r="F103" s="272"/>
      <c r="G103" s="258"/>
      <c r="H103" s="258"/>
      <c r="I103" s="258"/>
      <c r="J103" s="258"/>
      <c r="K103" s="258"/>
    </row>
    <row r="104" spans="1:11" ht="20.25">
      <c r="A104" s="258"/>
      <c r="B104" s="258"/>
      <c r="C104" s="258"/>
      <c r="D104" s="258"/>
      <c r="E104" s="269"/>
      <c r="F104" s="272"/>
      <c r="G104" s="258"/>
      <c r="H104" s="258"/>
      <c r="I104" s="258"/>
      <c r="J104" s="258"/>
      <c r="K104" s="258"/>
    </row>
    <row r="105" spans="1:11" ht="20.25">
      <c r="A105" s="258"/>
      <c r="B105" s="258"/>
      <c r="C105" s="258"/>
      <c r="D105" s="258"/>
      <c r="E105" s="269"/>
      <c r="F105" s="272"/>
      <c r="G105" s="258"/>
      <c r="H105" s="258"/>
      <c r="I105" s="258"/>
      <c r="J105" s="258"/>
      <c r="K105" s="258"/>
    </row>
    <row r="106" spans="1:11" ht="20.25">
      <c r="A106" s="258"/>
      <c r="B106" s="258"/>
      <c r="C106" s="258"/>
      <c r="D106" s="258"/>
      <c r="E106" s="269"/>
      <c r="F106" s="272"/>
      <c r="G106" s="258"/>
      <c r="H106" s="258"/>
      <c r="I106" s="258"/>
      <c r="J106" s="258"/>
      <c r="K106" s="258"/>
    </row>
    <row r="107" spans="1:11" ht="20.25">
      <c r="A107" s="258"/>
      <c r="B107" s="258"/>
      <c r="C107" s="258"/>
      <c r="D107" s="258"/>
      <c r="E107" s="269"/>
      <c r="F107" s="272"/>
      <c r="G107" s="258"/>
      <c r="H107" s="258"/>
      <c r="I107" s="258"/>
      <c r="J107" s="258"/>
      <c r="K107" s="258"/>
    </row>
    <row r="108" spans="1:11" ht="20.25">
      <c r="A108" s="258"/>
      <c r="B108" s="258"/>
      <c r="C108" s="258"/>
      <c r="D108" s="258"/>
      <c r="E108" s="269"/>
      <c r="F108" s="272"/>
      <c r="G108" s="258"/>
      <c r="H108" s="258"/>
      <c r="I108" s="258"/>
      <c r="J108" s="258"/>
      <c r="K108" s="258"/>
    </row>
    <row r="109" spans="1:11" ht="20.25">
      <c r="A109" s="258"/>
      <c r="B109" s="258"/>
      <c r="C109" s="258"/>
      <c r="D109" s="258"/>
      <c r="E109" s="269"/>
      <c r="F109" s="272"/>
      <c r="G109" s="258"/>
      <c r="H109" s="258"/>
      <c r="I109" s="258"/>
      <c r="J109" s="258"/>
      <c r="K109" s="258"/>
    </row>
    <row r="110" spans="1:11" ht="20.25">
      <c r="A110" s="258"/>
      <c r="B110" s="258"/>
      <c r="C110" s="258"/>
      <c r="D110" s="258"/>
      <c r="E110" s="269"/>
      <c r="F110" s="272"/>
      <c r="G110" s="258"/>
      <c r="H110" s="258"/>
      <c r="I110" s="258"/>
      <c r="J110" s="258"/>
      <c r="K110" s="258"/>
    </row>
    <row r="111" spans="1:11" ht="20.25">
      <c r="A111" s="258"/>
      <c r="B111" s="258"/>
      <c r="C111" s="258"/>
      <c r="D111" s="258"/>
      <c r="E111" s="269"/>
      <c r="F111" s="272"/>
      <c r="G111" s="258"/>
      <c r="H111" s="258"/>
      <c r="I111" s="258"/>
      <c r="J111" s="258"/>
      <c r="K111" s="258"/>
    </row>
    <row r="112" spans="1:11" ht="20.25">
      <c r="A112" s="258"/>
      <c r="B112" s="258"/>
      <c r="C112" s="258"/>
      <c r="D112" s="258"/>
      <c r="E112" s="269"/>
      <c r="F112" s="272"/>
      <c r="G112" s="258"/>
      <c r="H112" s="258"/>
      <c r="I112" s="258"/>
      <c r="J112" s="258"/>
      <c r="K112" s="258"/>
    </row>
    <row r="113" spans="1:11" ht="20.25">
      <c r="A113" s="258"/>
      <c r="B113" s="258"/>
      <c r="C113" s="258"/>
      <c r="D113" s="258"/>
      <c r="E113" s="269"/>
      <c r="F113" s="272"/>
      <c r="G113" s="258"/>
      <c r="H113" s="258"/>
      <c r="I113" s="258"/>
      <c r="J113" s="258"/>
      <c r="K113" s="258"/>
    </row>
    <row r="114" spans="1:11" ht="20.25">
      <c r="A114" s="258"/>
      <c r="B114" s="258"/>
      <c r="C114" s="258"/>
      <c r="D114" s="258"/>
      <c r="E114" s="269"/>
      <c r="F114" s="272"/>
      <c r="G114" s="258"/>
      <c r="H114" s="258"/>
      <c r="I114" s="258"/>
      <c r="J114" s="258"/>
      <c r="K114" s="258"/>
    </row>
    <row r="115" spans="1:11" ht="20.25">
      <c r="A115" s="258"/>
      <c r="B115" s="258"/>
      <c r="C115" s="258"/>
      <c r="D115" s="258"/>
      <c r="E115" s="269"/>
      <c r="F115" s="272"/>
      <c r="G115" s="258"/>
      <c r="H115" s="258"/>
      <c r="I115" s="258"/>
      <c r="J115" s="258"/>
      <c r="K115" s="258"/>
    </row>
    <row r="116" spans="1:11" ht="20.25">
      <c r="A116" s="258"/>
      <c r="B116" s="258"/>
      <c r="C116" s="258"/>
      <c r="D116" s="258"/>
      <c r="E116" s="269"/>
      <c r="F116" s="272"/>
      <c r="G116" s="258"/>
      <c r="H116" s="258"/>
      <c r="I116" s="258"/>
      <c r="J116" s="258"/>
      <c r="K116" s="258"/>
    </row>
    <row r="117" spans="1:11" ht="20.25">
      <c r="A117" s="258"/>
      <c r="B117" s="258"/>
      <c r="C117" s="258"/>
      <c r="D117" s="258"/>
      <c r="E117" s="269"/>
      <c r="F117" s="272"/>
      <c r="G117" s="258"/>
      <c r="H117" s="258"/>
      <c r="I117" s="258"/>
      <c r="J117" s="258"/>
      <c r="K117" s="258"/>
    </row>
    <row r="118" spans="1:11" ht="20.25">
      <c r="A118" s="258"/>
      <c r="B118" s="258"/>
      <c r="C118" s="258"/>
      <c r="D118" s="258"/>
      <c r="E118" s="269"/>
      <c r="F118" s="272"/>
      <c r="G118" s="258"/>
      <c r="H118" s="258"/>
      <c r="I118" s="258"/>
      <c r="J118" s="258"/>
      <c r="K118" s="258"/>
    </row>
    <row r="119" spans="1:11" ht="20.25">
      <c r="A119" s="258"/>
      <c r="B119" s="258"/>
      <c r="C119" s="258"/>
      <c r="D119" s="258"/>
      <c r="E119" s="269"/>
      <c r="F119" s="272"/>
      <c r="G119" s="258"/>
      <c r="H119" s="258"/>
      <c r="I119" s="258"/>
      <c r="J119" s="258"/>
      <c r="K119" s="258"/>
    </row>
    <row r="120" spans="1:11" ht="20.25">
      <c r="A120" s="258"/>
      <c r="B120" s="258"/>
      <c r="C120" s="258"/>
      <c r="D120" s="258"/>
      <c r="E120" s="269"/>
      <c r="F120" s="272"/>
      <c r="G120" s="258"/>
      <c r="H120" s="258"/>
      <c r="I120" s="258"/>
      <c r="J120" s="258"/>
      <c r="K120" s="258"/>
    </row>
    <row r="121" spans="1:11" ht="20.25">
      <c r="A121" s="258"/>
      <c r="B121" s="258"/>
      <c r="C121" s="258"/>
      <c r="D121" s="258"/>
      <c r="E121" s="269"/>
      <c r="F121" s="272"/>
      <c r="G121" s="258"/>
      <c r="H121" s="258"/>
      <c r="I121" s="258"/>
      <c r="J121" s="258"/>
      <c r="K121" s="258"/>
    </row>
    <row r="122" spans="1:11" ht="20.25">
      <c r="A122" s="258"/>
      <c r="B122" s="258"/>
      <c r="C122" s="258"/>
      <c r="D122" s="258"/>
      <c r="E122" s="269"/>
      <c r="F122" s="272"/>
      <c r="G122" s="258"/>
      <c r="H122" s="258"/>
      <c r="I122" s="258"/>
      <c r="J122" s="258"/>
      <c r="K122" s="258"/>
    </row>
    <row r="123" spans="1:11" ht="20.25">
      <c r="A123" s="258"/>
      <c r="B123" s="258"/>
      <c r="C123" s="258"/>
      <c r="D123" s="258"/>
      <c r="E123" s="269"/>
      <c r="F123" s="272"/>
      <c r="G123" s="258"/>
      <c r="H123" s="258"/>
      <c r="I123" s="258"/>
      <c r="J123" s="258"/>
      <c r="K123" s="258"/>
    </row>
    <row r="124" spans="1:11" ht="20.25">
      <c r="A124" s="258"/>
      <c r="B124" s="258"/>
      <c r="C124" s="258"/>
      <c r="D124" s="258"/>
      <c r="E124" s="269"/>
      <c r="F124" s="272"/>
      <c r="G124" s="258"/>
      <c r="H124" s="258"/>
      <c r="I124" s="258"/>
      <c r="J124" s="258"/>
      <c r="K124" s="258"/>
    </row>
    <row r="125" spans="1:11" ht="20.25">
      <c r="A125" s="258"/>
      <c r="B125" s="258"/>
      <c r="C125" s="258"/>
      <c r="D125" s="258"/>
      <c r="E125" s="269"/>
      <c r="F125" s="272"/>
      <c r="G125" s="258"/>
      <c r="H125" s="258"/>
      <c r="I125" s="258"/>
      <c r="J125" s="258"/>
      <c r="K125" s="258"/>
    </row>
    <row r="126" spans="1:11" ht="20.25">
      <c r="A126" s="258"/>
      <c r="B126" s="258"/>
      <c r="C126" s="258"/>
      <c r="D126" s="258"/>
      <c r="E126" s="269"/>
      <c r="F126" s="272"/>
      <c r="G126" s="258"/>
      <c r="H126" s="258"/>
      <c r="I126" s="258"/>
      <c r="J126" s="258"/>
      <c r="K126" s="258"/>
    </row>
    <row r="127" spans="1:11" ht="20.25">
      <c r="A127" s="258"/>
      <c r="B127" s="258"/>
      <c r="C127" s="258"/>
      <c r="D127" s="258"/>
      <c r="E127" s="269"/>
      <c r="F127" s="272"/>
      <c r="G127" s="258"/>
      <c r="H127" s="258"/>
      <c r="I127" s="258"/>
      <c r="J127" s="258"/>
      <c r="K127" s="258"/>
    </row>
    <row r="128" spans="1:11" ht="20.25">
      <c r="A128" s="258"/>
      <c r="B128" s="258"/>
      <c r="C128" s="258"/>
      <c r="D128" s="258"/>
      <c r="E128" s="269"/>
      <c r="F128" s="272"/>
      <c r="G128" s="258"/>
      <c r="H128" s="258"/>
      <c r="I128" s="258"/>
      <c r="J128" s="258"/>
      <c r="K128" s="258"/>
    </row>
    <row r="129" spans="1:11" ht="20.25">
      <c r="A129" s="258"/>
      <c r="B129" s="258"/>
      <c r="C129" s="258"/>
      <c r="D129" s="258"/>
      <c r="E129" s="269"/>
      <c r="F129" s="272"/>
      <c r="G129" s="258"/>
      <c r="H129" s="258"/>
      <c r="I129" s="258"/>
      <c r="J129" s="258"/>
      <c r="K129" s="258"/>
    </row>
    <row r="130" spans="1:11" ht="20.25">
      <c r="A130" s="258"/>
      <c r="B130" s="258"/>
      <c r="C130" s="258"/>
      <c r="D130" s="258"/>
      <c r="E130" s="269"/>
      <c r="F130" s="272"/>
      <c r="G130" s="258"/>
      <c r="H130" s="258"/>
      <c r="I130" s="258"/>
      <c r="J130" s="258"/>
      <c r="K130" s="258"/>
    </row>
    <row r="131" spans="1:11" ht="20.25">
      <c r="A131" s="258"/>
      <c r="B131" s="258"/>
      <c r="C131" s="258"/>
      <c r="D131" s="258"/>
      <c r="E131" s="269"/>
      <c r="F131" s="272"/>
      <c r="G131" s="258"/>
      <c r="H131" s="258"/>
      <c r="I131" s="258"/>
      <c r="J131" s="258"/>
      <c r="K131" s="258"/>
    </row>
    <row r="132" spans="1:11" ht="20.25">
      <c r="A132" s="258"/>
      <c r="B132" s="258"/>
      <c r="C132" s="258"/>
      <c r="D132" s="258"/>
      <c r="E132" s="269"/>
      <c r="F132" s="272"/>
      <c r="G132" s="258"/>
      <c r="H132" s="258"/>
      <c r="I132" s="258"/>
      <c r="J132" s="258"/>
      <c r="K132" s="258"/>
    </row>
    <row r="133" spans="1:11" ht="20.25">
      <c r="A133" s="258"/>
      <c r="B133" s="258"/>
      <c r="C133" s="258"/>
      <c r="D133" s="258"/>
      <c r="E133" s="269"/>
      <c r="F133" s="272"/>
      <c r="G133" s="258"/>
      <c r="H133" s="258"/>
      <c r="I133" s="258"/>
      <c r="J133" s="258"/>
      <c r="K133" s="258"/>
    </row>
    <row r="134" spans="1:11" ht="20.25">
      <c r="A134" s="258"/>
      <c r="B134" s="258"/>
      <c r="C134" s="258"/>
      <c r="D134" s="258"/>
      <c r="E134" s="269"/>
      <c r="F134" s="272"/>
      <c r="G134" s="258"/>
      <c r="H134" s="258"/>
      <c r="I134" s="258"/>
      <c r="J134" s="258"/>
      <c r="K134" s="258"/>
    </row>
    <row r="135" spans="1:11" ht="20.25">
      <c r="A135" s="258"/>
      <c r="B135" s="258"/>
      <c r="C135" s="258"/>
      <c r="D135" s="258"/>
      <c r="E135" s="269"/>
      <c r="F135" s="272"/>
      <c r="G135" s="258"/>
      <c r="H135" s="258"/>
      <c r="I135" s="258"/>
      <c r="J135" s="258"/>
      <c r="K135" s="258"/>
    </row>
    <row r="136" spans="1:11" ht="20.25">
      <c r="A136" s="258"/>
      <c r="B136" s="258"/>
      <c r="C136" s="258"/>
      <c r="D136" s="258"/>
      <c r="E136" s="269"/>
      <c r="F136" s="272"/>
      <c r="G136" s="258"/>
      <c r="H136" s="258"/>
      <c r="I136" s="258"/>
      <c r="J136" s="258"/>
      <c r="K136" s="258"/>
    </row>
    <row r="137" spans="1:11" ht="20.25">
      <c r="A137" s="258"/>
      <c r="B137" s="258"/>
      <c r="C137" s="258"/>
      <c r="D137" s="258"/>
      <c r="E137" s="269"/>
      <c r="F137" s="272"/>
      <c r="G137" s="258"/>
      <c r="H137" s="258"/>
      <c r="I137" s="258"/>
      <c r="J137" s="258"/>
      <c r="K137" s="258"/>
    </row>
    <row r="138" spans="1:11" ht="20.25">
      <c r="A138" s="258"/>
      <c r="B138" s="258"/>
      <c r="C138" s="258"/>
      <c r="D138" s="258"/>
      <c r="E138" s="269"/>
      <c r="F138" s="272"/>
      <c r="G138" s="258"/>
      <c r="H138" s="258"/>
      <c r="I138" s="258"/>
      <c r="J138" s="258"/>
      <c r="K138" s="258"/>
    </row>
    <row r="139" spans="1:11" ht="20.25">
      <c r="A139" s="258"/>
      <c r="B139" s="258"/>
      <c r="C139" s="258"/>
      <c r="D139" s="258"/>
      <c r="E139" s="269"/>
      <c r="F139" s="272"/>
      <c r="G139" s="258"/>
      <c r="H139" s="258"/>
      <c r="I139" s="258"/>
      <c r="J139" s="258"/>
      <c r="K139" s="258"/>
    </row>
    <row r="140" spans="1:11" ht="20.25">
      <c r="A140" s="258"/>
      <c r="B140" s="258"/>
      <c r="C140" s="258"/>
      <c r="D140" s="258"/>
      <c r="E140" s="269"/>
      <c r="F140" s="272"/>
      <c r="G140" s="258"/>
      <c r="H140" s="258"/>
      <c r="I140" s="258"/>
      <c r="J140" s="258"/>
      <c r="K140" s="258"/>
    </row>
    <row r="141" spans="1:11" ht="20.25">
      <c r="A141" s="258"/>
      <c r="B141" s="258"/>
      <c r="C141" s="258"/>
      <c r="D141" s="258"/>
      <c r="E141" s="269"/>
      <c r="F141" s="272"/>
      <c r="G141" s="258"/>
      <c r="H141" s="258"/>
      <c r="I141" s="258"/>
      <c r="J141" s="258"/>
      <c r="K141" s="258"/>
    </row>
    <row r="142" spans="1:11" ht="20.25">
      <c r="A142" s="258"/>
      <c r="B142" s="258"/>
      <c r="C142" s="258"/>
      <c r="D142" s="258"/>
      <c r="E142" s="269"/>
      <c r="F142" s="272"/>
      <c r="G142" s="258"/>
      <c r="H142" s="258"/>
      <c r="I142" s="258"/>
      <c r="J142" s="258"/>
      <c r="K142" s="258"/>
    </row>
    <row r="143" spans="1:11" ht="20.25">
      <c r="A143" s="258"/>
      <c r="B143" s="258"/>
      <c r="C143" s="258"/>
      <c r="D143" s="258"/>
      <c r="E143" s="269"/>
      <c r="F143" s="272"/>
      <c r="G143" s="258"/>
      <c r="H143" s="258"/>
      <c r="I143" s="258"/>
      <c r="J143" s="258"/>
      <c r="K143" s="258"/>
    </row>
    <row r="144" spans="1:11" ht="20.25">
      <c r="A144" s="258"/>
      <c r="B144" s="258"/>
      <c r="C144" s="258"/>
      <c r="D144" s="258"/>
      <c r="E144" s="269"/>
      <c r="F144" s="272"/>
      <c r="G144" s="258"/>
      <c r="H144" s="258"/>
      <c r="I144" s="258"/>
      <c r="J144" s="258"/>
      <c r="K144" s="258"/>
    </row>
    <row r="145" spans="1:11" ht="20.25">
      <c r="A145" s="258"/>
      <c r="B145" s="258"/>
      <c r="C145" s="258"/>
      <c r="D145" s="258"/>
      <c r="E145" s="269"/>
      <c r="F145" s="272"/>
      <c r="G145" s="258"/>
      <c r="H145" s="258"/>
      <c r="I145" s="258"/>
      <c r="J145" s="258"/>
      <c r="K145" s="258"/>
    </row>
    <row r="146" spans="1:11" ht="20.25">
      <c r="A146" s="258"/>
      <c r="B146" s="258"/>
      <c r="C146" s="258"/>
      <c r="D146" s="258"/>
      <c r="E146" s="269"/>
      <c r="F146" s="272"/>
      <c r="G146" s="258"/>
      <c r="H146" s="258"/>
      <c r="I146" s="258"/>
      <c r="J146" s="258"/>
      <c r="K146" s="258"/>
    </row>
    <row r="147" spans="1:11" ht="20.25">
      <c r="A147" s="258"/>
      <c r="B147" s="258"/>
      <c r="C147" s="258"/>
      <c r="D147" s="258"/>
      <c r="E147" s="269"/>
      <c r="F147" s="272"/>
      <c r="G147" s="258"/>
      <c r="H147" s="258"/>
      <c r="I147" s="258"/>
      <c r="J147" s="258"/>
      <c r="K147" s="258"/>
    </row>
    <row r="148" spans="1:11" ht="20.25">
      <c r="A148" s="258"/>
      <c r="B148" s="258"/>
      <c r="C148" s="258"/>
      <c r="D148" s="258"/>
      <c r="E148" s="269"/>
      <c r="F148" s="272"/>
      <c r="G148" s="258"/>
      <c r="H148" s="258"/>
      <c r="I148" s="258"/>
      <c r="J148" s="258"/>
      <c r="K148" s="258"/>
    </row>
    <row r="149" spans="1:11" ht="20.25">
      <c r="A149" s="258"/>
      <c r="B149" s="258"/>
      <c r="C149" s="258"/>
      <c r="D149" s="258"/>
      <c r="E149" s="269"/>
      <c r="F149" s="272"/>
      <c r="G149" s="258"/>
      <c r="H149" s="258"/>
      <c r="I149" s="258"/>
      <c r="J149" s="258"/>
      <c r="K149" s="258"/>
    </row>
    <row r="150" spans="1:11" ht="20.25">
      <c r="A150" s="258"/>
      <c r="B150" s="258"/>
      <c r="C150" s="258"/>
      <c r="D150" s="258"/>
      <c r="E150" s="269"/>
      <c r="F150" s="272"/>
      <c r="G150" s="258"/>
      <c r="H150" s="258"/>
      <c r="I150" s="258"/>
      <c r="J150" s="258"/>
      <c r="K150" s="258"/>
    </row>
    <row r="151" spans="1:11" ht="20.25">
      <c r="A151" s="258"/>
      <c r="B151" s="258"/>
      <c r="C151" s="258"/>
      <c r="D151" s="258"/>
      <c r="E151" s="269"/>
      <c r="F151" s="272"/>
      <c r="G151" s="258"/>
      <c r="H151" s="258"/>
      <c r="I151" s="258"/>
      <c r="J151" s="258"/>
      <c r="K151" s="258"/>
    </row>
    <row r="152" spans="1:11" ht="20.25">
      <c r="A152" s="258"/>
      <c r="B152" s="258"/>
      <c r="C152" s="258"/>
      <c r="D152" s="258"/>
      <c r="E152" s="269"/>
      <c r="F152" s="272"/>
      <c r="G152" s="258"/>
      <c r="H152" s="258"/>
      <c r="I152" s="258"/>
      <c r="J152" s="258"/>
      <c r="K152" s="258"/>
    </row>
    <row r="153" spans="1:11" ht="20.25">
      <c r="A153" s="258"/>
      <c r="B153" s="258"/>
      <c r="C153" s="258"/>
      <c r="D153" s="258"/>
      <c r="E153" s="269"/>
      <c r="F153" s="272"/>
      <c r="G153" s="258"/>
      <c r="H153" s="258"/>
      <c r="I153" s="258"/>
      <c r="J153" s="258"/>
      <c r="K153" s="258"/>
    </row>
    <row r="154" spans="1:11" ht="20.25">
      <c r="A154" s="258"/>
      <c r="B154" s="258"/>
      <c r="C154" s="258"/>
      <c r="D154" s="258"/>
      <c r="E154" s="269"/>
      <c r="F154" s="272"/>
      <c r="G154" s="258"/>
      <c r="H154" s="258"/>
      <c r="I154" s="258"/>
      <c r="J154" s="258"/>
      <c r="K154" s="258"/>
    </row>
    <row r="155" spans="1:11" ht="20.25">
      <c r="A155" s="258"/>
      <c r="B155" s="258"/>
      <c r="C155" s="258"/>
      <c r="D155" s="258"/>
      <c r="E155" s="269"/>
      <c r="F155" s="272"/>
      <c r="G155" s="258"/>
      <c r="H155" s="258"/>
      <c r="I155" s="258"/>
      <c r="J155" s="258"/>
      <c r="K155" s="258"/>
    </row>
    <row r="156" spans="1:11" ht="20.25">
      <c r="A156" s="258"/>
      <c r="B156" s="258"/>
      <c r="C156" s="258"/>
      <c r="D156" s="258"/>
      <c r="E156" s="269"/>
      <c r="F156" s="272"/>
      <c r="G156" s="258"/>
      <c r="H156" s="258"/>
      <c r="I156" s="258"/>
      <c r="J156" s="258"/>
      <c r="K156" s="258"/>
    </row>
    <row r="157" spans="1:11" ht="20.25">
      <c r="A157" s="258"/>
      <c r="B157" s="258"/>
      <c r="C157" s="258"/>
      <c r="D157" s="258"/>
      <c r="E157" s="269"/>
      <c r="F157" s="272"/>
      <c r="G157" s="258"/>
      <c r="H157" s="258"/>
      <c r="I157" s="258"/>
      <c r="J157" s="258"/>
      <c r="K157" s="258"/>
    </row>
    <row r="158" spans="1:11" ht="20.25">
      <c r="A158" s="258"/>
      <c r="B158" s="258"/>
      <c r="C158" s="258"/>
      <c r="D158" s="258"/>
      <c r="E158" s="269"/>
      <c r="F158" s="272"/>
      <c r="G158" s="258"/>
      <c r="H158" s="258"/>
      <c r="I158" s="258"/>
      <c r="J158" s="258"/>
      <c r="K158" s="258"/>
    </row>
    <row r="159" spans="1:11" ht="20.25">
      <c r="A159" s="258"/>
      <c r="B159" s="258"/>
      <c r="C159" s="258"/>
      <c r="D159" s="258"/>
      <c r="E159" s="269"/>
      <c r="F159" s="272"/>
      <c r="G159" s="258"/>
      <c r="H159" s="258"/>
      <c r="I159" s="258"/>
      <c r="J159" s="258"/>
      <c r="K159" s="258"/>
    </row>
    <row r="160" spans="1:11" ht="20.25">
      <c r="A160" s="258"/>
      <c r="B160" s="258"/>
      <c r="C160" s="258"/>
      <c r="D160" s="258"/>
      <c r="E160" s="269"/>
      <c r="F160" s="272"/>
      <c r="G160" s="258"/>
      <c r="H160" s="258"/>
      <c r="I160" s="258"/>
      <c r="J160" s="258"/>
      <c r="K160" s="258"/>
    </row>
    <row r="161" spans="1:11" ht="20.25">
      <c r="A161" s="258"/>
      <c r="B161" s="258"/>
      <c r="C161" s="258"/>
      <c r="D161" s="258"/>
      <c r="E161" s="269"/>
      <c r="F161" s="272"/>
      <c r="G161" s="258"/>
      <c r="H161" s="258"/>
      <c r="I161" s="258"/>
      <c r="J161" s="258"/>
      <c r="K161" s="258"/>
    </row>
    <row r="162" spans="1:11" ht="20.25">
      <c r="A162" s="258"/>
      <c r="B162" s="258"/>
      <c r="C162" s="258"/>
      <c r="D162" s="258"/>
      <c r="E162" s="269"/>
      <c r="F162" s="272"/>
      <c r="G162" s="258"/>
      <c r="H162" s="258"/>
      <c r="I162" s="258"/>
      <c r="J162" s="258"/>
      <c r="K162" s="258"/>
    </row>
    <row r="163" spans="1:11" ht="20.25">
      <c r="A163" s="258"/>
      <c r="B163" s="258"/>
      <c r="C163" s="258"/>
      <c r="D163" s="258"/>
      <c r="E163" s="269"/>
      <c r="F163" s="272"/>
      <c r="G163" s="258"/>
      <c r="H163" s="258"/>
      <c r="I163" s="258"/>
      <c r="J163" s="258"/>
      <c r="K163" s="258"/>
    </row>
    <row r="164" spans="1:11" ht="20.25">
      <c r="A164" s="258"/>
      <c r="B164" s="258"/>
      <c r="C164" s="258"/>
      <c r="D164" s="258"/>
      <c r="E164" s="269"/>
      <c r="F164" s="272"/>
      <c r="G164" s="258"/>
      <c r="H164" s="258"/>
      <c r="I164" s="258"/>
      <c r="J164" s="258"/>
      <c r="K164" s="258"/>
    </row>
    <row r="165" spans="1:11" ht="20.25">
      <c r="A165" s="258"/>
      <c r="B165" s="258"/>
      <c r="C165" s="258"/>
      <c r="D165" s="258"/>
      <c r="E165" s="269"/>
      <c r="F165" s="272"/>
      <c r="G165" s="258"/>
      <c r="H165" s="258"/>
      <c r="I165" s="258"/>
      <c r="J165" s="258"/>
      <c r="K165" s="258"/>
    </row>
    <row r="166" spans="1:11" ht="20.25">
      <c r="A166" s="258"/>
      <c r="B166" s="258"/>
      <c r="C166" s="258"/>
      <c r="D166" s="258"/>
      <c r="E166" s="269"/>
      <c r="F166" s="272"/>
      <c r="G166" s="258"/>
      <c r="H166" s="258"/>
      <c r="I166" s="258"/>
      <c r="J166" s="258"/>
      <c r="K166" s="258"/>
    </row>
    <row r="167" spans="1:11" ht="20.25">
      <c r="A167" s="258"/>
      <c r="B167" s="258"/>
      <c r="C167" s="258"/>
      <c r="D167" s="258"/>
      <c r="E167" s="269"/>
      <c r="F167" s="272"/>
      <c r="G167" s="258"/>
      <c r="H167" s="258"/>
      <c r="I167" s="258"/>
      <c r="J167" s="258"/>
      <c r="K167" s="258"/>
    </row>
    <row r="168" spans="1:11" ht="20.25">
      <c r="A168" s="258"/>
      <c r="B168" s="258"/>
      <c r="C168" s="258"/>
      <c r="D168" s="258"/>
      <c r="E168" s="269"/>
      <c r="F168" s="272"/>
      <c r="G168" s="258"/>
      <c r="H168" s="258"/>
      <c r="I168" s="258"/>
      <c r="J168" s="258"/>
      <c r="K168" s="258"/>
    </row>
    <row r="169" spans="1:11" ht="20.25">
      <c r="A169" s="258"/>
      <c r="B169" s="258"/>
      <c r="C169" s="258"/>
      <c r="D169" s="258"/>
      <c r="E169" s="269"/>
      <c r="F169" s="272"/>
      <c r="G169" s="258"/>
      <c r="H169" s="258"/>
      <c r="I169" s="258"/>
      <c r="J169" s="258"/>
      <c r="K169" s="258"/>
    </row>
    <row r="170" spans="1:11" ht="20.25">
      <c r="A170" s="258"/>
      <c r="B170" s="258"/>
      <c r="C170" s="258"/>
      <c r="D170" s="258"/>
      <c r="E170" s="269"/>
      <c r="F170" s="272"/>
      <c r="G170" s="258"/>
      <c r="H170" s="258"/>
      <c r="I170" s="258"/>
      <c r="J170" s="258"/>
      <c r="K170" s="258"/>
    </row>
    <row r="171" spans="1:11" ht="20.25">
      <c r="A171" s="258"/>
      <c r="B171" s="258"/>
      <c r="C171" s="258"/>
      <c r="D171" s="258"/>
      <c r="E171" s="269"/>
      <c r="F171" s="272"/>
      <c r="G171" s="258"/>
      <c r="H171" s="258"/>
      <c r="I171" s="258"/>
      <c r="J171" s="258"/>
      <c r="K171" s="258"/>
    </row>
    <row r="172" spans="1:11" ht="20.25">
      <c r="A172" s="258"/>
      <c r="B172" s="258"/>
      <c r="C172" s="258"/>
      <c r="D172" s="258"/>
      <c r="E172" s="269"/>
      <c r="F172" s="272"/>
      <c r="G172" s="258"/>
      <c r="H172" s="258"/>
      <c r="I172" s="258"/>
      <c r="J172" s="258"/>
      <c r="K172" s="258"/>
    </row>
    <row r="173" spans="1:11" ht="20.25">
      <c r="A173" s="258"/>
      <c r="B173" s="258"/>
      <c r="C173" s="258"/>
      <c r="D173" s="258"/>
      <c r="E173" s="269"/>
      <c r="F173" s="272"/>
      <c r="G173" s="258"/>
      <c r="H173" s="258"/>
      <c r="I173" s="258"/>
      <c r="J173" s="258"/>
      <c r="K173" s="258"/>
    </row>
    <row r="174" spans="1:11" ht="20.25">
      <c r="A174" s="258"/>
      <c r="B174" s="258"/>
      <c r="C174" s="258"/>
      <c r="D174" s="258"/>
      <c r="E174" s="269"/>
      <c r="F174" s="272"/>
      <c r="G174" s="258"/>
      <c r="H174" s="258"/>
      <c r="I174" s="258"/>
      <c r="J174" s="258"/>
      <c r="K174" s="258"/>
    </row>
    <row r="175" spans="1:11" ht="20.25">
      <c r="A175" s="258"/>
      <c r="B175" s="258"/>
      <c r="C175" s="258"/>
      <c r="D175" s="258"/>
      <c r="E175" s="269"/>
      <c r="F175" s="272"/>
      <c r="G175" s="258"/>
      <c r="H175" s="258"/>
      <c r="I175" s="258"/>
      <c r="J175" s="258"/>
      <c r="K175" s="258"/>
    </row>
    <row r="176" spans="1:11" ht="20.25">
      <c r="A176" s="258"/>
      <c r="B176" s="258"/>
      <c r="C176" s="258"/>
      <c r="D176" s="258"/>
      <c r="E176" s="269"/>
      <c r="F176" s="272"/>
      <c r="G176" s="258"/>
      <c r="H176" s="258"/>
      <c r="I176" s="258"/>
      <c r="J176" s="258"/>
      <c r="K176" s="258"/>
    </row>
    <row r="177" spans="1:11" ht="20.25">
      <c r="A177" s="258"/>
      <c r="B177" s="258"/>
      <c r="C177" s="258"/>
      <c r="D177" s="258"/>
      <c r="E177" s="269"/>
      <c r="F177" s="272"/>
      <c r="G177" s="258"/>
      <c r="H177" s="258"/>
      <c r="I177" s="258"/>
      <c r="J177" s="258"/>
      <c r="K177" s="258"/>
    </row>
    <row r="178" spans="1:11" ht="20.25">
      <c r="A178" s="258"/>
      <c r="B178" s="258"/>
      <c r="C178" s="258"/>
      <c r="D178" s="258"/>
      <c r="E178" s="269"/>
      <c r="F178" s="272"/>
      <c r="G178" s="258"/>
      <c r="H178" s="258"/>
      <c r="I178" s="258"/>
      <c r="J178" s="258"/>
      <c r="K178" s="258"/>
    </row>
    <row r="179" spans="1:11" ht="20.25">
      <c r="A179" s="258"/>
      <c r="B179" s="258"/>
      <c r="C179" s="258"/>
      <c r="D179" s="258"/>
      <c r="E179" s="269"/>
      <c r="F179" s="272"/>
      <c r="G179" s="258"/>
      <c r="H179" s="258"/>
      <c r="I179" s="258"/>
      <c r="J179" s="258"/>
      <c r="K179" s="258"/>
    </row>
    <row r="180" spans="1:11" ht="20.25">
      <c r="A180" s="258"/>
      <c r="B180" s="258"/>
      <c r="C180" s="258"/>
      <c r="D180" s="258"/>
      <c r="E180" s="269"/>
      <c r="F180" s="272"/>
      <c r="G180" s="258"/>
      <c r="H180" s="258"/>
      <c r="I180" s="258"/>
      <c r="J180" s="258"/>
      <c r="K180" s="258"/>
    </row>
    <row r="181" spans="1:11" ht="20.25">
      <c r="A181" s="258"/>
      <c r="B181" s="258"/>
      <c r="C181" s="258"/>
      <c r="D181" s="258"/>
      <c r="E181" s="269"/>
      <c r="F181" s="272"/>
      <c r="G181" s="258"/>
      <c r="H181" s="258"/>
      <c r="I181" s="258"/>
      <c r="J181" s="258"/>
      <c r="K181" s="258"/>
    </row>
    <row r="182" spans="1:11" ht="20.25">
      <c r="A182" s="258"/>
      <c r="B182" s="258"/>
      <c r="C182" s="258"/>
      <c r="D182" s="258"/>
      <c r="E182" s="269"/>
      <c r="F182" s="272"/>
      <c r="G182" s="258"/>
      <c r="H182" s="258"/>
      <c r="I182" s="258"/>
      <c r="J182" s="258"/>
      <c r="K182" s="258"/>
    </row>
    <row r="183" spans="1:11" ht="20.25">
      <c r="A183" s="258"/>
      <c r="B183" s="258"/>
      <c r="C183" s="258"/>
      <c r="D183" s="258"/>
      <c r="E183" s="269"/>
      <c r="F183" s="272"/>
      <c r="G183" s="258"/>
      <c r="H183" s="258"/>
      <c r="I183" s="258"/>
      <c r="J183" s="258"/>
      <c r="K183" s="258"/>
    </row>
    <row r="184" spans="1:11" ht="20.25">
      <c r="A184" s="258"/>
      <c r="B184" s="258"/>
      <c r="C184" s="258"/>
      <c r="D184" s="258"/>
      <c r="E184" s="269"/>
      <c r="F184" s="272"/>
      <c r="G184" s="258"/>
      <c r="H184" s="258"/>
      <c r="I184" s="258"/>
      <c r="J184" s="258"/>
      <c r="K184" s="258"/>
    </row>
    <row r="185" spans="1:11" ht="20.25">
      <c r="A185" s="258"/>
      <c r="B185" s="258"/>
      <c r="C185" s="258"/>
      <c r="D185" s="258"/>
      <c r="E185" s="269"/>
      <c r="F185" s="272"/>
      <c r="G185" s="258"/>
      <c r="H185" s="258"/>
      <c r="I185" s="258"/>
      <c r="J185" s="258"/>
      <c r="K185" s="258"/>
    </row>
    <row r="186" spans="1:11" ht="20.25">
      <c r="A186" s="258"/>
      <c r="B186" s="258"/>
      <c r="C186" s="258"/>
      <c r="D186" s="258"/>
      <c r="E186" s="269"/>
      <c r="F186" s="272"/>
      <c r="G186" s="258"/>
      <c r="H186" s="258"/>
      <c r="I186" s="258"/>
      <c r="J186" s="258"/>
      <c r="K186" s="258"/>
    </row>
    <row r="187" spans="1:11" ht="20.25">
      <c r="A187" s="258"/>
      <c r="B187" s="258"/>
      <c r="C187" s="258"/>
      <c r="D187" s="258"/>
      <c r="E187" s="269"/>
      <c r="F187" s="272"/>
      <c r="G187" s="258"/>
      <c r="H187" s="258"/>
      <c r="I187" s="258"/>
      <c r="J187" s="258"/>
      <c r="K187" s="258"/>
    </row>
    <row r="188" spans="1:11" ht="20.25">
      <c r="A188" s="258"/>
      <c r="B188" s="258"/>
      <c r="C188" s="258"/>
      <c r="D188" s="258"/>
      <c r="E188" s="269"/>
      <c r="F188" s="272"/>
      <c r="G188" s="258"/>
      <c r="H188" s="258"/>
      <c r="I188" s="258"/>
      <c r="J188" s="258"/>
      <c r="K188" s="258"/>
    </row>
    <row r="189" spans="1:11" ht="20.25">
      <c r="A189" s="258"/>
      <c r="B189" s="258"/>
      <c r="C189" s="258"/>
      <c r="D189" s="258"/>
      <c r="E189" s="269"/>
      <c r="F189" s="272"/>
      <c r="G189" s="258"/>
      <c r="H189" s="258"/>
      <c r="I189" s="258"/>
      <c r="J189" s="258"/>
      <c r="K189" s="258"/>
    </row>
    <row r="190" spans="1:11" ht="20.25">
      <c r="A190" s="258"/>
      <c r="B190" s="258"/>
      <c r="C190" s="258"/>
      <c r="D190" s="258"/>
      <c r="E190" s="269"/>
      <c r="F190" s="272"/>
      <c r="G190" s="258"/>
      <c r="H190" s="258"/>
      <c r="I190" s="258"/>
      <c r="J190" s="258"/>
      <c r="K190" s="258"/>
    </row>
    <row r="191" spans="1:11" ht="20.25">
      <c r="A191" s="258"/>
      <c r="B191" s="258"/>
      <c r="C191" s="258"/>
      <c r="D191" s="258"/>
      <c r="E191" s="269"/>
      <c r="F191" s="272"/>
      <c r="G191" s="258"/>
      <c r="H191" s="258"/>
      <c r="I191" s="258"/>
      <c r="J191" s="258"/>
      <c r="K191" s="258"/>
    </row>
    <row r="192" spans="1:11" ht="20.25">
      <c r="A192" s="258"/>
      <c r="B192" s="258"/>
      <c r="C192" s="258"/>
      <c r="D192" s="258"/>
      <c r="E192" s="269"/>
      <c r="F192" s="272"/>
      <c r="G192" s="258"/>
      <c r="H192" s="258"/>
      <c r="I192" s="258"/>
      <c r="J192" s="258"/>
      <c r="K192" s="258"/>
    </row>
    <row r="193" spans="1:11" ht="20.25">
      <c r="A193" s="258"/>
      <c r="B193" s="258"/>
      <c r="C193" s="258"/>
      <c r="D193" s="258"/>
      <c r="E193" s="269"/>
      <c r="F193" s="272"/>
      <c r="G193" s="258"/>
      <c r="H193" s="258"/>
      <c r="I193" s="258"/>
      <c r="J193" s="258"/>
      <c r="K193" s="258"/>
    </row>
    <row r="194" spans="1:11" ht="20.25">
      <c r="A194" s="258"/>
      <c r="B194" s="258"/>
      <c r="C194" s="258"/>
      <c r="D194" s="258"/>
      <c r="E194" s="269"/>
      <c r="F194" s="272"/>
      <c r="G194" s="258"/>
      <c r="H194" s="258"/>
      <c r="I194" s="258"/>
      <c r="J194" s="258"/>
      <c r="K194" s="258"/>
    </row>
    <row r="195" spans="1:11" ht="20.25">
      <c r="A195" s="258"/>
      <c r="B195" s="258"/>
      <c r="C195" s="258"/>
      <c r="D195" s="258"/>
      <c r="E195" s="269"/>
      <c r="F195" s="272"/>
      <c r="G195" s="258"/>
      <c r="H195" s="258"/>
      <c r="I195" s="258"/>
      <c r="J195" s="258"/>
      <c r="K195" s="258"/>
    </row>
    <row r="196" spans="1:11" ht="20.25">
      <c r="A196" s="258"/>
      <c r="B196" s="258"/>
      <c r="C196" s="258"/>
      <c r="D196" s="258"/>
      <c r="E196" s="269"/>
      <c r="F196" s="272"/>
      <c r="G196" s="258"/>
      <c r="H196" s="258"/>
      <c r="I196" s="258"/>
      <c r="J196" s="258"/>
      <c r="K196" s="258"/>
    </row>
    <row r="197" spans="1:11" ht="20.25">
      <c r="A197" s="258"/>
      <c r="B197" s="258"/>
      <c r="C197" s="258"/>
      <c r="D197" s="258"/>
      <c r="E197" s="269"/>
      <c r="F197" s="272"/>
      <c r="G197" s="258"/>
      <c r="H197" s="258"/>
      <c r="I197" s="258"/>
      <c r="J197" s="258"/>
      <c r="K197" s="258"/>
    </row>
    <row r="198" spans="1:11" ht="20.25">
      <c r="A198" s="258"/>
      <c r="B198" s="258"/>
      <c r="C198" s="258"/>
      <c r="D198" s="258"/>
      <c r="E198" s="269"/>
      <c r="F198" s="272"/>
      <c r="G198" s="258"/>
      <c r="H198" s="258"/>
      <c r="I198" s="258"/>
      <c r="J198" s="258"/>
      <c r="K198" s="258"/>
    </row>
    <row r="199" spans="1:11" ht="20.25">
      <c r="A199" s="258"/>
      <c r="B199" s="258"/>
      <c r="C199" s="258"/>
      <c r="D199" s="258"/>
      <c r="E199" s="269"/>
      <c r="F199" s="272"/>
      <c r="G199" s="258"/>
      <c r="H199" s="258"/>
      <c r="I199" s="258"/>
      <c r="J199" s="258"/>
      <c r="K199" s="258"/>
    </row>
    <row r="200" spans="1:11" ht="20.25">
      <c r="A200" s="258"/>
      <c r="B200" s="258"/>
      <c r="C200" s="258"/>
      <c r="D200" s="258"/>
      <c r="E200" s="269"/>
      <c r="F200" s="272"/>
      <c r="G200" s="258"/>
      <c r="H200" s="258"/>
      <c r="I200" s="258"/>
      <c r="J200" s="258"/>
      <c r="K200" s="258"/>
    </row>
    <row r="201" spans="1:11" ht="20.25">
      <c r="A201" s="258"/>
      <c r="B201" s="258"/>
      <c r="C201" s="258"/>
      <c r="D201" s="258"/>
      <c r="E201" s="269"/>
      <c r="F201" s="272"/>
      <c r="G201" s="258"/>
      <c r="H201" s="258"/>
      <c r="I201" s="258"/>
      <c r="J201" s="258"/>
      <c r="K201" s="258"/>
    </row>
    <row r="202" spans="1:11" ht="20.25">
      <c r="A202" s="258"/>
      <c r="B202" s="258"/>
      <c r="C202" s="258"/>
      <c r="D202" s="258"/>
      <c r="E202" s="269"/>
      <c r="F202" s="272"/>
      <c r="G202" s="258"/>
      <c r="H202" s="258"/>
      <c r="I202" s="258"/>
      <c r="J202" s="258"/>
      <c r="K202" s="258"/>
    </row>
    <row r="203" spans="1:11" ht="20.25">
      <c r="A203" s="258"/>
      <c r="B203" s="258"/>
      <c r="C203" s="258"/>
      <c r="D203" s="258"/>
      <c r="E203" s="269"/>
      <c r="F203" s="272"/>
      <c r="G203" s="258"/>
      <c r="H203" s="258"/>
      <c r="I203" s="258"/>
      <c r="J203" s="258"/>
      <c r="K203" s="258"/>
    </row>
    <row r="204" spans="1:11" ht="20.25">
      <c r="A204" s="258"/>
      <c r="B204" s="258"/>
      <c r="C204" s="258"/>
      <c r="D204" s="258"/>
      <c r="E204" s="269"/>
      <c r="F204" s="272"/>
      <c r="G204" s="258"/>
      <c r="H204" s="258"/>
      <c r="I204" s="258"/>
      <c r="J204" s="258"/>
      <c r="K204" s="258"/>
    </row>
    <row r="205" spans="1:11" ht="20.25">
      <c r="A205" s="258"/>
      <c r="B205" s="258"/>
      <c r="C205" s="258"/>
      <c r="D205" s="258"/>
      <c r="E205" s="269"/>
      <c r="F205" s="272"/>
      <c r="G205" s="258"/>
      <c r="H205" s="258"/>
      <c r="I205" s="258"/>
      <c r="J205" s="258"/>
      <c r="K205" s="258"/>
    </row>
    <row r="206" spans="1:11" ht="20.25">
      <c r="A206" s="258"/>
      <c r="B206" s="258"/>
      <c r="C206" s="258"/>
      <c r="D206" s="258"/>
      <c r="E206" s="269"/>
      <c r="F206" s="272"/>
      <c r="G206" s="258"/>
      <c r="H206" s="258"/>
      <c r="I206" s="258"/>
      <c r="J206" s="258"/>
      <c r="K206" s="258"/>
    </row>
    <row r="207" spans="1:11" ht="20.25">
      <c r="A207" s="258"/>
      <c r="B207" s="258"/>
      <c r="C207" s="258"/>
      <c r="D207" s="258"/>
      <c r="E207" s="269"/>
      <c r="F207" s="272"/>
      <c r="G207" s="258"/>
      <c r="H207" s="258"/>
      <c r="I207" s="258"/>
      <c r="J207" s="258"/>
      <c r="K207" s="258"/>
    </row>
    <row r="208" spans="1:11" ht="20.25">
      <c r="A208" s="258"/>
      <c r="B208" s="258"/>
      <c r="C208" s="258"/>
      <c r="D208" s="258"/>
      <c r="E208" s="269"/>
      <c r="F208" s="272"/>
      <c r="G208" s="258"/>
      <c r="H208" s="258"/>
      <c r="I208" s="258"/>
      <c r="J208" s="258"/>
      <c r="K208" s="258"/>
    </row>
    <row r="209" spans="1:11" ht="20.25">
      <c r="A209" s="258"/>
      <c r="B209" s="258"/>
      <c r="C209" s="258"/>
      <c r="D209" s="258"/>
      <c r="E209" s="269"/>
      <c r="F209" s="272"/>
      <c r="G209" s="258"/>
      <c r="H209" s="258"/>
      <c r="I209" s="258"/>
      <c r="J209" s="258"/>
      <c r="K209" s="258"/>
    </row>
    <row r="210" spans="1:11" ht="20.25">
      <c r="A210" s="258"/>
      <c r="B210" s="258"/>
      <c r="C210" s="258"/>
      <c r="D210" s="258"/>
      <c r="E210" s="269"/>
      <c r="F210" s="272"/>
      <c r="G210" s="258"/>
      <c r="H210" s="258"/>
      <c r="I210" s="258"/>
      <c r="J210" s="258"/>
      <c r="K210" s="258"/>
    </row>
    <row r="211" spans="1:11" ht="20.25">
      <c r="A211" s="258"/>
      <c r="B211" s="258"/>
      <c r="C211" s="258"/>
      <c r="D211" s="258"/>
      <c r="E211" s="269"/>
      <c r="F211" s="272"/>
      <c r="G211" s="258"/>
      <c r="H211" s="258"/>
      <c r="I211" s="258"/>
      <c r="J211" s="258"/>
      <c r="K211" s="258"/>
    </row>
    <row r="212" spans="1:11" ht="20.25">
      <c r="A212" s="258"/>
      <c r="B212" s="258"/>
      <c r="C212" s="258"/>
      <c r="D212" s="258"/>
      <c r="E212" s="269"/>
      <c r="F212" s="272"/>
      <c r="G212" s="258"/>
      <c r="H212" s="258"/>
      <c r="I212" s="258"/>
      <c r="J212" s="258"/>
      <c r="K212" s="258"/>
    </row>
    <row r="213" spans="1:11" ht="20.25">
      <c r="A213" s="258"/>
      <c r="B213" s="258"/>
      <c r="C213" s="258"/>
      <c r="D213" s="258"/>
      <c r="E213" s="269"/>
      <c r="F213" s="272"/>
      <c r="G213" s="258"/>
      <c r="H213" s="258"/>
      <c r="I213" s="258"/>
      <c r="J213" s="258"/>
      <c r="K213" s="258"/>
    </row>
    <row r="214" spans="1:11" ht="20.25">
      <c r="A214" s="258"/>
      <c r="B214" s="258"/>
      <c r="C214" s="258"/>
      <c r="D214" s="258"/>
      <c r="E214" s="269"/>
      <c r="F214" s="272"/>
      <c r="G214" s="258"/>
      <c r="H214" s="258"/>
      <c r="I214" s="258"/>
      <c r="J214" s="258"/>
      <c r="K214" s="258"/>
    </row>
    <row r="215" spans="1:11" ht="20.25">
      <c r="A215" s="258"/>
      <c r="B215" s="258"/>
      <c r="C215" s="258"/>
      <c r="D215" s="258"/>
      <c r="E215" s="269"/>
      <c r="F215" s="272"/>
      <c r="G215" s="258"/>
      <c r="H215" s="258"/>
      <c r="I215" s="258"/>
      <c r="J215" s="258"/>
      <c r="K215" s="258"/>
    </row>
    <row r="216" spans="1:11" ht="20.25">
      <c r="A216" s="258"/>
      <c r="B216" s="258"/>
      <c r="C216" s="258"/>
      <c r="D216" s="258"/>
      <c r="E216" s="269"/>
      <c r="F216" s="272"/>
      <c r="G216" s="258"/>
      <c r="H216" s="258"/>
      <c r="I216" s="258"/>
      <c r="J216" s="258"/>
      <c r="K216" s="258"/>
    </row>
    <row r="217" spans="1:11" ht="20.25">
      <c r="A217" s="258"/>
      <c r="B217" s="258"/>
      <c r="C217" s="258"/>
      <c r="D217" s="258"/>
      <c r="E217" s="269"/>
      <c r="F217" s="272"/>
      <c r="G217" s="258"/>
      <c r="H217" s="258"/>
      <c r="I217" s="258"/>
      <c r="J217" s="258"/>
      <c r="K217" s="258"/>
    </row>
    <row r="218" spans="1:11" ht="20.25">
      <c r="A218" s="258"/>
      <c r="B218" s="258"/>
      <c r="C218" s="258"/>
      <c r="D218" s="258"/>
      <c r="E218" s="269"/>
      <c r="F218" s="272"/>
      <c r="G218" s="258"/>
      <c r="H218" s="258"/>
      <c r="I218" s="258"/>
      <c r="J218" s="258"/>
      <c r="K218" s="258"/>
    </row>
    <row r="219" spans="1:11" ht="20.25">
      <c r="A219" s="258"/>
      <c r="B219" s="258"/>
      <c r="C219" s="258"/>
      <c r="D219" s="258"/>
      <c r="E219" s="269"/>
      <c r="F219" s="272"/>
      <c r="G219" s="258"/>
      <c r="H219" s="258"/>
      <c r="I219" s="258"/>
      <c r="J219" s="258"/>
      <c r="K219" s="258"/>
    </row>
    <row r="220" spans="1:11" ht="20.25">
      <c r="A220" s="258"/>
      <c r="B220" s="258"/>
      <c r="C220" s="258"/>
      <c r="D220" s="258"/>
      <c r="E220" s="269"/>
      <c r="F220" s="272"/>
      <c r="G220" s="258"/>
      <c r="H220" s="258"/>
      <c r="I220" s="258"/>
      <c r="J220" s="258"/>
      <c r="K220" s="258"/>
    </row>
    <row r="221" spans="1:11" ht="20.25">
      <c r="A221" s="258"/>
      <c r="B221" s="258"/>
      <c r="C221" s="258"/>
      <c r="D221" s="258"/>
      <c r="E221" s="269"/>
      <c r="F221" s="272"/>
      <c r="G221" s="258"/>
      <c r="H221" s="258"/>
      <c r="I221" s="258"/>
      <c r="J221" s="258"/>
      <c r="K221" s="258"/>
    </row>
    <row r="222" spans="1:11" ht="20.25">
      <c r="A222" s="258"/>
      <c r="B222" s="258"/>
      <c r="C222" s="258"/>
      <c r="D222" s="258"/>
      <c r="E222" s="269"/>
      <c r="F222" s="272"/>
      <c r="G222" s="258"/>
      <c r="H222" s="258"/>
      <c r="I222" s="258"/>
      <c r="J222" s="258"/>
      <c r="K222" s="258"/>
    </row>
    <row r="223" spans="1:11" ht="20.25">
      <c r="A223" s="258"/>
      <c r="B223" s="258"/>
      <c r="C223" s="258"/>
      <c r="D223" s="258"/>
      <c r="E223" s="269"/>
      <c r="F223" s="272"/>
      <c r="G223" s="258"/>
      <c r="H223" s="258"/>
      <c r="I223" s="258"/>
      <c r="J223" s="258"/>
      <c r="K223" s="258"/>
    </row>
    <row r="224" spans="1:11" ht="20.25">
      <c r="A224" s="258"/>
      <c r="B224" s="258"/>
      <c r="C224" s="258"/>
      <c r="D224" s="258"/>
      <c r="E224" s="269"/>
      <c r="F224" s="272"/>
      <c r="G224" s="258"/>
      <c r="H224" s="258"/>
      <c r="I224" s="258"/>
      <c r="J224" s="258"/>
      <c r="K224" s="258"/>
    </row>
    <row r="225" spans="1:11" ht="20.25">
      <c r="A225" s="258"/>
      <c r="B225" s="258"/>
      <c r="C225" s="258"/>
      <c r="D225" s="258"/>
      <c r="E225" s="269"/>
      <c r="F225" s="272"/>
      <c r="G225" s="258"/>
      <c r="H225" s="258"/>
      <c r="I225" s="258"/>
      <c r="J225" s="258"/>
      <c r="K225" s="258"/>
    </row>
    <row r="226" spans="1:11" ht="20.25">
      <c r="A226" s="258"/>
      <c r="B226" s="258"/>
      <c r="C226" s="258"/>
      <c r="D226" s="258"/>
      <c r="E226" s="269"/>
      <c r="F226" s="272"/>
      <c r="G226" s="258"/>
      <c r="H226" s="258"/>
      <c r="I226" s="258"/>
      <c r="J226" s="258"/>
      <c r="K226" s="258"/>
    </row>
    <row r="227" spans="1:11" ht="20.25">
      <c r="A227" s="258"/>
      <c r="B227" s="258"/>
      <c r="C227" s="258"/>
      <c r="D227" s="258"/>
      <c r="E227" s="269"/>
      <c r="F227" s="272"/>
      <c r="G227" s="258"/>
      <c r="H227" s="258"/>
      <c r="I227" s="258"/>
      <c r="J227" s="258"/>
      <c r="K227" s="258"/>
    </row>
    <row r="228" spans="1:11" ht="20.25">
      <c r="A228" s="258"/>
      <c r="B228" s="258"/>
      <c r="C228" s="258"/>
      <c r="D228" s="258"/>
      <c r="E228" s="269"/>
      <c r="F228" s="272"/>
      <c r="G228" s="258"/>
      <c r="H228" s="258"/>
      <c r="I228" s="258"/>
      <c r="J228" s="258"/>
      <c r="K228" s="258"/>
    </row>
    <row r="229" spans="1:11" ht="20.25">
      <c r="A229" s="258"/>
      <c r="B229" s="258"/>
      <c r="C229" s="258"/>
      <c r="D229" s="258"/>
      <c r="E229" s="269"/>
      <c r="F229" s="272"/>
      <c r="G229" s="258"/>
      <c r="H229" s="258"/>
      <c r="I229" s="258"/>
      <c r="J229" s="258"/>
      <c r="K229" s="258"/>
    </row>
    <row r="230" spans="1:11" ht="20.25">
      <c r="A230" s="258"/>
      <c r="B230" s="258"/>
      <c r="C230" s="258"/>
      <c r="D230" s="258"/>
      <c r="E230" s="269"/>
      <c r="F230" s="272"/>
      <c r="G230" s="258"/>
      <c r="H230" s="258"/>
      <c r="I230" s="258"/>
      <c r="J230" s="258"/>
      <c r="K230" s="258"/>
    </row>
    <row r="231" spans="1:11" ht="20.25">
      <c r="A231" s="258"/>
      <c r="B231" s="258"/>
      <c r="C231" s="258"/>
      <c r="D231" s="258"/>
      <c r="E231" s="269"/>
      <c r="F231" s="272"/>
      <c r="G231" s="258"/>
      <c r="H231" s="258"/>
      <c r="I231" s="258"/>
      <c r="J231" s="258"/>
      <c r="K231" s="258"/>
    </row>
    <row r="232" spans="1:11" ht="20.25">
      <c r="A232" s="258"/>
      <c r="B232" s="258"/>
      <c r="C232" s="258"/>
      <c r="D232" s="258"/>
      <c r="E232" s="269"/>
      <c r="F232" s="272"/>
      <c r="G232" s="258"/>
      <c r="H232" s="258"/>
      <c r="I232" s="258"/>
      <c r="J232" s="258"/>
      <c r="K232" s="258"/>
    </row>
    <row r="233" spans="1:11" ht="20.25">
      <c r="A233" s="258"/>
      <c r="B233" s="258"/>
      <c r="C233" s="258"/>
      <c r="D233" s="258"/>
      <c r="E233" s="269"/>
      <c r="F233" s="272"/>
      <c r="G233" s="258"/>
      <c r="H233" s="258"/>
      <c r="I233" s="258"/>
      <c r="J233" s="258"/>
      <c r="K233" s="258"/>
    </row>
    <row r="234" spans="1:11" ht="20.25">
      <c r="A234" s="258"/>
      <c r="B234" s="258"/>
      <c r="C234" s="258"/>
      <c r="D234" s="258"/>
      <c r="E234" s="269"/>
      <c r="F234" s="272"/>
      <c r="G234" s="258"/>
      <c r="H234" s="258"/>
      <c r="I234" s="258"/>
      <c r="J234" s="258"/>
      <c r="K234" s="258"/>
    </row>
    <row r="235" spans="1:11" ht="20.25">
      <c r="A235" s="258"/>
      <c r="B235" s="258"/>
      <c r="C235" s="258"/>
      <c r="D235" s="258"/>
      <c r="E235" s="269"/>
      <c r="F235" s="272"/>
      <c r="G235" s="258"/>
      <c r="H235" s="258"/>
      <c r="I235" s="258"/>
      <c r="J235" s="258"/>
      <c r="K235" s="258"/>
    </row>
    <row r="236" spans="1:11" ht="20.25">
      <c r="A236" s="258"/>
      <c r="B236" s="258"/>
      <c r="C236" s="258"/>
      <c r="D236" s="258"/>
      <c r="E236" s="269"/>
      <c r="F236" s="272"/>
      <c r="G236" s="258"/>
      <c r="H236" s="258"/>
      <c r="I236" s="258"/>
      <c r="J236" s="258"/>
      <c r="K236" s="258"/>
    </row>
    <row r="237" spans="1:11" ht="20.25">
      <c r="A237" s="258"/>
      <c r="B237" s="258"/>
      <c r="C237" s="258"/>
      <c r="D237" s="258"/>
      <c r="E237" s="269"/>
      <c r="F237" s="272"/>
      <c r="G237" s="258"/>
      <c r="H237" s="258"/>
      <c r="I237" s="258"/>
      <c r="J237" s="258"/>
      <c r="K237" s="258"/>
    </row>
    <row r="238" spans="1:11" ht="20.25">
      <c r="A238" s="258"/>
      <c r="B238" s="258"/>
      <c r="C238" s="258"/>
      <c r="D238" s="258"/>
      <c r="E238" s="269"/>
      <c r="F238" s="272"/>
      <c r="G238" s="258"/>
      <c r="H238" s="258"/>
      <c r="I238" s="258"/>
      <c r="J238" s="258"/>
      <c r="K238" s="258"/>
    </row>
    <row r="239" spans="1:11" ht="20.25">
      <c r="A239" s="258"/>
      <c r="B239" s="258"/>
      <c r="C239" s="258"/>
      <c r="D239" s="258"/>
      <c r="E239" s="269"/>
      <c r="F239" s="272"/>
      <c r="G239" s="258"/>
      <c r="H239" s="258"/>
      <c r="I239" s="258"/>
      <c r="J239" s="258"/>
      <c r="K239" s="258"/>
    </row>
    <row r="240" spans="1:11" ht="20.25">
      <c r="A240" s="258"/>
      <c r="B240" s="258"/>
      <c r="C240" s="258"/>
      <c r="D240" s="258"/>
      <c r="E240" s="269"/>
      <c r="F240" s="272"/>
      <c r="G240" s="258"/>
      <c r="H240" s="258"/>
      <c r="I240" s="258"/>
      <c r="J240" s="258"/>
      <c r="K240" s="258"/>
    </row>
    <row r="241" spans="1:11" ht="20.25">
      <c r="A241" s="258"/>
      <c r="B241" s="258"/>
      <c r="C241" s="258"/>
      <c r="D241" s="258"/>
      <c r="E241" s="269"/>
      <c r="F241" s="272"/>
      <c r="G241" s="258"/>
      <c r="H241" s="258"/>
      <c r="I241" s="258"/>
      <c r="J241" s="258"/>
      <c r="K241" s="258"/>
    </row>
    <row r="242" spans="1:11" ht="20.25">
      <c r="A242" s="258"/>
      <c r="B242" s="258"/>
      <c r="C242" s="258"/>
      <c r="D242" s="258"/>
      <c r="E242" s="269"/>
      <c r="F242" s="272"/>
      <c r="G242" s="258"/>
      <c r="H242" s="258"/>
      <c r="I242" s="258"/>
      <c r="J242" s="258"/>
      <c r="K242" s="258"/>
    </row>
    <row r="243" spans="1:11" ht="20.25">
      <c r="A243" s="258"/>
      <c r="B243" s="258"/>
      <c r="C243" s="258"/>
      <c r="D243" s="258"/>
      <c r="E243" s="269"/>
      <c r="F243" s="272"/>
      <c r="G243" s="258"/>
      <c r="H243" s="258"/>
      <c r="I243" s="258"/>
      <c r="J243" s="258"/>
      <c r="K243" s="258"/>
    </row>
    <row r="244" spans="1:11" ht="20.25">
      <c r="A244" s="258"/>
      <c r="B244" s="258"/>
      <c r="C244" s="258"/>
      <c r="D244" s="258"/>
      <c r="E244" s="269"/>
      <c r="F244" s="272"/>
      <c r="G244" s="258"/>
      <c r="H244" s="258"/>
      <c r="I244" s="258"/>
      <c r="J244" s="258"/>
      <c r="K244" s="258"/>
    </row>
    <row r="245" spans="1:11" ht="20.25">
      <c r="A245" s="258"/>
      <c r="B245" s="258"/>
      <c r="C245" s="258"/>
      <c r="D245" s="258"/>
      <c r="E245" s="269"/>
      <c r="F245" s="272"/>
      <c r="G245" s="258"/>
      <c r="H245" s="258"/>
      <c r="I245" s="258"/>
      <c r="J245" s="258"/>
      <c r="K245" s="258"/>
    </row>
    <row r="246" spans="1:11" ht="20.25">
      <c r="A246" s="258"/>
      <c r="B246" s="258"/>
      <c r="C246" s="258"/>
      <c r="D246" s="258"/>
      <c r="E246" s="269"/>
      <c r="F246" s="272"/>
      <c r="G246" s="258"/>
      <c r="H246" s="258"/>
      <c r="I246" s="258"/>
      <c r="J246" s="258"/>
      <c r="K246" s="258"/>
    </row>
    <row r="247" spans="1:11" ht="20.25">
      <c r="A247" s="258"/>
      <c r="B247" s="258"/>
      <c r="C247" s="258"/>
      <c r="D247" s="258"/>
      <c r="E247" s="269"/>
      <c r="F247" s="272"/>
      <c r="G247" s="258"/>
      <c r="H247" s="258"/>
      <c r="I247" s="258"/>
      <c r="J247" s="258"/>
      <c r="K247" s="258"/>
    </row>
    <row r="248" spans="1:11" ht="20.25">
      <c r="A248" s="258"/>
      <c r="B248" s="258"/>
      <c r="C248" s="258"/>
      <c r="D248" s="258"/>
      <c r="E248" s="269"/>
      <c r="F248" s="272"/>
      <c r="G248" s="258"/>
      <c r="H248" s="258"/>
      <c r="I248" s="258"/>
      <c r="J248" s="258"/>
      <c r="K248" s="258"/>
    </row>
    <row r="249" spans="1:11" ht="20.25">
      <c r="A249" s="258"/>
      <c r="B249" s="258"/>
      <c r="C249" s="258"/>
      <c r="D249" s="258"/>
      <c r="E249" s="269"/>
      <c r="F249" s="272"/>
      <c r="G249" s="258"/>
      <c r="H249" s="258"/>
      <c r="I249" s="258"/>
      <c r="J249" s="258"/>
      <c r="K249" s="258"/>
    </row>
    <row r="250" spans="1:11" ht="20.25">
      <c r="A250" s="258"/>
      <c r="B250" s="258"/>
      <c r="C250" s="258"/>
      <c r="D250" s="258"/>
      <c r="E250" s="269"/>
      <c r="F250" s="272"/>
      <c r="G250" s="258"/>
      <c r="H250" s="258"/>
      <c r="I250" s="258"/>
      <c r="J250" s="258"/>
      <c r="K250" s="258"/>
    </row>
    <row r="251" spans="1:11" ht="20.25">
      <c r="A251" s="258"/>
      <c r="B251" s="258"/>
      <c r="C251" s="258"/>
      <c r="D251" s="258"/>
      <c r="E251" s="269"/>
      <c r="F251" s="272"/>
      <c r="G251" s="258"/>
      <c r="H251" s="258"/>
      <c r="I251" s="258"/>
      <c r="J251" s="258"/>
      <c r="K251" s="258"/>
    </row>
    <row r="252" spans="1:11" ht="20.25">
      <c r="A252" s="258"/>
      <c r="B252" s="258"/>
      <c r="C252" s="258"/>
      <c r="D252" s="258"/>
      <c r="E252" s="269"/>
      <c r="F252" s="272"/>
      <c r="G252" s="258"/>
      <c r="H252" s="258"/>
      <c r="I252" s="258"/>
      <c r="J252" s="258"/>
      <c r="K252" s="258"/>
    </row>
    <row r="253" spans="1:11" ht="20.25">
      <c r="A253" s="258"/>
      <c r="B253" s="258"/>
      <c r="C253" s="258"/>
      <c r="D253" s="258"/>
      <c r="E253" s="269"/>
      <c r="F253" s="272"/>
      <c r="G253" s="258"/>
      <c r="H253" s="258"/>
      <c r="I253" s="258"/>
      <c r="J253" s="258"/>
      <c r="K253" s="258"/>
    </row>
    <row r="254" spans="1:11" ht="20.25">
      <c r="A254" s="258"/>
      <c r="B254" s="258"/>
      <c r="C254" s="258"/>
      <c r="D254" s="258"/>
      <c r="E254" s="269"/>
      <c r="F254" s="272"/>
      <c r="G254" s="258"/>
      <c r="H254" s="258"/>
      <c r="I254" s="258"/>
      <c r="J254" s="258"/>
      <c r="K254" s="258"/>
    </row>
    <row r="255" spans="1:11" ht="20.25">
      <c r="A255" s="258"/>
      <c r="B255" s="258"/>
      <c r="C255" s="258"/>
      <c r="D255" s="258"/>
      <c r="E255" s="269"/>
      <c r="F255" s="272"/>
      <c r="G255" s="258"/>
      <c r="H255" s="258"/>
      <c r="I255" s="258"/>
      <c r="J255" s="258"/>
      <c r="K255" s="258"/>
    </row>
    <row r="256" spans="1:11" ht="20.25">
      <c r="A256" s="258"/>
      <c r="B256" s="258"/>
      <c r="C256" s="258"/>
      <c r="D256" s="258"/>
      <c r="E256" s="269"/>
      <c r="F256" s="272"/>
      <c r="G256" s="258"/>
      <c r="H256" s="258"/>
      <c r="I256" s="258"/>
      <c r="J256" s="258"/>
      <c r="K256" s="258"/>
    </row>
    <row r="257" spans="1:11" ht="20.25">
      <c r="A257" s="258"/>
      <c r="B257" s="258"/>
      <c r="C257" s="258"/>
      <c r="D257" s="258"/>
      <c r="E257" s="269"/>
      <c r="F257" s="272"/>
      <c r="G257" s="258"/>
      <c r="H257" s="258"/>
      <c r="I257" s="258"/>
      <c r="J257" s="258"/>
      <c r="K257" s="258"/>
    </row>
    <row r="258" spans="1:11" ht="20.25">
      <c r="A258" s="258"/>
      <c r="B258" s="258"/>
      <c r="C258" s="258"/>
      <c r="D258" s="258"/>
      <c r="E258" s="269"/>
      <c r="F258" s="272"/>
      <c r="G258" s="258"/>
      <c r="H258" s="258"/>
      <c r="I258" s="258"/>
      <c r="J258" s="258"/>
      <c r="K258" s="258"/>
    </row>
    <row r="259" spans="1:11" ht="20.25">
      <c r="A259" s="258"/>
      <c r="B259" s="258"/>
      <c r="C259" s="258"/>
      <c r="D259" s="258"/>
      <c r="E259" s="269"/>
      <c r="F259" s="272"/>
      <c r="G259" s="258"/>
      <c r="H259" s="258"/>
      <c r="I259" s="258"/>
      <c r="J259" s="258"/>
      <c r="K259" s="258"/>
    </row>
    <row r="260" spans="1:11" ht="20.25">
      <c r="A260" s="258"/>
      <c r="B260" s="258"/>
      <c r="C260" s="258"/>
      <c r="D260" s="258"/>
      <c r="E260" s="269"/>
      <c r="F260" s="272"/>
      <c r="G260" s="258"/>
      <c r="H260" s="258"/>
      <c r="I260" s="258"/>
      <c r="J260" s="258"/>
      <c r="K260" s="258"/>
    </row>
    <row r="261" spans="1:11" ht="20.25">
      <c r="A261" s="258"/>
      <c r="B261" s="258"/>
      <c r="C261" s="258"/>
      <c r="D261" s="258"/>
      <c r="E261" s="269"/>
      <c r="F261" s="272"/>
      <c r="G261" s="258"/>
      <c r="H261" s="258"/>
      <c r="I261" s="258"/>
      <c r="J261" s="258"/>
      <c r="K261" s="258"/>
    </row>
    <row r="262" spans="1:11" ht="20.25">
      <c r="A262" s="258"/>
      <c r="B262" s="258"/>
      <c r="C262" s="258"/>
      <c r="D262" s="258"/>
      <c r="E262" s="269"/>
      <c r="F262" s="272"/>
      <c r="G262" s="258"/>
      <c r="H262" s="258"/>
      <c r="I262" s="258"/>
      <c r="J262" s="258"/>
      <c r="K262" s="258"/>
    </row>
    <row r="263" spans="1:11" ht="20.25">
      <c r="A263" s="258"/>
      <c r="B263" s="258"/>
      <c r="C263" s="258"/>
      <c r="D263" s="258"/>
      <c r="E263" s="269"/>
      <c r="F263" s="272"/>
      <c r="G263" s="258"/>
      <c r="H263" s="258"/>
      <c r="I263" s="258"/>
      <c r="J263" s="258"/>
      <c r="K263" s="258"/>
    </row>
    <row r="264" spans="1:11" ht="20.25">
      <c r="A264" s="258"/>
      <c r="B264" s="258"/>
      <c r="C264" s="258"/>
      <c r="D264" s="258"/>
      <c r="E264" s="269"/>
      <c r="F264" s="272"/>
      <c r="G264" s="258"/>
      <c r="H264" s="258"/>
      <c r="I264" s="258"/>
      <c r="J264" s="258"/>
      <c r="K264" s="258"/>
    </row>
    <row r="265" spans="1:11" ht="20.25">
      <c r="A265" s="258"/>
      <c r="B265" s="258"/>
      <c r="C265" s="258"/>
      <c r="D265" s="258"/>
      <c r="E265" s="269"/>
      <c r="F265" s="272"/>
      <c r="G265" s="258"/>
      <c r="H265" s="258"/>
      <c r="I265" s="258"/>
      <c r="J265" s="258"/>
      <c r="K265" s="258"/>
    </row>
    <row r="266" spans="1:11" ht="20.25">
      <c r="A266" s="258"/>
      <c r="B266" s="258"/>
      <c r="C266" s="258"/>
      <c r="D266" s="258"/>
      <c r="E266" s="269"/>
      <c r="F266" s="272"/>
      <c r="G266" s="258"/>
      <c r="H266" s="258"/>
      <c r="I266" s="258"/>
      <c r="J266" s="258"/>
      <c r="K266" s="258"/>
    </row>
    <row r="267" spans="1:11" ht="20.25">
      <c r="A267" s="258"/>
      <c r="B267" s="258"/>
      <c r="C267" s="258"/>
      <c r="D267" s="258"/>
      <c r="E267" s="269"/>
      <c r="F267" s="272"/>
      <c r="G267" s="258"/>
      <c r="H267" s="258"/>
      <c r="I267" s="258"/>
      <c r="J267" s="258"/>
      <c r="K267" s="258"/>
    </row>
    <row r="268" spans="1:11" ht="20.25">
      <c r="A268" s="258"/>
      <c r="B268" s="258"/>
      <c r="C268" s="258"/>
      <c r="D268" s="258"/>
      <c r="E268" s="269"/>
      <c r="F268" s="272"/>
      <c r="G268" s="258"/>
      <c r="H268" s="258"/>
      <c r="I268" s="258"/>
      <c r="J268" s="258"/>
      <c r="K268" s="258"/>
    </row>
    <row r="269" spans="1:11" ht="20.25">
      <c r="A269" s="258"/>
      <c r="B269" s="258"/>
      <c r="C269" s="258"/>
      <c r="D269" s="258"/>
      <c r="E269" s="269"/>
      <c r="F269" s="272"/>
      <c r="G269" s="258"/>
      <c r="H269" s="258"/>
      <c r="I269" s="258"/>
      <c r="J269" s="258"/>
      <c r="K269" s="258"/>
    </row>
    <row r="270" spans="1:11" ht="20.25">
      <c r="A270" s="258"/>
      <c r="B270" s="258"/>
      <c r="C270" s="258"/>
      <c r="D270" s="258"/>
      <c r="E270" s="269"/>
      <c r="F270" s="272"/>
      <c r="G270" s="258"/>
      <c r="H270" s="258"/>
      <c r="I270" s="258"/>
      <c r="J270" s="258"/>
      <c r="K270" s="258"/>
    </row>
    <row r="271" spans="1:11" ht="20.25">
      <c r="A271" s="258"/>
      <c r="B271" s="258"/>
      <c r="C271" s="258"/>
      <c r="D271" s="258"/>
      <c r="E271" s="269"/>
      <c r="F271" s="272"/>
      <c r="G271" s="258"/>
      <c r="H271" s="258"/>
      <c r="I271" s="258"/>
      <c r="J271" s="258"/>
      <c r="K271" s="258"/>
    </row>
    <row r="272" spans="1:11" ht="20.25">
      <c r="A272" s="258"/>
      <c r="B272" s="258"/>
      <c r="C272" s="258"/>
      <c r="D272" s="258"/>
      <c r="E272" s="269"/>
      <c r="F272" s="272"/>
      <c r="G272" s="258"/>
      <c r="H272" s="258"/>
      <c r="I272" s="258"/>
      <c r="J272" s="258"/>
      <c r="K272" s="258"/>
    </row>
    <row r="273" spans="1:11" ht="20.25">
      <c r="A273" s="258"/>
      <c r="B273" s="258"/>
      <c r="C273" s="258"/>
      <c r="D273" s="258"/>
      <c r="E273" s="269"/>
      <c r="F273" s="272"/>
      <c r="G273" s="258"/>
      <c r="H273" s="258"/>
      <c r="I273" s="258"/>
      <c r="J273" s="258"/>
      <c r="K273" s="258"/>
    </row>
    <row r="274" spans="1:11" ht="20.25">
      <c r="A274" s="258"/>
      <c r="B274" s="258"/>
      <c r="C274" s="258"/>
      <c r="D274" s="258"/>
      <c r="E274" s="269"/>
      <c r="F274" s="272"/>
      <c r="G274" s="258"/>
      <c r="H274" s="258"/>
      <c r="I274" s="258"/>
      <c r="J274" s="258"/>
      <c r="K274" s="258"/>
    </row>
    <row r="275" spans="1:11" ht="20.25">
      <c r="A275" s="258"/>
      <c r="B275" s="258"/>
      <c r="C275" s="258"/>
      <c r="D275" s="258"/>
      <c r="E275" s="269"/>
      <c r="F275" s="272"/>
      <c r="G275" s="258"/>
      <c r="H275" s="258"/>
      <c r="I275" s="258"/>
      <c r="J275" s="258"/>
      <c r="K275" s="258"/>
    </row>
    <row r="276" spans="1:11" ht="20.25">
      <c r="A276" s="258"/>
      <c r="B276" s="258"/>
      <c r="C276" s="258"/>
      <c r="D276" s="258"/>
      <c r="E276" s="269"/>
      <c r="F276" s="272"/>
      <c r="G276" s="258"/>
      <c r="H276" s="258"/>
      <c r="I276" s="258"/>
      <c r="J276" s="258"/>
      <c r="K276" s="258"/>
    </row>
    <row r="277" spans="1:11" ht="20.25">
      <c r="A277" s="258"/>
      <c r="B277" s="258"/>
      <c r="C277" s="258"/>
      <c r="D277" s="258"/>
      <c r="E277" s="269"/>
      <c r="F277" s="272"/>
      <c r="G277" s="258"/>
      <c r="H277" s="258"/>
      <c r="I277" s="258"/>
      <c r="J277" s="258"/>
      <c r="K277" s="258"/>
    </row>
    <row r="278" spans="1:11" ht="20.25">
      <c r="A278" s="258"/>
      <c r="B278" s="258"/>
      <c r="C278" s="258"/>
      <c r="D278" s="258"/>
      <c r="E278" s="269"/>
      <c r="F278" s="272"/>
      <c r="G278" s="258"/>
      <c r="H278" s="258"/>
      <c r="I278" s="258"/>
      <c r="J278" s="258"/>
      <c r="K278" s="258"/>
    </row>
    <row r="279" spans="1:11" ht="20.25">
      <c r="A279" s="258"/>
      <c r="B279" s="258"/>
      <c r="C279" s="258"/>
      <c r="D279" s="258"/>
      <c r="E279" s="269"/>
      <c r="F279" s="272"/>
      <c r="G279" s="258"/>
      <c r="H279" s="258"/>
      <c r="I279" s="258"/>
      <c r="J279" s="258"/>
      <c r="K279" s="258"/>
    </row>
    <row r="280" spans="1:11" ht="20.25">
      <c r="A280" s="258"/>
      <c r="B280" s="258"/>
      <c r="C280" s="258"/>
      <c r="D280" s="258"/>
      <c r="E280" s="269"/>
      <c r="F280" s="272"/>
      <c r="G280" s="258"/>
      <c r="H280" s="258"/>
      <c r="I280" s="258"/>
      <c r="J280" s="258"/>
      <c r="K280" s="258"/>
    </row>
    <row r="281" spans="1:11" ht="20.25">
      <c r="A281" s="258"/>
      <c r="B281" s="258"/>
      <c r="C281" s="258"/>
      <c r="D281" s="258"/>
      <c r="E281" s="269"/>
      <c r="F281" s="272"/>
      <c r="G281" s="258"/>
      <c r="H281" s="258"/>
      <c r="I281" s="258"/>
      <c r="J281" s="258"/>
      <c r="K281" s="258"/>
    </row>
    <row r="282" spans="1:11" ht="20.25">
      <c r="A282" s="258"/>
      <c r="B282" s="258"/>
      <c r="C282" s="258"/>
      <c r="D282" s="258"/>
      <c r="E282" s="269"/>
      <c r="F282" s="272"/>
      <c r="G282" s="258"/>
      <c r="H282" s="258"/>
      <c r="I282" s="258"/>
      <c r="J282" s="258"/>
      <c r="K282" s="258"/>
    </row>
    <row r="283" spans="1:11" ht="20.25">
      <c r="A283" s="258"/>
      <c r="B283" s="258"/>
      <c r="C283" s="258"/>
      <c r="D283" s="258"/>
      <c r="E283" s="269"/>
      <c r="F283" s="272"/>
      <c r="G283" s="258"/>
      <c r="H283" s="258"/>
      <c r="I283" s="258"/>
      <c r="J283" s="258"/>
      <c r="K283" s="258"/>
    </row>
    <row r="284" spans="1:11" ht="20.25">
      <c r="A284" s="258"/>
      <c r="B284" s="258"/>
      <c r="C284" s="258"/>
      <c r="D284" s="258"/>
      <c r="E284" s="269"/>
      <c r="F284" s="272"/>
      <c r="G284" s="258"/>
      <c r="H284" s="258"/>
      <c r="I284" s="258"/>
      <c r="J284" s="258"/>
      <c r="K284" s="258"/>
    </row>
    <row r="285" spans="1:11" ht="20.25">
      <c r="A285" s="258"/>
      <c r="B285" s="258"/>
      <c r="C285" s="258"/>
      <c r="D285" s="258"/>
      <c r="E285" s="269"/>
      <c r="F285" s="272"/>
      <c r="G285" s="258"/>
      <c r="H285" s="258"/>
      <c r="I285" s="258"/>
      <c r="J285" s="258"/>
      <c r="K285" s="258"/>
    </row>
    <row r="286" spans="1:11" ht="20.25">
      <c r="A286" s="258"/>
      <c r="B286" s="258"/>
      <c r="C286" s="258"/>
      <c r="D286" s="258"/>
      <c r="E286" s="269"/>
      <c r="F286" s="272"/>
      <c r="G286" s="258"/>
      <c r="H286" s="258"/>
      <c r="I286" s="258"/>
      <c r="J286" s="258"/>
      <c r="K286" s="258"/>
    </row>
    <row r="287" spans="1:11" ht="20.25">
      <c r="A287" s="258"/>
      <c r="B287" s="258"/>
      <c r="C287" s="258"/>
      <c r="D287" s="258"/>
      <c r="E287" s="269"/>
      <c r="F287" s="272"/>
      <c r="G287" s="258"/>
      <c r="H287" s="258"/>
      <c r="I287" s="258"/>
      <c r="J287" s="258"/>
      <c r="K287" s="258"/>
    </row>
    <row r="288" spans="1:11" ht="20.25">
      <c r="A288" s="258"/>
      <c r="B288" s="258"/>
      <c r="C288" s="258"/>
      <c r="D288" s="258"/>
      <c r="E288" s="269"/>
      <c r="F288" s="272"/>
      <c r="G288" s="258"/>
      <c r="H288" s="258"/>
      <c r="I288" s="258"/>
      <c r="J288" s="258"/>
      <c r="K288" s="258"/>
    </row>
    <row r="289" spans="1:11" ht="20.25">
      <c r="A289" s="258"/>
      <c r="B289" s="258"/>
      <c r="C289" s="258"/>
      <c r="D289" s="258"/>
      <c r="E289" s="269"/>
      <c r="F289" s="272"/>
      <c r="G289" s="258"/>
      <c r="H289" s="258"/>
      <c r="I289" s="258"/>
      <c r="J289" s="258"/>
      <c r="K289" s="258"/>
    </row>
    <row r="290" spans="1:11" ht="20.25">
      <c r="A290" s="258"/>
      <c r="B290" s="258"/>
      <c r="C290" s="258"/>
      <c r="D290" s="258"/>
      <c r="E290" s="269"/>
      <c r="F290" s="272"/>
      <c r="G290" s="258"/>
      <c r="H290" s="258"/>
      <c r="I290" s="258"/>
      <c r="J290" s="258"/>
      <c r="K290" s="258"/>
    </row>
    <row r="291" spans="1:11" ht="20.25">
      <c r="A291" s="258"/>
      <c r="B291" s="258"/>
      <c r="C291" s="258"/>
      <c r="D291" s="258"/>
      <c r="E291" s="269"/>
      <c r="F291" s="272"/>
      <c r="G291" s="258"/>
      <c r="H291" s="258"/>
      <c r="I291" s="258"/>
      <c r="J291" s="258"/>
      <c r="K291" s="258"/>
    </row>
    <row r="292" spans="1:11" ht="20.25">
      <c r="A292" s="258"/>
      <c r="B292" s="258"/>
      <c r="C292" s="258"/>
      <c r="D292" s="258"/>
      <c r="E292" s="269"/>
      <c r="F292" s="272"/>
      <c r="G292" s="258"/>
      <c r="H292" s="258"/>
      <c r="I292" s="258"/>
      <c r="J292" s="258"/>
      <c r="K292" s="258"/>
    </row>
    <row r="293" spans="1:11" ht="20.25">
      <c r="A293" s="258"/>
      <c r="B293" s="258"/>
      <c r="C293" s="258"/>
      <c r="D293" s="258"/>
      <c r="E293" s="269"/>
      <c r="F293" s="272"/>
      <c r="G293" s="258"/>
      <c r="H293" s="258"/>
      <c r="I293" s="258"/>
      <c r="J293" s="258"/>
      <c r="K293" s="258"/>
    </row>
    <row r="294" spans="1:11" ht="20.25">
      <c r="A294" s="258"/>
      <c r="B294" s="258"/>
      <c r="C294" s="258"/>
      <c r="D294" s="258"/>
      <c r="E294" s="269"/>
      <c r="F294" s="272"/>
      <c r="G294" s="258"/>
      <c r="H294" s="258"/>
      <c r="I294" s="258"/>
      <c r="J294" s="258"/>
      <c r="K294" s="258"/>
    </row>
    <row r="295" spans="1:11" ht="20.25">
      <c r="A295" s="258"/>
      <c r="B295" s="258"/>
      <c r="C295" s="258"/>
      <c r="D295" s="258"/>
      <c r="E295" s="269"/>
      <c r="F295" s="272"/>
      <c r="G295" s="258"/>
      <c r="H295" s="258"/>
      <c r="I295" s="258"/>
      <c r="J295" s="258"/>
      <c r="K295" s="258"/>
    </row>
    <row r="296" spans="1:11" ht="20.25">
      <c r="A296" s="258"/>
      <c r="B296" s="258"/>
      <c r="C296" s="258"/>
      <c r="D296" s="258"/>
      <c r="E296" s="269"/>
      <c r="F296" s="272"/>
      <c r="G296" s="258"/>
      <c r="H296" s="258"/>
      <c r="I296" s="258"/>
      <c r="J296" s="258"/>
      <c r="K296" s="258"/>
    </row>
    <row r="297" spans="1:11" ht="20.25">
      <c r="A297" s="258"/>
      <c r="B297" s="258"/>
      <c r="C297" s="258"/>
      <c r="D297" s="258"/>
      <c r="E297" s="269"/>
      <c r="F297" s="272"/>
      <c r="G297" s="258"/>
      <c r="H297" s="258"/>
      <c r="I297" s="258"/>
      <c r="J297" s="258"/>
      <c r="K297" s="258"/>
    </row>
    <row r="298" spans="1:11" ht="20.25">
      <c r="A298" s="258"/>
      <c r="B298" s="258"/>
      <c r="C298" s="258"/>
      <c r="D298" s="258"/>
      <c r="E298" s="269"/>
      <c r="F298" s="272"/>
      <c r="G298" s="258"/>
      <c r="H298" s="258"/>
      <c r="I298" s="258"/>
      <c r="J298" s="258"/>
      <c r="K298" s="258"/>
    </row>
    <row r="299" spans="1:11" ht="20.25">
      <c r="A299" s="258"/>
      <c r="B299" s="258"/>
      <c r="C299" s="258"/>
      <c r="D299" s="258"/>
      <c r="E299" s="269"/>
      <c r="F299" s="272"/>
      <c r="G299" s="258"/>
      <c r="H299" s="258"/>
      <c r="I299" s="258"/>
      <c r="J299" s="258"/>
      <c r="K299" s="258"/>
    </row>
    <row r="300" spans="1:11" ht="20.25">
      <c r="A300" s="258"/>
      <c r="B300" s="258"/>
      <c r="C300" s="258"/>
      <c r="D300" s="258"/>
      <c r="E300" s="269"/>
      <c r="F300" s="272"/>
      <c r="G300" s="258"/>
      <c r="H300" s="258"/>
      <c r="I300" s="258"/>
      <c r="J300" s="258"/>
      <c r="K300" s="258"/>
    </row>
    <row r="301" spans="1:11" ht="20.25">
      <c r="A301" s="258"/>
      <c r="B301" s="258"/>
      <c r="C301" s="258"/>
      <c r="D301" s="258"/>
      <c r="E301" s="269"/>
      <c r="F301" s="272"/>
      <c r="G301" s="258"/>
      <c r="H301" s="258"/>
      <c r="I301" s="258"/>
      <c r="J301" s="258"/>
      <c r="K301" s="258"/>
    </row>
    <row r="302" spans="1:11" ht="20.25">
      <c r="A302" s="258"/>
      <c r="B302" s="258"/>
      <c r="C302" s="258"/>
      <c r="D302" s="258"/>
      <c r="E302" s="269"/>
      <c r="F302" s="272"/>
      <c r="G302" s="258"/>
      <c r="H302" s="258"/>
      <c r="I302" s="258"/>
      <c r="J302" s="258"/>
      <c r="K302" s="258"/>
    </row>
    <row r="303" spans="1:11" ht="20.25">
      <c r="A303" s="258"/>
      <c r="B303" s="258"/>
      <c r="C303" s="258"/>
      <c r="D303" s="258"/>
      <c r="E303" s="269"/>
      <c r="F303" s="272"/>
      <c r="G303" s="258"/>
      <c r="H303" s="258"/>
      <c r="I303" s="258"/>
      <c r="J303" s="258"/>
      <c r="K303" s="258"/>
    </row>
    <row r="304" spans="1:11" ht="20.25">
      <c r="A304" s="258"/>
      <c r="B304" s="258"/>
      <c r="C304" s="258"/>
      <c r="D304" s="258"/>
      <c r="E304" s="269"/>
      <c r="F304" s="272"/>
      <c r="G304" s="258"/>
      <c r="H304" s="258"/>
      <c r="I304" s="258"/>
      <c r="J304" s="258"/>
      <c r="K304" s="258"/>
    </row>
    <row r="305" spans="1:11" ht="20.25">
      <c r="A305" s="258"/>
      <c r="B305" s="258"/>
      <c r="C305" s="258"/>
      <c r="D305" s="258"/>
      <c r="E305" s="269"/>
      <c r="F305" s="272"/>
      <c r="G305" s="258"/>
      <c r="H305" s="258"/>
      <c r="I305" s="258"/>
      <c r="J305" s="258"/>
      <c r="K305" s="258"/>
    </row>
    <row r="306" spans="1:11" ht="20.25">
      <c r="A306" s="258"/>
      <c r="B306" s="258"/>
      <c r="C306" s="258"/>
      <c r="D306" s="258"/>
      <c r="E306" s="269"/>
      <c r="F306" s="272"/>
      <c r="G306" s="258"/>
      <c r="H306" s="258"/>
      <c r="I306" s="258"/>
      <c r="J306" s="258"/>
      <c r="K306" s="258"/>
    </row>
    <row r="307" spans="1:11" ht="20.25">
      <c r="A307" s="258"/>
      <c r="B307" s="258"/>
      <c r="C307" s="258"/>
      <c r="D307" s="258"/>
      <c r="E307" s="269"/>
      <c r="F307" s="272"/>
      <c r="G307" s="258"/>
      <c r="H307" s="258"/>
      <c r="I307" s="258"/>
      <c r="J307" s="258"/>
      <c r="K307" s="258"/>
    </row>
    <row r="308" spans="1:11" ht="20.25">
      <c r="A308" s="258"/>
      <c r="B308" s="258"/>
      <c r="C308" s="258"/>
      <c r="D308" s="258"/>
      <c r="E308" s="269"/>
      <c r="F308" s="272"/>
      <c r="G308" s="258"/>
      <c r="H308" s="258"/>
      <c r="I308" s="258"/>
      <c r="J308" s="258"/>
      <c r="K308" s="258"/>
    </row>
    <row r="309" spans="1:11" ht="20.25">
      <c r="A309" s="258"/>
      <c r="B309" s="258"/>
      <c r="C309" s="258"/>
      <c r="D309" s="258"/>
      <c r="E309" s="269"/>
      <c r="F309" s="272"/>
      <c r="G309" s="258"/>
      <c r="H309" s="258"/>
      <c r="I309" s="258"/>
      <c r="J309" s="258"/>
      <c r="K309" s="258"/>
    </row>
    <row r="310" spans="1:11" ht="20.25">
      <c r="A310" s="258"/>
      <c r="B310" s="258"/>
      <c r="C310" s="258"/>
      <c r="D310" s="258"/>
      <c r="E310" s="269"/>
      <c r="F310" s="272"/>
      <c r="G310" s="258"/>
      <c r="H310" s="258"/>
      <c r="I310" s="258"/>
      <c r="J310" s="258"/>
      <c r="K310" s="258"/>
    </row>
    <row r="311" spans="1:11" ht="20.25">
      <c r="A311" s="258"/>
      <c r="B311" s="258"/>
      <c r="C311" s="258"/>
      <c r="D311" s="258"/>
      <c r="E311" s="269"/>
      <c r="F311" s="272"/>
      <c r="G311" s="258"/>
      <c r="H311" s="258"/>
      <c r="I311" s="258"/>
      <c r="J311" s="258"/>
      <c r="K311" s="258"/>
    </row>
    <row r="312" spans="1:11" ht="20.25">
      <c r="A312" s="258"/>
      <c r="B312" s="258"/>
      <c r="C312" s="258"/>
      <c r="D312" s="258"/>
      <c r="E312" s="269"/>
      <c r="F312" s="272"/>
      <c r="G312" s="258"/>
      <c r="H312" s="258"/>
      <c r="I312" s="258"/>
      <c r="J312" s="258"/>
      <c r="K312" s="258"/>
    </row>
    <row r="313" spans="1:11" ht="20.25">
      <c r="A313" s="258"/>
      <c r="B313" s="258"/>
      <c r="C313" s="258"/>
      <c r="D313" s="258"/>
      <c r="E313" s="269"/>
      <c r="F313" s="272"/>
      <c r="G313" s="258"/>
      <c r="H313" s="258"/>
      <c r="I313" s="258"/>
      <c r="J313" s="258"/>
      <c r="K313" s="258"/>
    </row>
    <row r="314" spans="1:11" ht="20.25">
      <c r="A314" s="258"/>
      <c r="B314" s="258"/>
      <c r="C314" s="258"/>
      <c r="D314" s="258"/>
      <c r="E314" s="269"/>
      <c r="F314" s="272"/>
      <c r="G314" s="258"/>
      <c r="H314" s="258"/>
      <c r="I314" s="258"/>
      <c r="J314" s="258"/>
      <c r="K314" s="258"/>
    </row>
    <row r="315" spans="1:11" ht="20.25">
      <c r="A315" s="258"/>
      <c r="B315" s="258"/>
      <c r="C315" s="258"/>
      <c r="D315" s="258"/>
      <c r="E315" s="269"/>
      <c r="F315" s="272"/>
      <c r="G315" s="258"/>
      <c r="H315" s="258"/>
      <c r="I315" s="258"/>
      <c r="J315" s="258"/>
      <c r="K315" s="258"/>
    </row>
    <row r="316" spans="1:11" ht="20.25">
      <c r="A316" s="258"/>
      <c r="B316" s="258"/>
      <c r="C316" s="258"/>
      <c r="D316" s="258"/>
      <c r="E316" s="269"/>
      <c r="F316" s="272"/>
      <c r="G316" s="258"/>
      <c r="H316" s="258"/>
      <c r="I316" s="258"/>
      <c r="J316" s="258"/>
      <c r="K316" s="258"/>
    </row>
    <row r="317" spans="1:11" ht="20.25">
      <c r="A317" s="258"/>
      <c r="B317" s="258"/>
      <c r="C317" s="258"/>
      <c r="D317" s="258"/>
      <c r="E317" s="269"/>
      <c r="F317" s="272"/>
      <c r="G317" s="258"/>
      <c r="H317" s="258"/>
      <c r="I317" s="258"/>
      <c r="J317" s="258"/>
      <c r="K317" s="258"/>
    </row>
    <row r="318" spans="1:11" ht="20.25">
      <c r="A318" s="258"/>
      <c r="B318" s="258"/>
      <c r="C318" s="258"/>
      <c r="D318" s="258"/>
      <c r="E318" s="269"/>
      <c r="F318" s="272"/>
      <c r="G318" s="258"/>
      <c r="H318" s="258"/>
      <c r="I318" s="258"/>
      <c r="J318" s="258"/>
      <c r="K318" s="258"/>
    </row>
    <row r="319" spans="1:11" ht="20.25">
      <c r="A319" s="258"/>
      <c r="B319" s="258"/>
      <c r="C319" s="258"/>
      <c r="D319" s="258"/>
      <c r="E319" s="269"/>
      <c r="F319" s="272"/>
      <c r="G319" s="258"/>
      <c r="H319" s="258"/>
      <c r="I319" s="258"/>
      <c r="J319" s="258"/>
      <c r="K319" s="258"/>
    </row>
    <row r="320" spans="1:11" ht="20.25">
      <c r="A320" s="258"/>
      <c r="B320" s="258"/>
      <c r="C320" s="258"/>
      <c r="D320" s="258"/>
      <c r="E320" s="269"/>
      <c r="F320" s="272"/>
      <c r="G320" s="258"/>
      <c r="H320" s="258"/>
      <c r="I320" s="258"/>
      <c r="J320" s="258"/>
      <c r="K320" s="258"/>
    </row>
    <row r="321" spans="1:11" ht="20.25">
      <c r="A321" s="258"/>
      <c r="B321" s="258"/>
      <c r="C321" s="258"/>
      <c r="D321" s="258"/>
      <c r="E321" s="269"/>
      <c r="F321" s="272"/>
      <c r="G321" s="258"/>
      <c r="H321" s="258"/>
      <c r="I321" s="258"/>
      <c r="J321" s="258"/>
      <c r="K321" s="258"/>
    </row>
    <row r="322" spans="1:11" ht="20.25">
      <c r="A322" s="258"/>
      <c r="B322" s="258"/>
      <c r="C322" s="258"/>
      <c r="D322" s="258"/>
      <c r="E322" s="269"/>
      <c r="F322" s="272"/>
      <c r="G322" s="258"/>
      <c r="H322" s="258"/>
      <c r="I322" s="258"/>
      <c r="J322" s="258"/>
      <c r="K322" s="258"/>
    </row>
    <row r="323" spans="1:11" ht="20.25">
      <c r="A323" s="258"/>
      <c r="B323" s="258"/>
      <c r="C323" s="258"/>
      <c r="D323" s="258"/>
      <c r="E323" s="269"/>
      <c r="F323" s="272"/>
      <c r="G323" s="258"/>
      <c r="H323" s="258"/>
      <c r="I323" s="258"/>
      <c r="J323" s="258"/>
      <c r="K323" s="258"/>
    </row>
    <row r="324" spans="1:11" ht="20.25">
      <c r="A324" s="258"/>
      <c r="B324" s="258"/>
      <c r="C324" s="258"/>
      <c r="D324" s="258"/>
      <c r="E324" s="269"/>
      <c r="F324" s="272"/>
      <c r="G324" s="258"/>
      <c r="H324" s="258"/>
      <c r="I324" s="258"/>
      <c r="J324" s="258"/>
      <c r="K324" s="258"/>
    </row>
    <row r="325" spans="1:11" ht="20.25">
      <c r="A325" s="258"/>
      <c r="B325" s="258"/>
      <c r="C325" s="258"/>
      <c r="D325" s="258"/>
      <c r="E325" s="269"/>
      <c r="F325" s="272"/>
      <c r="G325" s="258"/>
      <c r="H325" s="258"/>
      <c r="I325" s="258"/>
      <c r="J325" s="258"/>
      <c r="K325" s="258"/>
    </row>
    <row r="326" spans="1:11" ht="20.25">
      <c r="A326" s="258"/>
      <c r="B326" s="258"/>
      <c r="C326" s="258"/>
      <c r="D326" s="258"/>
      <c r="E326" s="269"/>
      <c r="F326" s="272"/>
      <c r="G326" s="258"/>
      <c r="H326" s="258"/>
      <c r="I326" s="258"/>
      <c r="J326" s="258"/>
      <c r="K326" s="258"/>
    </row>
    <row r="327" spans="1:11" ht="20.25">
      <c r="A327" s="258"/>
      <c r="B327" s="258"/>
      <c r="C327" s="258"/>
      <c r="D327" s="258"/>
      <c r="E327" s="269"/>
      <c r="F327" s="272"/>
      <c r="G327" s="258"/>
      <c r="H327" s="258"/>
      <c r="I327" s="258"/>
      <c r="J327" s="258"/>
      <c r="K327" s="258"/>
    </row>
    <row r="328" spans="1:11" ht="20.25">
      <c r="A328" s="258"/>
      <c r="B328" s="258"/>
      <c r="C328" s="258"/>
      <c r="D328" s="258"/>
      <c r="E328" s="269"/>
      <c r="F328" s="272"/>
      <c r="G328" s="258"/>
      <c r="H328" s="258"/>
      <c r="I328" s="258"/>
      <c r="J328" s="258"/>
      <c r="K328" s="258"/>
    </row>
    <row r="329" spans="1:11" ht="20.25">
      <c r="A329" s="258"/>
      <c r="B329" s="258"/>
      <c r="C329" s="258"/>
      <c r="D329" s="258"/>
      <c r="E329" s="269"/>
      <c r="F329" s="272"/>
      <c r="G329" s="258"/>
      <c r="H329" s="258"/>
      <c r="I329" s="258"/>
      <c r="J329" s="258"/>
      <c r="K329" s="258"/>
    </row>
    <row r="330" spans="1:11" ht="20.25">
      <c r="A330" s="258"/>
      <c r="B330" s="258"/>
      <c r="C330" s="258"/>
      <c r="D330" s="258"/>
      <c r="E330" s="269"/>
      <c r="F330" s="272"/>
      <c r="G330" s="258"/>
      <c r="H330" s="258"/>
      <c r="I330" s="258"/>
      <c r="J330" s="258"/>
      <c r="K330" s="258"/>
    </row>
    <row r="331" spans="1:11" ht="20.25">
      <c r="A331" s="258"/>
      <c r="B331" s="258"/>
      <c r="C331" s="258"/>
      <c r="D331" s="258"/>
      <c r="E331" s="269"/>
      <c r="F331" s="272"/>
      <c r="G331" s="258"/>
      <c r="H331" s="258"/>
      <c r="I331" s="258"/>
      <c r="J331" s="258"/>
      <c r="K331" s="258"/>
    </row>
    <row r="332" spans="1:11" ht="20.25">
      <c r="A332" s="258"/>
      <c r="B332" s="258"/>
      <c r="C332" s="258"/>
      <c r="D332" s="258"/>
      <c r="E332" s="269"/>
      <c r="F332" s="272"/>
      <c r="G332" s="258"/>
      <c r="H332" s="258"/>
      <c r="I332" s="258"/>
      <c r="J332" s="258"/>
      <c r="K332" s="258"/>
    </row>
    <row r="333" spans="1:11" ht="20.25">
      <c r="A333" s="258"/>
      <c r="B333" s="258"/>
      <c r="C333" s="258"/>
      <c r="D333" s="258"/>
      <c r="E333" s="269"/>
      <c r="F333" s="272"/>
      <c r="G333" s="258"/>
      <c r="H333" s="258"/>
      <c r="I333" s="258"/>
      <c r="J333" s="258"/>
      <c r="K333" s="258"/>
    </row>
    <row r="334" spans="1:11" ht="20.25">
      <c r="A334" s="258"/>
      <c r="B334" s="258"/>
      <c r="C334" s="258"/>
      <c r="D334" s="258"/>
      <c r="E334" s="269"/>
      <c r="F334" s="272"/>
      <c r="G334" s="258"/>
      <c r="H334" s="258"/>
      <c r="I334" s="258"/>
      <c r="J334" s="258"/>
      <c r="K334" s="258"/>
    </row>
    <row r="335" spans="1:11" ht="20.25">
      <c r="A335" s="258"/>
      <c r="B335" s="258"/>
      <c r="C335" s="258"/>
      <c r="D335" s="258"/>
      <c r="E335" s="269"/>
      <c r="F335" s="272"/>
      <c r="G335" s="258"/>
      <c r="H335" s="258"/>
      <c r="I335" s="258"/>
      <c r="J335" s="258"/>
      <c r="K335" s="258"/>
    </row>
    <row r="336" spans="1:11" ht="20.25">
      <c r="A336" s="258"/>
      <c r="B336" s="258"/>
      <c r="C336" s="258"/>
      <c r="D336" s="258"/>
      <c r="E336" s="269"/>
      <c r="F336" s="272"/>
      <c r="G336" s="258"/>
      <c r="H336" s="258"/>
      <c r="I336" s="258"/>
      <c r="J336" s="258"/>
      <c r="K336" s="258"/>
    </row>
    <row r="337" spans="1:11" ht="20.25">
      <c r="A337" s="258"/>
      <c r="B337" s="258"/>
      <c r="C337" s="258"/>
      <c r="D337" s="258"/>
      <c r="E337" s="269"/>
      <c r="F337" s="272"/>
      <c r="G337" s="258"/>
      <c r="H337" s="258"/>
      <c r="I337" s="258"/>
      <c r="J337" s="258"/>
      <c r="K337" s="258"/>
    </row>
    <row r="338" spans="1:11" ht="20.25">
      <c r="A338" s="258"/>
      <c r="B338" s="258"/>
      <c r="C338" s="258"/>
      <c r="D338" s="258"/>
      <c r="E338" s="269"/>
      <c r="F338" s="272"/>
      <c r="G338" s="258"/>
      <c r="H338" s="258"/>
      <c r="I338" s="258"/>
      <c r="J338" s="258"/>
      <c r="K338" s="258"/>
    </row>
    <row r="339" spans="1:11" ht="20.25">
      <c r="A339" s="258"/>
      <c r="B339" s="258"/>
      <c r="C339" s="258"/>
      <c r="D339" s="258"/>
      <c r="E339" s="269"/>
      <c r="F339" s="272"/>
      <c r="G339" s="258"/>
      <c r="H339" s="258"/>
      <c r="I339" s="258"/>
      <c r="J339" s="258"/>
      <c r="K339" s="258"/>
    </row>
    <row r="340" spans="1:11" ht="20.25">
      <c r="A340" s="258"/>
      <c r="B340" s="258"/>
      <c r="C340" s="258"/>
      <c r="D340" s="258"/>
      <c r="E340" s="269"/>
      <c r="F340" s="272"/>
      <c r="G340" s="258"/>
      <c r="H340" s="258"/>
      <c r="I340" s="258"/>
      <c r="J340" s="258"/>
      <c r="K340" s="258"/>
    </row>
    <row r="341" spans="1:11" ht="20.25">
      <c r="A341" s="258"/>
      <c r="B341" s="258"/>
      <c r="C341" s="258"/>
      <c r="D341" s="258"/>
      <c r="E341" s="269"/>
      <c r="F341" s="272"/>
      <c r="G341" s="258"/>
      <c r="H341" s="258"/>
      <c r="I341" s="258"/>
      <c r="J341" s="258"/>
      <c r="K341" s="258"/>
    </row>
    <row r="342" spans="1:11" ht="20.25">
      <c r="A342" s="258"/>
      <c r="B342" s="258"/>
      <c r="C342" s="258"/>
      <c r="D342" s="258"/>
      <c r="E342" s="269"/>
      <c r="F342" s="272"/>
      <c r="G342" s="258"/>
      <c r="H342" s="258"/>
      <c r="I342" s="258"/>
      <c r="J342" s="258"/>
      <c r="K342" s="258"/>
    </row>
    <row r="343" spans="1:11" ht="20.25">
      <c r="A343" s="258"/>
      <c r="B343" s="258"/>
      <c r="C343" s="258"/>
      <c r="D343" s="258"/>
      <c r="E343" s="269"/>
      <c r="F343" s="272"/>
      <c r="G343" s="258"/>
      <c r="H343" s="258"/>
      <c r="I343" s="258"/>
      <c r="J343" s="258"/>
      <c r="K343" s="258"/>
    </row>
    <row r="344" spans="1:11" ht="20.25">
      <c r="A344" s="258"/>
      <c r="B344" s="258"/>
      <c r="C344" s="258"/>
      <c r="D344" s="258"/>
      <c r="E344" s="269"/>
      <c r="F344" s="272"/>
      <c r="G344" s="258"/>
      <c r="H344" s="258"/>
      <c r="I344" s="258"/>
      <c r="J344" s="258"/>
      <c r="K344" s="258"/>
    </row>
    <row r="345" spans="1:11" ht="20.25">
      <c r="A345" s="258"/>
      <c r="B345" s="258"/>
      <c r="C345" s="258"/>
      <c r="D345" s="258"/>
      <c r="E345" s="269"/>
      <c r="F345" s="272"/>
      <c r="G345" s="258"/>
      <c r="H345" s="258"/>
      <c r="I345" s="258"/>
      <c r="J345" s="258"/>
      <c r="K345" s="258"/>
    </row>
    <row r="346" spans="1:11" ht="20.25">
      <c r="A346" s="258"/>
      <c r="B346" s="258"/>
      <c r="C346" s="258"/>
      <c r="D346" s="258"/>
      <c r="E346" s="269"/>
      <c r="F346" s="272"/>
      <c r="G346" s="258"/>
      <c r="H346" s="258"/>
      <c r="I346" s="258"/>
      <c r="J346" s="258"/>
      <c r="K346" s="258"/>
    </row>
    <row r="347" spans="1:11" ht="20.25">
      <c r="A347" s="258"/>
      <c r="B347" s="258"/>
      <c r="C347" s="258"/>
      <c r="D347" s="258"/>
      <c r="E347" s="269"/>
      <c r="F347" s="272"/>
      <c r="G347" s="258"/>
      <c r="H347" s="258"/>
      <c r="I347" s="258"/>
      <c r="J347" s="258"/>
      <c r="K347" s="258"/>
    </row>
    <row r="348" spans="1:11" ht="20.25">
      <c r="A348" s="258"/>
      <c r="B348" s="258"/>
      <c r="C348" s="258"/>
      <c r="D348" s="258"/>
      <c r="E348" s="269"/>
      <c r="F348" s="272"/>
      <c r="G348" s="258"/>
      <c r="H348" s="258"/>
      <c r="I348" s="258"/>
      <c r="J348" s="258"/>
      <c r="K348" s="258"/>
    </row>
    <row r="349" spans="1:11" ht="20.25">
      <c r="A349" s="258"/>
      <c r="B349" s="258"/>
      <c r="C349" s="258"/>
      <c r="D349" s="258"/>
      <c r="E349" s="269"/>
      <c r="F349" s="272"/>
      <c r="G349" s="258"/>
      <c r="H349" s="258"/>
      <c r="I349" s="258"/>
      <c r="J349" s="258"/>
      <c r="K349" s="258"/>
    </row>
    <row r="350" spans="1:11" ht="20.25">
      <c r="A350" s="258"/>
      <c r="B350" s="258"/>
      <c r="C350" s="258"/>
      <c r="D350" s="258"/>
      <c r="E350" s="269"/>
      <c r="F350" s="272"/>
      <c r="G350" s="258"/>
      <c r="H350" s="258"/>
      <c r="I350" s="258"/>
      <c r="J350" s="258"/>
      <c r="K350" s="258"/>
    </row>
    <row r="351" spans="1:11" ht="20.25">
      <c r="A351" s="258"/>
      <c r="B351" s="258"/>
      <c r="C351" s="258"/>
      <c r="D351" s="258"/>
      <c r="E351" s="269"/>
      <c r="F351" s="272"/>
      <c r="G351" s="258"/>
      <c r="H351" s="258"/>
      <c r="I351" s="258"/>
      <c r="J351" s="258"/>
      <c r="K351" s="258"/>
    </row>
    <row r="352" spans="1:11" ht="20.25">
      <c r="A352" s="258"/>
      <c r="B352" s="258"/>
      <c r="C352" s="258"/>
      <c r="D352" s="258"/>
      <c r="E352" s="269"/>
      <c r="F352" s="272"/>
      <c r="G352" s="258"/>
      <c r="H352" s="258"/>
      <c r="I352" s="258"/>
      <c r="J352" s="258"/>
      <c r="K352" s="258"/>
    </row>
    <row r="353" spans="1:11" ht="20.25">
      <c r="A353" s="258"/>
      <c r="B353" s="258"/>
      <c r="C353" s="258"/>
      <c r="D353" s="258"/>
      <c r="E353" s="269"/>
      <c r="F353" s="272"/>
      <c r="G353" s="258"/>
      <c r="H353" s="258"/>
      <c r="I353" s="258"/>
      <c r="J353" s="258"/>
      <c r="K353" s="258"/>
    </row>
    <row r="354" spans="1:11" ht="20.25">
      <c r="A354" s="258"/>
      <c r="B354" s="258"/>
      <c r="C354" s="258"/>
      <c r="D354" s="258"/>
      <c r="E354" s="269"/>
      <c r="F354" s="272"/>
      <c r="G354" s="258"/>
      <c r="H354" s="258"/>
      <c r="I354" s="258"/>
      <c r="J354" s="258"/>
      <c r="K354" s="258"/>
    </row>
    <row r="355" spans="1:11" ht="20.25">
      <c r="A355" s="258"/>
      <c r="B355" s="258"/>
      <c r="C355" s="258"/>
      <c r="D355" s="258"/>
      <c r="E355" s="269"/>
      <c r="F355" s="272"/>
      <c r="G355" s="258"/>
      <c r="H355" s="258"/>
      <c r="I355" s="258"/>
      <c r="J355" s="258"/>
      <c r="K355" s="258"/>
    </row>
    <row r="356" spans="1:11" ht="20.25">
      <c r="A356" s="258"/>
      <c r="B356" s="258"/>
      <c r="C356" s="258"/>
      <c r="D356" s="258"/>
      <c r="E356" s="269"/>
      <c r="F356" s="272"/>
      <c r="G356" s="258"/>
      <c r="H356" s="258"/>
      <c r="I356" s="258"/>
      <c r="J356" s="258"/>
      <c r="K356" s="258"/>
    </row>
    <row r="357" spans="1:11" ht="20.25">
      <c r="A357" s="258"/>
      <c r="B357" s="258"/>
      <c r="C357" s="258"/>
      <c r="D357" s="258"/>
      <c r="E357" s="269"/>
      <c r="F357" s="272"/>
      <c r="G357" s="258"/>
      <c r="H357" s="258"/>
      <c r="I357" s="258"/>
      <c r="J357" s="258"/>
      <c r="K357" s="258"/>
    </row>
    <row r="358" spans="1:11" ht="20.25">
      <c r="A358" s="258"/>
      <c r="B358" s="258"/>
      <c r="C358" s="258"/>
      <c r="D358" s="258"/>
      <c r="E358" s="269"/>
      <c r="F358" s="272"/>
      <c r="G358" s="258"/>
      <c r="H358" s="258"/>
      <c r="I358" s="258"/>
      <c r="J358" s="258"/>
      <c r="K358" s="258"/>
    </row>
    <row r="359" spans="1:11" ht="20.25">
      <c r="A359" s="258"/>
      <c r="B359" s="258"/>
      <c r="C359" s="258"/>
      <c r="D359" s="258"/>
      <c r="E359" s="269"/>
      <c r="F359" s="272"/>
      <c r="G359" s="258"/>
      <c r="H359" s="258"/>
      <c r="I359" s="258"/>
      <c r="J359" s="258"/>
      <c r="K359" s="258"/>
    </row>
    <row r="360" spans="1:11" ht="20.25">
      <c r="A360" s="258"/>
      <c r="B360" s="258"/>
      <c r="C360" s="258"/>
      <c r="D360" s="258"/>
      <c r="E360" s="269"/>
      <c r="F360" s="272"/>
      <c r="G360" s="258"/>
      <c r="H360" s="258"/>
      <c r="I360" s="258"/>
      <c r="J360" s="258"/>
      <c r="K360" s="258"/>
    </row>
    <row r="361" spans="1:11" ht="20.25">
      <c r="A361" s="258"/>
      <c r="B361" s="258"/>
      <c r="C361" s="258"/>
      <c r="D361" s="258"/>
      <c r="E361" s="269"/>
      <c r="F361" s="272"/>
      <c r="G361" s="258"/>
      <c r="H361" s="258"/>
      <c r="I361" s="258"/>
      <c r="J361" s="258"/>
      <c r="K361" s="258"/>
    </row>
    <row r="362" spans="1:11" ht="20.25">
      <c r="A362" s="258"/>
      <c r="B362" s="258"/>
      <c r="C362" s="258"/>
      <c r="D362" s="258"/>
      <c r="E362" s="269"/>
      <c r="F362" s="272"/>
      <c r="G362" s="258"/>
      <c r="H362" s="258"/>
      <c r="I362" s="258"/>
      <c r="J362" s="258"/>
      <c r="K362" s="258"/>
    </row>
    <row r="363" spans="1:11" ht="20.25">
      <c r="A363" s="258"/>
      <c r="B363" s="258"/>
      <c r="C363" s="258"/>
      <c r="D363" s="258"/>
      <c r="E363" s="269"/>
      <c r="F363" s="272"/>
      <c r="G363" s="258"/>
      <c r="H363" s="258"/>
      <c r="I363" s="258"/>
      <c r="J363" s="258"/>
      <c r="K363" s="258"/>
    </row>
    <row r="364" spans="1:11" ht="20.25">
      <c r="A364" s="258"/>
      <c r="B364" s="258"/>
      <c r="C364" s="258"/>
      <c r="D364" s="258"/>
      <c r="E364" s="269"/>
      <c r="F364" s="272"/>
      <c r="G364" s="258"/>
      <c r="H364" s="258"/>
      <c r="I364" s="258"/>
      <c r="J364" s="258"/>
      <c r="K364" s="258"/>
    </row>
    <row r="365" spans="1:11" ht="20.25">
      <c r="A365" s="258"/>
      <c r="B365" s="258"/>
      <c r="C365" s="258"/>
      <c r="D365" s="258"/>
      <c r="E365" s="269"/>
      <c r="F365" s="272"/>
      <c r="G365" s="258"/>
      <c r="H365" s="258"/>
      <c r="I365" s="258"/>
      <c r="J365" s="258"/>
      <c r="K365" s="258"/>
    </row>
    <row r="366" spans="1:11" ht="20.25">
      <c r="A366" s="258"/>
      <c r="B366" s="258"/>
      <c r="C366" s="258"/>
      <c r="D366" s="258"/>
      <c r="E366" s="269"/>
      <c r="F366" s="272"/>
      <c r="G366" s="258"/>
      <c r="H366" s="258"/>
      <c r="I366" s="258"/>
      <c r="J366" s="258"/>
      <c r="K366" s="258"/>
    </row>
    <row r="367" spans="1:11" ht="20.25">
      <c r="A367" s="258"/>
      <c r="B367" s="258"/>
      <c r="C367" s="258"/>
      <c r="D367" s="258"/>
      <c r="E367" s="269"/>
      <c r="F367" s="272"/>
      <c r="G367" s="258"/>
      <c r="H367" s="258"/>
      <c r="I367" s="258"/>
      <c r="J367" s="258"/>
      <c r="K367" s="258"/>
    </row>
    <row r="368" spans="1:11" ht="20.25">
      <c r="A368" s="258"/>
      <c r="B368" s="258"/>
      <c r="C368" s="258"/>
      <c r="D368" s="258"/>
      <c r="E368" s="269"/>
      <c r="F368" s="272"/>
      <c r="G368" s="258"/>
      <c r="H368" s="258"/>
      <c r="I368" s="258"/>
      <c r="J368" s="258"/>
      <c r="K368" s="258"/>
    </row>
    <row r="369" spans="1:11" ht="20.25">
      <c r="A369" s="258"/>
      <c r="B369" s="258"/>
      <c r="C369" s="258"/>
      <c r="D369" s="258"/>
      <c r="E369" s="269"/>
      <c r="F369" s="272"/>
      <c r="G369" s="258"/>
      <c r="H369" s="258"/>
      <c r="I369" s="258"/>
      <c r="J369" s="258"/>
      <c r="K369" s="258"/>
    </row>
    <row r="370" spans="1:11" ht="20.25">
      <c r="A370" s="258"/>
      <c r="B370" s="258"/>
      <c r="C370" s="258"/>
      <c r="D370" s="258"/>
      <c r="E370" s="269"/>
      <c r="F370" s="272"/>
      <c r="G370" s="258"/>
      <c r="H370" s="258"/>
      <c r="I370" s="258"/>
      <c r="J370" s="258"/>
      <c r="K370" s="258"/>
    </row>
    <row r="371" spans="1:11" ht="20.25">
      <c r="A371" s="258"/>
      <c r="B371" s="258"/>
      <c r="C371" s="258"/>
      <c r="D371" s="258"/>
      <c r="E371" s="269"/>
      <c r="F371" s="272"/>
      <c r="G371" s="258"/>
      <c r="H371" s="258"/>
      <c r="I371" s="258"/>
      <c r="J371" s="258"/>
      <c r="K371" s="258"/>
    </row>
    <row r="372" spans="1:11" ht="20.25">
      <c r="A372" s="258"/>
      <c r="B372" s="258"/>
      <c r="C372" s="258"/>
      <c r="D372" s="258"/>
      <c r="E372" s="269"/>
      <c r="F372" s="272"/>
      <c r="G372" s="258"/>
      <c r="H372" s="258"/>
      <c r="I372" s="258"/>
      <c r="J372" s="258"/>
      <c r="K372" s="258"/>
    </row>
    <row r="373" spans="1:11" ht="20.25">
      <c r="A373" s="258"/>
      <c r="B373" s="258"/>
      <c r="C373" s="258"/>
      <c r="D373" s="258"/>
      <c r="E373" s="269"/>
      <c r="F373" s="272"/>
      <c r="G373" s="258"/>
      <c r="H373" s="258"/>
      <c r="I373" s="258"/>
      <c r="J373" s="258"/>
      <c r="K373" s="258"/>
    </row>
    <row r="374" spans="1:11" ht="20.25">
      <c r="A374" s="258"/>
      <c r="B374" s="258"/>
      <c r="C374" s="258"/>
      <c r="D374" s="258"/>
      <c r="E374" s="269"/>
      <c r="F374" s="272"/>
      <c r="G374" s="258"/>
      <c r="H374" s="258"/>
      <c r="I374" s="258"/>
      <c r="J374" s="258"/>
      <c r="K374" s="258"/>
    </row>
    <row r="375" spans="1:11" ht="20.25">
      <c r="A375" s="258"/>
      <c r="B375" s="258"/>
      <c r="C375" s="258"/>
      <c r="D375" s="258"/>
      <c r="E375" s="269"/>
      <c r="F375" s="272"/>
      <c r="G375" s="258"/>
      <c r="H375" s="258"/>
      <c r="I375" s="258"/>
      <c r="J375" s="258"/>
      <c r="K375" s="258"/>
    </row>
    <row r="376" spans="1:11" ht="20.25">
      <c r="A376" s="258"/>
      <c r="B376" s="258"/>
      <c r="C376" s="258"/>
      <c r="D376" s="258"/>
      <c r="E376" s="269"/>
      <c r="F376" s="272"/>
      <c r="G376" s="258"/>
      <c r="H376" s="258"/>
      <c r="I376" s="258"/>
      <c r="J376" s="258"/>
      <c r="K376" s="258"/>
    </row>
    <row r="377" spans="1:11" ht="20.25">
      <c r="A377" s="258"/>
      <c r="B377" s="258"/>
      <c r="C377" s="258"/>
      <c r="D377" s="258"/>
      <c r="E377" s="269"/>
      <c r="F377" s="272"/>
      <c r="G377" s="258"/>
      <c r="H377" s="258"/>
      <c r="I377" s="258"/>
      <c r="J377" s="258"/>
      <c r="K377" s="258"/>
    </row>
    <row r="378" spans="1:11" ht="20.25">
      <c r="A378" s="258"/>
      <c r="B378" s="258"/>
      <c r="C378" s="258"/>
      <c r="D378" s="258"/>
      <c r="E378" s="269"/>
      <c r="F378" s="272"/>
      <c r="G378" s="258"/>
      <c r="H378" s="258"/>
      <c r="I378" s="258"/>
      <c r="J378" s="258"/>
      <c r="K378" s="258"/>
    </row>
    <row r="379" spans="1:11" ht="20.25">
      <c r="A379" s="258"/>
      <c r="B379" s="258"/>
      <c r="C379" s="258"/>
      <c r="D379" s="258"/>
      <c r="E379" s="269"/>
      <c r="F379" s="272"/>
      <c r="G379" s="258"/>
      <c r="H379" s="258"/>
      <c r="I379" s="258"/>
      <c r="J379" s="258"/>
      <c r="K379" s="258"/>
    </row>
    <row r="380" spans="1:11" ht="20.25">
      <c r="A380" s="258"/>
      <c r="B380" s="258"/>
      <c r="C380" s="258"/>
      <c r="D380" s="258"/>
      <c r="E380" s="269"/>
      <c r="F380" s="272"/>
      <c r="G380" s="258"/>
      <c r="H380" s="258"/>
      <c r="I380" s="258"/>
      <c r="J380" s="258"/>
      <c r="K380" s="258"/>
    </row>
    <row r="381" spans="1:11" ht="20.25">
      <c r="A381" s="258"/>
      <c r="B381" s="258"/>
      <c r="C381" s="258"/>
      <c r="D381" s="258"/>
      <c r="E381" s="269"/>
      <c r="F381" s="272"/>
      <c r="G381" s="258"/>
      <c r="H381" s="258"/>
      <c r="I381" s="258"/>
      <c r="J381" s="258"/>
      <c r="K381" s="258"/>
    </row>
    <row r="382" spans="1:11" ht="20.25">
      <c r="A382" s="258"/>
      <c r="B382" s="258"/>
      <c r="C382" s="258"/>
      <c r="D382" s="258"/>
      <c r="E382" s="269"/>
      <c r="F382" s="272"/>
      <c r="G382" s="258"/>
      <c r="H382" s="258"/>
      <c r="I382" s="258"/>
      <c r="J382" s="258"/>
      <c r="K382" s="258"/>
    </row>
    <row r="383" spans="1:11" ht="20.25">
      <c r="A383" s="258"/>
      <c r="B383" s="258"/>
      <c r="C383" s="258"/>
      <c r="D383" s="258"/>
      <c r="E383" s="269"/>
      <c r="F383" s="272"/>
      <c r="G383" s="258"/>
      <c r="H383" s="258"/>
      <c r="I383" s="258"/>
      <c r="J383" s="258"/>
      <c r="K383" s="258"/>
    </row>
    <row r="384" spans="1:11" ht="20.25">
      <c r="A384" s="258"/>
      <c r="B384" s="258"/>
      <c r="C384" s="258"/>
      <c r="D384" s="258"/>
      <c r="E384" s="269"/>
      <c r="F384" s="272"/>
      <c r="G384" s="258"/>
      <c r="H384" s="258"/>
      <c r="I384" s="258"/>
      <c r="J384" s="258"/>
      <c r="K384" s="258"/>
    </row>
    <row r="385" spans="1:11" ht="20.25">
      <c r="A385" s="258"/>
      <c r="B385" s="258"/>
      <c r="C385" s="258"/>
      <c r="D385" s="258"/>
      <c r="E385" s="269"/>
      <c r="F385" s="272"/>
      <c r="G385" s="258"/>
      <c r="H385" s="258"/>
      <c r="I385" s="258"/>
      <c r="J385" s="258"/>
      <c r="K385" s="258"/>
    </row>
    <row r="386" spans="1:11" ht="20.25">
      <c r="A386" s="258"/>
      <c r="B386" s="258"/>
      <c r="C386" s="258"/>
      <c r="D386" s="258"/>
      <c r="E386" s="269"/>
      <c r="F386" s="272"/>
      <c r="G386" s="258"/>
      <c r="H386" s="258"/>
      <c r="I386" s="258"/>
      <c r="J386" s="258"/>
      <c r="K386" s="258"/>
    </row>
    <row r="387" spans="1:11" ht="20.25">
      <c r="A387" s="258"/>
      <c r="B387" s="258"/>
      <c r="C387" s="258"/>
      <c r="D387" s="258"/>
      <c r="E387" s="269"/>
      <c r="F387" s="272"/>
      <c r="G387" s="258"/>
      <c r="H387" s="258"/>
      <c r="I387" s="258"/>
      <c r="J387" s="258"/>
      <c r="K387" s="258"/>
    </row>
    <row r="388" spans="1:11" ht="20.25">
      <c r="A388" s="258"/>
      <c r="B388" s="258"/>
      <c r="C388" s="258"/>
      <c r="D388" s="258"/>
      <c r="E388" s="269"/>
      <c r="F388" s="272"/>
      <c r="G388" s="258"/>
      <c r="H388" s="258"/>
      <c r="I388" s="258"/>
      <c r="J388" s="258"/>
      <c r="K388" s="258"/>
    </row>
    <row r="389" spans="1:11" ht="20.25">
      <c r="A389" s="258"/>
      <c r="B389" s="258"/>
      <c r="C389" s="258"/>
      <c r="D389" s="258"/>
      <c r="E389" s="269"/>
      <c r="F389" s="272"/>
      <c r="G389" s="258"/>
      <c r="H389" s="258"/>
      <c r="I389" s="258"/>
      <c r="J389" s="258"/>
      <c r="K389" s="258"/>
    </row>
    <row r="390" spans="1:11" ht="20.25">
      <c r="A390" s="258"/>
      <c r="B390" s="258"/>
      <c r="C390" s="258"/>
      <c r="D390" s="258"/>
      <c r="E390" s="269"/>
      <c r="F390" s="272"/>
      <c r="G390" s="258"/>
      <c r="H390" s="258"/>
      <c r="I390" s="258"/>
      <c r="J390" s="258"/>
      <c r="K390" s="258"/>
    </row>
    <row r="391" spans="1:11" ht="20.25">
      <c r="A391" s="258"/>
      <c r="B391" s="258"/>
      <c r="C391" s="258"/>
      <c r="D391" s="258"/>
      <c r="E391" s="269"/>
      <c r="F391" s="272"/>
      <c r="G391" s="258"/>
      <c r="H391" s="258"/>
      <c r="I391" s="258"/>
      <c r="J391" s="258"/>
      <c r="K391" s="258"/>
    </row>
    <row r="392" spans="1:11" ht="20.25">
      <c r="A392" s="258"/>
      <c r="B392" s="258"/>
      <c r="C392" s="258"/>
      <c r="D392" s="258"/>
      <c r="E392" s="269"/>
      <c r="F392" s="272"/>
      <c r="G392" s="258"/>
      <c r="H392" s="258"/>
      <c r="I392" s="258"/>
      <c r="J392" s="258"/>
      <c r="K392" s="258"/>
    </row>
    <row r="393" spans="1:11" ht="20.25">
      <c r="A393" s="258"/>
      <c r="B393" s="258"/>
      <c r="C393" s="258"/>
      <c r="D393" s="258"/>
      <c r="E393" s="269"/>
      <c r="F393" s="272"/>
      <c r="G393" s="258"/>
      <c r="H393" s="258"/>
      <c r="I393" s="258"/>
      <c r="J393" s="258"/>
      <c r="K393" s="258"/>
    </row>
    <row r="394" spans="1:11" ht="20.25">
      <c r="A394" s="258"/>
      <c r="B394" s="258"/>
      <c r="C394" s="258"/>
      <c r="D394" s="258"/>
      <c r="E394" s="269"/>
      <c r="F394" s="272"/>
      <c r="G394" s="258"/>
      <c r="H394" s="258"/>
      <c r="I394" s="258"/>
      <c r="J394" s="258"/>
      <c r="K394" s="258"/>
    </row>
    <row r="395" spans="1:11" ht="20.25">
      <c r="A395" s="258"/>
      <c r="B395" s="258"/>
      <c r="C395" s="258"/>
      <c r="D395" s="258"/>
      <c r="E395" s="269"/>
      <c r="F395" s="272"/>
      <c r="G395" s="258"/>
      <c r="H395" s="258"/>
      <c r="I395" s="258"/>
      <c r="J395" s="258"/>
      <c r="K395" s="258"/>
    </row>
    <row r="396" spans="1:11" ht="20.25">
      <c r="A396" s="258"/>
      <c r="B396" s="258"/>
      <c r="C396" s="258"/>
      <c r="D396" s="258"/>
      <c r="E396" s="269"/>
      <c r="F396" s="272"/>
      <c r="G396" s="258"/>
      <c r="H396" s="258"/>
      <c r="I396" s="258"/>
      <c r="J396" s="258"/>
      <c r="K396" s="258"/>
    </row>
    <row r="397" spans="1:11" ht="20.25">
      <c r="A397" s="258"/>
      <c r="B397" s="258"/>
      <c r="C397" s="258"/>
      <c r="D397" s="258"/>
      <c r="E397" s="269"/>
      <c r="F397" s="272"/>
      <c r="G397" s="258"/>
      <c r="H397" s="258"/>
      <c r="I397" s="258"/>
      <c r="J397" s="258"/>
      <c r="K397" s="258"/>
    </row>
    <row r="398" spans="1:11" ht="20.25">
      <c r="A398" s="258"/>
      <c r="B398" s="258"/>
      <c r="C398" s="258"/>
      <c r="D398" s="258"/>
      <c r="E398" s="269"/>
      <c r="F398" s="272"/>
      <c r="G398" s="258"/>
      <c r="H398" s="258"/>
      <c r="I398" s="258"/>
      <c r="J398" s="258"/>
      <c r="K398" s="258"/>
    </row>
    <row r="399" spans="1:11" ht="20.25">
      <c r="A399" s="258"/>
      <c r="B399" s="258"/>
      <c r="C399" s="258"/>
      <c r="D399" s="258"/>
      <c r="E399" s="269"/>
      <c r="F399" s="272"/>
      <c r="G399" s="258"/>
      <c r="H399" s="258"/>
      <c r="I399" s="258"/>
      <c r="J399" s="258"/>
      <c r="K399" s="258"/>
    </row>
    <row r="400" spans="1:11" ht="20.25">
      <c r="A400" s="258"/>
      <c r="B400" s="258"/>
      <c r="C400" s="258"/>
      <c r="D400" s="258"/>
      <c r="E400" s="269"/>
      <c r="F400" s="272"/>
      <c r="G400" s="258"/>
      <c r="H400" s="258"/>
      <c r="I400" s="258"/>
      <c r="J400" s="258"/>
      <c r="K400" s="258"/>
    </row>
    <row r="401" spans="1:11" ht="20.25">
      <c r="A401" s="258"/>
      <c r="B401" s="258"/>
      <c r="C401" s="258"/>
      <c r="D401" s="258"/>
      <c r="E401" s="269"/>
      <c r="F401" s="272"/>
      <c r="G401" s="258"/>
      <c r="H401" s="258"/>
      <c r="I401" s="258"/>
      <c r="J401" s="258"/>
      <c r="K401" s="258"/>
    </row>
    <row r="402" spans="1:11" ht="20.25">
      <c r="A402" s="258"/>
      <c r="B402" s="258"/>
      <c r="C402" s="258"/>
      <c r="D402" s="258"/>
      <c r="E402" s="269"/>
      <c r="F402" s="272"/>
      <c r="G402" s="258"/>
      <c r="H402" s="258"/>
      <c r="I402" s="258"/>
      <c r="J402" s="258"/>
      <c r="K402" s="258"/>
    </row>
    <row r="403" spans="1:11" ht="20.25">
      <c r="A403" s="258"/>
      <c r="B403" s="258"/>
      <c r="C403" s="258"/>
      <c r="D403" s="258"/>
      <c r="E403" s="269"/>
      <c r="F403" s="272"/>
      <c r="G403" s="258"/>
      <c r="H403" s="258"/>
      <c r="I403" s="258"/>
      <c r="J403" s="258"/>
      <c r="K403" s="258"/>
    </row>
    <row r="404" spans="1:11" ht="20.25">
      <c r="A404" s="258"/>
      <c r="B404" s="258"/>
      <c r="C404" s="258"/>
      <c r="D404" s="258"/>
      <c r="E404" s="269"/>
      <c r="F404" s="272"/>
      <c r="G404" s="258"/>
      <c r="H404" s="258"/>
      <c r="I404" s="258"/>
      <c r="J404" s="258"/>
      <c r="K404" s="258"/>
    </row>
    <row r="405" spans="1:11" ht="20.25">
      <c r="A405" s="258"/>
      <c r="B405" s="258"/>
      <c r="C405" s="258"/>
      <c r="D405" s="258"/>
      <c r="E405" s="269"/>
      <c r="F405" s="272"/>
      <c r="G405" s="258"/>
      <c r="H405" s="258"/>
      <c r="I405" s="258"/>
      <c r="J405" s="258"/>
      <c r="K405" s="258"/>
    </row>
    <row r="406" spans="1:11" ht="20.25">
      <c r="A406" s="258"/>
      <c r="B406" s="258"/>
      <c r="C406" s="258"/>
      <c r="D406" s="258"/>
      <c r="E406" s="269"/>
      <c r="F406" s="272"/>
      <c r="G406" s="258"/>
      <c r="H406" s="258"/>
      <c r="I406" s="258"/>
      <c r="J406" s="258"/>
      <c r="K406" s="258"/>
    </row>
    <row r="407" spans="1:11" ht="20.25">
      <c r="A407" s="258"/>
      <c r="B407" s="258"/>
      <c r="C407" s="258"/>
      <c r="D407" s="258"/>
      <c r="E407" s="269"/>
      <c r="F407" s="272"/>
      <c r="G407" s="258"/>
      <c r="H407" s="258"/>
      <c r="I407" s="258"/>
      <c r="J407" s="258"/>
      <c r="K407" s="258"/>
    </row>
    <row r="408" spans="1:11" ht="20.25">
      <c r="A408" s="258"/>
      <c r="B408" s="258"/>
      <c r="C408" s="258"/>
      <c r="D408" s="258"/>
      <c r="E408" s="269"/>
      <c r="F408" s="272"/>
      <c r="G408" s="258"/>
      <c r="H408" s="258"/>
      <c r="I408" s="258"/>
      <c r="J408" s="258"/>
      <c r="K408" s="258"/>
    </row>
    <row r="409" spans="1:11" ht="20.25">
      <c r="A409" s="258"/>
      <c r="B409" s="258"/>
      <c r="C409" s="258"/>
      <c r="D409" s="258"/>
      <c r="E409" s="269"/>
      <c r="F409" s="272"/>
      <c r="G409" s="258"/>
      <c r="H409" s="258"/>
      <c r="I409" s="258"/>
      <c r="J409" s="258"/>
      <c r="K409" s="258"/>
    </row>
    <row r="410" spans="1:11" ht="20.25">
      <c r="A410" s="258"/>
      <c r="B410" s="258"/>
      <c r="C410" s="258"/>
      <c r="D410" s="258"/>
      <c r="E410" s="269"/>
      <c r="F410" s="272"/>
      <c r="G410" s="258"/>
      <c r="H410" s="258"/>
      <c r="I410" s="258"/>
      <c r="J410" s="258"/>
      <c r="K410" s="258"/>
    </row>
    <row r="411" spans="1:11" ht="20.25">
      <c r="A411" s="258"/>
      <c r="B411" s="258"/>
      <c r="C411" s="258"/>
      <c r="D411" s="258"/>
      <c r="E411" s="269"/>
      <c r="F411" s="272"/>
      <c r="G411" s="258"/>
      <c r="H411" s="258"/>
      <c r="I411" s="258"/>
      <c r="J411" s="258"/>
      <c r="K411" s="258"/>
    </row>
    <row r="412" spans="1:11" ht="20.25">
      <c r="A412" s="258"/>
      <c r="B412" s="258"/>
      <c r="C412" s="258"/>
      <c r="D412" s="258"/>
      <c r="E412" s="269"/>
      <c r="F412" s="272"/>
      <c r="G412" s="258"/>
      <c r="H412" s="258"/>
      <c r="I412" s="258"/>
      <c r="J412" s="258"/>
      <c r="K412" s="258"/>
    </row>
    <row r="413" spans="1:11" ht="20.25">
      <c r="A413" s="258"/>
      <c r="B413" s="258"/>
      <c r="C413" s="258"/>
      <c r="D413" s="258"/>
      <c r="E413" s="269"/>
      <c r="F413" s="272"/>
      <c r="G413" s="258"/>
      <c r="H413" s="258"/>
      <c r="I413" s="258"/>
      <c r="J413" s="258"/>
      <c r="K413" s="258"/>
    </row>
    <row r="414" spans="1:11" ht="20.25">
      <c r="A414" s="258"/>
      <c r="B414" s="258"/>
      <c r="C414" s="258"/>
      <c r="D414" s="258"/>
      <c r="E414" s="269"/>
      <c r="F414" s="272"/>
      <c r="G414" s="258"/>
      <c r="H414" s="258"/>
      <c r="I414" s="258"/>
      <c r="J414" s="258"/>
      <c r="K414" s="258"/>
    </row>
    <row r="415" spans="1:11" ht="20.25">
      <c r="A415" s="258"/>
      <c r="B415" s="258"/>
      <c r="C415" s="258"/>
      <c r="D415" s="258"/>
      <c r="E415" s="269"/>
      <c r="F415" s="272"/>
      <c r="G415" s="258"/>
      <c r="H415" s="258"/>
      <c r="I415" s="258"/>
      <c r="J415" s="258"/>
      <c r="K415" s="258"/>
    </row>
    <row r="416" spans="1:11" ht="20.25">
      <c r="A416" s="258"/>
      <c r="B416" s="258"/>
      <c r="C416" s="258"/>
      <c r="D416" s="258"/>
      <c r="E416" s="269"/>
      <c r="F416" s="272"/>
      <c r="G416" s="258"/>
      <c r="H416" s="258"/>
      <c r="I416" s="258"/>
      <c r="J416" s="258"/>
      <c r="K416" s="258"/>
    </row>
    <row r="417" spans="1:11" ht="20.25">
      <c r="A417" s="258"/>
      <c r="B417" s="258"/>
      <c r="C417" s="258"/>
      <c r="D417" s="258"/>
      <c r="E417" s="269"/>
      <c r="F417" s="272"/>
      <c r="G417" s="258"/>
      <c r="H417" s="258"/>
      <c r="I417" s="258"/>
      <c r="J417" s="258"/>
      <c r="K417" s="258"/>
    </row>
    <row r="418" spans="1:11" ht="20.25">
      <c r="A418" s="258"/>
      <c r="B418" s="258"/>
      <c r="C418" s="258"/>
      <c r="D418" s="258"/>
      <c r="E418" s="269"/>
      <c r="F418" s="272"/>
      <c r="G418" s="258"/>
      <c r="H418" s="258"/>
      <c r="I418" s="258"/>
      <c r="J418" s="258"/>
      <c r="K418" s="258"/>
    </row>
    <row r="419" spans="1:11" ht="20.25">
      <c r="A419" s="258"/>
      <c r="B419" s="258"/>
      <c r="C419" s="258"/>
      <c r="D419" s="258"/>
      <c r="E419" s="269"/>
      <c r="F419" s="272"/>
      <c r="G419" s="258"/>
      <c r="H419" s="258"/>
      <c r="I419" s="258"/>
      <c r="J419" s="258"/>
      <c r="K419" s="258"/>
    </row>
    <row r="420" spans="1:11" ht="20.25">
      <c r="A420" s="258"/>
      <c r="B420" s="258"/>
      <c r="C420" s="258"/>
      <c r="D420" s="258"/>
      <c r="E420" s="269"/>
      <c r="F420" s="272"/>
      <c r="G420" s="258"/>
      <c r="H420" s="258"/>
      <c r="I420" s="258"/>
      <c r="J420" s="258"/>
      <c r="K420" s="258"/>
    </row>
    <row r="421" spans="1:11" ht="20.25">
      <c r="A421" s="258"/>
      <c r="B421" s="258"/>
      <c r="C421" s="258"/>
      <c r="D421" s="258"/>
      <c r="E421" s="269"/>
      <c r="F421" s="272"/>
      <c r="G421" s="258"/>
      <c r="H421" s="258"/>
      <c r="I421" s="258"/>
      <c r="J421" s="258"/>
      <c r="K421" s="258"/>
    </row>
    <row r="422" spans="1:11" ht="20.25">
      <c r="A422" s="258"/>
      <c r="B422" s="258"/>
      <c r="C422" s="258"/>
      <c r="D422" s="258"/>
      <c r="E422" s="269"/>
      <c r="F422" s="272"/>
      <c r="G422" s="258"/>
      <c r="H422" s="258"/>
      <c r="I422" s="258"/>
      <c r="J422" s="258"/>
      <c r="K422" s="258"/>
    </row>
    <row r="423" spans="1:11" ht="20.25">
      <c r="A423" s="258"/>
      <c r="B423" s="258"/>
      <c r="C423" s="258"/>
      <c r="D423" s="258"/>
      <c r="E423" s="269"/>
      <c r="F423" s="272"/>
      <c r="G423" s="258"/>
      <c r="H423" s="258"/>
      <c r="I423" s="258"/>
      <c r="J423" s="258"/>
      <c r="K423" s="258"/>
    </row>
    <row r="424" spans="1:11" ht="20.25">
      <c r="A424" s="258"/>
      <c r="B424" s="258"/>
      <c r="C424" s="258"/>
      <c r="D424" s="258"/>
      <c r="E424" s="269"/>
      <c r="F424" s="272"/>
      <c r="G424" s="258"/>
      <c r="H424" s="258"/>
      <c r="I424" s="258"/>
      <c r="J424" s="258"/>
      <c r="K424" s="258"/>
    </row>
    <row r="425" spans="1:11" ht="20.25">
      <c r="A425" s="258"/>
      <c r="B425" s="258"/>
      <c r="C425" s="258"/>
      <c r="D425" s="258"/>
      <c r="E425" s="269"/>
      <c r="F425" s="272"/>
      <c r="G425" s="258"/>
      <c r="H425" s="258"/>
      <c r="I425" s="258"/>
      <c r="J425" s="258"/>
      <c r="K425" s="258"/>
    </row>
    <row r="426" spans="1:11" ht="20.25">
      <c r="A426" s="258"/>
      <c r="B426" s="258"/>
      <c r="C426" s="258"/>
      <c r="D426" s="258"/>
      <c r="E426" s="269"/>
      <c r="F426" s="272"/>
      <c r="G426" s="258"/>
      <c r="H426" s="258"/>
      <c r="I426" s="258"/>
      <c r="J426" s="258"/>
      <c r="K426" s="258"/>
    </row>
    <row r="427" spans="1:11" ht="20.25">
      <c r="A427" s="258"/>
      <c r="B427" s="258"/>
      <c r="C427" s="258"/>
      <c r="D427" s="258"/>
      <c r="E427" s="269"/>
      <c r="F427" s="272"/>
      <c r="G427" s="258"/>
      <c r="H427" s="258"/>
      <c r="I427" s="258"/>
      <c r="J427" s="258"/>
      <c r="K427" s="258"/>
    </row>
    <row r="428" spans="1:11" ht="20.25">
      <c r="A428" s="258"/>
      <c r="B428" s="258"/>
      <c r="C428" s="258"/>
      <c r="D428" s="258"/>
      <c r="E428" s="269"/>
      <c r="F428" s="272"/>
      <c r="G428" s="258"/>
      <c r="H428" s="258"/>
      <c r="I428" s="258"/>
      <c r="J428" s="258"/>
      <c r="K428" s="258"/>
    </row>
    <row r="429" spans="1:11" ht="20.25">
      <c r="A429" s="258"/>
      <c r="B429" s="258"/>
      <c r="C429" s="258"/>
      <c r="D429" s="258"/>
      <c r="E429" s="269"/>
      <c r="F429" s="272"/>
      <c r="G429" s="258"/>
      <c r="H429" s="258"/>
      <c r="I429" s="258"/>
      <c r="J429" s="258"/>
      <c r="K429" s="258"/>
    </row>
    <row r="430" spans="1:11" ht="20.25">
      <c r="A430" s="258"/>
      <c r="B430" s="258"/>
      <c r="C430" s="258"/>
      <c r="D430" s="258"/>
      <c r="E430" s="269"/>
      <c r="F430" s="272"/>
      <c r="G430" s="258"/>
      <c r="H430" s="258"/>
      <c r="I430" s="258"/>
      <c r="J430" s="258"/>
      <c r="K430" s="258"/>
    </row>
    <row r="431" spans="1:11" ht="20.25">
      <c r="A431" s="258"/>
      <c r="B431" s="258"/>
      <c r="C431" s="258"/>
      <c r="D431" s="258"/>
      <c r="E431" s="269"/>
      <c r="F431" s="272"/>
      <c r="G431" s="258"/>
      <c r="H431" s="258"/>
      <c r="I431" s="258"/>
      <c r="J431" s="258"/>
      <c r="K431" s="258"/>
    </row>
    <row r="432" spans="1:11" ht="20.25">
      <c r="A432" s="258"/>
      <c r="B432" s="258"/>
      <c r="C432" s="258"/>
      <c r="D432" s="258"/>
      <c r="E432" s="269"/>
      <c r="F432" s="272"/>
      <c r="G432" s="258"/>
      <c r="H432" s="258"/>
      <c r="I432" s="258"/>
      <c r="J432" s="258"/>
      <c r="K432" s="258"/>
    </row>
    <row r="433" spans="1:11" ht="20.25">
      <c r="A433" s="258"/>
      <c r="B433" s="258"/>
      <c r="C433" s="258"/>
      <c r="D433" s="258"/>
      <c r="E433" s="269"/>
      <c r="F433" s="272"/>
      <c r="G433" s="258"/>
      <c r="H433" s="258"/>
      <c r="I433" s="258"/>
      <c r="J433" s="258"/>
      <c r="K433" s="258"/>
    </row>
    <row r="434" spans="1:11" ht="20.25">
      <c r="A434" s="258"/>
      <c r="B434" s="258"/>
      <c r="C434" s="258"/>
      <c r="D434" s="258"/>
      <c r="E434" s="269"/>
      <c r="F434" s="272"/>
      <c r="G434" s="258"/>
      <c r="H434" s="258"/>
      <c r="I434" s="258"/>
      <c r="J434" s="258"/>
      <c r="K434" s="258"/>
    </row>
    <row r="435" spans="1:11" ht="20.25">
      <c r="A435" s="258"/>
      <c r="B435" s="258"/>
      <c r="C435" s="258"/>
      <c r="D435" s="258"/>
      <c r="E435" s="269"/>
      <c r="F435" s="272"/>
      <c r="G435" s="258"/>
      <c r="H435" s="258"/>
      <c r="I435" s="258"/>
      <c r="J435" s="258"/>
      <c r="K435" s="258"/>
    </row>
    <row r="436" spans="1:11" ht="20.25">
      <c r="A436" s="258"/>
      <c r="B436" s="258"/>
      <c r="C436" s="258"/>
      <c r="D436" s="258"/>
      <c r="E436" s="269"/>
      <c r="F436" s="272"/>
      <c r="G436" s="258"/>
      <c r="H436" s="258"/>
      <c r="I436" s="258"/>
      <c r="J436" s="258"/>
      <c r="K436" s="258"/>
    </row>
    <row r="437" spans="1:11" ht="20.25">
      <c r="A437" s="258"/>
      <c r="B437" s="258"/>
      <c r="C437" s="258"/>
      <c r="D437" s="258"/>
      <c r="E437" s="269"/>
      <c r="F437" s="272"/>
      <c r="G437" s="258"/>
      <c r="H437" s="258"/>
      <c r="I437" s="258"/>
      <c r="J437" s="258"/>
      <c r="K437" s="258"/>
    </row>
    <row r="438" spans="1:11" ht="20.25">
      <c r="A438" s="258"/>
      <c r="B438" s="258"/>
      <c r="C438" s="258"/>
      <c r="D438" s="258"/>
      <c r="E438" s="269"/>
      <c r="F438" s="272"/>
      <c r="G438" s="258"/>
      <c r="H438" s="258"/>
      <c r="I438" s="258"/>
      <c r="J438" s="258"/>
      <c r="K438" s="258"/>
    </row>
    <row r="439" spans="1:11" ht="20.25">
      <c r="A439" s="258"/>
      <c r="B439" s="258"/>
      <c r="C439" s="258"/>
      <c r="D439" s="258"/>
      <c r="E439" s="269"/>
      <c r="F439" s="272"/>
      <c r="G439" s="258"/>
      <c r="H439" s="258"/>
      <c r="I439" s="258"/>
      <c r="J439" s="258"/>
      <c r="K439" s="258"/>
    </row>
    <row r="440" spans="1:11" ht="20.25">
      <c r="A440" s="258"/>
      <c r="B440" s="258"/>
      <c r="C440" s="258"/>
      <c r="D440" s="258"/>
      <c r="E440" s="269"/>
      <c r="F440" s="272"/>
      <c r="G440" s="258"/>
      <c r="H440" s="258"/>
      <c r="I440" s="258"/>
      <c r="J440" s="258"/>
      <c r="K440" s="258"/>
    </row>
    <row r="441" spans="1:11" ht="20.25">
      <c r="A441" s="258"/>
      <c r="B441" s="258"/>
      <c r="C441" s="258"/>
      <c r="D441" s="258"/>
      <c r="E441" s="269"/>
      <c r="F441" s="272"/>
      <c r="G441" s="258"/>
      <c r="H441" s="258"/>
      <c r="I441" s="258"/>
      <c r="J441" s="258"/>
      <c r="K441" s="258"/>
    </row>
    <row r="442" spans="1:11" ht="20.25">
      <c r="A442" s="258"/>
      <c r="B442" s="258"/>
      <c r="C442" s="258"/>
      <c r="D442" s="258"/>
      <c r="E442" s="269"/>
      <c r="F442" s="272"/>
      <c r="G442" s="258"/>
      <c r="H442" s="258"/>
      <c r="I442" s="258"/>
      <c r="J442" s="258"/>
      <c r="K442" s="258"/>
    </row>
    <row r="443" spans="1:11" ht="20.25">
      <c r="A443" s="258"/>
      <c r="B443" s="258"/>
      <c r="C443" s="258"/>
      <c r="D443" s="258"/>
      <c r="E443" s="269"/>
      <c r="F443" s="272"/>
      <c r="G443" s="258"/>
      <c r="H443" s="258"/>
      <c r="I443" s="258"/>
      <c r="J443" s="258"/>
      <c r="K443" s="258"/>
    </row>
    <row r="444" spans="1:11" ht="20.25">
      <c r="A444" s="258"/>
      <c r="B444" s="258"/>
      <c r="C444" s="258"/>
      <c r="D444" s="258"/>
      <c r="E444" s="269"/>
      <c r="F444" s="272"/>
      <c r="G444" s="258"/>
      <c r="H444" s="258"/>
      <c r="I444" s="258"/>
      <c r="J444" s="258"/>
      <c r="K444" s="258"/>
    </row>
    <row r="445" spans="1:11" ht="20.25">
      <c r="A445" s="258"/>
      <c r="B445" s="258"/>
      <c r="C445" s="258"/>
      <c r="D445" s="258"/>
      <c r="E445" s="269"/>
      <c r="F445" s="272"/>
      <c r="G445" s="258"/>
      <c r="H445" s="258"/>
      <c r="I445" s="258"/>
      <c r="J445" s="258"/>
      <c r="K445" s="258"/>
    </row>
    <row r="446" spans="1:11" ht="20.25">
      <c r="A446" s="258"/>
      <c r="B446" s="258"/>
      <c r="C446" s="258"/>
      <c r="D446" s="258"/>
      <c r="E446" s="269"/>
      <c r="F446" s="272"/>
      <c r="G446" s="258"/>
      <c r="H446" s="258"/>
      <c r="I446" s="258"/>
      <c r="J446" s="258"/>
      <c r="K446" s="258"/>
    </row>
    <row r="447" spans="1:11" ht="20.25">
      <c r="A447" s="258"/>
      <c r="B447" s="258"/>
      <c r="C447" s="258"/>
      <c r="D447" s="258"/>
      <c r="E447" s="269"/>
      <c r="F447" s="272"/>
      <c r="G447" s="258"/>
      <c r="H447" s="258"/>
      <c r="I447" s="258"/>
      <c r="J447" s="258"/>
      <c r="K447" s="258"/>
    </row>
    <row r="448" spans="1:11" ht="20.25">
      <c r="A448" s="258"/>
      <c r="B448" s="258"/>
      <c r="C448" s="258"/>
      <c r="D448" s="258"/>
      <c r="E448" s="269"/>
      <c r="F448" s="272"/>
      <c r="G448" s="258"/>
      <c r="H448" s="258"/>
      <c r="I448" s="258"/>
      <c r="J448" s="258"/>
      <c r="K448" s="258"/>
    </row>
    <row r="449" spans="1:11" ht="20.25">
      <c r="A449" s="258"/>
      <c r="B449" s="258"/>
      <c r="C449" s="258"/>
      <c r="D449" s="258"/>
      <c r="E449" s="269"/>
      <c r="F449" s="272"/>
      <c r="G449" s="258"/>
      <c r="H449" s="258"/>
      <c r="I449" s="258"/>
      <c r="J449" s="258"/>
      <c r="K449" s="258"/>
    </row>
    <row r="450" spans="1:11" ht="20.25">
      <c r="A450" s="258"/>
      <c r="B450" s="258"/>
      <c r="C450" s="258"/>
      <c r="D450" s="258"/>
      <c r="E450" s="269"/>
      <c r="F450" s="272"/>
      <c r="G450" s="258"/>
      <c r="H450" s="258"/>
      <c r="I450" s="258"/>
      <c r="J450" s="258"/>
      <c r="K450" s="258"/>
    </row>
    <row r="451" spans="1:11" ht="20.25">
      <c r="A451" s="258"/>
      <c r="B451" s="258"/>
      <c r="C451" s="258"/>
      <c r="D451" s="258"/>
      <c r="E451" s="269"/>
      <c r="F451" s="272"/>
      <c r="G451" s="258"/>
      <c r="H451" s="258"/>
      <c r="I451" s="258"/>
      <c r="J451" s="258"/>
      <c r="K451" s="258"/>
    </row>
    <row r="452" spans="1:11" ht="20.25">
      <c r="A452" s="258"/>
      <c r="B452" s="258"/>
      <c r="C452" s="258"/>
      <c r="D452" s="258"/>
      <c r="E452" s="269"/>
      <c r="F452" s="272"/>
      <c r="G452" s="258"/>
      <c r="H452" s="258"/>
      <c r="I452" s="258"/>
      <c r="J452" s="258"/>
      <c r="K452" s="258"/>
    </row>
    <row r="453" spans="1:11" ht="20.25">
      <c r="A453" s="258"/>
      <c r="B453" s="258"/>
      <c r="C453" s="258"/>
      <c r="D453" s="258"/>
      <c r="E453" s="269"/>
      <c r="F453" s="272"/>
      <c r="G453" s="258"/>
      <c r="H453" s="258"/>
      <c r="I453" s="258"/>
      <c r="J453" s="258"/>
      <c r="K453" s="258"/>
    </row>
    <row r="454" spans="1:11" ht="20.25">
      <c r="A454" s="258"/>
      <c r="B454" s="258"/>
      <c r="C454" s="258"/>
      <c r="D454" s="258"/>
      <c r="E454" s="269"/>
      <c r="F454" s="272"/>
      <c r="G454" s="258"/>
      <c r="H454" s="258"/>
      <c r="I454" s="258"/>
      <c r="J454" s="258"/>
      <c r="K454" s="258"/>
    </row>
    <row r="455" spans="1:11" ht="20.25">
      <c r="A455" s="258"/>
      <c r="B455" s="258"/>
      <c r="C455" s="258"/>
      <c r="D455" s="258"/>
      <c r="E455" s="269"/>
      <c r="F455" s="272"/>
      <c r="G455" s="258"/>
      <c r="H455" s="258"/>
      <c r="I455" s="258"/>
      <c r="J455" s="258"/>
      <c r="K455" s="258"/>
    </row>
    <row r="456" spans="1:11" ht="20.25">
      <c r="A456" s="258"/>
      <c r="B456" s="258"/>
      <c r="C456" s="258"/>
      <c r="D456" s="258"/>
      <c r="E456" s="269"/>
      <c r="F456" s="272"/>
      <c r="G456" s="258"/>
      <c r="H456" s="258"/>
      <c r="I456" s="258"/>
      <c r="J456" s="258"/>
      <c r="K456" s="258"/>
    </row>
    <row r="457" spans="1:11" ht="20.25">
      <c r="A457" s="258"/>
      <c r="B457" s="258"/>
      <c r="C457" s="258"/>
      <c r="D457" s="258"/>
      <c r="E457" s="269"/>
      <c r="F457" s="272"/>
      <c r="G457" s="258"/>
      <c r="H457" s="258"/>
      <c r="I457" s="258"/>
      <c r="J457" s="258"/>
      <c r="K457" s="258"/>
    </row>
    <row r="458" spans="1:11" ht="20.25">
      <c r="A458" s="258"/>
      <c r="B458" s="258"/>
      <c r="C458" s="258"/>
      <c r="D458" s="258"/>
      <c r="E458" s="269"/>
      <c r="F458" s="272"/>
      <c r="G458" s="258"/>
      <c r="H458" s="258"/>
      <c r="I458" s="258"/>
      <c r="J458" s="258"/>
      <c r="K458" s="258"/>
    </row>
    <row r="459" spans="1:11" ht="20.25">
      <c r="A459" s="258"/>
      <c r="B459" s="258"/>
      <c r="C459" s="258"/>
      <c r="D459" s="258"/>
      <c r="E459" s="269"/>
      <c r="F459" s="272"/>
      <c r="G459" s="258"/>
      <c r="H459" s="258"/>
      <c r="I459" s="258"/>
      <c r="J459" s="258"/>
      <c r="K459" s="258"/>
    </row>
    <row r="460" spans="1:11" ht="20.25">
      <c r="A460" s="258"/>
      <c r="B460" s="258"/>
      <c r="C460" s="258"/>
      <c r="D460" s="258"/>
      <c r="E460" s="269"/>
      <c r="F460" s="272"/>
      <c r="G460" s="258"/>
      <c r="H460" s="258"/>
      <c r="I460" s="258"/>
      <c r="J460" s="258"/>
      <c r="K460" s="258"/>
    </row>
    <row r="461" spans="1:11" ht="20.25">
      <c r="A461" s="258"/>
      <c r="B461" s="258"/>
      <c r="C461" s="258"/>
      <c r="D461" s="258"/>
      <c r="E461" s="269"/>
      <c r="F461" s="272"/>
      <c r="G461" s="258"/>
      <c r="H461" s="258"/>
      <c r="I461" s="258"/>
      <c r="J461" s="258"/>
      <c r="K461" s="258"/>
    </row>
    <row r="462" spans="1:11" ht="20.25">
      <c r="A462" s="258"/>
      <c r="B462" s="258"/>
      <c r="C462" s="258"/>
      <c r="D462" s="258"/>
      <c r="E462" s="269"/>
      <c r="F462" s="272"/>
      <c r="G462" s="258"/>
      <c r="H462" s="258"/>
      <c r="I462" s="258"/>
      <c r="J462" s="258"/>
      <c r="K462" s="258"/>
    </row>
    <row r="463" spans="1:11" ht="20.25">
      <c r="A463" s="258"/>
      <c r="B463" s="258"/>
      <c r="C463" s="258"/>
      <c r="D463" s="258"/>
      <c r="E463" s="269"/>
      <c r="F463" s="272"/>
      <c r="G463" s="258"/>
      <c r="H463" s="258"/>
      <c r="I463" s="258"/>
      <c r="J463" s="258"/>
      <c r="K463" s="258"/>
    </row>
    <row r="464" spans="1:11" ht="20.25">
      <c r="A464" s="258"/>
      <c r="B464" s="258"/>
      <c r="C464" s="258"/>
      <c r="D464" s="258"/>
      <c r="E464" s="269"/>
      <c r="F464" s="272"/>
      <c r="G464" s="258"/>
      <c r="H464" s="258"/>
      <c r="I464" s="258"/>
      <c r="J464" s="258"/>
      <c r="K464" s="258"/>
    </row>
    <row r="465" spans="1:11" ht="20.25">
      <c r="A465" s="258"/>
      <c r="B465" s="258"/>
      <c r="C465" s="258"/>
      <c r="D465" s="258"/>
      <c r="E465" s="269"/>
      <c r="F465" s="272"/>
      <c r="G465" s="258"/>
      <c r="H465" s="258"/>
      <c r="I465" s="258"/>
      <c r="J465" s="258"/>
      <c r="K465" s="258"/>
    </row>
    <row r="466" spans="1:11" ht="20.25">
      <c r="A466" s="258"/>
      <c r="B466" s="258"/>
      <c r="C466" s="258"/>
      <c r="D466" s="258"/>
      <c r="E466" s="269"/>
      <c r="F466" s="272"/>
      <c r="G466" s="258"/>
      <c r="H466" s="258"/>
      <c r="I466" s="258"/>
      <c r="J466" s="258"/>
      <c r="K466" s="258"/>
    </row>
    <row r="467" spans="1:11" ht="20.25">
      <c r="A467" s="258"/>
      <c r="B467" s="258"/>
      <c r="C467" s="258"/>
      <c r="D467" s="258"/>
      <c r="E467" s="269"/>
      <c r="F467" s="272"/>
      <c r="G467" s="258"/>
      <c r="H467" s="258"/>
      <c r="I467" s="258"/>
      <c r="J467" s="258"/>
      <c r="K467" s="258"/>
    </row>
    <row r="468" spans="1:11" ht="20.25">
      <c r="A468" s="258"/>
      <c r="B468" s="258"/>
      <c r="C468" s="258"/>
      <c r="D468" s="258"/>
      <c r="E468" s="269"/>
      <c r="F468" s="272"/>
      <c r="G468" s="258"/>
      <c r="H468" s="258"/>
      <c r="I468" s="258"/>
      <c r="J468" s="258"/>
      <c r="K468" s="258"/>
    </row>
    <row r="469" spans="1:11" ht="20.25">
      <c r="A469" s="258"/>
      <c r="B469" s="258"/>
      <c r="C469" s="258"/>
      <c r="D469" s="258"/>
      <c r="E469" s="269"/>
      <c r="F469" s="272"/>
      <c r="G469" s="258"/>
      <c r="H469" s="258"/>
      <c r="I469" s="258"/>
      <c r="J469" s="258"/>
      <c r="K469" s="258"/>
    </row>
    <row r="470" spans="1:11" ht="20.25">
      <c r="A470" s="258"/>
      <c r="B470" s="258"/>
      <c r="C470" s="258"/>
      <c r="D470" s="258"/>
      <c r="E470" s="269"/>
      <c r="F470" s="272"/>
      <c r="G470" s="258"/>
      <c r="H470" s="258"/>
      <c r="I470" s="258"/>
      <c r="J470" s="258"/>
      <c r="K470" s="258"/>
    </row>
    <row r="471" spans="1:11" ht="20.25">
      <c r="A471" s="258"/>
      <c r="B471" s="258"/>
      <c r="C471" s="258"/>
      <c r="D471" s="258"/>
      <c r="E471" s="269"/>
      <c r="F471" s="272"/>
      <c r="G471" s="258"/>
      <c r="H471" s="258"/>
      <c r="I471" s="258"/>
      <c r="J471" s="258"/>
      <c r="K471" s="258"/>
    </row>
    <row r="472" spans="1:11" ht="20.25">
      <c r="A472" s="258"/>
      <c r="B472" s="258"/>
      <c r="C472" s="258"/>
      <c r="D472" s="258"/>
      <c r="E472" s="269"/>
      <c r="F472" s="272"/>
      <c r="G472" s="258"/>
      <c r="H472" s="258"/>
      <c r="I472" s="258"/>
      <c r="J472" s="258"/>
      <c r="K472" s="258"/>
    </row>
    <row r="473" spans="1:11" ht="20.25">
      <c r="A473" s="258"/>
      <c r="B473" s="258"/>
      <c r="C473" s="258"/>
      <c r="D473" s="258"/>
      <c r="E473" s="269"/>
      <c r="F473" s="272"/>
      <c r="G473" s="258"/>
      <c r="H473" s="258"/>
      <c r="I473" s="258"/>
      <c r="J473" s="258"/>
      <c r="K473" s="258"/>
    </row>
    <row r="474" spans="1:11" ht="20.25">
      <c r="A474" s="258"/>
      <c r="B474" s="258"/>
      <c r="C474" s="258"/>
      <c r="D474" s="258"/>
      <c r="E474" s="269"/>
      <c r="F474" s="272"/>
      <c r="G474" s="258"/>
      <c r="H474" s="258"/>
      <c r="I474" s="258"/>
      <c r="J474" s="258"/>
      <c r="K474" s="258"/>
    </row>
    <row r="475" spans="1:11" ht="20.25">
      <c r="A475" s="258"/>
      <c r="B475" s="258"/>
      <c r="C475" s="258"/>
      <c r="D475" s="258"/>
      <c r="E475" s="269"/>
      <c r="F475" s="272"/>
      <c r="G475" s="258"/>
      <c r="H475" s="258"/>
      <c r="I475" s="258"/>
      <c r="J475" s="258"/>
      <c r="K475" s="258"/>
    </row>
    <row r="476" spans="1:11" ht="20.25">
      <c r="A476" s="258"/>
      <c r="B476" s="258"/>
      <c r="C476" s="258"/>
      <c r="D476" s="258"/>
      <c r="E476" s="269"/>
      <c r="F476" s="272"/>
      <c r="G476" s="258"/>
      <c r="H476" s="258"/>
      <c r="I476" s="258"/>
      <c r="J476" s="258"/>
      <c r="K476" s="258"/>
    </row>
    <row r="477" spans="1:11" ht="20.25">
      <c r="A477" s="258"/>
      <c r="B477" s="258"/>
      <c r="C477" s="258"/>
      <c r="D477" s="258"/>
      <c r="E477" s="269"/>
      <c r="F477" s="272"/>
      <c r="G477" s="258"/>
      <c r="H477" s="258"/>
      <c r="I477" s="258"/>
      <c r="J477" s="258"/>
      <c r="K477" s="258"/>
    </row>
    <row r="478" spans="1:11" ht="20.25">
      <c r="A478" s="258"/>
      <c r="B478" s="258"/>
      <c r="C478" s="258"/>
      <c r="D478" s="258"/>
      <c r="E478" s="269"/>
      <c r="F478" s="272"/>
      <c r="G478" s="258"/>
      <c r="H478" s="258"/>
      <c r="I478" s="258"/>
      <c r="J478" s="258"/>
      <c r="K478" s="258"/>
    </row>
    <row r="479" spans="1:11" ht="20.25">
      <c r="A479" s="258"/>
      <c r="B479" s="258"/>
      <c r="C479" s="258"/>
      <c r="D479" s="258"/>
      <c r="E479" s="269"/>
      <c r="F479" s="272"/>
      <c r="G479" s="258"/>
      <c r="H479" s="258"/>
      <c r="I479" s="258"/>
      <c r="J479" s="258"/>
      <c r="K479" s="258"/>
    </row>
    <row r="480" spans="1:11" ht="20.25">
      <c r="A480" s="258"/>
      <c r="B480" s="258"/>
      <c r="C480" s="258"/>
      <c r="D480" s="258"/>
      <c r="E480" s="269"/>
      <c r="F480" s="272"/>
      <c r="G480" s="258"/>
      <c r="H480" s="258"/>
      <c r="I480" s="258"/>
      <c r="J480" s="258"/>
      <c r="K480" s="258"/>
    </row>
    <row r="481" spans="1:11" ht="20.25">
      <c r="A481" s="258"/>
      <c r="B481" s="258"/>
      <c r="C481" s="258"/>
      <c r="D481" s="258"/>
      <c r="E481" s="269"/>
      <c r="F481" s="272"/>
      <c r="G481" s="258"/>
      <c r="H481" s="258"/>
      <c r="I481" s="258"/>
      <c r="J481" s="258"/>
      <c r="K481" s="258"/>
    </row>
    <row r="482" spans="1:11" ht="20.25">
      <c r="A482" s="258"/>
      <c r="B482" s="258"/>
      <c r="C482" s="258"/>
      <c r="D482" s="258"/>
      <c r="E482" s="269"/>
      <c r="F482" s="272"/>
      <c r="G482" s="258"/>
      <c r="H482" s="258"/>
      <c r="I482" s="258"/>
      <c r="J482" s="258"/>
      <c r="K482" s="258"/>
    </row>
    <row r="483" spans="1:11" ht="20.25">
      <c r="A483" s="258"/>
      <c r="B483" s="258"/>
      <c r="C483" s="258"/>
      <c r="D483" s="258"/>
      <c r="E483" s="269"/>
      <c r="F483" s="272"/>
      <c r="G483" s="258"/>
      <c r="H483" s="258"/>
      <c r="I483" s="258"/>
      <c r="J483" s="258"/>
      <c r="K483" s="258"/>
    </row>
    <row r="484" spans="1:11" ht="20.25">
      <c r="A484" s="258"/>
      <c r="B484" s="258"/>
      <c r="C484" s="258"/>
      <c r="D484" s="258"/>
      <c r="E484" s="269"/>
      <c r="F484" s="272"/>
      <c r="G484" s="258"/>
      <c r="H484" s="258"/>
      <c r="I484" s="258"/>
      <c r="J484" s="258"/>
      <c r="K484" s="258"/>
    </row>
    <row r="485" spans="1:11" ht="20.25">
      <c r="A485" s="258"/>
      <c r="B485" s="258"/>
      <c r="C485" s="258"/>
      <c r="D485" s="258"/>
      <c r="E485" s="269"/>
      <c r="F485" s="272"/>
      <c r="G485" s="258"/>
      <c r="H485" s="258"/>
      <c r="I485" s="258"/>
      <c r="J485" s="258"/>
      <c r="K485" s="258"/>
    </row>
    <row r="486" spans="1:11" ht="20.25">
      <c r="A486" s="258"/>
      <c r="B486" s="258"/>
      <c r="C486" s="258"/>
      <c r="D486" s="258"/>
      <c r="E486" s="269"/>
      <c r="F486" s="272"/>
      <c r="G486" s="258"/>
      <c r="H486" s="258"/>
      <c r="I486" s="258"/>
      <c r="J486" s="258"/>
      <c r="K486" s="258"/>
    </row>
    <row r="487" spans="1:11" ht="20.25">
      <c r="A487" s="258"/>
      <c r="B487" s="258"/>
      <c r="C487" s="258"/>
      <c r="D487" s="258"/>
      <c r="E487" s="269"/>
      <c r="F487" s="272"/>
      <c r="G487" s="258"/>
      <c r="H487" s="258"/>
      <c r="I487" s="258"/>
      <c r="J487" s="258"/>
      <c r="K487" s="258"/>
    </row>
    <row r="488" spans="1:11" ht="20.25">
      <c r="A488" s="258"/>
      <c r="B488" s="258"/>
      <c r="C488" s="258"/>
      <c r="D488" s="258"/>
      <c r="E488" s="269"/>
      <c r="F488" s="272"/>
      <c r="G488" s="258"/>
      <c r="H488" s="258"/>
      <c r="I488" s="258"/>
      <c r="J488" s="258"/>
      <c r="K488" s="258"/>
    </row>
    <row r="489" spans="1:11" ht="20.25">
      <c r="A489" s="258"/>
      <c r="B489" s="258"/>
      <c r="C489" s="258"/>
      <c r="D489" s="258"/>
      <c r="E489" s="269"/>
      <c r="F489" s="272"/>
      <c r="G489" s="258"/>
      <c r="H489" s="258"/>
      <c r="I489" s="258"/>
      <c r="J489" s="258"/>
      <c r="K489" s="258"/>
    </row>
    <row r="490" spans="1:11" ht="20.25">
      <c r="A490" s="258"/>
      <c r="B490" s="258"/>
      <c r="C490" s="258"/>
      <c r="D490" s="258"/>
      <c r="E490" s="269"/>
      <c r="F490" s="272"/>
      <c r="G490" s="258"/>
      <c r="H490" s="258"/>
      <c r="I490" s="258"/>
      <c r="J490" s="258"/>
      <c r="K490" s="258"/>
    </row>
    <row r="491" spans="1:11" ht="20.25">
      <c r="A491" s="258"/>
      <c r="B491" s="258"/>
      <c r="C491" s="258"/>
      <c r="D491" s="258"/>
      <c r="E491" s="269"/>
      <c r="F491" s="272"/>
      <c r="G491" s="258"/>
      <c r="H491" s="258"/>
      <c r="I491" s="258"/>
      <c r="J491" s="258"/>
      <c r="K491" s="258"/>
    </row>
    <row r="492" spans="1:11" ht="20.25">
      <c r="A492" s="258"/>
      <c r="B492" s="258"/>
      <c r="C492" s="258"/>
      <c r="D492" s="258"/>
      <c r="E492" s="269"/>
      <c r="F492" s="272"/>
      <c r="G492" s="258"/>
      <c r="H492" s="258"/>
      <c r="I492" s="258"/>
      <c r="J492" s="258"/>
      <c r="K492" s="258"/>
    </row>
    <row r="493" spans="1:11" ht="20.25">
      <c r="A493" s="258"/>
      <c r="B493" s="258"/>
      <c r="C493" s="258"/>
      <c r="D493" s="258"/>
      <c r="E493" s="269"/>
      <c r="F493" s="272"/>
      <c r="G493" s="258"/>
      <c r="H493" s="258"/>
      <c r="I493" s="258"/>
      <c r="J493" s="258"/>
      <c r="K493" s="258"/>
    </row>
    <row r="494" spans="1:11" ht="20.25">
      <c r="A494" s="258"/>
      <c r="B494" s="258"/>
      <c r="C494" s="258"/>
      <c r="D494" s="258"/>
      <c r="E494" s="269"/>
      <c r="F494" s="272"/>
      <c r="G494" s="258"/>
      <c r="H494" s="258"/>
      <c r="I494" s="258"/>
      <c r="J494" s="258"/>
      <c r="K494" s="258"/>
    </row>
    <row r="495" spans="1:11" ht="20.25">
      <c r="A495" s="258"/>
      <c r="B495" s="258"/>
      <c r="C495" s="258"/>
      <c r="D495" s="258"/>
      <c r="E495" s="269"/>
      <c r="F495" s="272"/>
      <c r="G495" s="258"/>
      <c r="H495" s="258"/>
      <c r="I495" s="258"/>
      <c r="J495" s="258"/>
      <c r="K495" s="258"/>
    </row>
    <row r="496" spans="1:11" ht="20.25">
      <c r="A496" s="258"/>
      <c r="B496" s="258"/>
      <c r="C496" s="258"/>
      <c r="D496" s="258"/>
      <c r="E496" s="269"/>
      <c r="F496" s="272"/>
      <c r="G496" s="258"/>
      <c r="H496" s="258"/>
      <c r="I496" s="258"/>
      <c r="J496" s="258"/>
      <c r="K496" s="258"/>
    </row>
    <row r="497" spans="1:11" ht="20.25">
      <c r="A497" s="258"/>
      <c r="B497" s="258"/>
      <c r="C497" s="258"/>
      <c r="D497" s="258"/>
      <c r="E497" s="269"/>
      <c r="F497" s="272"/>
      <c r="G497" s="258"/>
      <c r="H497" s="258"/>
      <c r="I497" s="258"/>
      <c r="J497" s="258"/>
      <c r="K497" s="258"/>
    </row>
    <row r="498" spans="1:11" ht="20.25">
      <c r="A498" s="258"/>
      <c r="B498" s="258"/>
      <c r="C498" s="258"/>
      <c r="D498" s="258"/>
      <c r="E498" s="269"/>
      <c r="F498" s="272"/>
      <c r="G498" s="258"/>
      <c r="H498" s="258"/>
      <c r="I498" s="258"/>
      <c r="J498" s="258"/>
      <c r="K498" s="258"/>
    </row>
    <row r="499" spans="1:11" ht="20.25">
      <c r="A499" s="258"/>
      <c r="B499" s="258"/>
      <c r="C499" s="258"/>
      <c r="D499" s="258"/>
      <c r="E499" s="269"/>
      <c r="F499" s="272"/>
      <c r="G499" s="258"/>
      <c r="H499" s="258"/>
      <c r="I499" s="258"/>
      <c r="J499" s="258"/>
      <c r="K499" s="258"/>
    </row>
    <row r="500" spans="1:11" ht="20.25">
      <c r="A500" s="258"/>
      <c r="B500" s="258"/>
      <c r="C500" s="258"/>
      <c r="D500" s="258"/>
      <c r="E500" s="269"/>
      <c r="F500" s="272"/>
      <c r="G500" s="258"/>
      <c r="H500" s="258"/>
      <c r="I500" s="258"/>
      <c r="J500" s="258"/>
      <c r="K500" s="258"/>
    </row>
    <row r="501" spans="1:11" ht="20.25">
      <c r="A501" s="258"/>
      <c r="B501" s="258"/>
      <c r="C501" s="258"/>
      <c r="D501" s="258"/>
      <c r="E501" s="269"/>
      <c r="F501" s="272"/>
      <c r="G501" s="258"/>
      <c r="H501" s="258"/>
      <c r="I501" s="258"/>
      <c r="J501" s="258"/>
      <c r="K501" s="258"/>
    </row>
    <row r="502" spans="1:11" ht="20.25">
      <c r="A502" s="258"/>
      <c r="B502" s="258"/>
      <c r="C502" s="258"/>
      <c r="D502" s="258"/>
      <c r="E502" s="269"/>
      <c r="F502" s="272"/>
      <c r="G502" s="258"/>
      <c r="H502" s="258"/>
      <c r="I502" s="258"/>
      <c r="J502" s="258"/>
      <c r="K502" s="258"/>
    </row>
    <row r="503" spans="1:11" ht="20.25">
      <c r="A503" s="258"/>
      <c r="B503" s="258"/>
      <c r="C503" s="258"/>
      <c r="D503" s="258"/>
      <c r="E503" s="269"/>
      <c r="F503" s="272"/>
      <c r="G503" s="258"/>
      <c r="H503" s="258"/>
      <c r="I503" s="258"/>
      <c r="J503" s="258"/>
      <c r="K503" s="258"/>
    </row>
    <row r="504" spans="1:11" ht="20.25">
      <c r="A504" s="258"/>
      <c r="B504" s="258"/>
      <c r="C504" s="258"/>
      <c r="D504" s="258"/>
      <c r="E504" s="269"/>
      <c r="F504" s="272"/>
      <c r="G504" s="258"/>
      <c r="H504" s="258"/>
      <c r="I504" s="258"/>
      <c r="J504" s="258"/>
      <c r="K504" s="258"/>
    </row>
    <row r="505" spans="1:11" ht="20.25">
      <c r="A505" s="258"/>
      <c r="B505" s="258"/>
      <c r="C505" s="258"/>
      <c r="D505" s="258"/>
      <c r="E505" s="269"/>
      <c r="F505" s="272"/>
      <c r="G505" s="258"/>
      <c r="H505" s="258"/>
      <c r="I505" s="258"/>
      <c r="J505" s="258"/>
      <c r="K505" s="258"/>
    </row>
    <row r="506" spans="1:11" ht="20.25">
      <c r="A506" s="258"/>
      <c r="B506" s="258"/>
      <c r="C506" s="258"/>
      <c r="D506" s="258"/>
      <c r="E506" s="269"/>
      <c r="F506" s="272"/>
      <c r="G506" s="258"/>
      <c r="H506" s="258"/>
      <c r="I506" s="258"/>
      <c r="J506" s="258"/>
      <c r="K506" s="258"/>
    </row>
    <row r="507" spans="1:11" ht="20.25">
      <c r="A507" s="258"/>
      <c r="B507" s="258"/>
      <c r="C507" s="258"/>
      <c r="D507" s="258"/>
      <c r="E507" s="269"/>
      <c r="F507" s="272"/>
      <c r="G507" s="258"/>
      <c r="H507" s="258"/>
      <c r="I507" s="258"/>
      <c r="J507" s="258"/>
      <c r="K507" s="258"/>
    </row>
    <row r="508" spans="1:11" ht="20.25">
      <c r="A508" s="258"/>
      <c r="B508" s="258"/>
      <c r="C508" s="258"/>
      <c r="D508" s="258"/>
      <c r="E508" s="269"/>
      <c r="F508" s="272"/>
      <c r="G508" s="258"/>
      <c r="H508" s="258"/>
      <c r="I508" s="258"/>
      <c r="J508" s="258"/>
      <c r="K508" s="258"/>
    </row>
    <row r="509" spans="1:11" ht="20.25">
      <c r="A509" s="258"/>
      <c r="B509" s="258"/>
      <c r="C509" s="258"/>
      <c r="D509" s="258"/>
      <c r="E509" s="269"/>
      <c r="F509" s="272"/>
      <c r="G509" s="258"/>
      <c r="H509" s="258"/>
      <c r="I509" s="258"/>
      <c r="J509" s="258"/>
      <c r="K509" s="258"/>
    </row>
    <row r="510" spans="1:11" ht="20.25">
      <c r="A510" s="258"/>
      <c r="B510" s="258"/>
      <c r="C510" s="258"/>
      <c r="D510" s="258"/>
      <c r="E510" s="269"/>
      <c r="F510" s="272"/>
      <c r="G510" s="258"/>
      <c r="H510" s="258"/>
      <c r="I510" s="258"/>
      <c r="J510" s="258"/>
      <c r="K510" s="258"/>
    </row>
    <row r="511" spans="1:11" ht="20.25">
      <c r="A511" s="258"/>
      <c r="B511" s="258"/>
      <c r="C511" s="258"/>
      <c r="D511" s="258"/>
      <c r="E511" s="269"/>
      <c r="F511" s="272"/>
      <c r="G511" s="258"/>
      <c r="H511" s="258"/>
      <c r="I511" s="258"/>
      <c r="J511" s="258"/>
      <c r="K511" s="258"/>
    </row>
    <row r="512" spans="1:11" ht="20.25">
      <c r="A512" s="258"/>
      <c r="B512" s="258"/>
      <c r="C512" s="258"/>
      <c r="D512" s="258"/>
      <c r="E512" s="269"/>
      <c r="F512" s="272"/>
      <c r="G512" s="258"/>
      <c r="H512" s="258"/>
      <c r="I512" s="258"/>
      <c r="J512" s="258"/>
      <c r="K512" s="258"/>
    </row>
    <row r="513" spans="1:11" ht="20.25">
      <c r="A513" s="258"/>
      <c r="B513" s="258"/>
      <c r="C513" s="258"/>
      <c r="D513" s="258"/>
      <c r="E513" s="269"/>
      <c r="F513" s="272"/>
      <c r="G513" s="258"/>
      <c r="H513" s="258"/>
      <c r="I513" s="258"/>
      <c r="J513" s="258"/>
      <c r="K513" s="258"/>
    </row>
    <row r="514" spans="1:11" ht="20.25">
      <c r="A514" s="258"/>
      <c r="B514" s="258"/>
      <c r="C514" s="258"/>
      <c r="D514" s="258"/>
      <c r="E514" s="269"/>
      <c r="F514" s="272"/>
      <c r="G514" s="258"/>
      <c r="H514" s="258"/>
      <c r="I514" s="258"/>
      <c r="J514" s="258"/>
      <c r="K514" s="258"/>
    </row>
    <row r="515" spans="1:11" ht="20.25">
      <c r="A515" s="258"/>
      <c r="B515" s="258"/>
      <c r="C515" s="258"/>
      <c r="D515" s="258"/>
      <c r="E515" s="269"/>
      <c r="F515" s="272"/>
      <c r="G515" s="258"/>
      <c r="H515" s="258"/>
      <c r="I515" s="258"/>
      <c r="J515" s="258"/>
      <c r="K515" s="258"/>
    </row>
    <row r="516" spans="1:11" ht="20.25">
      <c r="A516" s="258"/>
      <c r="B516" s="258"/>
      <c r="C516" s="258"/>
      <c r="D516" s="258"/>
      <c r="E516" s="269"/>
      <c r="F516" s="272"/>
      <c r="G516" s="258"/>
      <c r="H516" s="258"/>
      <c r="I516" s="258"/>
      <c r="J516" s="258"/>
      <c r="K516" s="258"/>
    </row>
    <row r="517" spans="1:11" ht="20.25">
      <c r="A517" s="258"/>
      <c r="B517" s="258"/>
      <c r="C517" s="258"/>
      <c r="D517" s="258"/>
      <c r="E517" s="269"/>
      <c r="F517" s="272"/>
      <c r="G517" s="258"/>
      <c r="H517" s="258"/>
      <c r="I517" s="258"/>
      <c r="J517" s="258"/>
      <c r="K517" s="258"/>
    </row>
    <row r="518" spans="1:11" ht="20.25">
      <c r="A518" s="258"/>
      <c r="B518" s="258"/>
      <c r="C518" s="258"/>
      <c r="D518" s="258"/>
      <c r="E518" s="269"/>
      <c r="F518" s="272"/>
      <c r="G518" s="258"/>
      <c r="H518" s="258"/>
      <c r="I518" s="258"/>
      <c r="J518" s="258"/>
      <c r="K518" s="258"/>
    </row>
    <row r="519" spans="1:11" ht="20.25">
      <c r="A519" s="258"/>
      <c r="B519" s="258"/>
      <c r="C519" s="258"/>
      <c r="D519" s="258"/>
      <c r="E519" s="269"/>
      <c r="F519" s="272"/>
      <c r="G519" s="258"/>
      <c r="H519" s="258"/>
      <c r="I519" s="258"/>
      <c r="J519" s="258"/>
      <c r="K519" s="258"/>
    </row>
    <row r="520" spans="1:11" ht="20.25">
      <c r="A520" s="258"/>
      <c r="B520" s="258"/>
      <c r="C520" s="258"/>
      <c r="D520" s="258"/>
      <c r="E520" s="269"/>
      <c r="F520" s="272"/>
      <c r="G520" s="258"/>
      <c r="H520" s="258"/>
      <c r="I520" s="258"/>
      <c r="J520" s="258"/>
      <c r="K520" s="258"/>
    </row>
    <row r="521" spans="1:11" ht="20.25">
      <c r="A521" s="258"/>
      <c r="B521" s="258"/>
      <c r="C521" s="258"/>
      <c r="D521" s="258"/>
      <c r="E521" s="269"/>
      <c r="F521" s="272"/>
      <c r="G521" s="258"/>
      <c r="H521" s="258"/>
      <c r="I521" s="258"/>
      <c r="J521" s="258"/>
      <c r="K521" s="258"/>
    </row>
    <row r="522" spans="1:11" ht="20.25">
      <c r="A522" s="258"/>
      <c r="B522" s="258"/>
      <c r="C522" s="258"/>
      <c r="D522" s="258"/>
      <c r="E522" s="269"/>
      <c r="F522" s="272"/>
      <c r="G522" s="258"/>
      <c r="H522" s="258"/>
      <c r="I522" s="258"/>
      <c r="J522" s="258"/>
      <c r="K522" s="258"/>
    </row>
    <row r="523" spans="1:11" ht="20.25">
      <c r="A523" s="258"/>
      <c r="B523" s="258"/>
      <c r="C523" s="258"/>
      <c r="D523" s="258"/>
      <c r="E523" s="269"/>
      <c r="F523" s="272"/>
      <c r="G523" s="258"/>
      <c r="H523" s="258"/>
      <c r="I523" s="258"/>
      <c r="J523" s="258"/>
      <c r="K523" s="258"/>
    </row>
    <row r="524" spans="1:11" ht="20.25">
      <c r="A524" s="258"/>
      <c r="B524" s="258"/>
      <c r="C524" s="258"/>
      <c r="D524" s="258"/>
      <c r="E524" s="269"/>
      <c r="F524" s="272"/>
      <c r="G524" s="258"/>
      <c r="H524" s="258"/>
      <c r="I524" s="258"/>
      <c r="J524" s="258"/>
      <c r="K524" s="258"/>
    </row>
    <row r="525" spans="1:11" ht="20.25">
      <c r="A525" s="258"/>
      <c r="B525" s="258"/>
      <c r="C525" s="258"/>
      <c r="D525" s="258"/>
      <c r="E525" s="269"/>
      <c r="F525" s="272"/>
      <c r="G525" s="258"/>
      <c r="H525" s="258"/>
      <c r="I525" s="258"/>
      <c r="J525" s="258"/>
      <c r="K525" s="258"/>
    </row>
    <row r="526" spans="1:11" ht="20.25">
      <c r="A526" s="258"/>
      <c r="B526" s="258"/>
      <c r="C526" s="258"/>
      <c r="D526" s="258"/>
      <c r="E526" s="269"/>
      <c r="F526" s="272"/>
      <c r="G526" s="258"/>
      <c r="H526" s="258"/>
      <c r="I526" s="258"/>
      <c r="J526" s="258"/>
      <c r="K526" s="258"/>
    </row>
    <row r="527" spans="1:11" ht="20.25">
      <c r="A527" s="258"/>
      <c r="B527" s="258"/>
      <c r="C527" s="258"/>
      <c r="D527" s="258"/>
      <c r="E527" s="269"/>
      <c r="F527" s="272"/>
      <c r="G527" s="258"/>
      <c r="H527" s="258"/>
      <c r="I527" s="258"/>
      <c r="J527" s="258"/>
      <c r="K527" s="258"/>
    </row>
    <row r="528" spans="1:11" ht="20.25">
      <c r="A528" s="258"/>
      <c r="B528" s="258"/>
      <c r="C528" s="258"/>
      <c r="D528" s="258"/>
      <c r="E528" s="269"/>
      <c r="F528" s="272"/>
      <c r="G528" s="258"/>
      <c r="H528" s="258"/>
      <c r="I528" s="258"/>
      <c r="J528" s="258"/>
      <c r="K528" s="258"/>
    </row>
    <row r="529" spans="1:11" ht="20.25">
      <c r="A529" s="258"/>
      <c r="B529" s="258"/>
      <c r="C529" s="258"/>
      <c r="D529" s="258"/>
      <c r="E529" s="269"/>
      <c r="F529" s="272"/>
      <c r="G529" s="258"/>
      <c r="H529" s="258"/>
      <c r="I529" s="258"/>
      <c r="J529" s="258"/>
      <c r="K529" s="258"/>
    </row>
    <row r="530" spans="1:11" ht="20.25">
      <c r="A530" s="258"/>
      <c r="B530" s="258"/>
      <c r="C530" s="258"/>
      <c r="D530" s="258"/>
      <c r="E530" s="269"/>
      <c r="F530" s="272"/>
      <c r="G530" s="258"/>
      <c r="H530" s="258"/>
      <c r="I530" s="258"/>
      <c r="J530" s="258"/>
      <c r="K530" s="258"/>
    </row>
    <row r="531" spans="1:11" ht="20.25">
      <c r="A531" s="258"/>
      <c r="B531" s="258"/>
      <c r="C531" s="258"/>
      <c r="D531" s="258"/>
      <c r="E531" s="269"/>
      <c r="F531" s="272"/>
      <c r="G531" s="258"/>
      <c r="H531" s="258"/>
      <c r="I531" s="258"/>
      <c r="J531" s="258"/>
      <c r="K531" s="258"/>
    </row>
    <row r="532" spans="1:11" ht="20.25">
      <c r="A532" s="258"/>
      <c r="B532" s="258"/>
      <c r="C532" s="258"/>
      <c r="D532" s="258"/>
      <c r="E532" s="269"/>
      <c r="F532" s="272"/>
      <c r="G532" s="258"/>
      <c r="H532" s="258"/>
      <c r="I532" s="258"/>
      <c r="J532" s="258"/>
      <c r="K532" s="258"/>
    </row>
    <row r="533" spans="1:11" ht="20.25">
      <c r="A533" s="258"/>
      <c r="B533" s="258"/>
      <c r="C533" s="258"/>
      <c r="D533" s="258"/>
      <c r="E533" s="269"/>
      <c r="F533" s="272"/>
      <c r="G533" s="258"/>
      <c r="H533" s="258"/>
      <c r="I533" s="258"/>
      <c r="J533" s="258"/>
      <c r="K533" s="258"/>
    </row>
    <row r="534" spans="1:11" ht="20.25">
      <c r="A534" s="258"/>
      <c r="B534" s="258"/>
      <c r="C534" s="258"/>
      <c r="D534" s="258"/>
      <c r="E534" s="269"/>
      <c r="F534" s="272"/>
      <c r="G534" s="258"/>
      <c r="H534" s="258"/>
      <c r="I534" s="258"/>
      <c r="J534" s="258"/>
      <c r="K534" s="258"/>
    </row>
    <row r="535" spans="1:11" ht="20.25">
      <c r="A535" s="258"/>
      <c r="B535" s="258"/>
      <c r="C535" s="258"/>
      <c r="D535" s="258"/>
      <c r="E535" s="269"/>
      <c r="F535" s="272"/>
      <c r="G535" s="258"/>
      <c r="H535" s="258"/>
      <c r="I535" s="258"/>
      <c r="J535" s="258"/>
      <c r="K535" s="258"/>
    </row>
    <row r="536" spans="1:11" ht="20.25">
      <c r="A536" s="258"/>
      <c r="B536" s="258"/>
      <c r="C536" s="258"/>
      <c r="D536" s="258"/>
      <c r="E536" s="269"/>
      <c r="F536" s="272"/>
      <c r="G536" s="258"/>
      <c r="H536" s="258"/>
      <c r="I536" s="258"/>
      <c r="J536" s="258"/>
      <c r="K536" s="258"/>
    </row>
    <row r="537" spans="1:11" ht="20.25">
      <c r="A537" s="258"/>
      <c r="B537" s="258"/>
      <c r="C537" s="258"/>
      <c r="D537" s="258"/>
      <c r="E537" s="269"/>
      <c r="F537" s="272"/>
      <c r="G537" s="258"/>
      <c r="H537" s="258"/>
      <c r="I537" s="258"/>
      <c r="J537" s="258"/>
      <c r="K537" s="258"/>
    </row>
    <row r="538" spans="1:11" ht="20.25">
      <c r="A538" s="258"/>
      <c r="B538" s="258"/>
      <c r="C538" s="258"/>
      <c r="D538" s="258"/>
      <c r="E538" s="269"/>
      <c r="F538" s="272"/>
      <c r="G538" s="258"/>
      <c r="H538" s="258"/>
      <c r="I538" s="258"/>
      <c r="J538" s="258"/>
      <c r="K538" s="258"/>
    </row>
    <row r="539" spans="1:11" ht="20.25">
      <c r="A539" s="258"/>
      <c r="B539" s="258"/>
      <c r="C539" s="258"/>
      <c r="D539" s="258"/>
      <c r="E539" s="269"/>
      <c r="F539" s="272"/>
      <c r="G539" s="258"/>
      <c r="H539" s="258"/>
      <c r="I539" s="258"/>
      <c r="J539" s="258"/>
      <c r="K539" s="258"/>
    </row>
    <row r="540" spans="1:11" ht="20.25">
      <c r="A540" s="258"/>
      <c r="B540" s="258"/>
      <c r="C540" s="258"/>
      <c r="D540" s="258"/>
      <c r="E540" s="269"/>
      <c r="F540" s="272"/>
      <c r="G540" s="258"/>
      <c r="H540" s="258"/>
      <c r="I540" s="258"/>
      <c r="J540" s="258"/>
      <c r="K540" s="258"/>
    </row>
    <row r="541" spans="1:11" ht="20.25">
      <c r="A541" s="258"/>
      <c r="B541" s="258"/>
      <c r="C541" s="258"/>
      <c r="D541" s="258"/>
      <c r="E541" s="269"/>
      <c r="F541" s="272"/>
      <c r="G541" s="258"/>
      <c r="H541" s="258"/>
      <c r="I541" s="258"/>
      <c r="J541" s="258"/>
      <c r="K541" s="258"/>
    </row>
    <row r="542" spans="1:11" ht="20.25">
      <c r="A542" s="258"/>
      <c r="B542" s="258"/>
      <c r="C542" s="258"/>
      <c r="D542" s="258"/>
      <c r="E542" s="269"/>
      <c r="F542" s="272"/>
      <c r="G542" s="258"/>
      <c r="H542" s="258"/>
      <c r="I542" s="258"/>
      <c r="J542" s="258"/>
      <c r="K542" s="258"/>
    </row>
    <row r="543" spans="1:11" ht="20.25">
      <c r="A543" s="258"/>
      <c r="B543" s="258"/>
      <c r="C543" s="258"/>
      <c r="D543" s="258"/>
      <c r="E543" s="269"/>
      <c r="F543" s="272"/>
      <c r="G543" s="258"/>
      <c r="H543" s="258"/>
      <c r="I543" s="258"/>
      <c r="J543" s="258"/>
      <c r="K543" s="258"/>
    </row>
    <row r="544" spans="1:11" ht="20.25">
      <c r="A544" s="258"/>
      <c r="B544" s="258"/>
      <c r="C544" s="258"/>
      <c r="D544" s="258"/>
      <c r="E544" s="269"/>
      <c r="F544" s="272"/>
      <c r="G544" s="258"/>
      <c r="H544" s="258"/>
      <c r="I544" s="258"/>
      <c r="J544" s="258"/>
      <c r="K544" s="258"/>
    </row>
    <row r="545" spans="1:11" ht="20.25">
      <c r="A545" s="258"/>
      <c r="B545" s="258"/>
      <c r="C545" s="258"/>
      <c r="D545" s="258"/>
      <c r="E545" s="269"/>
      <c r="F545" s="272"/>
      <c r="G545" s="258"/>
      <c r="H545" s="258"/>
      <c r="I545" s="258"/>
      <c r="J545" s="258"/>
      <c r="K545" s="258"/>
    </row>
    <row r="546" spans="1:11" ht="20.25">
      <c r="A546" s="258"/>
      <c r="B546" s="258"/>
      <c r="C546" s="258"/>
      <c r="D546" s="258"/>
      <c r="E546" s="269"/>
      <c r="F546" s="272"/>
      <c r="G546" s="258"/>
      <c r="H546" s="258"/>
      <c r="I546" s="258"/>
      <c r="J546" s="258"/>
      <c r="K546" s="258"/>
    </row>
    <row r="547" spans="1:11" ht="20.25">
      <c r="A547" s="258"/>
      <c r="B547" s="258"/>
      <c r="C547" s="258"/>
      <c r="D547" s="258"/>
      <c r="E547" s="269"/>
      <c r="F547" s="272"/>
      <c r="G547" s="258"/>
      <c r="H547" s="258"/>
      <c r="I547" s="258"/>
      <c r="J547" s="258"/>
      <c r="K547" s="258"/>
    </row>
    <row r="548" spans="1:11" ht="20.25">
      <c r="A548" s="258"/>
      <c r="B548" s="258"/>
      <c r="C548" s="258"/>
      <c r="D548" s="258"/>
      <c r="E548" s="269"/>
      <c r="F548" s="272"/>
      <c r="G548" s="258"/>
      <c r="H548" s="258"/>
      <c r="I548" s="258"/>
      <c r="J548" s="258"/>
      <c r="K548" s="258"/>
    </row>
    <row r="549" spans="1:11" ht="20.25">
      <c r="A549" s="258"/>
      <c r="B549" s="258"/>
      <c r="C549" s="258"/>
      <c r="D549" s="258"/>
      <c r="E549" s="269"/>
      <c r="F549" s="272"/>
      <c r="G549" s="258"/>
      <c r="H549" s="258"/>
      <c r="I549" s="258"/>
      <c r="J549" s="258"/>
      <c r="K549" s="258"/>
    </row>
    <row r="550" spans="1:11" ht="20.25">
      <c r="A550" s="258"/>
      <c r="B550" s="258"/>
      <c r="C550" s="258"/>
      <c r="D550" s="258"/>
      <c r="E550" s="269"/>
      <c r="F550" s="272"/>
      <c r="G550" s="258"/>
      <c r="H550" s="258"/>
      <c r="I550" s="258"/>
      <c r="J550" s="258"/>
      <c r="K550" s="258"/>
    </row>
    <row r="551" spans="1:11" ht="20.25">
      <c r="A551" s="258"/>
      <c r="B551" s="258"/>
      <c r="C551" s="258"/>
      <c r="D551" s="258"/>
      <c r="E551" s="269"/>
      <c r="F551" s="272"/>
      <c r="G551" s="258"/>
      <c r="H551" s="258"/>
      <c r="I551" s="258"/>
      <c r="J551" s="258"/>
      <c r="K551" s="258"/>
    </row>
    <row r="552" spans="1:11" ht="20.25">
      <c r="A552" s="258"/>
      <c r="B552" s="258"/>
      <c r="C552" s="258"/>
      <c r="D552" s="258"/>
      <c r="E552" s="269"/>
      <c r="F552" s="272"/>
      <c r="G552" s="258"/>
      <c r="H552" s="258"/>
      <c r="I552" s="258"/>
      <c r="J552" s="258"/>
      <c r="K552" s="258"/>
    </row>
    <row r="553" spans="1:11" ht="20.25">
      <c r="A553" s="258"/>
      <c r="B553" s="258"/>
      <c r="C553" s="258"/>
      <c r="D553" s="258"/>
      <c r="E553" s="269"/>
      <c r="F553" s="272"/>
      <c r="G553" s="258"/>
      <c r="H553" s="258"/>
      <c r="I553" s="258"/>
      <c r="J553" s="258"/>
      <c r="K553" s="258"/>
    </row>
    <row r="554" spans="1:11" ht="20.25">
      <c r="A554" s="258"/>
      <c r="B554" s="258"/>
      <c r="C554" s="258"/>
      <c r="D554" s="258"/>
      <c r="E554" s="269"/>
      <c r="F554" s="272"/>
      <c r="G554" s="258"/>
      <c r="H554" s="258"/>
      <c r="I554" s="258"/>
      <c r="J554" s="258"/>
      <c r="K554" s="258"/>
    </row>
    <row r="555" spans="1:11" ht="20.25">
      <c r="A555" s="258"/>
      <c r="B555" s="258"/>
      <c r="C555" s="258"/>
      <c r="D555" s="258"/>
      <c r="E555" s="269"/>
      <c r="F555" s="272"/>
      <c r="G555" s="258"/>
      <c r="H555" s="258"/>
      <c r="I555" s="258"/>
      <c r="J555" s="258"/>
      <c r="K555" s="258"/>
    </row>
    <row r="556" spans="1:11" ht="20.25">
      <c r="A556" s="258"/>
      <c r="B556" s="258"/>
      <c r="C556" s="258"/>
      <c r="D556" s="258"/>
      <c r="E556" s="269"/>
      <c r="F556" s="272"/>
      <c r="G556" s="258"/>
      <c r="H556" s="258"/>
      <c r="I556" s="258"/>
      <c r="J556" s="258"/>
      <c r="K556" s="258"/>
    </row>
    <row r="557" spans="1:11" ht="20.25">
      <c r="A557" s="258"/>
      <c r="B557" s="258"/>
      <c r="C557" s="258"/>
      <c r="D557" s="258"/>
      <c r="E557" s="269"/>
      <c r="F557" s="272"/>
      <c r="G557" s="258"/>
      <c r="H557" s="258"/>
      <c r="I557" s="258"/>
      <c r="J557" s="258"/>
      <c r="K557" s="258"/>
    </row>
    <row r="558" spans="1:11" ht="20.25">
      <c r="A558" s="258"/>
      <c r="B558" s="258"/>
      <c r="C558" s="258"/>
      <c r="D558" s="258"/>
      <c r="E558" s="269"/>
      <c r="F558" s="272"/>
      <c r="G558" s="258"/>
      <c r="H558" s="258"/>
      <c r="I558" s="258"/>
      <c r="J558" s="258"/>
      <c r="K558" s="258"/>
    </row>
    <row r="559" spans="1:11" ht="20.25">
      <c r="A559" s="258"/>
      <c r="B559" s="258"/>
      <c r="C559" s="258"/>
      <c r="D559" s="258"/>
      <c r="E559" s="269"/>
      <c r="F559" s="272"/>
      <c r="G559" s="258"/>
      <c r="H559" s="258"/>
      <c r="I559" s="258"/>
      <c r="J559" s="258"/>
      <c r="K559" s="258"/>
    </row>
    <row r="560" spans="1:11" ht="20.25">
      <c r="A560" s="258"/>
      <c r="B560" s="258"/>
      <c r="C560" s="258"/>
      <c r="D560" s="258"/>
      <c r="E560" s="269"/>
      <c r="F560" s="272"/>
      <c r="G560" s="258"/>
      <c r="H560" s="258"/>
      <c r="I560" s="258"/>
      <c r="J560" s="258"/>
      <c r="K560" s="258"/>
    </row>
    <row r="561" spans="1:11" ht="20.25">
      <c r="A561" s="258"/>
      <c r="B561" s="258"/>
      <c r="C561" s="258"/>
      <c r="D561" s="258"/>
      <c r="E561" s="269"/>
      <c r="F561" s="272"/>
      <c r="G561" s="258"/>
      <c r="H561" s="258"/>
      <c r="I561" s="258"/>
      <c r="J561" s="258"/>
      <c r="K561" s="258"/>
    </row>
    <row r="562" spans="1:11" ht="20.25">
      <c r="A562" s="258"/>
      <c r="B562" s="258"/>
      <c r="C562" s="258"/>
      <c r="D562" s="258"/>
      <c r="E562" s="269"/>
      <c r="F562" s="272"/>
      <c r="G562" s="258"/>
      <c r="H562" s="258"/>
      <c r="I562" s="258"/>
      <c r="J562" s="258"/>
      <c r="K562" s="258"/>
    </row>
    <row r="563" spans="1:11" ht="20.25">
      <c r="A563" s="258"/>
      <c r="B563" s="258"/>
      <c r="C563" s="258"/>
      <c r="D563" s="258"/>
      <c r="E563" s="269"/>
      <c r="F563" s="272"/>
      <c r="G563" s="258"/>
      <c r="H563" s="258"/>
      <c r="I563" s="258"/>
      <c r="J563" s="258"/>
      <c r="K563" s="258"/>
    </row>
    <row r="564" spans="1:11" ht="20.25">
      <c r="A564" s="258"/>
      <c r="B564" s="258"/>
      <c r="C564" s="258"/>
      <c r="D564" s="258"/>
      <c r="E564" s="269"/>
      <c r="F564" s="272"/>
      <c r="G564" s="258"/>
      <c r="H564" s="258"/>
      <c r="I564" s="258"/>
      <c r="J564" s="258"/>
      <c r="K564" s="258"/>
    </row>
    <row r="565" spans="1:11" ht="20.25">
      <c r="A565" s="258"/>
      <c r="B565" s="258"/>
      <c r="C565" s="258"/>
      <c r="D565" s="258"/>
      <c r="E565" s="269"/>
      <c r="F565" s="272"/>
      <c r="G565" s="258"/>
      <c r="H565" s="258"/>
      <c r="I565" s="258"/>
      <c r="J565" s="258"/>
      <c r="K565" s="258"/>
    </row>
    <row r="566" spans="1:11" ht="20.25">
      <c r="A566" s="258"/>
      <c r="B566" s="258"/>
      <c r="C566" s="258"/>
      <c r="D566" s="258"/>
      <c r="E566" s="269"/>
      <c r="F566" s="272"/>
      <c r="G566" s="258"/>
      <c r="H566" s="258"/>
      <c r="I566" s="258"/>
      <c r="J566" s="258"/>
      <c r="K566" s="258"/>
    </row>
    <row r="567" spans="1:11" ht="20.25">
      <c r="A567" s="258"/>
      <c r="B567" s="258"/>
      <c r="C567" s="258"/>
      <c r="D567" s="258"/>
      <c r="E567" s="269"/>
      <c r="F567" s="272"/>
      <c r="G567" s="258"/>
      <c r="H567" s="258"/>
      <c r="I567" s="258"/>
      <c r="J567" s="258"/>
      <c r="K567" s="258"/>
    </row>
    <row r="568" spans="1:11" ht="20.25">
      <c r="A568" s="258"/>
      <c r="B568" s="258"/>
      <c r="C568" s="258"/>
      <c r="D568" s="258"/>
      <c r="E568" s="269"/>
      <c r="F568" s="272"/>
      <c r="G568" s="258"/>
      <c r="H568" s="258"/>
      <c r="I568" s="258"/>
      <c r="J568" s="258"/>
      <c r="K568" s="258"/>
    </row>
    <row r="569" spans="1:11" ht="20.25">
      <c r="A569" s="258"/>
      <c r="B569" s="258"/>
      <c r="C569" s="258"/>
      <c r="D569" s="258"/>
      <c r="E569" s="269"/>
      <c r="F569" s="272"/>
      <c r="G569" s="258"/>
      <c r="H569" s="258"/>
      <c r="I569" s="258"/>
      <c r="J569" s="258"/>
      <c r="K569" s="258"/>
    </row>
    <row r="570" spans="1:11" ht="20.25">
      <c r="A570" s="258"/>
      <c r="B570" s="258"/>
      <c r="C570" s="258"/>
      <c r="D570" s="258"/>
      <c r="E570" s="269"/>
      <c r="F570" s="272"/>
      <c r="G570" s="258"/>
      <c r="H570" s="258"/>
      <c r="I570" s="258"/>
      <c r="J570" s="258"/>
      <c r="K570" s="258"/>
    </row>
    <row r="571" spans="1:11" ht="20.25">
      <c r="A571" s="258"/>
      <c r="B571" s="258"/>
      <c r="C571" s="258"/>
      <c r="D571" s="258"/>
      <c r="E571" s="269"/>
      <c r="F571" s="272"/>
      <c r="G571" s="258"/>
      <c r="H571" s="258"/>
      <c r="I571" s="258"/>
      <c r="J571" s="258"/>
      <c r="K571" s="258"/>
    </row>
    <row r="572" spans="1:11" ht="20.25">
      <c r="A572" s="258"/>
      <c r="B572" s="258"/>
      <c r="C572" s="258"/>
      <c r="D572" s="258"/>
      <c r="E572" s="269"/>
      <c r="F572" s="272"/>
      <c r="G572" s="258"/>
      <c r="H572" s="258"/>
      <c r="I572" s="258"/>
      <c r="J572" s="258"/>
      <c r="K572" s="258"/>
    </row>
    <row r="573" spans="1:11" ht="20.25">
      <c r="A573" s="258"/>
      <c r="B573" s="258"/>
      <c r="C573" s="258"/>
      <c r="D573" s="258"/>
      <c r="E573" s="269"/>
      <c r="F573" s="272"/>
      <c r="G573" s="258"/>
      <c r="H573" s="258"/>
      <c r="I573" s="258"/>
      <c r="J573" s="258"/>
      <c r="K573" s="258"/>
    </row>
    <row r="574" spans="1:11" ht="20.25">
      <c r="A574" s="258"/>
      <c r="B574" s="258"/>
      <c r="C574" s="258"/>
      <c r="D574" s="258"/>
      <c r="E574" s="269"/>
      <c r="F574" s="272"/>
      <c r="G574" s="258"/>
      <c r="H574" s="258"/>
      <c r="I574" s="258"/>
      <c r="J574" s="258"/>
      <c r="K574" s="258"/>
    </row>
    <row r="575" spans="1:11" ht="20.25">
      <c r="A575" s="258"/>
      <c r="B575" s="258"/>
      <c r="C575" s="258"/>
      <c r="D575" s="258"/>
      <c r="E575" s="269"/>
      <c r="F575" s="272"/>
      <c r="G575" s="258"/>
      <c r="H575" s="258"/>
      <c r="I575" s="258"/>
      <c r="J575" s="258"/>
      <c r="K575" s="258"/>
    </row>
    <row r="576" spans="1:11" ht="20.25">
      <c r="A576" s="258"/>
      <c r="B576" s="258"/>
      <c r="C576" s="258"/>
      <c r="D576" s="258"/>
      <c r="E576" s="269"/>
      <c r="F576" s="272"/>
      <c r="G576" s="258"/>
      <c r="H576" s="258"/>
      <c r="I576" s="258"/>
      <c r="J576" s="258"/>
      <c r="K576" s="258"/>
    </row>
    <row r="577" spans="1:11" ht="20.25">
      <c r="A577" s="258"/>
      <c r="B577" s="258"/>
      <c r="C577" s="258"/>
      <c r="D577" s="258"/>
      <c r="E577" s="269"/>
      <c r="F577" s="272"/>
      <c r="G577" s="258"/>
      <c r="H577" s="258"/>
      <c r="I577" s="258"/>
      <c r="J577" s="258"/>
      <c r="K577" s="258"/>
    </row>
    <row r="578" spans="1:11" ht="20.25">
      <c r="A578" s="258"/>
      <c r="B578" s="258"/>
      <c r="C578" s="258"/>
      <c r="D578" s="258"/>
      <c r="E578" s="269"/>
      <c r="F578" s="272"/>
      <c r="G578" s="258"/>
      <c r="H578" s="258"/>
      <c r="I578" s="258"/>
      <c r="J578" s="258"/>
      <c r="K578" s="258"/>
    </row>
    <row r="579" spans="1:11" ht="20.25">
      <c r="A579" s="258"/>
      <c r="B579" s="258"/>
      <c r="C579" s="258"/>
      <c r="D579" s="258"/>
      <c r="E579" s="269"/>
      <c r="F579" s="272"/>
      <c r="G579" s="258"/>
      <c r="H579" s="258"/>
      <c r="I579" s="258"/>
      <c r="J579" s="258"/>
      <c r="K579" s="258"/>
    </row>
    <row r="580" spans="1:11" ht="20.25">
      <c r="A580" s="258"/>
      <c r="B580" s="258"/>
      <c r="C580" s="258"/>
      <c r="D580" s="258"/>
      <c r="E580" s="269"/>
      <c r="F580" s="272"/>
      <c r="G580" s="258"/>
      <c r="H580" s="258"/>
      <c r="I580" s="258"/>
      <c r="J580" s="258"/>
      <c r="K580" s="258"/>
    </row>
    <row r="581" spans="1:11" ht="20.25">
      <c r="A581" s="258"/>
      <c r="B581" s="258"/>
      <c r="C581" s="258"/>
      <c r="D581" s="258"/>
      <c r="E581" s="269"/>
      <c r="F581" s="272"/>
      <c r="G581" s="258"/>
      <c r="H581" s="258"/>
      <c r="I581" s="258"/>
      <c r="J581" s="258"/>
      <c r="K581" s="258"/>
    </row>
    <row r="582" spans="1:11" ht="20.25">
      <c r="A582" s="258"/>
      <c r="B582" s="258"/>
      <c r="C582" s="258"/>
      <c r="D582" s="258"/>
      <c r="E582" s="269"/>
      <c r="F582" s="272"/>
      <c r="G582" s="258"/>
      <c r="H582" s="258"/>
      <c r="I582" s="258"/>
      <c r="J582" s="258"/>
      <c r="K582" s="258"/>
    </row>
    <row r="583" spans="1:11" ht="20.25">
      <c r="A583" s="258"/>
      <c r="B583" s="258"/>
      <c r="C583" s="258"/>
      <c r="D583" s="258"/>
      <c r="E583" s="269"/>
      <c r="F583" s="272"/>
      <c r="G583" s="258"/>
      <c r="H583" s="258"/>
      <c r="I583" s="258"/>
      <c r="J583" s="258"/>
      <c r="K583" s="258"/>
    </row>
    <row r="584" spans="1:11" ht="20.25">
      <c r="A584" s="258"/>
      <c r="B584" s="258"/>
      <c r="C584" s="258"/>
      <c r="D584" s="258"/>
      <c r="E584" s="269"/>
      <c r="F584" s="272"/>
      <c r="G584" s="258"/>
      <c r="H584" s="258"/>
      <c r="I584" s="258"/>
      <c r="J584" s="258"/>
      <c r="K584" s="258"/>
    </row>
    <row r="585" spans="1:11" ht="20.25">
      <c r="A585" s="258"/>
      <c r="B585" s="258"/>
      <c r="C585" s="258"/>
      <c r="D585" s="258"/>
      <c r="E585" s="269"/>
      <c r="F585" s="272"/>
      <c r="G585" s="258"/>
      <c r="H585" s="258"/>
      <c r="I585" s="258"/>
      <c r="J585" s="258"/>
      <c r="K585" s="258"/>
    </row>
    <row r="586" spans="1:11" ht="20.25">
      <c r="A586" s="258"/>
      <c r="B586" s="258"/>
      <c r="C586" s="258"/>
      <c r="D586" s="258"/>
      <c r="E586" s="269"/>
      <c r="F586" s="272"/>
      <c r="G586" s="258"/>
      <c r="H586" s="258"/>
      <c r="I586" s="258"/>
      <c r="J586" s="258"/>
      <c r="K586" s="258"/>
    </row>
    <row r="587" spans="1:11" ht="20.25">
      <c r="A587" s="258"/>
      <c r="B587" s="258"/>
      <c r="C587" s="258"/>
      <c r="D587" s="258"/>
      <c r="E587" s="269"/>
      <c r="F587" s="272"/>
      <c r="G587" s="258"/>
      <c r="H587" s="258"/>
      <c r="I587" s="258"/>
      <c r="J587" s="258"/>
      <c r="K587" s="258"/>
    </row>
    <row r="588" spans="1:11" ht="20.25">
      <c r="A588" s="258"/>
      <c r="B588" s="258"/>
      <c r="C588" s="258"/>
      <c r="D588" s="258"/>
      <c r="E588" s="269"/>
      <c r="F588" s="272"/>
      <c r="G588" s="258"/>
      <c r="H588" s="258"/>
      <c r="I588" s="258"/>
      <c r="J588" s="258"/>
      <c r="K588" s="258"/>
    </row>
    <row r="589" spans="1:11" ht="20.25">
      <c r="A589" s="258"/>
      <c r="B589" s="258"/>
      <c r="C589" s="258"/>
      <c r="D589" s="258"/>
      <c r="E589" s="269"/>
      <c r="F589" s="272"/>
      <c r="G589" s="258"/>
      <c r="H589" s="258"/>
      <c r="I589" s="258"/>
      <c r="J589" s="258"/>
      <c r="K589" s="258"/>
    </row>
    <row r="590" spans="1:11" ht="20.25">
      <c r="A590" s="258"/>
      <c r="B590" s="258"/>
      <c r="C590" s="258"/>
      <c r="D590" s="258"/>
      <c r="E590" s="269"/>
      <c r="F590" s="272"/>
      <c r="G590" s="258"/>
      <c r="H590" s="258"/>
      <c r="I590" s="258"/>
      <c r="J590" s="258"/>
      <c r="K590" s="258"/>
    </row>
    <row r="591" spans="1:11" ht="20.25">
      <c r="A591" s="258"/>
      <c r="B591" s="258"/>
      <c r="C591" s="258"/>
      <c r="D591" s="258"/>
      <c r="E591" s="269"/>
      <c r="F591" s="272"/>
      <c r="G591" s="258"/>
      <c r="H591" s="258"/>
      <c r="I591" s="258"/>
      <c r="J591" s="258"/>
      <c r="K591" s="258"/>
    </row>
    <row r="592" spans="1:11" ht="20.25">
      <c r="A592" s="258"/>
      <c r="B592" s="258"/>
      <c r="C592" s="258"/>
      <c r="D592" s="258"/>
      <c r="E592" s="269"/>
      <c r="F592" s="272"/>
      <c r="G592" s="258"/>
      <c r="H592" s="258"/>
      <c r="I592" s="258"/>
      <c r="J592" s="258"/>
      <c r="K592" s="258"/>
    </row>
    <row r="593" spans="1:11" ht="20.25">
      <c r="A593" s="258"/>
      <c r="B593" s="258"/>
      <c r="C593" s="258"/>
      <c r="D593" s="258"/>
      <c r="E593" s="269"/>
      <c r="F593" s="272"/>
      <c r="G593" s="258"/>
      <c r="H593" s="258"/>
      <c r="I593" s="258"/>
      <c r="J593" s="258"/>
      <c r="K593" s="258"/>
    </row>
    <row r="594" spans="1:11" ht="20.25">
      <c r="A594" s="258"/>
      <c r="B594" s="258"/>
      <c r="C594" s="258"/>
      <c r="D594" s="258"/>
      <c r="E594" s="269"/>
      <c r="F594" s="272"/>
      <c r="G594" s="258"/>
      <c r="H594" s="258"/>
      <c r="I594" s="258"/>
      <c r="J594" s="258"/>
      <c r="K594" s="258"/>
    </row>
    <row r="595" spans="1:11" ht="20.25">
      <c r="A595" s="258"/>
      <c r="B595" s="258"/>
      <c r="C595" s="258"/>
      <c r="D595" s="258"/>
      <c r="E595" s="269"/>
      <c r="F595" s="272"/>
      <c r="G595" s="258"/>
      <c r="H595" s="258"/>
      <c r="I595" s="258"/>
      <c r="J595" s="258"/>
      <c r="K595" s="258"/>
    </row>
    <row r="596" spans="1:11" ht="20.25">
      <c r="A596" s="258"/>
      <c r="B596" s="258"/>
      <c r="C596" s="258"/>
      <c r="D596" s="258"/>
      <c r="E596" s="269"/>
      <c r="F596" s="272"/>
      <c r="G596" s="258"/>
      <c r="H596" s="258"/>
      <c r="I596" s="258"/>
      <c r="J596" s="258"/>
      <c r="K596" s="258"/>
    </row>
    <row r="597" spans="1:11" ht="20.25">
      <c r="A597" s="258"/>
      <c r="B597" s="258"/>
      <c r="C597" s="258"/>
      <c r="D597" s="258"/>
      <c r="E597" s="269"/>
      <c r="F597" s="272"/>
      <c r="G597" s="258"/>
      <c r="H597" s="258"/>
      <c r="I597" s="258"/>
      <c r="J597" s="258"/>
      <c r="K597" s="258"/>
    </row>
    <row r="598" spans="1:11" ht="20.25">
      <c r="A598" s="258"/>
      <c r="B598" s="258"/>
      <c r="C598" s="258"/>
      <c r="D598" s="258"/>
      <c r="E598" s="269"/>
      <c r="F598" s="272"/>
      <c r="G598" s="258"/>
      <c r="H598" s="258"/>
      <c r="I598" s="258"/>
      <c r="J598" s="258"/>
      <c r="K598" s="258"/>
    </row>
    <row r="599" spans="1:11" ht="20.25">
      <c r="A599" s="258"/>
      <c r="B599" s="258"/>
      <c r="C599" s="258"/>
      <c r="D599" s="258"/>
      <c r="E599" s="269"/>
      <c r="F599" s="272"/>
      <c r="G599" s="258"/>
      <c r="H599" s="258"/>
      <c r="I599" s="258"/>
      <c r="J599" s="258"/>
      <c r="K599" s="258"/>
    </row>
    <row r="600" spans="1:11" ht="20.25">
      <c r="A600" s="258"/>
      <c r="B600" s="258"/>
      <c r="C600" s="258"/>
      <c r="D600" s="258"/>
      <c r="E600" s="269"/>
      <c r="F600" s="272"/>
      <c r="G600" s="258"/>
      <c r="H600" s="258"/>
      <c r="I600" s="258"/>
      <c r="J600" s="258"/>
      <c r="K600" s="258"/>
    </row>
    <row r="601" spans="1:11" ht="20.25">
      <c r="A601" s="258"/>
      <c r="B601" s="258"/>
      <c r="C601" s="258"/>
      <c r="D601" s="258"/>
      <c r="E601" s="269"/>
      <c r="F601" s="272"/>
      <c r="G601" s="258"/>
      <c r="H601" s="258"/>
      <c r="I601" s="258"/>
      <c r="J601" s="258"/>
      <c r="K601" s="258"/>
    </row>
    <row r="602" spans="1:11" ht="20.25">
      <c r="A602" s="258"/>
      <c r="B602" s="258"/>
      <c r="C602" s="258"/>
      <c r="D602" s="258"/>
      <c r="E602" s="269"/>
      <c r="F602" s="272"/>
      <c r="G602" s="258"/>
      <c r="H602" s="258"/>
      <c r="I602" s="258"/>
      <c r="J602" s="258"/>
      <c r="K602" s="258"/>
    </row>
    <row r="603" spans="1:11" ht="20.25">
      <c r="A603" s="258"/>
      <c r="B603" s="258"/>
      <c r="C603" s="258"/>
      <c r="D603" s="258"/>
      <c r="E603" s="269"/>
      <c r="F603" s="272"/>
      <c r="G603" s="258"/>
      <c r="H603" s="258"/>
      <c r="I603" s="258"/>
      <c r="J603" s="258"/>
      <c r="K603" s="258"/>
    </row>
    <row r="604" spans="1:11" ht="20.25">
      <c r="A604" s="258"/>
      <c r="B604" s="258"/>
      <c r="C604" s="258"/>
      <c r="D604" s="258"/>
      <c r="E604" s="269"/>
      <c r="F604" s="272"/>
      <c r="G604" s="258"/>
      <c r="H604" s="258"/>
      <c r="I604" s="258"/>
      <c r="J604" s="258"/>
      <c r="K604" s="258"/>
    </row>
    <row r="605" spans="1:11" ht="20.25">
      <c r="A605" s="258"/>
      <c r="B605" s="258"/>
      <c r="C605" s="258"/>
      <c r="D605" s="258"/>
      <c r="E605" s="269"/>
      <c r="F605" s="272"/>
      <c r="G605" s="258"/>
      <c r="H605" s="258"/>
      <c r="I605" s="258"/>
      <c r="J605" s="258"/>
      <c r="K605" s="258"/>
    </row>
    <row r="606" spans="1:11" ht="20.25">
      <c r="A606" s="258"/>
      <c r="B606" s="258"/>
      <c r="C606" s="258"/>
      <c r="D606" s="258"/>
      <c r="E606" s="269"/>
      <c r="F606" s="272"/>
      <c r="G606" s="258"/>
      <c r="H606" s="258"/>
      <c r="I606" s="258"/>
      <c r="J606" s="258"/>
      <c r="K606" s="258"/>
    </row>
    <row r="607" spans="1:11" ht="20.25">
      <c r="A607" s="258"/>
      <c r="B607" s="258"/>
      <c r="C607" s="258"/>
      <c r="D607" s="258"/>
      <c r="E607" s="269"/>
      <c r="F607" s="272"/>
      <c r="G607" s="258"/>
      <c r="H607" s="258"/>
      <c r="I607" s="258"/>
      <c r="J607" s="258"/>
      <c r="K607" s="258"/>
    </row>
    <row r="608" spans="1:11" ht="20.25">
      <c r="A608" s="258"/>
      <c r="B608" s="258"/>
      <c r="C608" s="258"/>
      <c r="D608" s="258"/>
      <c r="E608" s="269"/>
      <c r="F608" s="272"/>
      <c r="G608" s="258"/>
      <c r="H608" s="258"/>
      <c r="I608" s="258"/>
      <c r="J608" s="258"/>
      <c r="K608" s="258"/>
    </row>
    <row r="609" spans="1:11" ht="20.25">
      <c r="A609" s="258"/>
      <c r="B609" s="258"/>
      <c r="C609" s="258"/>
      <c r="D609" s="258"/>
      <c r="E609" s="269"/>
      <c r="F609" s="272"/>
      <c r="G609" s="258"/>
      <c r="H609" s="258"/>
      <c r="I609" s="258"/>
      <c r="J609" s="258"/>
      <c r="K609" s="258"/>
    </row>
    <row r="610" spans="1:11" ht="20.25">
      <c r="A610" s="258"/>
      <c r="B610" s="258"/>
      <c r="C610" s="258"/>
      <c r="D610" s="258"/>
      <c r="E610" s="269"/>
      <c r="F610" s="272"/>
      <c r="G610" s="258"/>
      <c r="H610" s="258"/>
      <c r="I610" s="258"/>
      <c r="J610" s="258"/>
      <c r="K610" s="258"/>
    </row>
    <row r="611" spans="1:11" ht="20.25">
      <c r="A611" s="258"/>
      <c r="B611" s="258"/>
      <c r="C611" s="258"/>
      <c r="D611" s="258"/>
      <c r="E611" s="269"/>
      <c r="F611" s="272"/>
      <c r="G611" s="258"/>
      <c r="H611" s="258"/>
      <c r="I611" s="258"/>
      <c r="J611" s="258"/>
      <c r="K611" s="258"/>
    </row>
    <row r="612" spans="1:11" ht="20.25">
      <c r="A612" s="258"/>
      <c r="B612" s="258"/>
      <c r="C612" s="258"/>
      <c r="D612" s="258"/>
      <c r="E612" s="269"/>
      <c r="F612" s="272"/>
      <c r="G612" s="258"/>
      <c r="H612" s="258"/>
      <c r="I612" s="258"/>
      <c r="J612" s="258"/>
      <c r="K612" s="258"/>
    </row>
    <row r="613" spans="1:11" ht="20.25">
      <c r="A613" s="258"/>
      <c r="B613" s="258"/>
      <c r="C613" s="258"/>
      <c r="D613" s="258"/>
      <c r="E613" s="269"/>
      <c r="F613" s="272"/>
      <c r="G613" s="258"/>
      <c r="H613" s="258"/>
      <c r="I613" s="258"/>
      <c r="J613" s="258"/>
      <c r="K613" s="258"/>
    </row>
    <row r="614" spans="1:11" ht="20.25">
      <c r="A614" s="258"/>
      <c r="B614" s="258"/>
      <c r="C614" s="258"/>
      <c r="D614" s="258"/>
      <c r="E614" s="269"/>
      <c r="F614" s="272"/>
      <c r="G614" s="258"/>
      <c r="H614" s="258"/>
      <c r="I614" s="258"/>
      <c r="J614" s="258"/>
      <c r="K614" s="258"/>
    </row>
    <row r="615" spans="1:11" ht="20.25">
      <c r="A615" s="258"/>
      <c r="B615" s="258"/>
      <c r="C615" s="258"/>
      <c r="D615" s="258"/>
      <c r="E615" s="269"/>
      <c r="F615" s="272"/>
      <c r="G615" s="258"/>
      <c r="H615" s="258"/>
      <c r="I615" s="258"/>
      <c r="J615" s="258"/>
      <c r="K615" s="258"/>
    </row>
    <row r="616" spans="1:11" ht="20.25">
      <c r="A616" s="258"/>
      <c r="B616" s="258"/>
      <c r="C616" s="258"/>
      <c r="D616" s="258"/>
      <c r="E616" s="269"/>
      <c r="F616" s="272"/>
      <c r="G616" s="258"/>
      <c r="H616" s="258"/>
      <c r="I616" s="258"/>
      <c r="J616" s="258"/>
      <c r="K616" s="258"/>
    </row>
    <row r="617" spans="1:11" ht="20.25">
      <c r="A617" s="258"/>
      <c r="B617" s="258"/>
      <c r="C617" s="258"/>
      <c r="D617" s="258"/>
      <c r="E617" s="269"/>
      <c r="F617" s="272"/>
      <c r="G617" s="258"/>
      <c r="H617" s="258"/>
      <c r="I617" s="258"/>
      <c r="J617" s="258"/>
      <c r="K617" s="258"/>
    </row>
    <row r="618" spans="1:11" ht="20.25">
      <c r="A618" s="258"/>
      <c r="B618" s="258"/>
      <c r="C618" s="258"/>
      <c r="D618" s="258"/>
      <c r="E618" s="269"/>
      <c r="F618" s="272"/>
      <c r="G618" s="258"/>
      <c r="H618" s="258"/>
      <c r="I618" s="258"/>
      <c r="J618" s="258"/>
      <c r="K618" s="258"/>
    </row>
    <row r="619" spans="1:11" ht="20.25">
      <c r="A619" s="258"/>
      <c r="B619" s="258"/>
      <c r="C619" s="258"/>
      <c r="D619" s="258"/>
      <c r="E619" s="269"/>
      <c r="F619" s="272"/>
      <c r="G619" s="258"/>
      <c r="H619" s="258"/>
      <c r="I619" s="258"/>
      <c r="J619" s="258"/>
      <c r="K619" s="258"/>
    </row>
    <row r="620" spans="1:11" ht="20.25">
      <c r="A620" s="258"/>
      <c r="B620" s="258"/>
      <c r="C620" s="258"/>
      <c r="D620" s="258"/>
      <c r="E620" s="269"/>
      <c r="F620" s="272"/>
      <c r="G620" s="258"/>
      <c r="H620" s="258"/>
      <c r="I620" s="258"/>
      <c r="J620" s="258"/>
      <c r="K620" s="258"/>
    </row>
    <row r="621" spans="1:11" ht="20.25">
      <c r="A621" s="258"/>
      <c r="B621" s="258"/>
      <c r="C621" s="258"/>
      <c r="D621" s="258"/>
      <c r="E621" s="269"/>
      <c r="F621" s="272"/>
      <c r="G621" s="258"/>
      <c r="H621" s="258"/>
      <c r="I621" s="258"/>
      <c r="J621" s="258"/>
      <c r="K621" s="258"/>
    </row>
    <row r="622" spans="1:11" ht="20.25">
      <c r="A622" s="258"/>
      <c r="B622" s="258"/>
      <c r="C622" s="258"/>
      <c r="D622" s="258"/>
      <c r="E622" s="269"/>
      <c r="F622" s="272"/>
      <c r="G622" s="258"/>
      <c r="H622" s="258"/>
      <c r="I622" s="258"/>
      <c r="J622" s="258"/>
      <c r="K622" s="258"/>
    </row>
    <row r="623" spans="1:11" ht="20.25">
      <c r="A623" s="258"/>
      <c r="B623" s="258"/>
      <c r="C623" s="258"/>
      <c r="D623" s="258"/>
      <c r="E623" s="269"/>
      <c r="F623" s="272"/>
      <c r="G623" s="258"/>
      <c r="H623" s="258"/>
      <c r="I623" s="258"/>
      <c r="J623" s="258"/>
      <c r="K623" s="258"/>
    </row>
    <row r="624" spans="1:11" ht="20.25">
      <c r="A624" s="258"/>
      <c r="B624" s="258"/>
      <c r="C624" s="258"/>
      <c r="D624" s="258"/>
      <c r="E624" s="269"/>
      <c r="F624" s="272"/>
      <c r="G624" s="258"/>
      <c r="H624" s="258"/>
      <c r="I624" s="258"/>
      <c r="J624" s="258"/>
      <c r="K624" s="258"/>
    </row>
    <row r="625" spans="1:11" ht="20.25">
      <c r="A625" s="258"/>
      <c r="B625" s="258"/>
      <c r="C625" s="258"/>
      <c r="D625" s="258"/>
      <c r="E625" s="269"/>
      <c r="F625" s="272"/>
      <c r="G625" s="258"/>
      <c r="H625" s="258"/>
      <c r="I625" s="258"/>
      <c r="J625" s="258"/>
      <c r="K625" s="258"/>
    </row>
    <row r="626" spans="1:11" ht="20.25">
      <c r="A626" s="258"/>
      <c r="B626" s="258"/>
      <c r="C626" s="258"/>
      <c r="D626" s="258"/>
      <c r="E626" s="269"/>
      <c r="F626" s="272"/>
      <c r="G626" s="258"/>
      <c r="H626" s="258"/>
      <c r="I626" s="258"/>
      <c r="J626" s="258"/>
      <c r="K626" s="258"/>
    </row>
    <row r="627" spans="1:11" ht="20.25">
      <c r="A627" s="258"/>
      <c r="B627" s="258"/>
      <c r="C627" s="258"/>
      <c r="D627" s="258"/>
      <c r="E627" s="269"/>
      <c r="F627" s="272"/>
      <c r="G627" s="258"/>
      <c r="H627" s="258"/>
      <c r="I627" s="258"/>
      <c r="J627" s="258"/>
      <c r="K627" s="258"/>
    </row>
    <row r="628" spans="1:11" ht="20.25">
      <c r="A628" s="258"/>
      <c r="B628" s="258"/>
      <c r="C628" s="258"/>
      <c r="D628" s="258"/>
      <c r="E628" s="269"/>
      <c r="F628" s="272"/>
      <c r="G628" s="258"/>
      <c r="H628" s="258"/>
      <c r="I628" s="258"/>
      <c r="J628" s="258"/>
      <c r="K628" s="258"/>
    </row>
    <row r="629" spans="1:11" ht="20.25">
      <c r="A629" s="258"/>
      <c r="B629" s="258"/>
      <c r="C629" s="258"/>
      <c r="D629" s="258"/>
      <c r="E629" s="269"/>
      <c r="F629" s="272"/>
      <c r="G629" s="258"/>
      <c r="H629" s="258"/>
      <c r="I629" s="258"/>
      <c r="J629" s="258"/>
      <c r="K629" s="258"/>
    </row>
    <row r="630" spans="1:11" ht="20.25">
      <c r="A630" s="258"/>
      <c r="B630" s="258"/>
      <c r="C630" s="258"/>
      <c r="D630" s="258"/>
      <c r="E630" s="269"/>
      <c r="F630" s="272"/>
      <c r="G630" s="258"/>
      <c r="H630" s="258"/>
      <c r="I630" s="258"/>
      <c r="J630" s="258"/>
      <c r="K630" s="258"/>
    </row>
    <row r="631" spans="1:11" ht="20.25">
      <c r="A631" s="258"/>
      <c r="B631" s="258"/>
      <c r="C631" s="258"/>
      <c r="D631" s="258"/>
      <c r="E631" s="269"/>
      <c r="F631" s="272"/>
      <c r="G631" s="258"/>
      <c r="H631" s="258"/>
      <c r="I631" s="258"/>
      <c r="J631" s="258"/>
      <c r="K631" s="258"/>
    </row>
    <row r="632" spans="1:11" ht="20.25">
      <c r="A632" s="258"/>
      <c r="B632" s="258"/>
      <c r="C632" s="258"/>
      <c r="D632" s="258"/>
      <c r="E632" s="269"/>
      <c r="F632" s="272"/>
      <c r="G632" s="258"/>
      <c r="H632" s="258"/>
      <c r="I632" s="258"/>
      <c r="J632" s="258"/>
      <c r="K632" s="258"/>
    </row>
    <row r="633" spans="1:11" ht="20.25">
      <c r="A633" s="258"/>
      <c r="B633" s="258"/>
      <c r="C633" s="258"/>
      <c r="D633" s="258"/>
      <c r="E633" s="269"/>
      <c r="F633" s="272"/>
      <c r="G633" s="258"/>
      <c r="H633" s="258"/>
      <c r="I633" s="258"/>
      <c r="J633" s="258"/>
      <c r="K633" s="258"/>
    </row>
    <row r="634" spans="1:11" ht="20.25">
      <c r="A634" s="258"/>
      <c r="B634" s="258"/>
      <c r="C634" s="258"/>
      <c r="D634" s="258"/>
      <c r="E634" s="269"/>
      <c r="F634" s="272"/>
      <c r="G634" s="258"/>
      <c r="H634" s="258"/>
      <c r="I634" s="258"/>
      <c r="J634" s="258"/>
      <c r="K634" s="258"/>
    </row>
    <row r="635" spans="1:11" ht="20.25">
      <c r="A635" s="258"/>
      <c r="B635" s="258"/>
      <c r="C635" s="258"/>
      <c r="D635" s="258"/>
      <c r="E635" s="269"/>
      <c r="F635" s="272"/>
      <c r="G635" s="258"/>
      <c r="H635" s="258"/>
      <c r="I635" s="258"/>
      <c r="J635" s="258"/>
      <c r="K635" s="258"/>
    </row>
    <row r="636" spans="1:11" ht="20.25">
      <c r="A636" s="258"/>
      <c r="B636" s="258"/>
      <c r="C636" s="258"/>
      <c r="D636" s="258"/>
      <c r="E636" s="269"/>
      <c r="F636" s="272"/>
      <c r="G636" s="258"/>
      <c r="H636" s="258"/>
      <c r="I636" s="258"/>
      <c r="J636" s="258"/>
      <c r="K636" s="258"/>
    </row>
    <row r="637" spans="1:11" ht="20.25">
      <c r="A637" s="258"/>
      <c r="B637" s="258"/>
      <c r="C637" s="258"/>
      <c r="D637" s="258"/>
      <c r="E637" s="269"/>
      <c r="F637" s="272"/>
      <c r="G637" s="258"/>
      <c r="H637" s="258"/>
      <c r="I637" s="258"/>
      <c r="J637" s="258"/>
      <c r="K637" s="258"/>
    </row>
    <row r="638" spans="1:11" ht="20.25">
      <c r="A638" s="258"/>
      <c r="B638" s="258"/>
      <c r="C638" s="258"/>
      <c r="D638" s="258"/>
      <c r="E638" s="269"/>
      <c r="F638" s="272"/>
      <c r="G638" s="258"/>
      <c r="H638" s="258"/>
      <c r="I638" s="258"/>
      <c r="J638" s="258"/>
      <c r="K638" s="258"/>
    </row>
    <row r="639" spans="1:11" ht="20.25">
      <c r="A639" s="258"/>
      <c r="B639" s="258"/>
      <c r="C639" s="258"/>
      <c r="D639" s="258"/>
      <c r="E639" s="269"/>
      <c r="F639" s="272"/>
      <c r="G639" s="258"/>
      <c r="H639" s="258"/>
      <c r="I639" s="258"/>
      <c r="J639" s="258"/>
      <c r="K639" s="258"/>
    </row>
    <row r="640" spans="1:11" ht="20.25">
      <c r="A640" s="258"/>
      <c r="B640" s="258"/>
      <c r="C640" s="258"/>
      <c r="D640" s="258"/>
      <c r="E640" s="269"/>
      <c r="F640" s="272"/>
      <c r="G640" s="258"/>
      <c r="H640" s="258"/>
      <c r="I640" s="258"/>
      <c r="J640" s="258"/>
      <c r="K640" s="258"/>
    </row>
    <row r="641" spans="1:11" ht="20.25">
      <c r="A641" s="258"/>
      <c r="B641" s="258"/>
      <c r="C641" s="258"/>
      <c r="D641" s="258"/>
      <c r="E641" s="269"/>
      <c r="F641" s="272"/>
      <c r="G641" s="258"/>
      <c r="H641" s="258"/>
      <c r="I641" s="258"/>
      <c r="J641" s="258"/>
      <c r="K641" s="258"/>
    </row>
    <row r="642" spans="1:11" ht="20.25">
      <c r="A642" s="258"/>
      <c r="B642" s="258"/>
      <c r="C642" s="258"/>
      <c r="D642" s="258"/>
      <c r="E642" s="269"/>
      <c r="F642" s="272"/>
      <c r="G642" s="258"/>
      <c r="H642" s="258"/>
      <c r="I642" s="258"/>
      <c r="J642" s="258"/>
      <c r="K642" s="258"/>
    </row>
    <row r="643" spans="1:11" ht="20.25">
      <c r="A643" s="258"/>
      <c r="B643" s="258"/>
      <c r="C643" s="258"/>
      <c r="D643" s="258"/>
      <c r="E643" s="269"/>
      <c r="F643" s="272"/>
      <c r="G643" s="258"/>
      <c r="H643" s="258"/>
      <c r="I643" s="258"/>
      <c r="J643" s="258"/>
      <c r="K643" s="258"/>
    </row>
    <row r="644" spans="1:11" ht="20.25">
      <c r="A644" s="258"/>
      <c r="B644" s="258"/>
      <c r="C644" s="258"/>
      <c r="D644" s="258"/>
      <c r="E644" s="269"/>
      <c r="F644" s="272"/>
      <c r="G644" s="258"/>
      <c r="H644" s="258"/>
      <c r="I644" s="258"/>
      <c r="J644" s="258"/>
      <c r="K644" s="258"/>
    </row>
    <row r="645" spans="1:11" ht="20.25">
      <c r="A645" s="258"/>
      <c r="B645" s="258"/>
      <c r="C645" s="258"/>
      <c r="D645" s="258"/>
      <c r="E645" s="269"/>
      <c r="F645" s="272"/>
      <c r="G645" s="258"/>
      <c r="H645" s="258"/>
      <c r="I645" s="258"/>
      <c r="J645" s="258"/>
      <c r="K645" s="258"/>
    </row>
    <row r="646" spans="1:11" ht="20.25">
      <c r="A646" s="258"/>
      <c r="B646" s="258"/>
      <c r="C646" s="258"/>
      <c r="D646" s="258"/>
      <c r="E646" s="269"/>
      <c r="F646" s="272"/>
      <c r="G646" s="258"/>
      <c r="H646" s="258"/>
      <c r="I646" s="258"/>
      <c r="J646" s="258"/>
      <c r="K646" s="258"/>
    </row>
    <row r="647" spans="1:11" ht="20.25">
      <c r="A647" s="258"/>
      <c r="B647" s="258"/>
      <c r="C647" s="258"/>
      <c r="D647" s="258"/>
      <c r="E647" s="269"/>
      <c r="F647" s="272"/>
      <c r="G647" s="258"/>
      <c r="H647" s="258"/>
      <c r="I647" s="258"/>
      <c r="J647" s="258"/>
      <c r="K647" s="258"/>
    </row>
    <row r="648" spans="1:11" ht="20.25">
      <c r="A648" s="258"/>
      <c r="B648" s="258"/>
      <c r="C648" s="258"/>
      <c r="D648" s="258"/>
      <c r="E648" s="269"/>
      <c r="F648" s="272"/>
      <c r="G648" s="258"/>
      <c r="H648" s="258"/>
      <c r="I648" s="258"/>
      <c r="J648" s="258"/>
      <c r="K648" s="258"/>
    </row>
    <row r="649" spans="1:11" ht="20.25">
      <c r="A649" s="258"/>
      <c r="B649" s="258"/>
      <c r="C649" s="258"/>
      <c r="D649" s="258"/>
      <c r="E649" s="269"/>
      <c r="F649" s="272"/>
      <c r="G649" s="258"/>
      <c r="H649" s="258"/>
      <c r="I649" s="258"/>
      <c r="J649" s="258"/>
      <c r="K649" s="258"/>
    </row>
    <row r="650" spans="1:11" ht="20.25">
      <c r="A650" s="258"/>
      <c r="B650" s="258"/>
      <c r="C650" s="258"/>
      <c r="D650" s="258"/>
      <c r="E650" s="269"/>
      <c r="F650" s="272"/>
      <c r="G650" s="258"/>
      <c r="H650" s="258"/>
      <c r="I650" s="258"/>
      <c r="J650" s="258"/>
      <c r="K650" s="258"/>
    </row>
    <row r="651" spans="1:11" ht="20.25">
      <c r="A651" s="258"/>
      <c r="B651" s="258"/>
      <c r="C651" s="258"/>
      <c r="D651" s="258"/>
      <c r="E651" s="269"/>
      <c r="F651" s="272"/>
      <c r="G651" s="258"/>
      <c r="H651" s="258"/>
      <c r="I651" s="258"/>
      <c r="J651" s="258"/>
      <c r="K651" s="258"/>
    </row>
    <row r="652" spans="1:11" ht="20.25">
      <c r="A652" s="258"/>
      <c r="B652" s="258"/>
      <c r="C652" s="258"/>
      <c r="D652" s="258"/>
      <c r="E652" s="269"/>
      <c r="F652" s="272"/>
      <c r="G652" s="258"/>
      <c r="H652" s="258"/>
      <c r="I652" s="258"/>
      <c r="J652" s="258"/>
      <c r="K652" s="258"/>
    </row>
    <row r="653" spans="1:11" ht="20.25">
      <c r="A653" s="258"/>
      <c r="B653" s="258"/>
      <c r="C653" s="258"/>
      <c r="D653" s="258"/>
      <c r="E653" s="269"/>
      <c r="F653" s="272"/>
      <c r="G653" s="258"/>
      <c r="H653" s="258"/>
      <c r="I653" s="258"/>
      <c r="J653" s="258"/>
      <c r="K653" s="258"/>
    </row>
    <row r="654" spans="1:11" ht="20.25">
      <c r="A654" s="258"/>
      <c r="B654" s="258"/>
      <c r="C654" s="258"/>
      <c r="D654" s="258"/>
      <c r="E654" s="269"/>
      <c r="F654" s="272"/>
      <c r="G654" s="258"/>
      <c r="H654" s="258"/>
      <c r="I654" s="258"/>
      <c r="J654" s="258"/>
      <c r="K654" s="258"/>
    </row>
    <row r="655" spans="1:11" ht="20.25">
      <c r="A655" s="258"/>
      <c r="B655" s="258"/>
      <c r="C655" s="258"/>
      <c r="D655" s="258"/>
      <c r="E655" s="269"/>
      <c r="F655" s="272"/>
      <c r="G655" s="258"/>
      <c r="H655" s="258"/>
      <c r="I655" s="258"/>
      <c r="J655" s="258"/>
      <c r="K655" s="258"/>
    </row>
    <row r="656" spans="1:11" ht="20.25">
      <c r="A656" s="258"/>
      <c r="B656" s="258"/>
      <c r="C656" s="258"/>
      <c r="D656" s="258"/>
      <c r="E656" s="269"/>
      <c r="F656" s="272"/>
      <c r="G656" s="258"/>
      <c r="H656" s="258"/>
      <c r="I656" s="258"/>
      <c r="J656" s="258"/>
      <c r="K656" s="258"/>
    </row>
    <row r="657" spans="1:11" ht="20.25">
      <c r="A657" s="258"/>
      <c r="B657" s="258"/>
      <c r="C657" s="258"/>
      <c r="D657" s="258"/>
      <c r="E657" s="269"/>
      <c r="F657" s="272"/>
      <c r="G657" s="258"/>
      <c r="H657" s="258"/>
      <c r="I657" s="258"/>
      <c r="J657" s="258"/>
      <c r="K657" s="258"/>
    </row>
    <row r="658" spans="1:11" ht="20.25">
      <c r="A658" s="258"/>
      <c r="B658" s="258"/>
      <c r="C658" s="258"/>
      <c r="D658" s="258"/>
      <c r="E658" s="269"/>
      <c r="F658" s="272"/>
      <c r="G658" s="258"/>
      <c r="H658" s="258"/>
      <c r="I658" s="258"/>
      <c r="J658" s="258"/>
      <c r="K658" s="258"/>
    </row>
    <row r="659" spans="1:11" ht="20.25">
      <c r="A659" s="258"/>
      <c r="B659" s="258"/>
      <c r="C659" s="258"/>
      <c r="D659" s="258"/>
      <c r="E659" s="269"/>
      <c r="F659" s="272"/>
      <c r="G659" s="258"/>
      <c r="H659" s="258"/>
      <c r="I659" s="258"/>
      <c r="J659" s="258"/>
      <c r="K659" s="258"/>
    </row>
    <row r="660" spans="1:11" ht="20.25">
      <c r="A660" s="258"/>
      <c r="B660" s="258"/>
      <c r="C660" s="258"/>
      <c r="D660" s="258"/>
      <c r="E660" s="269"/>
      <c r="F660" s="272"/>
      <c r="G660" s="258"/>
      <c r="H660" s="258"/>
      <c r="I660" s="258"/>
      <c r="J660" s="258"/>
      <c r="K660" s="258"/>
    </row>
    <row r="661" spans="1:11" ht="20.25">
      <c r="A661" s="258"/>
      <c r="B661" s="258"/>
      <c r="C661" s="258"/>
      <c r="D661" s="258"/>
      <c r="E661" s="269"/>
      <c r="F661" s="272"/>
      <c r="G661" s="258"/>
      <c r="H661" s="258"/>
      <c r="I661" s="258"/>
      <c r="J661" s="258"/>
      <c r="K661" s="258"/>
    </row>
    <row r="662" spans="1:11" ht="20.25">
      <c r="A662" s="258"/>
      <c r="B662" s="258"/>
      <c r="C662" s="258"/>
      <c r="D662" s="258"/>
      <c r="E662" s="269"/>
      <c r="F662" s="272"/>
      <c r="G662" s="258"/>
      <c r="H662" s="258"/>
      <c r="I662" s="258"/>
      <c r="J662" s="258"/>
      <c r="K662" s="258"/>
    </row>
    <row r="663" spans="1:11" ht="20.25">
      <c r="A663" s="258"/>
      <c r="B663" s="258"/>
      <c r="C663" s="258"/>
      <c r="D663" s="258"/>
      <c r="E663" s="269"/>
      <c r="F663" s="272"/>
      <c r="G663" s="258"/>
      <c r="H663" s="258"/>
      <c r="I663" s="258"/>
      <c r="J663" s="258"/>
      <c r="K663" s="258"/>
    </row>
    <row r="664" spans="1:11" ht="20.25">
      <c r="A664" s="258"/>
      <c r="B664" s="258"/>
      <c r="C664" s="258"/>
      <c r="D664" s="258"/>
      <c r="E664" s="269"/>
      <c r="F664" s="272"/>
      <c r="G664" s="258"/>
      <c r="H664" s="258"/>
      <c r="I664" s="258"/>
      <c r="J664" s="258"/>
      <c r="K664" s="258"/>
    </row>
    <row r="665" spans="1:11" ht="20.25">
      <c r="A665" s="258"/>
      <c r="B665" s="258"/>
      <c r="C665" s="258"/>
      <c r="D665" s="258"/>
      <c r="E665" s="269"/>
      <c r="F665" s="272"/>
      <c r="G665" s="258"/>
      <c r="H665" s="258"/>
      <c r="I665" s="258"/>
      <c r="J665" s="258"/>
      <c r="K665" s="258"/>
    </row>
    <row r="666" spans="1:11" ht="20.25">
      <c r="A666" s="258"/>
      <c r="B666" s="258"/>
      <c r="C666" s="258"/>
      <c r="D666" s="258"/>
      <c r="E666" s="269"/>
      <c r="F666" s="272"/>
      <c r="G666" s="258"/>
      <c r="H666" s="258"/>
      <c r="I666" s="258"/>
      <c r="J666" s="258"/>
      <c r="K666" s="258"/>
    </row>
    <row r="667" spans="1:11" ht="20.25">
      <c r="A667" s="258"/>
      <c r="B667" s="258"/>
      <c r="C667" s="258"/>
      <c r="D667" s="258"/>
      <c r="E667" s="269"/>
      <c r="F667" s="272"/>
      <c r="G667" s="258"/>
      <c r="H667" s="258"/>
      <c r="I667" s="258"/>
      <c r="J667" s="258"/>
      <c r="K667" s="258"/>
    </row>
    <row r="668" spans="1:11" ht="20.25">
      <c r="A668" s="258"/>
      <c r="B668" s="258"/>
      <c r="C668" s="258"/>
      <c r="D668" s="258"/>
      <c r="E668" s="269"/>
      <c r="F668" s="272"/>
      <c r="G668" s="258"/>
      <c r="H668" s="258"/>
      <c r="I668" s="258"/>
      <c r="J668" s="258"/>
      <c r="K668" s="258"/>
    </row>
    <row r="669" spans="1:11" ht="20.25">
      <c r="A669" s="258"/>
      <c r="B669" s="258"/>
      <c r="C669" s="258"/>
      <c r="D669" s="258"/>
      <c r="E669" s="269"/>
      <c r="F669" s="272"/>
      <c r="G669" s="258"/>
      <c r="H669" s="258"/>
      <c r="I669" s="258"/>
      <c r="J669" s="258"/>
      <c r="K669" s="258"/>
    </row>
    <row r="670" spans="1:11" ht="20.25">
      <c r="A670" s="258"/>
      <c r="B670" s="258"/>
      <c r="C670" s="258"/>
      <c r="D670" s="258"/>
      <c r="E670" s="269"/>
      <c r="F670" s="272"/>
      <c r="G670" s="258"/>
      <c r="H670" s="258"/>
      <c r="I670" s="258"/>
      <c r="J670" s="258"/>
      <c r="K670" s="258"/>
    </row>
    <row r="671" spans="1:11" ht="20.25">
      <c r="A671" s="258"/>
      <c r="B671" s="258"/>
      <c r="C671" s="258"/>
      <c r="D671" s="258"/>
      <c r="E671" s="269"/>
      <c r="F671" s="272"/>
      <c r="G671" s="258"/>
      <c r="H671" s="258"/>
      <c r="I671" s="258"/>
      <c r="J671" s="258"/>
      <c r="K671" s="258"/>
    </row>
    <row r="672" spans="1:11" ht="20.25">
      <c r="A672" s="258"/>
      <c r="B672" s="258"/>
      <c r="C672" s="258"/>
      <c r="D672" s="258"/>
      <c r="E672" s="269"/>
      <c r="F672" s="272"/>
      <c r="G672" s="258"/>
      <c r="H672" s="258"/>
      <c r="I672" s="258"/>
      <c r="J672" s="258"/>
      <c r="K672" s="258"/>
    </row>
    <row r="673" spans="1:11" ht="20.25">
      <c r="A673" s="258"/>
      <c r="B673" s="258"/>
      <c r="C673" s="258"/>
      <c r="D673" s="258"/>
      <c r="E673" s="269"/>
      <c r="F673" s="272"/>
      <c r="G673" s="258"/>
      <c r="H673" s="258"/>
      <c r="I673" s="258"/>
      <c r="J673" s="258"/>
      <c r="K673" s="258"/>
    </row>
    <row r="674" spans="1:11" ht="20.25">
      <c r="A674" s="258"/>
      <c r="B674" s="258"/>
      <c r="C674" s="258"/>
      <c r="D674" s="258"/>
      <c r="E674" s="269"/>
      <c r="F674" s="272"/>
      <c r="G674" s="258"/>
      <c r="H674" s="258"/>
      <c r="I674" s="258"/>
      <c r="J674" s="258"/>
      <c r="K674" s="258"/>
    </row>
    <row r="675" spans="1:11" ht="20.25">
      <c r="A675" s="258"/>
      <c r="B675" s="258"/>
      <c r="C675" s="258"/>
      <c r="D675" s="258"/>
      <c r="E675" s="269"/>
      <c r="F675" s="272"/>
      <c r="G675" s="258"/>
      <c r="H675" s="258"/>
      <c r="I675" s="258"/>
      <c r="J675" s="258"/>
      <c r="K675" s="258"/>
    </row>
    <row r="676" spans="1:11" ht="20.25">
      <c r="A676" s="258"/>
      <c r="B676" s="258"/>
      <c r="C676" s="258"/>
      <c r="D676" s="258"/>
      <c r="E676" s="269"/>
      <c r="F676" s="272"/>
      <c r="G676" s="258"/>
      <c r="H676" s="258"/>
      <c r="I676" s="258"/>
      <c r="J676" s="258"/>
      <c r="K676" s="258"/>
    </row>
    <row r="677" spans="1:11" ht="20.25">
      <c r="A677" s="258"/>
      <c r="B677" s="258"/>
      <c r="C677" s="258"/>
      <c r="D677" s="258"/>
      <c r="E677" s="269"/>
      <c r="F677" s="272"/>
      <c r="G677" s="258"/>
      <c r="H677" s="258"/>
      <c r="I677" s="258"/>
      <c r="J677" s="258"/>
      <c r="K677" s="258"/>
    </row>
    <row r="678" spans="1:11" ht="20.25">
      <c r="A678" s="258"/>
      <c r="B678" s="258"/>
      <c r="C678" s="258"/>
      <c r="D678" s="258"/>
      <c r="E678" s="269"/>
      <c r="F678" s="272"/>
      <c r="G678" s="258"/>
      <c r="H678" s="258"/>
      <c r="I678" s="258"/>
      <c r="J678" s="258"/>
      <c r="K678" s="258"/>
    </row>
    <row r="679" spans="1:11" ht="20.25">
      <c r="A679" s="258"/>
      <c r="B679" s="258"/>
      <c r="C679" s="258"/>
      <c r="D679" s="258"/>
      <c r="E679" s="269"/>
      <c r="F679" s="272"/>
      <c r="G679" s="258"/>
      <c r="H679" s="258"/>
      <c r="I679" s="258"/>
      <c r="J679" s="258"/>
      <c r="K679" s="258"/>
    </row>
    <row r="680" spans="1:11" ht="20.25">
      <c r="A680" s="258"/>
      <c r="B680" s="258"/>
      <c r="C680" s="258"/>
      <c r="D680" s="258"/>
      <c r="E680" s="269"/>
      <c r="F680" s="272"/>
      <c r="G680" s="258"/>
      <c r="H680" s="258"/>
      <c r="I680" s="258"/>
      <c r="J680" s="258"/>
      <c r="K680" s="258"/>
    </row>
    <row r="681" spans="1:11" ht="20.25">
      <c r="A681" s="258"/>
      <c r="B681" s="258"/>
      <c r="C681" s="258"/>
      <c r="D681" s="258"/>
      <c r="E681" s="269"/>
      <c r="F681" s="272"/>
      <c r="G681" s="258"/>
      <c r="H681" s="258"/>
      <c r="I681" s="258"/>
      <c r="J681" s="258"/>
      <c r="K681" s="258"/>
    </row>
    <row r="682" spans="1:11" ht="20.25">
      <c r="A682" s="258"/>
      <c r="B682" s="258"/>
      <c r="C682" s="258"/>
      <c r="D682" s="258"/>
      <c r="E682" s="269"/>
      <c r="F682" s="272"/>
      <c r="G682" s="258"/>
      <c r="H682" s="258"/>
      <c r="I682" s="258"/>
      <c r="J682" s="258"/>
      <c r="K682" s="258"/>
    </row>
    <row r="683" spans="1:11" ht="20.25">
      <c r="A683" s="258"/>
      <c r="B683" s="258"/>
      <c r="C683" s="258"/>
      <c r="D683" s="258"/>
      <c r="E683" s="269"/>
      <c r="F683" s="272"/>
      <c r="G683" s="258"/>
      <c r="H683" s="258"/>
      <c r="I683" s="258"/>
      <c r="J683" s="258"/>
      <c r="K683" s="258"/>
    </row>
    <row r="684" spans="1:11" ht="20.25">
      <c r="A684" s="258"/>
      <c r="B684" s="258"/>
      <c r="C684" s="258"/>
      <c r="D684" s="258"/>
      <c r="E684" s="269"/>
      <c r="F684" s="272"/>
      <c r="G684" s="258"/>
      <c r="H684" s="258"/>
      <c r="I684" s="258"/>
      <c r="J684" s="258"/>
      <c r="K684" s="258"/>
    </row>
    <row r="685" spans="1:11" ht="20.25">
      <c r="A685" s="258"/>
      <c r="B685" s="258"/>
      <c r="C685" s="258"/>
      <c r="D685" s="258"/>
      <c r="E685" s="269"/>
      <c r="F685" s="272"/>
      <c r="G685" s="258"/>
      <c r="H685" s="258"/>
      <c r="I685" s="258"/>
      <c r="J685" s="258"/>
      <c r="K685" s="258"/>
    </row>
    <row r="686" spans="1:11" ht="20.25">
      <c r="A686" s="258"/>
      <c r="B686" s="258"/>
      <c r="C686" s="258"/>
      <c r="D686" s="258"/>
      <c r="E686" s="269"/>
      <c r="F686" s="272"/>
      <c r="G686" s="258"/>
      <c r="H686" s="258"/>
      <c r="I686" s="258"/>
      <c r="J686" s="258"/>
      <c r="K686" s="258"/>
    </row>
    <row r="687" spans="1:11" ht="20.25">
      <c r="A687" s="258"/>
      <c r="B687" s="258"/>
      <c r="C687" s="258"/>
      <c r="D687" s="258"/>
      <c r="E687" s="269"/>
      <c r="F687" s="272"/>
      <c r="G687" s="258"/>
      <c r="H687" s="258"/>
      <c r="I687" s="258"/>
      <c r="J687" s="258"/>
      <c r="K687" s="258"/>
    </row>
    <row r="688" spans="1:11" ht="20.25">
      <c r="A688" s="258"/>
      <c r="B688" s="258"/>
      <c r="C688" s="258"/>
      <c r="D688" s="258"/>
      <c r="E688" s="269"/>
      <c r="F688" s="272"/>
      <c r="G688" s="258"/>
      <c r="H688" s="258"/>
      <c r="I688" s="258"/>
      <c r="J688" s="258"/>
      <c r="K688" s="258"/>
    </row>
    <row r="689" spans="1:11" ht="20.25">
      <c r="A689" s="258"/>
      <c r="B689" s="258"/>
      <c r="C689" s="258"/>
      <c r="D689" s="258"/>
      <c r="E689" s="269"/>
      <c r="F689" s="272"/>
      <c r="G689" s="258"/>
      <c r="H689" s="258"/>
      <c r="I689" s="258"/>
      <c r="J689" s="258"/>
      <c r="K689" s="258"/>
    </row>
    <row r="690" spans="1:11" ht="20.25">
      <c r="A690" s="258"/>
      <c r="B690" s="258"/>
      <c r="C690" s="258"/>
      <c r="D690" s="258"/>
      <c r="E690" s="269"/>
      <c r="F690" s="272"/>
      <c r="G690" s="258"/>
      <c r="H690" s="258"/>
      <c r="I690" s="258"/>
      <c r="J690" s="258"/>
      <c r="K690" s="258"/>
    </row>
    <row r="691" spans="1:11" ht="20.25">
      <c r="A691" s="258"/>
      <c r="B691" s="258"/>
      <c r="C691" s="258"/>
      <c r="D691" s="258"/>
      <c r="E691" s="269"/>
      <c r="F691" s="272"/>
      <c r="G691" s="258"/>
      <c r="H691" s="258"/>
      <c r="I691" s="258"/>
      <c r="J691" s="258"/>
      <c r="K691" s="258"/>
    </row>
    <row r="692" spans="1:11" ht="20.25">
      <c r="A692" s="258"/>
      <c r="B692" s="258"/>
      <c r="C692" s="258"/>
      <c r="D692" s="258"/>
      <c r="E692" s="269"/>
      <c r="F692" s="272"/>
      <c r="G692" s="258"/>
      <c r="H692" s="258"/>
      <c r="I692" s="258"/>
      <c r="J692" s="258"/>
      <c r="K692" s="258"/>
    </row>
    <row r="693" spans="1:11" ht="20.25">
      <c r="A693" s="258"/>
      <c r="B693" s="258"/>
      <c r="C693" s="258"/>
      <c r="D693" s="258"/>
      <c r="E693" s="269"/>
      <c r="F693" s="272"/>
      <c r="G693" s="258"/>
      <c r="H693" s="258"/>
      <c r="I693" s="258"/>
      <c r="J693" s="258"/>
      <c r="K693" s="258"/>
    </row>
    <row r="694" spans="1:11" ht="20.25">
      <c r="A694" s="258"/>
      <c r="B694" s="258"/>
      <c r="C694" s="258"/>
      <c r="D694" s="258"/>
      <c r="E694" s="269"/>
      <c r="F694" s="272"/>
      <c r="G694" s="258"/>
      <c r="H694" s="258"/>
      <c r="I694" s="258"/>
      <c r="J694" s="258"/>
      <c r="K694" s="258"/>
    </row>
    <row r="695" spans="1:11" ht="20.25">
      <c r="A695" s="258"/>
      <c r="B695" s="258"/>
      <c r="C695" s="258"/>
      <c r="D695" s="258"/>
      <c r="E695" s="269"/>
      <c r="F695" s="272"/>
      <c r="G695" s="258"/>
      <c r="H695" s="258"/>
      <c r="I695" s="258"/>
      <c r="J695" s="258"/>
      <c r="K695" s="258"/>
    </row>
    <row r="696" spans="1:11" ht="20.25">
      <c r="A696" s="258"/>
      <c r="B696" s="258"/>
      <c r="C696" s="258"/>
      <c r="D696" s="258"/>
      <c r="E696" s="269"/>
      <c r="F696" s="272"/>
      <c r="G696" s="258"/>
      <c r="H696" s="258"/>
      <c r="I696" s="258"/>
      <c r="J696" s="258"/>
      <c r="K696" s="258"/>
    </row>
    <row r="697" spans="1:11" ht="20.25">
      <c r="A697" s="258"/>
      <c r="B697" s="258"/>
      <c r="C697" s="258"/>
      <c r="D697" s="258"/>
      <c r="E697" s="269"/>
      <c r="F697" s="272"/>
      <c r="G697" s="258"/>
      <c r="H697" s="258"/>
      <c r="I697" s="258"/>
      <c r="J697" s="258"/>
      <c r="K697" s="258"/>
    </row>
    <row r="698" spans="1:11" ht="20.25">
      <c r="A698" s="258"/>
      <c r="B698" s="258"/>
      <c r="C698" s="258"/>
      <c r="D698" s="258"/>
      <c r="E698" s="269"/>
      <c r="F698" s="272"/>
      <c r="G698" s="258"/>
      <c r="H698" s="258"/>
      <c r="I698" s="258"/>
      <c r="J698" s="258"/>
      <c r="K698" s="258"/>
    </row>
    <row r="699" spans="1:11" ht="20.25">
      <c r="A699" s="258"/>
      <c r="B699" s="258"/>
      <c r="C699" s="258"/>
      <c r="D699" s="258"/>
      <c r="E699" s="269"/>
      <c r="F699" s="272"/>
      <c r="G699" s="258"/>
      <c r="H699" s="258"/>
      <c r="I699" s="258"/>
      <c r="J699" s="258"/>
      <c r="K699" s="258"/>
    </row>
    <row r="700" spans="1:11" ht="20.25">
      <c r="A700" s="258"/>
      <c r="B700" s="258"/>
      <c r="C700" s="258"/>
      <c r="D700" s="258"/>
      <c r="E700" s="269"/>
      <c r="F700" s="272"/>
      <c r="G700" s="258"/>
      <c r="H700" s="258"/>
      <c r="I700" s="258"/>
      <c r="J700" s="258"/>
      <c r="K700" s="258"/>
    </row>
    <row r="701" spans="1:11" ht="20.25">
      <c r="A701" s="258"/>
      <c r="B701" s="258"/>
      <c r="C701" s="258"/>
      <c r="D701" s="258"/>
      <c r="E701" s="269"/>
      <c r="F701" s="272"/>
      <c r="G701" s="258"/>
      <c r="H701" s="258"/>
      <c r="I701" s="258"/>
      <c r="J701" s="258"/>
      <c r="K701" s="258"/>
    </row>
    <row r="702" spans="1:11" ht="20.25">
      <c r="A702" s="258"/>
      <c r="B702" s="258"/>
      <c r="C702" s="258"/>
      <c r="D702" s="258"/>
      <c r="E702" s="269"/>
      <c r="F702" s="272"/>
      <c r="G702" s="258"/>
      <c r="H702" s="258"/>
      <c r="I702" s="258"/>
      <c r="J702" s="258"/>
      <c r="K702" s="258"/>
    </row>
    <row r="703" spans="1:11" ht="20.25">
      <c r="A703" s="258"/>
      <c r="B703" s="258"/>
      <c r="C703" s="258"/>
      <c r="D703" s="258"/>
      <c r="E703" s="269"/>
      <c r="F703" s="272"/>
      <c r="G703" s="258"/>
      <c r="H703" s="258"/>
      <c r="I703" s="258"/>
      <c r="J703" s="258"/>
      <c r="K703" s="258"/>
    </row>
    <row r="704" spans="1:11" ht="20.25">
      <c r="A704" s="258"/>
      <c r="B704" s="258"/>
      <c r="C704" s="258"/>
      <c r="D704" s="258"/>
      <c r="E704" s="269"/>
      <c r="F704" s="272"/>
      <c r="G704" s="258"/>
      <c r="H704" s="258"/>
      <c r="I704" s="258"/>
      <c r="J704" s="258"/>
      <c r="K704" s="258"/>
    </row>
    <row r="705" spans="1:11" ht="20.25">
      <c r="A705" s="258"/>
      <c r="B705" s="258"/>
      <c r="C705" s="258"/>
      <c r="D705" s="258"/>
      <c r="E705" s="269"/>
      <c r="F705" s="272"/>
      <c r="G705" s="258"/>
      <c r="H705" s="258"/>
      <c r="I705" s="258"/>
      <c r="J705" s="258"/>
      <c r="K705" s="258"/>
    </row>
    <row r="706" spans="1:11" ht="20.25">
      <c r="A706" s="258"/>
      <c r="B706" s="258"/>
      <c r="C706" s="258"/>
      <c r="D706" s="258"/>
      <c r="E706" s="269"/>
      <c r="F706" s="272"/>
      <c r="G706" s="258"/>
      <c r="H706" s="258"/>
      <c r="I706" s="258"/>
      <c r="J706" s="258"/>
      <c r="K706" s="258"/>
    </row>
    <row r="707" spans="1:11" ht="20.25">
      <c r="A707" s="258"/>
      <c r="B707" s="258"/>
      <c r="C707" s="258"/>
      <c r="D707" s="258"/>
      <c r="E707" s="269"/>
      <c r="F707" s="272"/>
      <c r="G707" s="258"/>
      <c r="H707" s="258"/>
      <c r="I707" s="258"/>
      <c r="J707" s="258"/>
      <c r="K707" s="258"/>
    </row>
    <row r="708" spans="1:11" ht="20.25">
      <c r="A708" s="258"/>
      <c r="B708" s="258"/>
      <c r="C708" s="258"/>
      <c r="D708" s="258"/>
      <c r="E708" s="269"/>
      <c r="F708" s="272"/>
      <c r="G708" s="258"/>
      <c r="H708" s="258"/>
      <c r="I708" s="258"/>
      <c r="J708" s="258"/>
      <c r="K708" s="258"/>
    </row>
    <row r="709" spans="1:11" ht="20.25">
      <c r="A709" s="258"/>
      <c r="B709" s="258"/>
      <c r="C709" s="258"/>
      <c r="D709" s="258"/>
      <c r="E709" s="269"/>
      <c r="F709" s="272"/>
      <c r="G709" s="258"/>
      <c r="H709" s="258"/>
      <c r="I709" s="258"/>
      <c r="J709" s="258"/>
      <c r="K709" s="258"/>
    </row>
    <row r="710" spans="1:11" ht="20.25">
      <c r="A710" s="258"/>
      <c r="B710" s="258"/>
      <c r="C710" s="258"/>
      <c r="D710" s="258"/>
      <c r="E710" s="269"/>
      <c r="F710" s="272"/>
      <c r="G710" s="258"/>
      <c r="H710" s="258"/>
      <c r="I710" s="258"/>
      <c r="J710" s="258"/>
      <c r="K710" s="258"/>
    </row>
    <row r="711" spans="1:11" ht="20.25">
      <c r="A711" s="258"/>
      <c r="B711" s="258"/>
      <c r="C711" s="258"/>
      <c r="D711" s="258"/>
      <c r="E711" s="269"/>
      <c r="F711" s="272"/>
      <c r="G711" s="258"/>
      <c r="H711" s="258"/>
      <c r="I711" s="258"/>
      <c r="J711" s="258"/>
      <c r="K711" s="258"/>
    </row>
    <row r="712" spans="1:11" ht="20.25">
      <c r="A712" s="258"/>
      <c r="B712" s="258"/>
      <c r="C712" s="258"/>
      <c r="D712" s="258"/>
      <c r="E712" s="269"/>
      <c r="F712" s="272"/>
      <c r="G712" s="258"/>
      <c r="H712" s="258"/>
      <c r="I712" s="258"/>
      <c r="J712" s="258"/>
      <c r="K712" s="258"/>
    </row>
    <row r="713" spans="1:11" ht="20.25">
      <c r="A713" s="258"/>
      <c r="B713" s="258"/>
      <c r="C713" s="258"/>
      <c r="D713" s="258"/>
      <c r="E713" s="269"/>
      <c r="F713" s="272"/>
      <c r="G713" s="258"/>
      <c r="H713" s="258"/>
      <c r="I713" s="258"/>
      <c r="J713" s="258"/>
      <c r="K713" s="258"/>
    </row>
    <row r="714" spans="1:11" ht="20.25">
      <c r="A714" s="258"/>
      <c r="B714" s="258"/>
      <c r="C714" s="258"/>
      <c r="D714" s="258"/>
      <c r="E714" s="269"/>
      <c r="F714" s="272"/>
      <c r="G714" s="258"/>
      <c r="H714" s="258"/>
      <c r="I714" s="258"/>
      <c r="J714" s="258"/>
      <c r="K714" s="258"/>
    </row>
    <row r="715" spans="1:11" ht="20.25">
      <c r="A715" s="258"/>
      <c r="B715" s="258"/>
      <c r="C715" s="258"/>
      <c r="D715" s="258"/>
      <c r="E715" s="269"/>
      <c r="F715" s="272"/>
      <c r="G715" s="258"/>
      <c r="H715" s="258"/>
      <c r="I715" s="258"/>
      <c r="J715" s="258"/>
      <c r="K715" s="258"/>
    </row>
    <row r="716" spans="1:11" ht="20.25">
      <c r="A716" s="258"/>
      <c r="B716" s="258"/>
      <c r="C716" s="258"/>
      <c r="D716" s="258"/>
      <c r="E716" s="269"/>
      <c r="F716" s="272"/>
      <c r="G716" s="258"/>
      <c r="H716" s="258"/>
      <c r="I716" s="258"/>
      <c r="J716" s="258"/>
      <c r="K716" s="258"/>
    </row>
    <row r="717" spans="1:11" ht="20.25">
      <c r="A717" s="258"/>
      <c r="B717" s="258"/>
      <c r="C717" s="258"/>
      <c r="D717" s="258"/>
      <c r="E717" s="269"/>
      <c r="F717" s="272"/>
      <c r="G717" s="258"/>
      <c r="H717" s="258"/>
      <c r="I717" s="258"/>
      <c r="J717" s="258"/>
      <c r="K717" s="258"/>
    </row>
    <row r="718" spans="1:11" ht="20.25">
      <c r="A718" s="258"/>
      <c r="B718" s="258"/>
      <c r="C718" s="258"/>
      <c r="D718" s="258"/>
      <c r="E718" s="269"/>
      <c r="F718" s="272"/>
      <c r="G718" s="258"/>
      <c r="H718" s="258"/>
      <c r="I718" s="258"/>
      <c r="J718" s="258"/>
      <c r="K718" s="258"/>
    </row>
    <row r="719" spans="1:11" ht="20.25">
      <c r="A719" s="258"/>
      <c r="B719" s="258"/>
      <c r="C719" s="258"/>
      <c r="D719" s="258"/>
      <c r="E719" s="269"/>
      <c r="F719" s="272"/>
      <c r="G719" s="258"/>
      <c r="H719" s="258"/>
      <c r="I719" s="258"/>
      <c r="J719" s="258"/>
      <c r="K719" s="258"/>
    </row>
    <row r="720" spans="1:11" ht="20.25">
      <c r="A720" s="258"/>
      <c r="B720" s="258"/>
      <c r="C720" s="258"/>
      <c r="D720" s="258"/>
      <c r="E720" s="269"/>
      <c r="F720" s="272"/>
      <c r="G720" s="258"/>
      <c r="H720" s="258"/>
      <c r="I720" s="258"/>
      <c r="J720" s="258"/>
      <c r="K720" s="258"/>
    </row>
    <row r="721" spans="1:11" ht="20.25">
      <c r="A721" s="258"/>
      <c r="B721" s="258"/>
      <c r="C721" s="258"/>
      <c r="D721" s="258"/>
      <c r="E721" s="269"/>
      <c r="F721" s="272"/>
      <c r="G721" s="258"/>
      <c r="H721" s="258"/>
      <c r="I721" s="258"/>
      <c r="J721" s="258"/>
      <c r="K721" s="258"/>
    </row>
    <row r="722" spans="1:11" ht="20.25">
      <c r="A722" s="258"/>
      <c r="B722" s="258"/>
      <c r="C722" s="258"/>
      <c r="D722" s="258"/>
      <c r="E722" s="269"/>
      <c r="F722" s="272"/>
      <c r="G722" s="258"/>
      <c r="H722" s="258"/>
      <c r="I722" s="258"/>
      <c r="J722" s="258"/>
      <c r="K722" s="258"/>
    </row>
    <row r="723" spans="1:11" ht="20.25">
      <c r="A723" s="258"/>
      <c r="B723" s="258"/>
      <c r="C723" s="258"/>
      <c r="D723" s="258"/>
      <c r="E723" s="269"/>
      <c r="F723" s="272"/>
      <c r="G723" s="258"/>
      <c r="H723" s="258"/>
      <c r="I723" s="258"/>
      <c r="J723" s="258"/>
      <c r="K723" s="258"/>
    </row>
    <row r="724" spans="1:11" ht="20.25">
      <c r="A724" s="258"/>
      <c r="B724" s="258"/>
      <c r="C724" s="258"/>
      <c r="D724" s="258"/>
      <c r="E724" s="269"/>
      <c r="F724" s="272"/>
      <c r="G724" s="258"/>
      <c r="H724" s="258"/>
      <c r="I724" s="258"/>
      <c r="J724" s="258"/>
      <c r="K724" s="258"/>
    </row>
    <row r="725" spans="1:11" ht="20.25">
      <c r="A725" s="258"/>
      <c r="B725" s="258"/>
      <c r="C725" s="258"/>
      <c r="D725" s="258"/>
      <c r="E725" s="269"/>
      <c r="F725" s="272"/>
      <c r="G725" s="258"/>
      <c r="H725" s="258"/>
      <c r="I725" s="258"/>
      <c r="J725" s="258"/>
      <c r="K725" s="258"/>
    </row>
    <row r="726" spans="1:11" ht="20.25">
      <c r="A726" s="258"/>
      <c r="B726" s="258"/>
      <c r="C726" s="258"/>
      <c r="D726" s="258"/>
      <c r="E726" s="269"/>
      <c r="F726" s="272"/>
      <c r="G726" s="258"/>
      <c r="H726" s="258"/>
      <c r="I726" s="258"/>
      <c r="J726" s="258"/>
      <c r="K726" s="258"/>
    </row>
    <row r="727" spans="1:11" ht="20.25">
      <c r="A727" s="258"/>
      <c r="B727" s="258"/>
      <c r="C727" s="258"/>
      <c r="D727" s="258"/>
      <c r="E727" s="269"/>
      <c r="F727" s="272"/>
      <c r="G727" s="258"/>
      <c r="H727" s="258"/>
      <c r="I727" s="258"/>
      <c r="J727" s="258"/>
      <c r="K727" s="258"/>
    </row>
    <row r="728" spans="1:11" ht="20.25">
      <c r="A728" s="258"/>
      <c r="B728" s="258"/>
      <c r="C728" s="258"/>
      <c r="D728" s="258"/>
      <c r="E728" s="269"/>
      <c r="F728" s="272"/>
      <c r="G728" s="258"/>
      <c r="H728" s="258"/>
      <c r="I728" s="258"/>
      <c r="J728" s="258"/>
      <c r="K728" s="258"/>
    </row>
    <row r="729" spans="1:11" ht="20.25">
      <c r="A729" s="258"/>
      <c r="B729" s="258"/>
      <c r="C729" s="258"/>
      <c r="D729" s="258"/>
      <c r="E729" s="269"/>
      <c r="F729" s="272"/>
      <c r="G729" s="258"/>
      <c r="H729" s="258"/>
      <c r="I729" s="258"/>
      <c r="J729" s="258"/>
      <c r="K729" s="258"/>
    </row>
    <row r="730" spans="1:11" ht="20.25">
      <c r="A730" s="258"/>
      <c r="B730" s="258"/>
      <c r="C730" s="258"/>
      <c r="D730" s="258"/>
      <c r="E730" s="269"/>
      <c r="F730" s="272"/>
      <c r="G730" s="258"/>
      <c r="H730" s="258"/>
      <c r="I730" s="258"/>
      <c r="J730" s="258"/>
      <c r="K730" s="258"/>
    </row>
    <row r="731" spans="1:11" ht="20.25">
      <c r="A731" s="258"/>
      <c r="B731" s="258"/>
      <c r="C731" s="258"/>
      <c r="D731" s="258"/>
      <c r="E731" s="269"/>
      <c r="F731" s="272"/>
      <c r="G731" s="258"/>
      <c r="H731" s="258"/>
      <c r="I731" s="258"/>
      <c r="J731" s="258"/>
      <c r="K731" s="258"/>
    </row>
    <row r="732" spans="1:11" ht="20.25">
      <c r="A732" s="258"/>
      <c r="B732" s="258"/>
      <c r="C732" s="258"/>
      <c r="D732" s="258"/>
      <c r="E732" s="269"/>
      <c r="F732" s="272"/>
      <c r="G732" s="258"/>
      <c r="H732" s="258"/>
      <c r="I732" s="258"/>
      <c r="J732" s="258"/>
      <c r="K732" s="258"/>
    </row>
    <row r="733" spans="1:11" ht="20.25">
      <c r="A733" s="258"/>
      <c r="B733" s="258"/>
      <c r="C733" s="258"/>
      <c r="D733" s="258"/>
      <c r="E733" s="269"/>
      <c r="F733" s="272"/>
      <c r="G733" s="258"/>
      <c r="H733" s="258"/>
      <c r="I733" s="258"/>
      <c r="J733" s="258"/>
      <c r="K733" s="258"/>
    </row>
    <row r="734" spans="1:11" ht="20.25">
      <c r="A734" s="258"/>
      <c r="B734" s="258"/>
      <c r="C734" s="258"/>
      <c r="D734" s="258"/>
      <c r="E734" s="269"/>
      <c r="F734" s="272"/>
      <c r="G734" s="258"/>
      <c r="H734" s="258"/>
      <c r="I734" s="258"/>
      <c r="J734" s="258"/>
      <c r="K734" s="258"/>
    </row>
    <row r="735" spans="1:11" ht="20.25">
      <c r="A735" s="258"/>
      <c r="B735" s="258"/>
      <c r="C735" s="258"/>
      <c r="D735" s="258"/>
      <c r="E735" s="269"/>
      <c r="F735" s="272"/>
      <c r="G735" s="258"/>
      <c r="H735" s="258"/>
      <c r="I735" s="258"/>
      <c r="J735" s="258"/>
      <c r="K735" s="258"/>
    </row>
    <row r="736" spans="1:11" ht="20.25">
      <c r="A736" s="258"/>
      <c r="B736" s="258"/>
      <c r="C736" s="258"/>
      <c r="D736" s="258"/>
      <c r="E736" s="269"/>
      <c r="F736" s="272"/>
      <c r="G736" s="258"/>
      <c r="H736" s="258"/>
      <c r="I736" s="258"/>
      <c r="J736" s="258"/>
      <c r="K736" s="258"/>
    </row>
    <row r="737" spans="1:11" ht="20.25">
      <c r="A737" s="258"/>
      <c r="B737" s="258"/>
      <c r="C737" s="258"/>
      <c r="D737" s="258"/>
      <c r="E737" s="269"/>
      <c r="F737" s="272"/>
      <c r="G737" s="258"/>
      <c r="H737" s="258"/>
      <c r="I737" s="258"/>
      <c r="J737" s="258"/>
      <c r="K737" s="258"/>
    </row>
    <row r="738" spans="1:11" ht="20.25">
      <c r="A738" s="258"/>
      <c r="B738" s="258"/>
      <c r="C738" s="258"/>
      <c r="D738" s="258"/>
      <c r="E738" s="269"/>
      <c r="F738" s="272"/>
      <c r="G738" s="258"/>
      <c r="H738" s="258"/>
      <c r="I738" s="258"/>
      <c r="J738" s="258"/>
      <c r="K738" s="258"/>
    </row>
    <row r="739" spans="1:11" ht="20.25">
      <c r="A739" s="258"/>
      <c r="B739" s="258"/>
      <c r="C739" s="258"/>
      <c r="D739" s="258"/>
      <c r="E739" s="269"/>
      <c r="F739" s="272"/>
      <c r="G739" s="258"/>
      <c r="H739" s="258"/>
      <c r="I739" s="258"/>
      <c r="J739" s="258"/>
      <c r="K739" s="258"/>
    </row>
    <row r="740" spans="1:11" ht="20.25">
      <c r="A740" s="258"/>
      <c r="B740" s="258"/>
      <c r="C740" s="258"/>
      <c r="D740" s="258"/>
      <c r="E740" s="269"/>
      <c r="F740" s="272"/>
      <c r="G740" s="258"/>
      <c r="H740" s="258"/>
      <c r="I740" s="258"/>
      <c r="J740" s="258"/>
      <c r="K740" s="258"/>
    </row>
    <row r="741" spans="1:11" ht="20.25">
      <c r="A741" s="258"/>
      <c r="B741" s="258"/>
      <c r="C741" s="258"/>
      <c r="D741" s="258"/>
      <c r="E741" s="269"/>
      <c r="F741" s="272"/>
      <c r="G741" s="258"/>
      <c r="H741" s="258"/>
      <c r="I741" s="258"/>
      <c r="J741" s="258"/>
      <c r="K741" s="258"/>
    </row>
    <row r="742" spans="1:11" ht="20.25">
      <c r="A742" s="258"/>
      <c r="B742" s="258"/>
      <c r="C742" s="258"/>
      <c r="D742" s="258"/>
      <c r="E742" s="269"/>
      <c r="F742" s="272"/>
      <c r="G742" s="258"/>
      <c r="H742" s="258"/>
      <c r="I742" s="258"/>
      <c r="J742" s="258"/>
      <c r="K742" s="258"/>
    </row>
    <row r="743" spans="1:11" ht="20.25">
      <c r="A743" s="258"/>
      <c r="B743" s="258"/>
      <c r="C743" s="258"/>
      <c r="D743" s="258"/>
      <c r="E743" s="269"/>
      <c r="F743" s="272"/>
      <c r="G743" s="258"/>
      <c r="H743" s="258"/>
      <c r="I743" s="258"/>
      <c r="J743" s="258"/>
      <c r="K743" s="258"/>
    </row>
    <row r="744" spans="1:11" ht="20.25">
      <c r="A744" s="258"/>
      <c r="B744" s="258"/>
      <c r="C744" s="258"/>
      <c r="D744" s="258"/>
      <c r="E744" s="269"/>
      <c r="F744" s="272"/>
      <c r="G744" s="258"/>
      <c r="H744" s="258"/>
      <c r="I744" s="258"/>
      <c r="J744" s="258"/>
      <c r="K744" s="258"/>
    </row>
    <row r="745" spans="1:11" ht="20.25">
      <c r="A745" s="258"/>
      <c r="B745" s="258"/>
      <c r="C745" s="258"/>
      <c r="D745" s="258"/>
      <c r="E745" s="269"/>
      <c r="F745" s="272"/>
      <c r="G745" s="258"/>
      <c r="H745" s="258"/>
      <c r="I745" s="258"/>
      <c r="J745" s="258"/>
      <c r="K745" s="258"/>
    </row>
    <row r="746" spans="1:11" ht="20.25">
      <c r="A746" s="258"/>
      <c r="B746" s="258"/>
      <c r="C746" s="258"/>
      <c r="D746" s="258"/>
      <c r="E746" s="269"/>
      <c r="F746" s="272"/>
      <c r="G746" s="258"/>
      <c r="H746" s="258"/>
      <c r="I746" s="258"/>
      <c r="J746" s="258"/>
      <c r="K746" s="258"/>
    </row>
    <row r="747" spans="1:11" ht="20.25">
      <c r="A747" s="258"/>
      <c r="B747" s="258"/>
      <c r="C747" s="258"/>
      <c r="D747" s="258"/>
      <c r="E747" s="269"/>
      <c r="F747" s="272"/>
      <c r="G747" s="258"/>
      <c r="H747" s="258"/>
      <c r="I747" s="258"/>
      <c r="J747" s="258"/>
      <c r="K747" s="258"/>
    </row>
    <row r="748" spans="1:11" ht="20.25">
      <c r="A748" s="258"/>
      <c r="B748" s="258"/>
      <c r="C748" s="258"/>
      <c r="D748" s="258"/>
      <c r="E748" s="269"/>
      <c r="F748" s="272"/>
      <c r="G748" s="258"/>
      <c r="H748" s="258"/>
      <c r="I748" s="258"/>
      <c r="J748" s="258"/>
      <c r="K748" s="258"/>
    </row>
    <row r="749" spans="1:11" ht="20.25">
      <c r="A749" s="258"/>
      <c r="B749" s="258"/>
      <c r="C749" s="258"/>
      <c r="D749" s="258"/>
      <c r="E749" s="269"/>
      <c r="F749" s="272"/>
      <c r="G749" s="258"/>
      <c r="H749" s="258"/>
      <c r="I749" s="258"/>
      <c r="J749" s="258"/>
      <c r="K749" s="258"/>
    </row>
    <row r="750" spans="1:11" ht="20.25">
      <c r="A750" s="258"/>
      <c r="B750" s="258"/>
      <c r="C750" s="258"/>
      <c r="D750" s="258"/>
      <c r="E750" s="269"/>
      <c r="F750" s="272"/>
      <c r="G750" s="258"/>
      <c r="H750" s="258"/>
      <c r="I750" s="258"/>
      <c r="J750" s="258"/>
      <c r="K750" s="258"/>
    </row>
    <row r="751" spans="1:11" ht="20.25">
      <c r="A751" s="258"/>
      <c r="B751" s="258"/>
      <c r="C751" s="258"/>
      <c r="D751" s="258"/>
      <c r="E751" s="269"/>
      <c r="F751" s="272"/>
      <c r="G751" s="258"/>
      <c r="H751" s="258"/>
      <c r="I751" s="258"/>
      <c r="J751" s="258"/>
      <c r="K751" s="258"/>
    </row>
    <row r="752" spans="1:11" ht="20.25">
      <c r="A752" s="258"/>
      <c r="B752" s="258"/>
      <c r="C752" s="258"/>
      <c r="D752" s="258"/>
      <c r="E752" s="269"/>
      <c r="F752" s="272"/>
      <c r="G752" s="258"/>
      <c r="H752" s="258"/>
      <c r="I752" s="258"/>
      <c r="J752" s="258"/>
      <c r="K752" s="258"/>
    </row>
    <row r="753" spans="1:11" ht="20.25">
      <c r="A753" s="258"/>
      <c r="B753" s="258"/>
      <c r="C753" s="258"/>
      <c r="D753" s="258"/>
      <c r="E753" s="269"/>
      <c r="F753" s="272"/>
      <c r="G753" s="258"/>
      <c r="H753" s="258"/>
      <c r="I753" s="258"/>
      <c r="J753" s="258"/>
      <c r="K753" s="258"/>
    </row>
    <row r="754" spans="1:11" ht="20.25">
      <c r="A754" s="258"/>
      <c r="B754" s="258"/>
      <c r="C754" s="258"/>
      <c r="D754" s="258"/>
      <c r="E754" s="269"/>
      <c r="F754" s="272"/>
      <c r="G754" s="258"/>
      <c r="H754" s="258"/>
      <c r="I754" s="258"/>
      <c r="J754" s="258"/>
      <c r="K754" s="258"/>
    </row>
    <row r="755" spans="1:11" ht="20.25">
      <c r="A755" s="258"/>
      <c r="B755" s="258"/>
      <c r="C755" s="258"/>
      <c r="D755" s="258"/>
      <c r="E755" s="269"/>
      <c r="F755" s="272"/>
      <c r="G755" s="258"/>
      <c r="H755" s="258"/>
      <c r="I755" s="258"/>
      <c r="J755" s="258"/>
      <c r="K755" s="258"/>
    </row>
  </sheetData>
  <mergeCells count="79">
    <mergeCell ref="B43:C43"/>
    <mergeCell ref="H35:I35"/>
    <mergeCell ref="J35:K35"/>
    <mergeCell ref="H36:I36"/>
    <mergeCell ref="J36:K36"/>
    <mergeCell ref="H37:I37"/>
    <mergeCell ref="J37:K37"/>
    <mergeCell ref="A38:K38"/>
    <mergeCell ref="B39:I39"/>
    <mergeCell ref="A40:K40"/>
    <mergeCell ref="B42:C42"/>
    <mergeCell ref="F42:G42"/>
    <mergeCell ref="H32:I32"/>
    <mergeCell ref="J32:K32"/>
    <mergeCell ref="H33:I33"/>
    <mergeCell ref="J33:K33"/>
    <mergeCell ref="H34:I34"/>
    <mergeCell ref="J34:K34"/>
    <mergeCell ref="H29:I29"/>
    <mergeCell ref="J29:K29"/>
    <mergeCell ref="H30:I30"/>
    <mergeCell ref="J30:K30"/>
    <mergeCell ref="H31:I31"/>
    <mergeCell ref="J31:K31"/>
    <mergeCell ref="H26:I26"/>
    <mergeCell ref="J26:K26"/>
    <mergeCell ref="H27:I27"/>
    <mergeCell ref="J27:K27"/>
    <mergeCell ref="H28:I28"/>
    <mergeCell ref="J28:K28"/>
    <mergeCell ref="H23:I23"/>
    <mergeCell ref="J23:K23"/>
    <mergeCell ref="H24:I24"/>
    <mergeCell ref="J24:K24"/>
    <mergeCell ref="H25:I25"/>
    <mergeCell ref="J25:K25"/>
    <mergeCell ref="H20:I20"/>
    <mergeCell ref="J20:K20"/>
    <mergeCell ref="H21:I21"/>
    <mergeCell ref="J21:K21"/>
    <mergeCell ref="H22:I22"/>
    <mergeCell ref="J22:K22"/>
    <mergeCell ref="H17:I17"/>
    <mergeCell ref="J17:K17"/>
    <mergeCell ref="H18:I18"/>
    <mergeCell ref="J18:K18"/>
    <mergeCell ref="H19:I19"/>
    <mergeCell ref="J19:K19"/>
    <mergeCell ref="H14:I14"/>
    <mergeCell ref="J14:K14"/>
    <mergeCell ref="H15:I15"/>
    <mergeCell ref="J15:K15"/>
    <mergeCell ref="H16:I16"/>
    <mergeCell ref="J16:K16"/>
    <mergeCell ref="H11:I11"/>
    <mergeCell ref="J11:K11"/>
    <mergeCell ref="H12:I12"/>
    <mergeCell ref="J12:K12"/>
    <mergeCell ref="H13:I13"/>
    <mergeCell ref="J13:K13"/>
    <mergeCell ref="H10:I10"/>
    <mergeCell ref="J10:K10"/>
    <mergeCell ref="A5:B5"/>
    <mergeCell ref="C5:E5"/>
    <mergeCell ref="F5:G5"/>
    <mergeCell ref="H5:I5"/>
    <mergeCell ref="A6:B6"/>
    <mergeCell ref="C6:I6"/>
    <mergeCell ref="B8:D8"/>
    <mergeCell ref="E8:G8"/>
    <mergeCell ref="H8:K8"/>
    <mergeCell ref="H9:I9"/>
    <mergeCell ref="J9:K9"/>
    <mergeCell ref="F2:K2"/>
    <mergeCell ref="A3:K3"/>
    <mergeCell ref="A4:B4"/>
    <mergeCell ref="C4:E4"/>
    <mergeCell ref="F4:G4"/>
    <mergeCell ref="H4:I4"/>
  </mergeCells>
  <phoneticPr fontId="83" type="noConversion"/>
  <dataValidations count="1">
    <dataValidation type="list" allowBlank="1" showInputMessage="1" showErrorMessage="1" sqref="C6:I6">
      <formula1>$V$8:$V$25</formula1>
    </dataValidation>
  </dataValidations>
  <printOptions horizontalCentered="1"/>
  <pageMargins left="0.78740157480314965" right="0.78740157480314965" top="0.43" bottom="0.59055118110236227" header="0.51181102362204722" footer="0.41"/>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sheetPr>
    <tabColor rgb="FF92D050"/>
  </sheetPr>
  <dimension ref="A1:AJ21"/>
  <sheetViews>
    <sheetView zoomScale="115" zoomScaleNormal="115" workbookViewId="0">
      <selection activeCell="E5" sqref="E5:F8"/>
    </sheetView>
  </sheetViews>
  <sheetFormatPr defaultRowHeight="14.25"/>
  <cols>
    <col min="1" max="1" width="4.125" style="275" customWidth="1"/>
    <col min="2" max="2" width="4.375" style="275" customWidth="1"/>
    <col min="3" max="3" width="3.875" style="275" customWidth="1"/>
    <col min="4" max="4" width="5" style="275" customWidth="1"/>
    <col min="5" max="5" width="7.625" style="275" customWidth="1"/>
    <col min="6" max="6" width="7.5" style="275" customWidth="1"/>
    <col min="7" max="7" width="5.625" style="275" customWidth="1"/>
    <col min="8" max="8" width="8" style="275" customWidth="1"/>
    <col min="9" max="9" width="3.25" style="275" customWidth="1"/>
    <col min="10" max="10" width="4.875" style="275" customWidth="1"/>
    <col min="11" max="11" width="4.75" style="275" customWidth="1"/>
    <col min="12" max="12" width="6.75" style="275" customWidth="1"/>
    <col min="13" max="13" width="0.625" style="275" hidden="1" customWidth="1"/>
    <col min="14" max="14" width="3.75" style="275" customWidth="1"/>
    <col min="15" max="15" width="6.625" style="275" customWidth="1"/>
    <col min="16" max="16" width="4.5" style="275" customWidth="1"/>
    <col min="17" max="17" width="7" style="275" customWidth="1"/>
    <col min="18" max="18" width="5.125" style="275" customWidth="1"/>
    <col min="19" max="19" width="4.75" style="275" customWidth="1"/>
    <col min="20" max="20" width="5.625" style="275" customWidth="1"/>
    <col min="21" max="21" width="4.875" style="275" customWidth="1"/>
    <col min="22" max="22" width="5.25" style="276" customWidth="1"/>
    <col min="23" max="23" width="4.875" style="276" customWidth="1"/>
    <col min="24" max="24" width="9.25" style="276" customWidth="1"/>
    <col min="25" max="25" width="9.5" style="275" bestFit="1" customWidth="1"/>
    <col min="26" max="26" width="9.875" style="275" customWidth="1"/>
    <col min="27" max="28" width="10" style="275" customWidth="1"/>
    <col min="29" max="29" width="6.625" style="275" customWidth="1"/>
    <col min="30" max="30" width="6.5" style="275" customWidth="1"/>
    <col min="31" max="31" width="9" style="275"/>
    <col min="32" max="32" width="8.5" style="275" customWidth="1"/>
    <col min="33" max="33" width="6.375" style="275" customWidth="1"/>
    <col min="34" max="34" width="5.75" style="275" customWidth="1"/>
    <col min="35" max="35" width="12.625" style="275" customWidth="1"/>
    <col min="36" max="36" width="8.375" style="276" customWidth="1"/>
    <col min="37" max="37" width="24.875" style="275" customWidth="1"/>
    <col min="38" max="38" width="9" style="275"/>
    <col min="39" max="39" width="37.5" style="275" customWidth="1"/>
    <col min="40" max="16384" width="9" style="275"/>
  </cols>
  <sheetData>
    <row r="1" spans="1:31" ht="18.75">
      <c r="A1" s="1356" t="s">
        <v>982</v>
      </c>
      <c r="B1" s="1356"/>
      <c r="C1" s="1356"/>
      <c r="D1" s="1356"/>
      <c r="E1" s="1356"/>
      <c r="F1" s="1356"/>
      <c r="G1" s="1356"/>
      <c r="H1" s="1356"/>
      <c r="I1" s="1356"/>
      <c r="J1" s="1356"/>
      <c r="K1" s="1356"/>
      <c r="L1" s="1356"/>
      <c r="M1" s="1356"/>
      <c r="N1" s="1356"/>
      <c r="O1" s="1356"/>
      <c r="P1" s="1356"/>
      <c r="Q1" s="1356"/>
      <c r="R1" s="1356"/>
      <c r="S1" s="274"/>
    </row>
    <row r="2" spans="1:31" ht="20.100000000000001" customHeight="1">
      <c r="A2" s="277" t="s">
        <v>940</v>
      </c>
      <c r="B2" s="277"/>
      <c r="C2" s="277"/>
      <c r="D2" s="1357" t="str">
        <f>'免漆门板单 (2)'!C4</f>
        <v>杜鹃</v>
      </c>
      <c r="E2" s="1357"/>
      <c r="F2" s="1357"/>
      <c r="G2" s="1357" t="str">
        <f>'免漆门板单 (2)'!F4</f>
        <v>版本型录号</v>
      </c>
      <c r="H2" s="1357"/>
      <c r="I2" s="1357">
        <f>下料单!N2</f>
        <v>0</v>
      </c>
      <c r="J2" s="1357"/>
      <c r="K2" s="1357"/>
      <c r="L2" s="1357"/>
      <c r="M2" s="278"/>
      <c r="N2" s="1358" t="s">
        <v>941</v>
      </c>
      <c r="O2" s="1358"/>
      <c r="P2" s="1359" t="str">
        <f>'免漆门板单 (2)'!K6</f>
        <v>左岸都市II</v>
      </c>
      <c r="Q2" s="1359"/>
      <c r="R2" s="1359"/>
    </row>
    <row r="3" spans="1:31" ht="20.100000000000001" customHeight="1">
      <c r="A3" s="277" t="s">
        <v>942</v>
      </c>
      <c r="B3" s="277"/>
      <c r="C3" s="277"/>
      <c r="D3" s="1357" t="str">
        <f>'免漆门板单 (2)'!C5</f>
        <v>S400383705</v>
      </c>
      <c r="E3" s="1357"/>
      <c r="F3" s="1357"/>
      <c r="G3" s="1357" t="s">
        <v>39</v>
      </c>
      <c r="H3" s="1357"/>
      <c r="I3" s="1363">
        <f>'免漆门板单 (2)'!H5</f>
        <v>0</v>
      </c>
      <c r="J3" s="1357"/>
      <c r="K3" s="1357"/>
      <c r="L3" s="1357"/>
      <c r="M3" s="278"/>
      <c r="N3" s="278" t="s">
        <v>40</v>
      </c>
      <c r="O3" s="279"/>
      <c r="P3" s="1359" t="str">
        <f>'免漆门板单 (2)'!K5</f>
        <v>西安</v>
      </c>
      <c r="Q3" s="1359"/>
      <c r="R3" s="1359"/>
      <c r="S3" s="280"/>
      <c r="T3" s="281"/>
      <c r="U3" s="1360"/>
      <c r="V3" s="1360"/>
      <c r="W3" s="1360"/>
      <c r="X3" s="1360"/>
      <c r="Y3" s="1360"/>
      <c r="Z3" s="1360"/>
      <c r="AA3" s="1360"/>
      <c r="AB3" s="1360"/>
      <c r="AC3" s="1360"/>
      <c r="AD3" s="641"/>
      <c r="AE3" s="282"/>
    </row>
    <row r="4" spans="1:31" ht="20.100000000000001" customHeight="1">
      <c r="A4" s="639" t="s">
        <v>84</v>
      </c>
      <c r="B4" s="639" t="s">
        <v>11</v>
      </c>
      <c r="C4" s="1357" t="s">
        <v>55</v>
      </c>
      <c r="D4" s="1357"/>
      <c r="E4" s="1357" t="s">
        <v>85</v>
      </c>
      <c r="F4" s="1357"/>
      <c r="G4" s="639" t="s">
        <v>36</v>
      </c>
      <c r="H4" s="639" t="s">
        <v>27</v>
      </c>
      <c r="I4" s="639" t="s">
        <v>84</v>
      </c>
      <c r="J4" s="639" t="s">
        <v>11</v>
      </c>
      <c r="K4" s="1357" t="s">
        <v>55</v>
      </c>
      <c r="L4" s="1357"/>
      <c r="M4" s="1357"/>
      <c r="N4" s="1359" t="s">
        <v>943</v>
      </c>
      <c r="O4" s="1359"/>
      <c r="P4" s="1359"/>
      <c r="Q4" s="639" t="s">
        <v>36</v>
      </c>
      <c r="R4" s="639" t="s">
        <v>27</v>
      </c>
      <c r="S4" s="280"/>
      <c r="T4" s="281"/>
      <c r="U4" s="1361"/>
      <c r="V4" s="1361"/>
      <c r="W4" s="1362"/>
      <c r="X4" s="1362"/>
      <c r="Y4" s="1362"/>
      <c r="Z4" s="1360"/>
      <c r="AA4" s="1360"/>
      <c r="AB4" s="1360"/>
      <c r="AC4" s="1360"/>
      <c r="AD4" s="641"/>
      <c r="AE4" s="283"/>
    </row>
    <row r="5" spans="1:31" ht="20.100000000000001" customHeight="1">
      <c r="A5" s="1365" t="s">
        <v>944</v>
      </c>
      <c r="B5" s="1357">
        <v>1</v>
      </c>
      <c r="C5" s="1357" t="s">
        <v>945</v>
      </c>
      <c r="D5" s="1357"/>
      <c r="E5" s="1365" t="str">
        <f>VLOOKUP('免漆门板单 (2)'!C6,'免漆门板单 (2)'!V9:Y25,3,FALSE)</f>
        <v>暖白双贴三聚氰胺E0级刨花板（竖纹）</v>
      </c>
      <c r="F5" s="1365"/>
      <c r="G5" s="1366" t="b">
        <f>IF('免漆门板单 (2)'!L3=1,'免漆门板单 (2)'!Q42,IF('免漆门板单 (2)'!L3=2,'免漆门板单 (2)'!Q43,IF('免漆门板单 (2)'!L3=3,'免漆门板单 (2)'!Q44)))</f>
        <v>0</v>
      </c>
      <c r="H5" s="1357" t="s">
        <v>86</v>
      </c>
      <c r="I5" s="1368" t="s">
        <v>946</v>
      </c>
      <c r="J5" s="1357">
        <v>1</v>
      </c>
      <c r="K5" s="1365" t="s">
        <v>14</v>
      </c>
      <c r="L5" s="1365"/>
      <c r="M5" s="1357"/>
      <c r="N5" s="1371" t="str">
        <f>VLOOKUP('免漆门板单 (2)'!C6,'免漆门板单 (2)'!V9:Y25,4,FALSE)</f>
        <v>2.0*22暖白PVC</v>
      </c>
      <c r="O5" s="1371"/>
      <c r="P5" s="1371"/>
      <c r="Q5" s="1364">
        <f>IF(N5="T型铝封边",'免漆门板单 (2)'!M38,'免漆门板单 (2)'!L38)</f>
        <v>0</v>
      </c>
      <c r="R5" s="1357" t="s">
        <v>57</v>
      </c>
    </row>
    <row r="6" spans="1:31" ht="20.100000000000001" customHeight="1">
      <c r="A6" s="1365"/>
      <c r="B6" s="1357"/>
      <c r="C6" s="1357"/>
      <c r="D6" s="1357"/>
      <c r="E6" s="1365"/>
      <c r="F6" s="1365"/>
      <c r="G6" s="1366"/>
      <c r="H6" s="1357"/>
      <c r="I6" s="1369"/>
      <c r="J6" s="1357"/>
      <c r="K6" s="1365"/>
      <c r="L6" s="1365"/>
      <c r="M6" s="1357"/>
      <c r="N6" s="1371"/>
      <c r="O6" s="1371"/>
      <c r="P6" s="1371"/>
      <c r="Q6" s="1364"/>
      <c r="R6" s="1357"/>
    </row>
    <row r="7" spans="1:31" ht="20.100000000000001" customHeight="1">
      <c r="A7" s="1365"/>
      <c r="B7" s="1357"/>
      <c r="C7" s="1357"/>
      <c r="D7" s="1357"/>
      <c r="E7" s="1365"/>
      <c r="F7" s="1365"/>
      <c r="G7" s="1366"/>
      <c r="H7" s="1357"/>
      <c r="I7" s="1369"/>
      <c r="J7" s="1357"/>
      <c r="K7" s="1365"/>
      <c r="L7" s="1365"/>
      <c r="M7" s="1357"/>
      <c r="N7" s="1371"/>
      <c r="O7" s="1371"/>
      <c r="P7" s="1371"/>
      <c r="Q7" s="1364"/>
      <c r="R7" s="1357"/>
    </row>
    <row r="8" spans="1:31" ht="24.75" customHeight="1">
      <c r="A8" s="1365"/>
      <c r="B8" s="1357"/>
      <c r="C8" s="1357"/>
      <c r="D8" s="1357"/>
      <c r="E8" s="1365"/>
      <c r="F8" s="1365"/>
      <c r="G8" s="1366"/>
      <c r="H8" s="1357"/>
      <c r="I8" s="1369"/>
      <c r="J8" s="639">
        <v>2</v>
      </c>
      <c r="K8" s="1357" t="str">
        <f>IF(N5="T型铝封边","普施宝免钉胶","热熔胶")</f>
        <v>热熔胶</v>
      </c>
      <c r="L8" s="1357"/>
      <c r="M8" s="1357"/>
      <c r="N8" s="1357" t="str">
        <f>IF(N5="T型铝封边","","丽凯8803A")</f>
        <v>丽凯8803A</v>
      </c>
      <c r="O8" s="1357"/>
      <c r="P8" s="1357"/>
      <c r="Q8" s="640">
        <f>IF(N5="T型铝封边",Q5/12,Q5*4.1)</f>
        <v>0</v>
      </c>
      <c r="R8" s="639" t="str">
        <f>IF(N5="T型铝封边","支","克")</f>
        <v>克</v>
      </c>
    </row>
    <row r="9" spans="1:31" ht="40.5" customHeight="1">
      <c r="A9" s="1365"/>
      <c r="B9" s="639"/>
      <c r="C9" s="1357"/>
      <c r="D9" s="1357"/>
      <c r="E9" s="1357"/>
      <c r="F9" s="1357"/>
      <c r="G9" s="639"/>
      <c r="H9" s="639"/>
      <c r="I9" s="1369"/>
      <c r="J9" s="639"/>
      <c r="K9" s="1357"/>
      <c r="L9" s="1357"/>
      <c r="M9" s="1357"/>
      <c r="N9" s="1357"/>
      <c r="O9" s="1357"/>
      <c r="P9" s="1357"/>
      <c r="Q9" s="284"/>
      <c r="R9" s="639"/>
    </row>
    <row r="10" spans="1:31" ht="20.100000000000001" customHeight="1">
      <c r="A10" s="1365"/>
      <c r="B10" s="639"/>
      <c r="C10" s="1357"/>
      <c r="D10" s="1357"/>
      <c r="E10" s="1357"/>
      <c r="F10" s="1357"/>
      <c r="G10" s="639"/>
      <c r="H10" s="639"/>
      <c r="I10" s="1369"/>
      <c r="J10" s="639"/>
      <c r="K10" s="1365"/>
      <c r="L10" s="1365"/>
      <c r="M10" s="1365"/>
      <c r="N10" s="1367"/>
      <c r="O10" s="1367"/>
      <c r="P10" s="1367"/>
      <c r="Q10" s="639"/>
      <c r="R10" s="639"/>
    </row>
    <row r="11" spans="1:31" ht="20.100000000000001" customHeight="1">
      <c r="A11" s="1365"/>
      <c r="B11" s="639"/>
      <c r="C11" s="1357"/>
      <c r="D11" s="1357"/>
      <c r="E11" s="1357"/>
      <c r="F11" s="1357"/>
      <c r="G11" s="639"/>
      <c r="H11" s="639"/>
      <c r="I11" s="1369"/>
      <c r="J11" s="639"/>
      <c r="K11" s="1365"/>
      <c r="L11" s="1365"/>
      <c r="M11" s="1365"/>
      <c r="N11" s="1367"/>
      <c r="O11" s="1367"/>
      <c r="P11" s="1367"/>
      <c r="Q11" s="639"/>
      <c r="R11" s="639"/>
    </row>
    <row r="12" spans="1:31" ht="20.100000000000001" customHeight="1">
      <c r="A12" s="1365"/>
      <c r="B12" s="639"/>
      <c r="C12" s="1357"/>
      <c r="D12" s="1357"/>
      <c r="E12" s="1357"/>
      <c r="F12" s="1357"/>
      <c r="G12" s="639"/>
      <c r="H12" s="639"/>
      <c r="I12" s="1369"/>
      <c r="J12" s="639">
        <v>6</v>
      </c>
      <c r="K12" s="1365" t="s">
        <v>947</v>
      </c>
      <c r="L12" s="1365"/>
      <c r="M12" s="1365"/>
      <c r="N12" s="1367" t="s">
        <v>948</v>
      </c>
      <c r="O12" s="1367"/>
      <c r="P12" s="1367"/>
      <c r="Q12" s="639"/>
      <c r="R12" s="639" t="s">
        <v>57</v>
      </c>
    </row>
    <row r="13" spans="1:31" ht="20.100000000000001" customHeight="1">
      <c r="A13" s="1365"/>
      <c r="B13" s="639"/>
      <c r="C13" s="1357"/>
      <c r="D13" s="1357"/>
      <c r="E13" s="1357"/>
      <c r="F13" s="1357"/>
      <c r="G13" s="639"/>
      <c r="H13" s="639"/>
      <c r="I13" s="1369"/>
      <c r="J13" s="639">
        <v>7</v>
      </c>
      <c r="K13" s="1372" t="s">
        <v>949</v>
      </c>
      <c r="L13" s="1373"/>
      <c r="M13" s="1373"/>
      <c r="N13" s="1373"/>
      <c r="O13" s="1373"/>
      <c r="P13" s="1374"/>
      <c r="Q13" s="639"/>
      <c r="R13" s="639" t="s">
        <v>396</v>
      </c>
    </row>
    <row r="14" spans="1:31" ht="20.100000000000001" customHeight="1">
      <c r="A14" s="1365"/>
      <c r="B14" s="639"/>
      <c r="C14" s="1357"/>
      <c r="D14" s="1357"/>
      <c r="E14" s="1357"/>
      <c r="F14" s="1357"/>
      <c r="G14" s="639"/>
      <c r="H14" s="639"/>
      <c r="I14" s="1370"/>
      <c r="J14" s="639"/>
      <c r="K14" s="1365"/>
      <c r="L14" s="1365"/>
      <c r="M14" s="1365"/>
      <c r="N14" s="1357"/>
      <c r="O14" s="1357"/>
      <c r="P14" s="1357"/>
      <c r="Q14" s="639"/>
      <c r="R14" s="639"/>
    </row>
    <row r="15" spans="1:31" ht="20.100000000000001" customHeight="1">
      <c r="A15" s="1365"/>
      <c r="B15" s="639"/>
      <c r="C15" s="1357"/>
      <c r="D15" s="1357"/>
      <c r="E15" s="1357"/>
      <c r="F15" s="1357"/>
      <c r="G15" s="639"/>
      <c r="H15" s="639"/>
      <c r="I15" s="1365"/>
      <c r="J15" s="639"/>
      <c r="K15" s="1357"/>
      <c r="L15" s="1357"/>
      <c r="M15" s="1357"/>
      <c r="N15" s="1357"/>
      <c r="O15" s="1357"/>
      <c r="P15" s="1357"/>
      <c r="Q15" s="284"/>
      <c r="R15" s="639"/>
    </row>
    <row r="16" spans="1:31" ht="20.100000000000001" customHeight="1">
      <c r="A16" s="1365"/>
      <c r="B16" s="639"/>
      <c r="C16" s="1357"/>
      <c r="D16" s="1357"/>
      <c r="E16" s="1357"/>
      <c r="F16" s="1357"/>
      <c r="G16" s="639"/>
      <c r="H16" s="639"/>
      <c r="I16" s="1365"/>
      <c r="J16" s="639"/>
      <c r="K16" s="1357"/>
      <c r="L16" s="1357"/>
      <c r="M16" s="1357"/>
      <c r="N16" s="1357"/>
      <c r="O16" s="1357"/>
      <c r="P16" s="1357"/>
      <c r="Q16" s="284"/>
      <c r="R16" s="639"/>
    </row>
    <row r="17" spans="1:18" ht="15" customHeight="1">
      <c r="A17" s="285"/>
      <c r="B17" s="285"/>
      <c r="C17" s="285"/>
      <c r="D17" s="285"/>
      <c r="E17" s="285"/>
      <c r="F17" s="285"/>
      <c r="G17" s="285"/>
      <c r="H17" s="285"/>
      <c r="I17" s="285"/>
      <c r="J17" s="285"/>
      <c r="K17" s="285"/>
      <c r="L17" s="285"/>
      <c r="M17" s="286"/>
      <c r="N17" s="286"/>
      <c r="O17" s="286"/>
      <c r="P17" s="286"/>
      <c r="Q17" s="286"/>
      <c r="R17" s="286"/>
    </row>
    <row r="18" spans="1:18" ht="15" customHeight="1">
      <c r="A18" s="287"/>
      <c r="B18" s="287"/>
      <c r="C18" s="285"/>
      <c r="D18" s="1375" t="s">
        <v>47</v>
      </c>
      <c r="E18" s="1375"/>
      <c r="F18" s="1378"/>
      <c r="G18" s="1378"/>
      <c r="H18" s="1378"/>
      <c r="I18" s="288"/>
      <c r="J18" s="638"/>
      <c r="K18" s="288"/>
      <c r="L18" s="1375" t="s">
        <v>48</v>
      </c>
      <c r="M18" s="1375"/>
      <c r="N18" s="1378"/>
      <c r="O18" s="1378"/>
      <c r="P18" s="286"/>
      <c r="Q18" s="286"/>
      <c r="R18" s="286"/>
    </row>
    <row r="19" spans="1:18" ht="15" customHeight="1">
      <c r="A19" s="287"/>
      <c r="B19" s="287"/>
      <c r="C19" s="285"/>
      <c r="D19" s="637"/>
      <c r="E19" s="637"/>
      <c r="F19" s="637"/>
      <c r="G19" s="637"/>
      <c r="H19" s="289"/>
      <c r="I19" s="288"/>
      <c r="J19" s="638"/>
      <c r="K19" s="288"/>
      <c r="L19" s="637"/>
      <c r="M19" s="637"/>
      <c r="N19" s="290"/>
      <c r="O19" s="290"/>
      <c r="P19" s="286"/>
      <c r="Q19" s="286"/>
      <c r="R19" s="286"/>
    </row>
    <row r="20" spans="1:18" ht="15" customHeight="1">
      <c r="A20" s="287"/>
      <c r="B20" s="287"/>
      <c r="C20" s="285"/>
      <c r="D20" s="1375" t="s">
        <v>49</v>
      </c>
      <c r="E20" s="1375"/>
      <c r="F20" s="1376"/>
      <c r="G20" s="1376"/>
      <c r="H20" s="1376"/>
      <c r="I20" s="288"/>
      <c r="J20" s="638"/>
      <c r="K20" s="1377" t="s">
        <v>50</v>
      </c>
      <c r="L20" s="1377"/>
      <c r="M20" s="1377"/>
      <c r="N20" s="1378"/>
      <c r="O20" s="1378"/>
      <c r="P20" s="286"/>
      <c r="Q20" s="286"/>
      <c r="R20" s="286"/>
    </row>
    <row r="21" spans="1:18">
      <c r="A21" s="291"/>
      <c r="B21" s="291"/>
      <c r="C21" s="291"/>
      <c r="D21" s="291"/>
      <c r="E21" s="291"/>
      <c r="F21" s="291"/>
      <c r="G21" s="291"/>
      <c r="H21" s="291"/>
      <c r="I21" s="291"/>
      <c r="J21" s="291"/>
      <c r="K21" s="291"/>
      <c r="L21" s="291"/>
      <c r="M21" s="291"/>
      <c r="N21" s="291"/>
      <c r="O21" s="291"/>
      <c r="P21" s="291"/>
      <c r="Q21" s="291"/>
      <c r="R21" s="291"/>
    </row>
  </sheetData>
  <mergeCells count="79">
    <mergeCell ref="D20:E20"/>
    <mergeCell ref="F20:H20"/>
    <mergeCell ref="K20:M20"/>
    <mergeCell ref="N20:O20"/>
    <mergeCell ref="C16:D16"/>
    <mergeCell ref="E16:F16"/>
    <mergeCell ref="K16:M16"/>
    <mergeCell ref="N16:P16"/>
    <mergeCell ref="D18:E18"/>
    <mergeCell ref="F18:H18"/>
    <mergeCell ref="L18:M18"/>
    <mergeCell ref="N18:O18"/>
    <mergeCell ref="C14:D14"/>
    <mergeCell ref="E14:F14"/>
    <mergeCell ref="K14:M14"/>
    <mergeCell ref="N14:P14"/>
    <mergeCell ref="A15:A16"/>
    <mergeCell ref="C15:D15"/>
    <mergeCell ref="E15:F15"/>
    <mergeCell ref="I15:I16"/>
    <mergeCell ref="K15:M15"/>
    <mergeCell ref="N15:P15"/>
    <mergeCell ref="A10:A14"/>
    <mergeCell ref="C10:D10"/>
    <mergeCell ref="E10:F10"/>
    <mergeCell ref="K10:M10"/>
    <mergeCell ref="N10:P10"/>
    <mergeCell ref="C11:D11"/>
    <mergeCell ref="E12:F12"/>
    <mergeCell ref="K12:M12"/>
    <mergeCell ref="N12:P12"/>
    <mergeCell ref="C13:D13"/>
    <mergeCell ref="E13:F13"/>
    <mergeCell ref="K13:P13"/>
    <mergeCell ref="E11:F11"/>
    <mergeCell ref="K11:M11"/>
    <mergeCell ref="N11:P11"/>
    <mergeCell ref="C12:D12"/>
    <mergeCell ref="R5:R7"/>
    <mergeCell ref="K8:M8"/>
    <mergeCell ref="N8:P8"/>
    <mergeCell ref="C9:D9"/>
    <mergeCell ref="E9:F9"/>
    <mergeCell ref="K9:M9"/>
    <mergeCell ref="N9:P9"/>
    <mergeCell ref="I5:I14"/>
    <mergeCell ref="J5:J7"/>
    <mergeCell ref="K5:L7"/>
    <mergeCell ref="M5:M7"/>
    <mergeCell ref="N5:P7"/>
    <mergeCell ref="Q5:Q7"/>
    <mergeCell ref="A5:A9"/>
    <mergeCell ref="B5:B8"/>
    <mergeCell ref="C5:D8"/>
    <mergeCell ref="E5:F8"/>
    <mergeCell ref="G5:G8"/>
    <mergeCell ref="H5:H8"/>
    <mergeCell ref="Z3:AA3"/>
    <mergeCell ref="AB3:AC3"/>
    <mergeCell ref="C4:D4"/>
    <mergeCell ref="E4:F4"/>
    <mergeCell ref="K4:M4"/>
    <mergeCell ref="N4:P4"/>
    <mergeCell ref="U4:V4"/>
    <mergeCell ref="W4:Y4"/>
    <mergeCell ref="Z4:AA4"/>
    <mergeCell ref="AB4:AC4"/>
    <mergeCell ref="D3:F3"/>
    <mergeCell ref="G3:H3"/>
    <mergeCell ref="I3:L3"/>
    <mergeCell ref="P3:R3"/>
    <mergeCell ref="U3:V3"/>
    <mergeCell ref="W3:Y3"/>
    <mergeCell ref="A1:R1"/>
    <mergeCell ref="D2:F2"/>
    <mergeCell ref="G2:H2"/>
    <mergeCell ref="I2:L2"/>
    <mergeCell ref="N2:O2"/>
    <mergeCell ref="P2:R2"/>
  </mergeCells>
  <phoneticPr fontId="83" type="noConversion"/>
  <pageMargins left="7.874015748031496E-2" right="7.874015748031496E-2" top="0.59055118110236227" bottom="0.98425196850393704" header="0.51181102362204722" footer="0.51181102362204722"/>
  <pageSetup paperSize="9" scale="95" orientation="portrait" r:id="rId1"/>
  <headerFooter alignWithMargins="0"/>
</worksheet>
</file>

<file path=xl/worksheets/sheet13.xml><?xml version="1.0" encoding="utf-8"?>
<worksheet xmlns="http://schemas.openxmlformats.org/spreadsheetml/2006/main" xmlns:r="http://schemas.openxmlformats.org/officeDocument/2006/relationships">
  <sheetPr>
    <tabColor rgb="FFFF0000"/>
  </sheetPr>
  <dimension ref="A1:I47"/>
  <sheetViews>
    <sheetView zoomScaleSheetLayoutView="130" workbookViewId="0">
      <selection activeCell="F18" sqref="F18:H18"/>
    </sheetView>
  </sheetViews>
  <sheetFormatPr defaultRowHeight="17.100000000000001" customHeight="1"/>
  <cols>
    <col min="1" max="1" width="9.625" style="420" customWidth="1"/>
    <col min="2" max="2" width="12.625" style="420" bestFit="1" customWidth="1"/>
    <col min="3" max="9" width="9.625" style="420" customWidth="1"/>
    <col min="10" max="256" width="9" style="420"/>
    <col min="257" max="257" width="9.625" style="420" customWidth="1"/>
    <col min="258" max="258" width="12.625" style="420" bestFit="1" customWidth="1"/>
    <col min="259" max="265" width="9.625" style="420" customWidth="1"/>
    <col min="266" max="512" width="9" style="420"/>
    <col min="513" max="513" width="9.625" style="420" customWidth="1"/>
    <col min="514" max="514" width="12.625" style="420" bestFit="1" customWidth="1"/>
    <col min="515" max="521" width="9.625" style="420" customWidth="1"/>
    <col min="522" max="768" width="9" style="420"/>
    <col min="769" max="769" width="9.625" style="420" customWidth="1"/>
    <col min="770" max="770" width="12.625" style="420" bestFit="1" customWidth="1"/>
    <col min="771" max="777" width="9.625" style="420" customWidth="1"/>
    <col min="778" max="1024" width="9" style="420"/>
    <col min="1025" max="1025" width="9.625" style="420" customWidth="1"/>
    <col min="1026" max="1026" width="12.625" style="420" bestFit="1" customWidth="1"/>
    <col min="1027" max="1033" width="9.625" style="420" customWidth="1"/>
    <col min="1034" max="1280" width="9" style="420"/>
    <col min="1281" max="1281" width="9.625" style="420" customWidth="1"/>
    <col min="1282" max="1282" width="12.625" style="420" bestFit="1" customWidth="1"/>
    <col min="1283" max="1289" width="9.625" style="420" customWidth="1"/>
    <col min="1290" max="1536" width="9" style="420"/>
    <col min="1537" max="1537" width="9.625" style="420" customWidth="1"/>
    <col min="1538" max="1538" width="12.625" style="420" bestFit="1" customWidth="1"/>
    <col min="1539" max="1545" width="9.625" style="420" customWidth="1"/>
    <col min="1546" max="1792" width="9" style="420"/>
    <col min="1793" max="1793" width="9.625" style="420" customWidth="1"/>
    <col min="1794" max="1794" width="12.625" style="420" bestFit="1" customWidth="1"/>
    <col min="1795" max="1801" width="9.625" style="420" customWidth="1"/>
    <col min="1802" max="2048" width="9" style="420"/>
    <col min="2049" max="2049" width="9.625" style="420" customWidth="1"/>
    <col min="2050" max="2050" width="12.625" style="420" bestFit="1" customWidth="1"/>
    <col min="2051" max="2057" width="9.625" style="420" customWidth="1"/>
    <col min="2058" max="2304" width="9" style="420"/>
    <col min="2305" max="2305" width="9.625" style="420" customWidth="1"/>
    <col min="2306" max="2306" width="12.625" style="420" bestFit="1" customWidth="1"/>
    <col min="2307" max="2313" width="9.625" style="420" customWidth="1"/>
    <col min="2314" max="2560" width="9" style="420"/>
    <col min="2561" max="2561" width="9.625" style="420" customWidth="1"/>
    <col min="2562" max="2562" width="12.625" style="420" bestFit="1" customWidth="1"/>
    <col min="2563" max="2569" width="9.625" style="420" customWidth="1"/>
    <col min="2570" max="2816" width="9" style="420"/>
    <col min="2817" max="2817" width="9.625" style="420" customWidth="1"/>
    <col min="2818" max="2818" width="12.625" style="420" bestFit="1" customWidth="1"/>
    <col min="2819" max="2825" width="9.625" style="420" customWidth="1"/>
    <col min="2826" max="3072" width="9" style="420"/>
    <col min="3073" max="3073" width="9.625" style="420" customWidth="1"/>
    <col min="3074" max="3074" width="12.625" style="420" bestFit="1" customWidth="1"/>
    <col min="3075" max="3081" width="9.625" style="420" customWidth="1"/>
    <col min="3082" max="3328" width="9" style="420"/>
    <col min="3329" max="3329" width="9.625" style="420" customWidth="1"/>
    <col min="3330" max="3330" width="12.625" style="420" bestFit="1" customWidth="1"/>
    <col min="3331" max="3337" width="9.625" style="420" customWidth="1"/>
    <col min="3338" max="3584" width="9" style="420"/>
    <col min="3585" max="3585" width="9.625" style="420" customWidth="1"/>
    <col min="3586" max="3586" width="12.625" style="420" bestFit="1" customWidth="1"/>
    <col min="3587" max="3593" width="9.625" style="420" customWidth="1"/>
    <col min="3594" max="3840" width="9" style="420"/>
    <col min="3841" max="3841" width="9.625" style="420" customWidth="1"/>
    <col min="3842" max="3842" width="12.625" style="420" bestFit="1" customWidth="1"/>
    <col min="3843" max="3849" width="9.625" style="420" customWidth="1"/>
    <col min="3850" max="4096" width="9" style="420"/>
    <col min="4097" max="4097" width="9.625" style="420" customWidth="1"/>
    <col min="4098" max="4098" width="12.625" style="420" bestFit="1" customWidth="1"/>
    <col min="4099" max="4105" width="9.625" style="420" customWidth="1"/>
    <col min="4106" max="4352" width="9" style="420"/>
    <col min="4353" max="4353" width="9.625" style="420" customWidth="1"/>
    <col min="4354" max="4354" width="12.625" style="420" bestFit="1" customWidth="1"/>
    <col min="4355" max="4361" width="9.625" style="420" customWidth="1"/>
    <col min="4362" max="4608" width="9" style="420"/>
    <col min="4609" max="4609" width="9.625" style="420" customWidth="1"/>
    <col min="4610" max="4610" width="12.625" style="420" bestFit="1" customWidth="1"/>
    <col min="4611" max="4617" width="9.625" style="420" customWidth="1"/>
    <col min="4618" max="4864" width="9" style="420"/>
    <col min="4865" max="4865" width="9.625" style="420" customWidth="1"/>
    <col min="4866" max="4866" width="12.625" style="420" bestFit="1" customWidth="1"/>
    <col min="4867" max="4873" width="9.625" style="420" customWidth="1"/>
    <col min="4874" max="5120" width="9" style="420"/>
    <col min="5121" max="5121" width="9.625" style="420" customWidth="1"/>
    <col min="5122" max="5122" width="12.625" style="420" bestFit="1" customWidth="1"/>
    <col min="5123" max="5129" width="9.625" style="420" customWidth="1"/>
    <col min="5130" max="5376" width="9" style="420"/>
    <col min="5377" max="5377" width="9.625" style="420" customWidth="1"/>
    <col min="5378" max="5378" width="12.625" style="420" bestFit="1" customWidth="1"/>
    <col min="5379" max="5385" width="9.625" style="420" customWidth="1"/>
    <col min="5386" max="5632" width="9" style="420"/>
    <col min="5633" max="5633" width="9.625" style="420" customWidth="1"/>
    <col min="5634" max="5634" width="12.625" style="420" bestFit="1" customWidth="1"/>
    <col min="5635" max="5641" width="9.625" style="420" customWidth="1"/>
    <col min="5642" max="5888" width="9" style="420"/>
    <col min="5889" max="5889" width="9.625" style="420" customWidth="1"/>
    <col min="5890" max="5890" width="12.625" style="420" bestFit="1" customWidth="1"/>
    <col min="5891" max="5897" width="9.625" style="420" customWidth="1"/>
    <col min="5898" max="6144" width="9" style="420"/>
    <col min="6145" max="6145" width="9.625" style="420" customWidth="1"/>
    <col min="6146" max="6146" width="12.625" style="420" bestFit="1" customWidth="1"/>
    <col min="6147" max="6153" width="9.625" style="420" customWidth="1"/>
    <col min="6154" max="6400" width="9" style="420"/>
    <col min="6401" max="6401" width="9.625" style="420" customWidth="1"/>
    <col min="6402" max="6402" width="12.625" style="420" bestFit="1" customWidth="1"/>
    <col min="6403" max="6409" width="9.625" style="420" customWidth="1"/>
    <col min="6410" max="6656" width="9" style="420"/>
    <col min="6657" max="6657" width="9.625" style="420" customWidth="1"/>
    <col min="6658" max="6658" width="12.625" style="420" bestFit="1" customWidth="1"/>
    <col min="6659" max="6665" width="9.625" style="420" customWidth="1"/>
    <col min="6666" max="6912" width="9" style="420"/>
    <col min="6913" max="6913" width="9.625" style="420" customWidth="1"/>
    <col min="6914" max="6914" width="12.625" style="420" bestFit="1" customWidth="1"/>
    <col min="6915" max="6921" width="9.625" style="420" customWidth="1"/>
    <col min="6922" max="7168" width="9" style="420"/>
    <col min="7169" max="7169" width="9.625" style="420" customWidth="1"/>
    <col min="7170" max="7170" width="12.625" style="420" bestFit="1" customWidth="1"/>
    <col min="7171" max="7177" width="9.625" style="420" customWidth="1"/>
    <col min="7178" max="7424" width="9" style="420"/>
    <col min="7425" max="7425" width="9.625" style="420" customWidth="1"/>
    <col min="7426" max="7426" width="12.625" style="420" bestFit="1" customWidth="1"/>
    <col min="7427" max="7433" width="9.625" style="420" customWidth="1"/>
    <col min="7434" max="7680" width="9" style="420"/>
    <col min="7681" max="7681" width="9.625" style="420" customWidth="1"/>
    <col min="7682" max="7682" width="12.625" style="420" bestFit="1" customWidth="1"/>
    <col min="7683" max="7689" width="9.625" style="420" customWidth="1"/>
    <col min="7690" max="7936" width="9" style="420"/>
    <col min="7937" max="7937" width="9.625" style="420" customWidth="1"/>
    <col min="7938" max="7938" width="12.625" style="420" bestFit="1" customWidth="1"/>
    <col min="7939" max="7945" width="9.625" style="420" customWidth="1"/>
    <col min="7946" max="8192" width="9" style="420"/>
    <col min="8193" max="8193" width="9.625" style="420" customWidth="1"/>
    <col min="8194" max="8194" width="12.625" style="420" bestFit="1" customWidth="1"/>
    <col min="8195" max="8201" width="9.625" style="420" customWidth="1"/>
    <col min="8202" max="8448" width="9" style="420"/>
    <col min="8449" max="8449" width="9.625" style="420" customWidth="1"/>
    <col min="8450" max="8450" width="12.625" style="420" bestFit="1" customWidth="1"/>
    <col min="8451" max="8457" width="9.625" style="420" customWidth="1"/>
    <col min="8458" max="8704" width="9" style="420"/>
    <col min="8705" max="8705" width="9.625" style="420" customWidth="1"/>
    <col min="8706" max="8706" width="12.625" style="420" bestFit="1" customWidth="1"/>
    <col min="8707" max="8713" width="9.625" style="420" customWidth="1"/>
    <col min="8714" max="8960" width="9" style="420"/>
    <col min="8961" max="8961" width="9.625" style="420" customWidth="1"/>
    <col min="8962" max="8962" width="12.625" style="420" bestFit="1" customWidth="1"/>
    <col min="8963" max="8969" width="9.625" style="420" customWidth="1"/>
    <col min="8970" max="9216" width="9" style="420"/>
    <col min="9217" max="9217" width="9.625" style="420" customWidth="1"/>
    <col min="9218" max="9218" width="12.625" style="420" bestFit="1" customWidth="1"/>
    <col min="9219" max="9225" width="9.625" style="420" customWidth="1"/>
    <col min="9226" max="9472" width="9" style="420"/>
    <col min="9473" max="9473" width="9.625" style="420" customWidth="1"/>
    <col min="9474" max="9474" width="12.625" style="420" bestFit="1" customWidth="1"/>
    <col min="9475" max="9481" width="9.625" style="420" customWidth="1"/>
    <col min="9482" max="9728" width="9" style="420"/>
    <col min="9729" max="9729" width="9.625" style="420" customWidth="1"/>
    <col min="9730" max="9730" width="12.625" style="420" bestFit="1" customWidth="1"/>
    <col min="9731" max="9737" width="9.625" style="420" customWidth="1"/>
    <col min="9738" max="9984" width="9" style="420"/>
    <col min="9985" max="9985" width="9.625" style="420" customWidth="1"/>
    <col min="9986" max="9986" width="12.625" style="420" bestFit="1" customWidth="1"/>
    <col min="9987" max="9993" width="9.625" style="420" customWidth="1"/>
    <col min="9994" max="10240" width="9" style="420"/>
    <col min="10241" max="10241" width="9.625" style="420" customWidth="1"/>
    <col min="10242" max="10242" width="12.625" style="420" bestFit="1" customWidth="1"/>
    <col min="10243" max="10249" width="9.625" style="420" customWidth="1"/>
    <col min="10250" max="10496" width="9" style="420"/>
    <col min="10497" max="10497" width="9.625" style="420" customWidth="1"/>
    <col min="10498" max="10498" width="12.625" style="420" bestFit="1" customWidth="1"/>
    <col min="10499" max="10505" width="9.625" style="420" customWidth="1"/>
    <col min="10506" max="10752" width="9" style="420"/>
    <col min="10753" max="10753" width="9.625" style="420" customWidth="1"/>
    <col min="10754" max="10754" width="12.625" style="420" bestFit="1" customWidth="1"/>
    <col min="10755" max="10761" width="9.625" style="420" customWidth="1"/>
    <col min="10762" max="11008" width="9" style="420"/>
    <col min="11009" max="11009" width="9.625" style="420" customWidth="1"/>
    <col min="11010" max="11010" width="12.625" style="420" bestFit="1" customWidth="1"/>
    <col min="11011" max="11017" width="9.625" style="420" customWidth="1"/>
    <col min="11018" max="11264" width="9" style="420"/>
    <col min="11265" max="11265" width="9.625" style="420" customWidth="1"/>
    <col min="11266" max="11266" width="12.625" style="420" bestFit="1" customWidth="1"/>
    <col min="11267" max="11273" width="9.625" style="420" customWidth="1"/>
    <col min="11274" max="11520" width="9" style="420"/>
    <col min="11521" max="11521" width="9.625" style="420" customWidth="1"/>
    <col min="11522" max="11522" width="12.625" style="420" bestFit="1" customWidth="1"/>
    <col min="11523" max="11529" width="9.625" style="420" customWidth="1"/>
    <col min="11530" max="11776" width="9" style="420"/>
    <col min="11777" max="11777" width="9.625" style="420" customWidth="1"/>
    <col min="11778" max="11778" width="12.625" style="420" bestFit="1" customWidth="1"/>
    <col min="11779" max="11785" width="9.625" style="420" customWidth="1"/>
    <col min="11786" max="12032" width="9" style="420"/>
    <col min="12033" max="12033" width="9.625" style="420" customWidth="1"/>
    <col min="12034" max="12034" width="12.625" style="420" bestFit="1" customWidth="1"/>
    <col min="12035" max="12041" width="9.625" style="420" customWidth="1"/>
    <col min="12042" max="12288" width="9" style="420"/>
    <col min="12289" max="12289" width="9.625" style="420" customWidth="1"/>
    <col min="12290" max="12290" width="12.625" style="420" bestFit="1" customWidth="1"/>
    <col min="12291" max="12297" width="9.625" style="420" customWidth="1"/>
    <col min="12298" max="12544" width="9" style="420"/>
    <col min="12545" max="12545" width="9.625" style="420" customWidth="1"/>
    <col min="12546" max="12546" width="12.625" style="420" bestFit="1" customWidth="1"/>
    <col min="12547" max="12553" width="9.625" style="420" customWidth="1"/>
    <col min="12554" max="12800" width="9" style="420"/>
    <col min="12801" max="12801" width="9.625" style="420" customWidth="1"/>
    <col min="12802" max="12802" width="12.625" style="420" bestFit="1" customWidth="1"/>
    <col min="12803" max="12809" width="9.625" style="420" customWidth="1"/>
    <col min="12810" max="13056" width="9" style="420"/>
    <col min="13057" max="13057" width="9.625" style="420" customWidth="1"/>
    <col min="13058" max="13058" width="12.625" style="420" bestFit="1" customWidth="1"/>
    <col min="13059" max="13065" width="9.625" style="420" customWidth="1"/>
    <col min="13066" max="13312" width="9" style="420"/>
    <col min="13313" max="13313" width="9.625" style="420" customWidth="1"/>
    <col min="13314" max="13314" width="12.625" style="420" bestFit="1" customWidth="1"/>
    <col min="13315" max="13321" width="9.625" style="420" customWidth="1"/>
    <col min="13322" max="13568" width="9" style="420"/>
    <col min="13569" max="13569" width="9.625" style="420" customWidth="1"/>
    <col min="13570" max="13570" width="12.625" style="420" bestFit="1" customWidth="1"/>
    <col min="13571" max="13577" width="9.625" style="420" customWidth="1"/>
    <col min="13578" max="13824" width="9" style="420"/>
    <col min="13825" max="13825" width="9.625" style="420" customWidth="1"/>
    <col min="13826" max="13826" width="12.625" style="420" bestFit="1" customWidth="1"/>
    <col min="13827" max="13833" width="9.625" style="420" customWidth="1"/>
    <col min="13834" max="14080" width="9" style="420"/>
    <col min="14081" max="14081" width="9.625" style="420" customWidth="1"/>
    <col min="14082" max="14082" width="12.625" style="420" bestFit="1" customWidth="1"/>
    <col min="14083" max="14089" width="9.625" style="420" customWidth="1"/>
    <col min="14090" max="14336" width="9" style="420"/>
    <col min="14337" max="14337" width="9.625" style="420" customWidth="1"/>
    <col min="14338" max="14338" width="12.625" style="420" bestFit="1" customWidth="1"/>
    <col min="14339" max="14345" width="9.625" style="420" customWidth="1"/>
    <col min="14346" max="14592" width="9" style="420"/>
    <col min="14593" max="14593" width="9.625" style="420" customWidth="1"/>
    <col min="14594" max="14594" width="12.625" style="420" bestFit="1" customWidth="1"/>
    <col min="14595" max="14601" width="9.625" style="420" customWidth="1"/>
    <col min="14602" max="14848" width="9" style="420"/>
    <col min="14849" max="14849" width="9.625" style="420" customWidth="1"/>
    <col min="14850" max="14850" width="12.625" style="420" bestFit="1" customWidth="1"/>
    <col min="14851" max="14857" width="9.625" style="420" customWidth="1"/>
    <col min="14858" max="15104" width="9" style="420"/>
    <col min="15105" max="15105" width="9.625" style="420" customWidth="1"/>
    <col min="15106" max="15106" width="12.625" style="420" bestFit="1" customWidth="1"/>
    <col min="15107" max="15113" width="9.625" style="420" customWidth="1"/>
    <col min="15114" max="15360" width="9" style="420"/>
    <col min="15361" max="15361" width="9.625" style="420" customWidth="1"/>
    <col min="15362" max="15362" width="12.625" style="420" bestFit="1" customWidth="1"/>
    <col min="15363" max="15369" width="9.625" style="420" customWidth="1"/>
    <col min="15370" max="15616" width="9" style="420"/>
    <col min="15617" max="15617" width="9.625" style="420" customWidth="1"/>
    <col min="15618" max="15618" width="12.625" style="420" bestFit="1" customWidth="1"/>
    <col min="15619" max="15625" width="9.625" style="420" customWidth="1"/>
    <col min="15626" max="15872" width="9" style="420"/>
    <col min="15873" max="15873" width="9.625" style="420" customWidth="1"/>
    <col min="15874" max="15874" width="12.625" style="420" bestFit="1" customWidth="1"/>
    <col min="15875" max="15881" width="9.625" style="420" customWidth="1"/>
    <col min="15882" max="16128" width="9" style="420"/>
    <col min="16129" max="16129" width="9.625" style="420" customWidth="1"/>
    <col min="16130" max="16130" width="12.625" style="420" bestFit="1" customWidth="1"/>
    <col min="16131" max="16137" width="9.625" style="420" customWidth="1"/>
    <col min="16138" max="16384" width="9" style="420"/>
  </cols>
  <sheetData>
    <row r="1" spans="1:9" ht="18" customHeight="1">
      <c r="A1" s="1381" t="s">
        <v>1213</v>
      </c>
      <c r="B1" s="1382"/>
      <c r="C1" s="1382"/>
      <c r="D1" s="1382"/>
      <c r="E1" s="1382"/>
      <c r="F1" s="1382"/>
      <c r="G1" s="1382"/>
      <c r="H1" s="1382"/>
      <c r="I1" s="1382"/>
    </row>
    <row r="2" spans="1:9" ht="17.100000000000001" customHeight="1">
      <c r="G2" s="421" t="s">
        <v>1142</v>
      </c>
      <c r="I2" s="420" t="s">
        <v>1143</v>
      </c>
    </row>
    <row r="3" spans="1:9" ht="17.100000000000001" customHeight="1">
      <c r="A3" s="422" t="s">
        <v>1144</v>
      </c>
      <c r="B3" s="1379" t="str">
        <f>'作(4)'!C4</f>
        <v>杜鹃</v>
      </c>
      <c r="C3" s="1379"/>
      <c r="D3" s="422" t="s">
        <v>1145</v>
      </c>
      <c r="E3" s="1379" t="str">
        <f>'作(4)'!C5</f>
        <v>S400383705</v>
      </c>
      <c r="F3" s="1379"/>
      <c r="G3" s="422" t="s">
        <v>1146</v>
      </c>
      <c r="H3" s="1383">
        <f ca="1">TODAY()</f>
        <v>43179</v>
      </c>
      <c r="I3" s="1379"/>
    </row>
    <row r="4" spans="1:9" ht="17.100000000000001" customHeight="1">
      <c r="A4" s="422" t="s">
        <v>1147</v>
      </c>
      <c r="B4" s="1379" t="s">
        <v>1148</v>
      </c>
      <c r="C4" s="1379"/>
      <c r="D4" s="422" t="s">
        <v>1149</v>
      </c>
      <c r="E4" s="1379">
        <f>'作(4)'!F6</f>
        <v>0</v>
      </c>
      <c r="F4" s="1379"/>
      <c r="G4" s="422" t="s">
        <v>1150</v>
      </c>
      <c r="H4" s="1379"/>
      <c r="I4" s="1379"/>
    </row>
    <row r="5" spans="1:9" ht="17.100000000000001" customHeight="1">
      <c r="A5" s="422" t="s">
        <v>1151</v>
      </c>
      <c r="B5" s="1379" t="str">
        <f>下料单!S2</f>
        <v>西安</v>
      </c>
      <c r="C5" s="1379"/>
      <c r="D5" s="422" t="s">
        <v>1152</v>
      </c>
      <c r="E5" s="1379"/>
      <c r="F5" s="1379"/>
      <c r="G5" s="422" t="s">
        <v>1153</v>
      </c>
      <c r="H5" s="1379" t="str">
        <f>'作(4)'!K5</f>
        <v>西安</v>
      </c>
      <c r="I5" s="1379"/>
    </row>
    <row r="6" spans="1:9" ht="17.100000000000001" customHeight="1">
      <c r="A6" s="423" t="s">
        <v>1154</v>
      </c>
      <c r="B6" s="422" t="s">
        <v>1155</v>
      </c>
      <c r="C6" s="422" t="s">
        <v>1156</v>
      </c>
      <c r="D6" s="422" t="s">
        <v>1157</v>
      </c>
      <c r="E6" s="422" t="s">
        <v>1158</v>
      </c>
      <c r="F6" s="422" t="s">
        <v>1159</v>
      </c>
      <c r="G6" s="422" t="s">
        <v>1160</v>
      </c>
      <c r="H6" s="1379"/>
      <c r="I6" s="1379"/>
    </row>
    <row r="7" spans="1:9" ht="17.100000000000001" customHeight="1">
      <c r="A7" s="423" t="s">
        <v>1161</v>
      </c>
      <c r="B7" s="423" t="s">
        <v>1162</v>
      </c>
      <c r="C7" s="423" t="s">
        <v>1163</v>
      </c>
      <c r="D7" s="422" t="s">
        <v>1164</v>
      </c>
      <c r="E7" s="422" t="s">
        <v>1165</v>
      </c>
      <c r="F7" s="423" t="s">
        <v>1166</v>
      </c>
      <c r="G7" s="423" t="s">
        <v>1167</v>
      </c>
      <c r="H7" s="1380" t="s">
        <v>1168</v>
      </c>
      <c r="I7" s="1380"/>
    </row>
    <row r="8" spans="1:9" ht="17.100000000000001" customHeight="1">
      <c r="A8" s="423">
        <v>1</v>
      </c>
      <c r="B8" s="423" t="s">
        <v>1169</v>
      </c>
      <c r="C8" s="424" t="str">
        <f>'作(4)'!K4</f>
        <v>0块</v>
      </c>
      <c r="D8" s="423"/>
      <c r="E8" s="423"/>
      <c r="F8" s="423"/>
      <c r="G8" s="423"/>
      <c r="H8" s="1379"/>
      <c r="I8" s="1379"/>
    </row>
    <row r="9" spans="1:9" ht="17.100000000000001" customHeight="1">
      <c r="A9" s="423">
        <v>2</v>
      </c>
      <c r="B9" s="423" t="s">
        <v>1170</v>
      </c>
      <c r="C9" s="424"/>
      <c r="D9" s="423"/>
      <c r="E9" s="423"/>
      <c r="F9" s="423"/>
      <c r="G9" s="423"/>
      <c r="H9" s="1379"/>
      <c r="I9" s="1379"/>
    </row>
    <row r="10" spans="1:9" ht="17.100000000000001" customHeight="1">
      <c r="A10" s="423">
        <v>3</v>
      </c>
      <c r="B10" s="423" t="s">
        <v>1171</v>
      </c>
      <c r="C10" s="424" t="str">
        <f>C8</f>
        <v>0块</v>
      </c>
      <c r="D10" s="423"/>
      <c r="E10" s="423"/>
      <c r="F10" s="423"/>
      <c r="G10" s="423"/>
      <c r="H10" s="1379"/>
      <c r="I10" s="1379"/>
    </row>
    <row r="11" spans="1:9" ht="17.100000000000001" customHeight="1">
      <c r="A11" s="423">
        <v>4</v>
      </c>
      <c r="B11" s="423" t="s">
        <v>1172</v>
      </c>
      <c r="C11" s="424"/>
      <c r="D11" s="423"/>
      <c r="E11" s="423"/>
      <c r="F11" s="423"/>
      <c r="G11" s="423"/>
      <c r="H11" s="1379"/>
      <c r="I11" s="1379"/>
    </row>
    <row r="12" spans="1:9" ht="17.100000000000001" customHeight="1">
      <c r="A12" s="423">
        <v>5</v>
      </c>
      <c r="B12" s="423" t="s">
        <v>1173</v>
      </c>
      <c r="C12" s="424"/>
      <c r="D12" s="423"/>
      <c r="E12" s="423"/>
      <c r="F12" s="423"/>
      <c r="G12" s="423"/>
      <c r="H12" s="1379"/>
      <c r="I12" s="1379"/>
    </row>
    <row r="13" spans="1:9" ht="17.100000000000001" customHeight="1">
      <c r="A13" s="423">
        <v>6</v>
      </c>
      <c r="B13" s="423" t="s">
        <v>1174</v>
      </c>
      <c r="C13" s="424"/>
      <c r="D13" s="423"/>
      <c r="E13" s="423"/>
      <c r="F13" s="423"/>
      <c r="G13" s="423"/>
      <c r="H13" s="1379"/>
      <c r="I13" s="1379"/>
    </row>
    <row r="14" spans="1:9" ht="17.100000000000001" customHeight="1">
      <c r="A14" s="423">
        <v>7</v>
      </c>
      <c r="B14" s="423" t="s">
        <v>1175</v>
      </c>
      <c r="C14" s="424"/>
      <c r="D14" s="423"/>
      <c r="E14" s="423"/>
      <c r="F14" s="423"/>
      <c r="G14" s="423"/>
      <c r="H14" s="1379"/>
      <c r="I14" s="1379"/>
    </row>
    <row r="15" spans="1:9" ht="17.100000000000001" customHeight="1">
      <c r="A15" s="423">
        <v>8</v>
      </c>
      <c r="B15" s="423" t="s">
        <v>1176</v>
      </c>
      <c r="C15" s="424"/>
      <c r="D15" s="423"/>
      <c r="E15" s="423"/>
      <c r="F15" s="423"/>
      <c r="G15" s="423"/>
      <c r="H15" s="1379"/>
      <c r="I15" s="1379"/>
    </row>
    <row r="16" spans="1:9" ht="17.100000000000001" customHeight="1">
      <c r="A16" s="423">
        <v>9</v>
      </c>
      <c r="B16" s="423" t="s">
        <v>1177</v>
      </c>
      <c r="C16" s="424"/>
      <c r="D16" s="423"/>
      <c r="E16" s="424"/>
      <c r="F16" s="423"/>
      <c r="G16" s="423"/>
      <c r="H16" s="1379"/>
      <c r="I16" s="1379"/>
    </row>
    <row r="17" spans="1:9" ht="17.100000000000001" customHeight="1">
      <c r="A17" s="423">
        <v>10</v>
      </c>
      <c r="B17" s="423" t="s">
        <v>1178</v>
      </c>
      <c r="C17" s="424"/>
      <c r="D17" s="423"/>
      <c r="E17" s="423"/>
      <c r="F17" s="423"/>
      <c r="G17" s="423"/>
      <c r="H17" s="1379"/>
      <c r="I17" s="1379"/>
    </row>
    <row r="18" spans="1:9" ht="17.100000000000001" customHeight="1">
      <c r="A18" s="423">
        <v>11</v>
      </c>
      <c r="B18" s="423" t="s">
        <v>1179</v>
      </c>
      <c r="C18" s="424"/>
      <c r="D18" s="423"/>
      <c r="E18" s="423"/>
      <c r="F18" s="423"/>
      <c r="G18" s="423"/>
      <c r="H18" s="1379"/>
      <c r="I18" s="1379"/>
    </row>
    <row r="19" spans="1:9" ht="17.100000000000001" customHeight="1">
      <c r="A19" s="423">
        <v>12</v>
      </c>
      <c r="B19" s="423" t="s">
        <v>1180</v>
      </c>
      <c r="C19" s="424"/>
      <c r="D19" s="423"/>
      <c r="E19" s="423"/>
      <c r="F19" s="423"/>
      <c r="G19" s="423"/>
      <c r="H19" s="1379"/>
      <c r="I19" s="1379"/>
    </row>
    <row r="20" spans="1:9" ht="17.100000000000001" customHeight="1">
      <c r="A20" s="423">
        <v>13</v>
      </c>
      <c r="B20" s="423" t="s">
        <v>1181</v>
      </c>
      <c r="C20" s="424"/>
      <c r="D20" s="423"/>
      <c r="E20" s="423"/>
      <c r="F20" s="423"/>
      <c r="G20" s="423"/>
      <c r="H20" s="1379"/>
      <c r="I20" s="1379"/>
    </row>
    <row r="21" spans="1:9" ht="17.100000000000001" customHeight="1">
      <c r="A21" s="423">
        <v>14</v>
      </c>
      <c r="B21" s="423" t="s">
        <v>1182</v>
      </c>
      <c r="C21" s="424"/>
      <c r="D21" s="423"/>
      <c r="E21" s="423"/>
      <c r="F21" s="423"/>
      <c r="G21" s="423"/>
      <c r="H21" s="1379"/>
      <c r="I21" s="1379"/>
    </row>
    <row r="22" spans="1:9" ht="17.100000000000001" customHeight="1">
      <c r="A22" s="423">
        <v>15</v>
      </c>
      <c r="B22" s="423" t="s">
        <v>1183</v>
      </c>
      <c r="C22" s="424"/>
      <c r="D22" s="423"/>
      <c r="E22" s="423"/>
      <c r="F22" s="423"/>
      <c r="G22" s="423"/>
      <c r="H22" s="1379"/>
      <c r="I22" s="1379"/>
    </row>
    <row r="23" spans="1:9" ht="17.100000000000001" customHeight="1">
      <c r="A23" s="423">
        <v>16</v>
      </c>
      <c r="B23" s="423" t="s">
        <v>1184</v>
      </c>
      <c r="C23" s="424"/>
      <c r="D23" s="423"/>
      <c r="E23" s="423"/>
      <c r="F23" s="423"/>
      <c r="G23" s="423"/>
      <c r="H23" s="1379"/>
      <c r="I23" s="1379"/>
    </row>
    <row r="24" spans="1:9" ht="17.100000000000001" customHeight="1">
      <c r="A24" s="423">
        <v>17</v>
      </c>
      <c r="B24" s="423" t="s">
        <v>1185</v>
      </c>
      <c r="C24" s="424"/>
      <c r="D24" s="423"/>
      <c r="E24" s="423"/>
      <c r="F24" s="423"/>
      <c r="G24" s="423"/>
      <c r="H24" s="1379"/>
      <c r="I24" s="1379"/>
    </row>
    <row r="25" spans="1:9" ht="17.100000000000001" customHeight="1">
      <c r="A25" s="423">
        <v>18</v>
      </c>
      <c r="B25" s="423" t="s">
        <v>1186</v>
      </c>
      <c r="C25" s="424" t="str">
        <f>C8</f>
        <v>0块</v>
      </c>
      <c r="D25" s="423"/>
      <c r="E25" s="423"/>
      <c r="F25" s="423"/>
      <c r="G25" s="423"/>
      <c r="H25" s="1379"/>
      <c r="I25" s="1379"/>
    </row>
    <row r="26" spans="1:9" ht="17.100000000000001" customHeight="1">
      <c r="A26" s="423">
        <v>19</v>
      </c>
      <c r="B26" s="423" t="s">
        <v>1187</v>
      </c>
      <c r="C26" s="424" t="str">
        <f t="shared" ref="C26:C35" si="0">C25</f>
        <v>0块</v>
      </c>
      <c r="D26" s="423"/>
      <c r="E26" s="423"/>
      <c r="F26" s="423"/>
      <c r="G26" s="423"/>
      <c r="H26" s="1379"/>
      <c r="I26" s="1379"/>
    </row>
    <row r="27" spans="1:9" ht="17.100000000000001" customHeight="1">
      <c r="A27" s="423">
        <v>20</v>
      </c>
      <c r="B27" s="423" t="s">
        <v>1188</v>
      </c>
      <c r="C27" s="424" t="str">
        <f t="shared" si="0"/>
        <v>0块</v>
      </c>
      <c r="D27" s="423"/>
      <c r="E27" s="423"/>
      <c r="F27" s="423"/>
      <c r="G27" s="423"/>
      <c r="H27" s="1379"/>
      <c r="I27" s="1379"/>
    </row>
    <row r="28" spans="1:9" ht="17.100000000000001" customHeight="1">
      <c r="A28" s="423">
        <v>21</v>
      </c>
      <c r="B28" s="423" t="s">
        <v>1189</v>
      </c>
      <c r="C28" s="424" t="str">
        <f t="shared" si="0"/>
        <v>0块</v>
      </c>
      <c r="D28" s="423"/>
      <c r="E28" s="423"/>
      <c r="F28" s="423"/>
      <c r="G28" s="423"/>
      <c r="H28" s="1379"/>
      <c r="I28" s="1379"/>
    </row>
    <row r="29" spans="1:9" ht="17.100000000000001" customHeight="1">
      <c r="A29" s="423">
        <v>22</v>
      </c>
      <c r="B29" s="423" t="s">
        <v>1190</v>
      </c>
      <c r="C29" s="424" t="str">
        <f t="shared" si="0"/>
        <v>0块</v>
      </c>
      <c r="D29" s="423"/>
      <c r="E29" s="423"/>
      <c r="F29" s="423"/>
      <c r="G29" s="423"/>
      <c r="H29" s="1379"/>
      <c r="I29" s="1379"/>
    </row>
    <row r="30" spans="1:9" ht="17.100000000000001" customHeight="1">
      <c r="A30" s="423">
        <v>23</v>
      </c>
      <c r="B30" s="423" t="s">
        <v>1191</v>
      </c>
      <c r="C30" s="424" t="str">
        <f t="shared" si="0"/>
        <v>0块</v>
      </c>
      <c r="D30" s="423"/>
      <c r="E30" s="423"/>
      <c r="F30" s="423"/>
      <c r="G30" s="423"/>
      <c r="H30" s="1379"/>
      <c r="I30" s="1379"/>
    </row>
    <row r="31" spans="1:9" ht="17.100000000000001" customHeight="1">
      <c r="A31" s="423">
        <v>24</v>
      </c>
      <c r="B31" s="423" t="s">
        <v>1192</v>
      </c>
      <c r="C31" s="424" t="str">
        <f t="shared" si="0"/>
        <v>0块</v>
      </c>
      <c r="D31" s="423"/>
      <c r="E31" s="423"/>
      <c r="F31" s="423"/>
      <c r="G31" s="423"/>
      <c r="H31" s="1379"/>
      <c r="I31" s="1379"/>
    </row>
    <row r="32" spans="1:9" ht="17.100000000000001" customHeight="1">
      <c r="A32" s="423">
        <v>25</v>
      </c>
      <c r="B32" s="423" t="s">
        <v>1193</v>
      </c>
      <c r="C32" s="424" t="str">
        <f t="shared" si="0"/>
        <v>0块</v>
      </c>
      <c r="D32" s="423"/>
      <c r="E32" s="423"/>
      <c r="F32" s="423"/>
      <c r="G32" s="423"/>
      <c r="H32" s="1379"/>
      <c r="I32" s="1379"/>
    </row>
    <row r="33" spans="1:9" ht="17.100000000000001" customHeight="1">
      <c r="A33" s="423">
        <v>26</v>
      </c>
      <c r="B33" s="423" t="s">
        <v>1194</v>
      </c>
      <c r="C33" s="423" t="str">
        <f t="shared" si="0"/>
        <v>0块</v>
      </c>
      <c r="D33" s="423"/>
      <c r="E33" s="423"/>
      <c r="F33" s="423"/>
      <c r="G33" s="423"/>
      <c r="H33" s="1379"/>
      <c r="I33" s="1379"/>
    </row>
    <row r="34" spans="1:9" ht="17.100000000000001" customHeight="1">
      <c r="A34" s="423">
        <v>27</v>
      </c>
      <c r="B34" s="423" t="s">
        <v>1195</v>
      </c>
      <c r="C34" s="423" t="str">
        <f t="shared" si="0"/>
        <v>0块</v>
      </c>
      <c r="D34" s="423"/>
      <c r="E34" s="423"/>
      <c r="F34" s="423"/>
      <c r="G34" s="423"/>
      <c r="H34" s="1379"/>
      <c r="I34" s="1379"/>
    </row>
    <row r="35" spans="1:9" ht="17.100000000000001" customHeight="1">
      <c r="A35" s="423">
        <v>28</v>
      </c>
      <c r="B35" s="423" t="s">
        <v>1196</v>
      </c>
      <c r="C35" s="423" t="str">
        <f t="shared" si="0"/>
        <v>0块</v>
      </c>
      <c r="D35" s="423"/>
      <c r="E35" s="423"/>
      <c r="F35" s="423"/>
      <c r="G35" s="423"/>
      <c r="H35" s="1379"/>
      <c r="I35" s="1379"/>
    </row>
    <row r="36" spans="1:9" ht="17.100000000000001" customHeight="1">
      <c r="A36" s="423">
        <v>29</v>
      </c>
      <c r="B36" s="423" t="s">
        <v>1197</v>
      </c>
      <c r="C36" s="423"/>
      <c r="D36" s="423"/>
      <c r="E36" s="423"/>
      <c r="F36" s="423"/>
      <c r="G36" s="423"/>
      <c r="H36" s="1379"/>
      <c r="I36" s="1379"/>
    </row>
    <row r="37" spans="1:9" ht="17.100000000000001" customHeight="1">
      <c r="A37" s="423">
        <v>30</v>
      </c>
      <c r="B37" s="423" t="s">
        <v>1198</v>
      </c>
      <c r="C37" s="423"/>
      <c r="D37" s="423"/>
      <c r="E37" s="423"/>
      <c r="F37" s="423"/>
      <c r="G37" s="423"/>
      <c r="H37" s="1379"/>
      <c r="I37" s="1379"/>
    </row>
    <row r="38" spans="1:9" ht="17.100000000000001" customHeight="1">
      <c r="A38" s="423">
        <v>31</v>
      </c>
      <c r="B38" s="423" t="s">
        <v>1199</v>
      </c>
      <c r="C38" s="423"/>
      <c r="D38" s="423"/>
      <c r="E38" s="423"/>
      <c r="F38" s="423"/>
      <c r="G38" s="423"/>
      <c r="H38" s="1379"/>
      <c r="I38" s="1379"/>
    </row>
    <row r="39" spans="1:9" ht="17.100000000000001" customHeight="1">
      <c r="A39" s="423">
        <v>32</v>
      </c>
      <c r="B39" s="423" t="s">
        <v>1200</v>
      </c>
      <c r="C39" s="423"/>
      <c r="D39" s="423"/>
      <c r="E39" s="423"/>
      <c r="F39" s="423"/>
      <c r="G39" s="423"/>
      <c r="H39" s="1379"/>
      <c r="I39" s="1379"/>
    </row>
    <row r="40" spans="1:9" ht="17.100000000000001" customHeight="1">
      <c r="A40" s="423">
        <v>33</v>
      </c>
      <c r="B40" s="423" t="s">
        <v>1201</v>
      </c>
      <c r="C40" s="423"/>
      <c r="D40" s="423"/>
      <c r="E40" s="423"/>
      <c r="F40" s="423"/>
      <c r="G40" s="423"/>
      <c r="H40" s="1379"/>
      <c r="I40" s="1379"/>
    </row>
    <row r="41" spans="1:9" ht="17.100000000000001" customHeight="1">
      <c r="A41" s="423">
        <v>34</v>
      </c>
      <c r="B41" s="423" t="s">
        <v>1202</v>
      </c>
      <c r="C41" s="423"/>
      <c r="D41" s="423"/>
      <c r="E41" s="423"/>
      <c r="F41" s="423"/>
      <c r="G41" s="423"/>
      <c r="H41" s="1379"/>
      <c r="I41" s="1379"/>
    </row>
    <row r="42" spans="1:9" ht="17.100000000000001" customHeight="1">
      <c r="A42" s="423">
        <v>35</v>
      </c>
      <c r="B42" s="423" t="s">
        <v>1203</v>
      </c>
      <c r="C42" s="423"/>
      <c r="D42" s="423"/>
      <c r="E42" s="423"/>
      <c r="F42" s="423"/>
      <c r="G42" s="423"/>
      <c r="H42" s="1379"/>
      <c r="I42" s="1379"/>
    </row>
    <row r="43" spans="1:9" ht="17.100000000000001" customHeight="1">
      <c r="A43" s="423">
        <v>36</v>
      </c>
      <c r="B43" s="423" t="s">
        <v>1204</v>
      </c>
      <c r="C43" s="423"/>
      <c r="D43" s="423"/>
      <c r="E43" s="423"/>
      <c r="F43" s="423"/>
      <c r="G43" s="423"/>
      <c r="H43" s="1379"/>
      <c r="I43" s="1379"/>
    </row>
    <row r="44" spans="1:9" ht="17.100000000000001" customHeight="1">
      <c r="A44" s="423">
        <v>37</v>
      </c>
      <c r="B44" s="423" t="s">
        <v>1205</v>
      </c>
      <c r="C44" s="423"/>
      <c r="D44" s="423"/>
      <c r="E44" s="423"/>
      <c r="F44" s="423"/>
      <c r="G44" s="423"/>
      <c r="H44" s="1379"/>
      <c r="I44" s="1379"/>
    </row>
    <row r="45" spans="1:9" ht="17.100000000000001" customHeight="1">
      <c r="A45" s="423">
        <v>38</v>
      </c>
      <c r="B45" s="423" t="s">
        <v>1206</v>
      </c>
      <c r="C45" s="423"/>
      <c r="D45" s="423"/>
      <c r="E45" s="423"/>
      <c r="F45" s="423"/>
      <c r="G45" s="423"/>
      <c r="H45" s="1379"/>
      <c r="I45" s="1379"/>
    </row>
    <row r="46" spans="1:9" ht="17.100000000000001" customHeight="1">
      <c r="A46" s="423">
        <v>39</v>
      </c>
      <c r="B46" s="423" t="s">
        <v>1207</v>
      </c>
      <c r="C46" s="423"/>
      <c r="D46" s="423"/>
      <c r="E46" s="423"/>
      <c r="F46" s="423"/>
      <c r="G46" s="423"/>
      <c r="H46" s="1379"/>
      <c r="I46" s="1379"/>
    </row>
    <row r="47" spans="1:9" ht="17.100000000000001" customHeight="1">
      <c r="A47" s="425"/>
      <c r="B47" s="421" t="s">
        <v>1208</v>
      </c>
      <c r="C47" s="428" t="s">
        <v>1480</v>
      </c>
      <c r="D47" s="427"/>
      <c r="E47" s="426" t="s">
        <v>1209</v>
      </c>
      <c r="F47" s="425"/>
      <c r="G47" s="425"/>
      <c r="H47" s="425"/>
    </row>
  </sheetData>
  <mergeCells count="51">
    <mergeCell ref="A1:I1"/>
    <mergeCell ref="B3:C3"/>
    <mergeCell ref="E3:F3"/>
    <mergeCell ref="H3:I3"/>
    <mergeCell ref="B4:C4"/>
    <mergeCell ref="E4:F4"/>
    <mergeCell ref="H4:I4"/>
    <mergeCell ref="H14:I14"/>
    <mergeCell ref="B5:C5"/>
    <mergeCell ref="E5:F5"/>
    <mergeCell ref="H5:I5"/>
    <mergeCell ref="H6:I6"/>
    <mergeCell ref="H7:I7"/>
    <mergeCell ref="H8:I8"/>
    <mergeCell ref="H9:I9"/>
    <mergeCell ref="H10:I10"/>
    <mergeCell ref="H11:I11"/>
    <mergeCell ref="H12:I12"/>
    <mergeCell ref="H13:I13"/>
    <mergeCell ref="H26:I26"/>
    <mergeCell ref="H15:I15"/>
    <mergeCell ref="H16:I16"/>
    <mergeCell ref="H17:I17"/>
    <mergeCell ref="H18:I18"/>
    <mergeCell ref="H19:I19"/>
    <mergeCell ref="H20:I20"/>
    <mergeCell ref="H21:I21"/>
    <mergeCell ref="H22:I22"/>
    <mergeCell ref="H23:I23"/>
    <mergeCell ref="H24:I24"/>
    <mergeCell ref="H25:I25"/>
    <mergeCell ref="H38:I38"/>
    <mergeCell ref="H27:I27"/>
    <mergeCell ref="H28:I28"/>
    <mergeCell ref="H29:I29"/>
    <mergeCell ref="H30:I30"/>
    <mergeCell ref="H31:I31"/>
    <mergeCell ref="H32:I32"/>
    <mergeCell ref="H33:I33"/>
    <mergeCell ref="H34:I34"/>
    <mergeCell ref="H35:I35"/>
    <mergeCell ref="H36:I36"/>
    <mergeCell ref="H37:I37"/>
    <mergeCell ref="H45:I45"/>
    <mergeCell ref="H46:I46"/>
    <mergeCell ref="H39:I39"/>
    <mergeCell ref="H40:I40"/>
    <mergeCell ref="H41:I41"/>
    <mergeCell ref="H42:I42"/>
    <mergeCell ref="H43:I43"/>
    <mergeCell ref="H44:I44"/>
  </mergeCells>
  <phoneticPr fontId="83" type="noConversion"/>
  <pageMargins left="0.59055118110236227" right="0.59055118110236227" top="0.62992125984251968" bottom="0.23622047244094491" header="0.23622047244094491" footer="0.23622047244094491"/>
  <pageSetup paperSize="9" scale="94" orientation="portrait" r:id="rId1"/>
  <headerFooter alignWithMargins="0"/>
</worksheet>
</file>

<file path=xl/worksheets/sheet14.xml><?xml version="1.0" encoding="utf-8"?>
<worksheet xmlns="http://schemas.openxmlformats.org/spreadsheetml/2006/main" xmlns:r="http://schemas.openxmlformats.org/officeDocument/2006/relationships">
  <dimension ref="A1:AL754"/>
  <sheetViews>
    <sheetView zoomScaleSheetLayoutView="85" workbookViewId="0">
      <selection activeCell="F18" sqref="F18:H18"/>
    </sheetView>
  </sheetViews>
  <sheetFormatPr defaultRowHeight="14.25"/>
  <cols>
    <col min="1" max="1" width="8.125" style="301" customWidth="1"/>
    <col min="2" max="2" width="6.25" style="301" customWidth="1"/>
    <col min="3" max="3" width="6.375" style="301" customWidth="1"/>
    <col min="4" max="4" width="5.375" style="301" customWidth="1"/>
    <col min="5" max="5" width="5.875" style="301" customWidth="1"/>
    <col min="6" max="6" width="6.375" style="301" customWidth="1"/>
    <col min="7" max="7" width="5.75" style="301" customWidth="1"/>
    <col min="8" max="8" width="11.875" style="301" customWidth="1"/>
    <col min="9" max="9" width="8.5" style="301" customWidth="1"/>
    <col min="10" max="10" width="9" style="301"/>
    <col min="11" max="11" width="12.25" style="301" customWidth="1"/>
    <col min="12" max="12" width="11.625" style="302" bestFit="1" customWidth="1"/>
    <col min="13" max="13" width="11.625" style="303" customWidth="1"/>
    <col min="14" max="14" width="7.875" style="303" customWidth="1"/>
    <col min="15" max="17" width="7.75" style="303" customWidth="1"/>
    <col min="18" max="18" width="14.125" style="303" customWidth="1"/>
    <col min="19" max="38" width="9" style="304"/>
    <col min="39" max="256" width="9" style="301"/>
    <col min="257" max="257" width="8.125" style="301" customWidth="1"/>
    <col min="258" max="258" width="6.25" style="301" customWidth="1"/>
    <col min="259" max="259" width="6.375" style="301" customWidth="1"/>
    <col min="260" max="260" width="5.375" style="301" customWidth="1"/>
    <col min="261" max="261" width="5.875" style="301" customWidth="1"/>
    <col min="262" max="262" width="6.375" style="301" customWidth="1"/>
    <col min="263" max="263" width="5.75" style="301" customWidth="1"/>
    <col min="264" max="264" width="11.875" style="301" customWidth="1"/>
    <col min="265" max="265" width="8.5" style="301" customWidth="1"/>
    <col min="266" max="266" width="9" style="301"/>
    <col min="267" max="267" width="12.25" style="301" customWidth="1"/>
    <col min="268" max="268" width="11.625" style="301" bestFit="1" customWidth="1"/>
    <col min="269" max="269" width="11.625" style="301" customWidth="1"/>
    <col min="270" max="270" width="7.875" style="301" customWidth="1"/>
    <col min="271" max="273" width="7.75" style="301" customWidth="1"/>
    <col min="274" max="274" width="14.125" style="301" customWidth="1"/>
    <col min="275" max="512" width="9" style="301"/>
    <col min="513" max="513" width="8.125" style="301" customWidth="1"/>
    <col min="514" max="514" width="6.25" style="301" customWidth="1"/>
    <col min="515" max="515" width="6.375" style="301" customWidth="1"/>
    <col min="516" max="516" width="5.375" style="301" customWidth="1"/>
    <col min="517" max="517" width="5.875" style="301" customWidth="1"/>
    <col min="518" max="518" width="6.375" style="301" customWidth="1"/>
    <col min="519" max="519" width="5.75" style="301" customWidth="1"/>
    <col min="520" max="520" width="11.875" style="301" customWidth="1"/>
    <col min="521" max="521" width="8.5" style="301" customWidth="1"/>
    <col min="522" max="522" width="9" style="301"/>
    <col min="523" max="523" width="12.25" style="301" customWidth="1"/>
    <col min="524" max="524" width="11.625" style="301" bestFit="1" customWidth="1"/>
    <col min="525" max="525" width="11.625" style="301" customWidth="1"/>
    <col min="526" max="526" width="7.875" style="301" customWidth="1"/>
    <col min="527" max="529" width="7.75" style="301" customWidth="1"/>
    <col min="530" max="530" width="14.125" style="301" customWidth="1"/>
    <col min="531" max="768" width="9" style="301"/>
    <col min="769" max="769" width="8.125" style="301" customWidth="1"/>
    <col min="770" max="770" width="6.25" style="301" customWidth="1"/>
    <col min="771" max="771" width="6.375" style="301" customWidth="1"/>
    <col min="772" max="772" width="5.375" style="301" customWidth="1"/>
    <col min="773" max="773" width="5.875" style="301" customWidth="1"/>
    <col min="774" max="774" width="6.375" style="301" customWidth="1"/>
    <col min="775" max="775" width="5.75" style="301" customWidth="1"/>
    <col min="776" max="776" width="11.875" style="301" customWidth="1"/>
    <col min="777" max="777" width="8.5" style="301" customWidth="1"/>
    <col min="778" max="778" width="9" style="301"/>
    <col min="779" max="779" width="12.25" style="301" customWidth="1"/>
    <col min="780" max="780" width="11.625" style="301" bestFit="1" customWidth="1"/>
    <col min="781" max="781" width="11.625" style="301" customWidth="1"/>
    <col min="782" max="782" width="7.875" style="301" customWidth="1"/>
    <col min="783" max="785" width="7.75" style="301" customWidth="1"/>
    <col min="786" max="786" width="14.125" style="301" customWidth="1"/>
    <col min="787" max="1024" width="9" style="301"/>
    <col min="1025" max="1025" width="8.125" style="301" customWidth="1"/>
    <col min="1026" max="1026" width="6.25" style="301" customWidth="1"/>
    <col min="1027" max="1027" width="6.375" style="301" customWidth="1"/>
    <col min="1028" max="1028" width="5.375" style="301" customWidth="1"/>
    <col min="1029" max="1029" width="5.875" style="301" customWidth="1"/>
    <col min="1030" max="1030" width="6.375" style="301" customWidth="1"/>
    <col min="1031" max="1031" width="5.75" style="301" customWidth="1"/>
    <col min="1032" max="1032" width="11.875" style="301" customWidth="1"/>
    <col min="1033" max="1033" width="8.5" style="301" customWidth="1"/>
    <col min="1034" max="1034" width="9" style="301"/>
    <col min="1035" max="1035" width="12.25" style="301" customWidth="1"/>
    <col min="1036" max="1036" width="11.625" style="301" bestFit="1" customWidth="1"/>
    <col min="1037" max="1037" width="11.625" style="301" customWidth="1"/>
    <col min="1038" max="1038" width="7.875" style="301" customWidth="1"/>
    <col min="1039" max="1041" width="7.75" style="301" customWidth="1"/>
    <col min="1042" max="1042" width="14.125" style="301" customWidth="1"/>
    <col min="1043" max="1280" width="9" style="301"/>
    <col min="1281" max="1281" width="8.125" style="301" customWidth="1"/>
    <col min="1282" max="1282" width="6.25" style="301" customWidth="1"/>
    <col min="1283" max="1283" width="6.375" style="301" customWidth="1"/>
    <col min="1284" max="1284" width="5.375" style="301" customWidth="1"/>
    <col min="1285" max="1285" width="5.875" style="301" customWidth="1"/>
    <col min="1286" max="1286" width="6.375" style="301" customWidth="1"/>
    <col min="1287" max="1287" width="5.75" style="301" customWidth="1"/>
    <col min="1288" max="1288" width="11.875" style="301" customWidth="1"/>
    <col min="1289" max="1289" width="8.5" style="301" customWidth="1"/>
    <col min="1290" max="1290" width="9" style="301"/>
    <col min="1291" max="1291" width="12.25" style="301" customWidth="1"/>
    <col min="1292" max="1292" width="11.625" style="301" bestFit="1" customWidth="1"/>
    <col min="1293" max="1293" width="11.625" style="301" customWidth="1"/>
    <col min="1294" max="1294" width="7.875" style="301" customWidth="1"/>
    <col min="1295" max="1297" width="7.75" style="301" customWidth="1"/>
    <col min="1298" max="1298" width="14.125" style="301" customWidth="1"/>
    <col min="1299" max="1536" width="9" style="301"/>
    <col min="1537" max="1537" width="8.125" style="301" customWidth="1"/>
    <col min="1538" max="1538" width="6.25" style="301" customWidth="1"/>
    <col min="1539" max="1539" width="6.375" style="301" customWidth="1"/>
    <col min="1540" max="1540" width="5.375" style="301" customWidth="1"/>
    <col min="1541" max="1541" width="5.875" style="301" customWidth="1"/>
    <col min="1542" max="1542" width="6.375" style="301" customWidth="1"/>
    <col min="1543" max="1543" width="5.75" style="301" customWidth="1"/>
    <col min="1544" max="1544" width="11.875" style="301" customWidth="1"/>
    <col min="1545" max="1545" width="8.5" style="301" customWidth="1"/>
    <col min="1546" max="1546" width="9" style="301"/>
    <col min="1547" max="1547" width="12.25" style="301" customWidth="1"/>
    <col min="1548" max="1548" width="11.625" style="301" bestFit="1" customWidth="1"/>
    <col min="1549" max="1549" width="11.625" style="301" customWidth="1"/>
    <col min="1550" max="1550" width="7.875" style="301" customWidth="1"/>
    <col min="1551" max="1553" width="7.75" style="301" customWidth="1"/>
    <col min="1554" max="1554" width="14.125" style="301" customWidth="1"/>
    <col min="1555" max="1792" width="9" style="301"/>
    <col min="1793" max="1793" width="8.125" style="301" customWidth="1"/>
    <col min="1794" max="1794" width="6.25" style="301" customWidth="1"/>
    <col min="1795" max="1795" width="6.375" style="301" customWidth="1"/>
    <col min="1796" max="1796" width="5.375" style="301" customWidth="1"/>
    <col min="1797" max="1797" width="5.875" style="301" customWidth="1"/>
    <col min="1798" max="1798" width="6.375" style="301" customWidth="1"/>
    <col min="1799" max="1799" width="5.75" style="301" customWidth="1"/>
    <col min="1800" max="1800" width="11.875" style="301" customWidth="1"/>
    <col min="1801" max="1801" width="8.5" style="301" customWidth="1"/>
    <col min="1802" max="1802" width="9" style="301"/>
    <col min="1803" max="1803" width="12.25" style="301" customWidth="1"/>
    <col min="1804" max="1804" width="11.625" style="301" bestFit="1" customWidth="1"/>
    <col min="1805" max="1805" width="11.625" style="301" customWidth="1"/>
    <col min="1806" max="1806" width="7.875" style="301" customWidth="1"/>
    <col min="1807" max="1809" width="7.75" style="301" customWidth="1"/>
    <col min="1810" max="1810" width="14.125" style="301" customWidth="1"/>
    <col min="1811" max="2048" width="9" style="301"/>
    <col min="2049" max="2049" width="8.125" style="301" customWidth="1"/>
    <col min="2050" max="2050" width="6.25" style="301" customWidth="1"/>
    <col min="2051" max="2051" width="6.375" style="301" customWidth="1"/>
    <col min="2052" max="2052" width="5.375" style="301" customWidth="1"/>
    <col min="2053" max="2053" width="5.875" style="301" customWidth="1"/>
    <col min="2054" max="2054" width="6.375" style="301" customWidth="1"/>
    <col min="2055" max="2055" width="5.75" style="301" customWidth="1"/>
    <col min="2056" max="2056" width="11.875" style="301" customWidth="1"/>
    <col min="2057" max="2057" width="8.5" style="301" customWidth="1"/>
    <col min="2058" max="2058" width="9" style="301"/>
    <col min="2059" max="2059" width="12.25" style="301" customWidth="1"/>
    <col min="2060" max="2060" width="11.625" style="301" bestFit="1" customWidth="1"/>
    <col min="2061" max="2061" width="11.625" style="301" customWidth="1"/>
    <col min="2062" max="2062" width="7.875" style="301" customWidth="1"/>
    <col min="2063" max="2065" width="7.75" style="301" customWidth="1"/>
    <col min="2066" max="2066" width="14.125" style="301" customWidth="1"/>
    <col min="2067" max="2304" width="9" style="301"/>
    <col min="2305" max="2305" width="8.125" style="301" customWidth="1"/>
    <col min="2306" max="2306" width="6.25" style="301" customWidth="1"/>
    <col min="2307" max="2307" width="6.375" style="301" customWidth="1"/>
    <col min="2308" max="2308" width="5.375" style="301" customWidth="1"/>
    <col min="2309" max="2309" width="5.875" style="301" customWidth="1"/>
    <col min="2310" max="2310" width="6.375" style="301" customWidth="1"/>
    <col min="2311" max="2311" width="5.75" style="301" customWidth="1"/>
    <col min="2312" max="2312" width="11.875" style="301" customWidth="1"/>
    <col min="2313" max="2313" width="8.5" style="301" customWidth="1"/>
    <col min="2314" max="2314" width="9" style="301"/>
    <col min="2315" max="2315" width="12.25" style="301" customWidth="1"/>
    <col min="2316" max="2316" width="11.625" style="301" bestFit="1" customWidth="1"/>
    <col min="2317" max="2317" width="11.625" style="301" customWidth="1"/>
    <col min="2318" max="2318" width="7.875" style="301" customWidth="1"/>
    <col min="2319" max="2321" width="7.75" style="301" customWidth="1"/>
    <col min="2322" max="2322" width="14.125" style="301" customWidth="1"/>
    <col min="2323" max="2560" width="9" style="301"/>
    <col min="2561" max="2561" width="8.125" style="301" customWidth="1"/>
    <col min="2562" max="2562" width="6.25" style="301" customWidth="1"/>
    <col min="2563" max="2563" width="6.375" style="301" customWidth="1"/>
    <col min="2564" max="2564" width="5.375" style="301" customWidth="1"/>
    <col min="2565" max="2565" width="5.875" style="301" customWidth="1"/>
    <col min="2566" max="2566" width="6.375" style="301" customWidth="1"/>
    <col min="2567" max="2567" width="5.75" style="301" customWidth="1"/>
    <col min="2568" max="2568" width="11.875" style="301" customWidth="1"/>
    <col min="2569" max="2569" width="8.5" style="301" customWidth="1"/>
    <col min="2570" max="2570" width="9" style="301"/>
    <col min="2571" max="2571" width="12.25" style="301" customWidth="1"/>
    <col min="2572" max="2572" width="11.625" style="301" bestFit="1" customWidth="1"/>
    <col min="2573" max="2573" width="11.625" style="301" customWidth="1"/>
    <col min="2574" max="2574" width="7.875" style="301" customWidth="1"/>
    <col min="2575" max="2577" width="7.75" style="301" customWidth="1"/>
    <col min="2578" max="2578" width="14.125" style="301" customWidth="1"/>
    <col min="2579" max="2816" width="9" style="301"/>
    <col min="2817" max="2817" width="8.125" style="301" customWidth="1"/>
    <col min="2818" max="2818" width="6.25" style="301" customWidth="1"/>
    <col min="2819" max="2819" width="6.375" style="301" customWidth="1"/>
    <col min="2820" max="2820" width="5.375" style="301" customWidth="1"/>
    <col min="2821" max="2821" width="5.875" style="301" customWidth="1"/>
    <col min="2822" max="2822" width="6.375" style="301" customWidth="1"/>
    <col min="2823" max="2823" width="5.75" style="301" customWidth="1"/>
    <col min="2824" max="2824" width="11.875" style="301" customWidth="1"/>
    <col min="2825" max="2825" width="8.5" style="301" customWidth="1"/>
    <col min="2826" max="2826" width="9" style="301"/>
    <col min="2827" max="2827" width="12.25" style="301" customWidth="1"/>
    <col min="2828" max="2828" width="11.625" style="301" bestFit="1" customWidth="1"/>
    <col min="2829" max="2829" width="11.625" style="301" customWidth="1"/>
    <col min="2830" max="2830" width="7.875" style="301" customWidth="1"/>
    <col min="2831" max="2833" width="7.75" style="301" customWidth="1"/>
    <col min="2834" max="2834" width="14.125" style="301" customWidth="1"/>
    <col min="2835" max="3072" width="9" style="301"/>
    <col min="3073" max="3073" width="8.125" style="301" customWidth="1"/>
    <col min="3074" max="3074" width="6.25" style="301" customWidth="1"/>
    <col min="3075" max="3075" width="6.375" style="301" customWidth="1"/>
    <col min="3076" max="3076" width="5.375" style="301" customWidth="1"/>
    <col min="3077" max="3077" width="5.875" style="301" customWidth="1"/>
    <col min="3078" max="3078" width="6.375" style="301" customWidth="1"/>
    <col min="3079" max="3079" width="5.75" style="301" customWidth="1"/>
    <col min="3080" max="3080" width="11.875" style="301" customWidth="1"/>
    <col min="3081" max="3081" width="8.5" style="301" customWidth="1"/>
    <col min="3082" max="3082" width="9" style="301"/>
    <col min="3083" max="3083" width="12.25" style="301" customWidth="1"/>
    <col min="3084" max="3084" width="11.625" style="301" bestFit="1" customWidth="1"/>
    <col min="3085" max="3085" width="11.625" style="301" customWidth="1"/>
    <col min="3086" max="3086" width="7.875" style="301" customWidth="1"/>
    <col min="3087" max="3089" width="7.75" style="301" customWidth="1"/>
    <col min="3090" max="3090" width="14.125" style="301" customWidth="1"/>
    <col min="3091" max="3328" width="9" style="301"/>
    <col min="3329" max="3329" width="8.125" style="301" customWidth="1"/>
    <col min="3330" max="3330" width="6.25" style="301" customWidth="1"/>
    <col min="3331" max="3331" width="6.375" style="301" customWidth="1"/>
    <col min="3332" max="3332" width="5.375" style="301" customWidth="1"/>
    <col min="3333" max="3333" width="5.875" style="301" customWidth="1"/>
    <col min="3334" max="3334" width="6.375" style="301" customWidth="1"/>
    <col min="3335" max="3335" width="5.75" style="301" customWidth="1"/>
    <col min="3336" max="3336" width="11.875" style="301" customWidth="1"/>
    <col min="3337" max="3337" width="8.5" style="301" customWidth="1"/>
    <col min="3338" max="3338" width="9" style="301"/>
    <col min="3339" max="3339" width="12.25" style="301" customWidth="1"/>
    <col min="3340" max="3340" width="11.625" style="301" bestFit="1" customWidth="1"/>
    <col min="3341" max="3341" width="11.625" style="301" customWidth="1"/>
    <col min="3342" max="3342" width="7.875" style="301" customWidth="1"/>
    <col min="3343" max="3345" width="7.75" style="301" customWidth="1"/>
    <col min="3346" max="3346" width="14.125" style="301" customWidth="1"/>
    <col min="3347" max="3584" width="9" style="301"/>
    <col min="3585" max="3585" width="8.125" style="301" customWidth="1"/>
    <col min="3586" max="3586" width="6.25" style="301" customWidth="1"/>
    <col min="3587" max="3587" width="6.375" style="301" customWidth="1"/>
    <col min="3588" max="3588" width="5.375" style="301" customWidth="1"/>
    <col min="3589" max="3589" width="5.875" style="301" customWidth="1"/>
    <col min="3590" max="3590" width="6.375" style="301" customWidth="1"/>
    <col min="3591" max="3591" width="5.75" style="301" customWidth="1"/>
    <col min="3592" max="3592" width="11.875" style="301" customWidth="1"/>
    <col min="3593" max="3593" width="8.5" style="301" customWidth="1"/>
    <col min="3594" max="3594" width="9" style="301"/>
    <col min="3595" max="3595" width="12.25" style="301" customWidth="1"/>
    <col min="3596" max="3596" width="11.625" style="301" bestFit="1" customWidth="1"/>
    <col min="3597" max="3597" width="11.625" style="301" customWidth="1"/>
    <col min="3598" max="3598" width="7.875" style="301" customWidth="1"/>
    <col min="3599" max="3601" width="7.75" style="301" customWidth="1"/>
    <col min="3602" max="3602" width="14.125" style="301" customWidth="1"/>
    <col min="3603" max="3840" width="9" style="301"/>
    <col min="3841" max="3841" width="8.125" style="301" customWidth="1"/>
    <col min="3842" max="3842" width="6.25" style="301" customWidth="1"/>
    <col min="3843" max="3843" width="6.375" style="301" customWidth="1"/>
    <col min="3844" max="3844" width="5.375" style="301" customWidth="1"/>
    <col min="3845" max="3845" width="5.875" style="301" customWidth="1"/>
    <col min="3846" max="3846" width="6.375" style="301" customWidth="1"/>
    <col min="3847" max="3847" width="5.75" style="301" customWidth="1"/>
    <col min="3848" max="3848" width="11.875" style="301" customWidth="1"/>
    <col min="3849" max="3849" width="8.5" style="301" customWidth="1"/>
    <col min="3850" max="3850" width="9" style="301"/>
    <col min="3851" max="3851" width="12.25" style="301" customWidth="1"/>
    <col min="3852" max="3852" width="11.625" style="301" bestFit="1" customWidth="1"/>
    <col min="3853" max="3853" width="11.625" style="301" customWidth="1"/>
    <col min="3854" max="3854" width="7.875" style="301" customWidth="1"/>
    <col min="3855" max="3857" width="7.75" style="301" customWidth="1"/>
    <col min="3858" max="3858" width="14.125" style="301" customWidth="1"/>
    <col min="3859" max="4096" width="9" style="301"/>
    <col min="4097" max="4097" width="8.125" style="301" customWidth="1"/>
    <col min="4098" max="4098" width="6.25" style="301" customWidth="1"/>
    <col min="4099" max="4099" width="6.375" style="301" customWidth="1"/>
    <col min="4100" max="4100" width="5.375" style="301" customWidth="1"/>
    <col min="4101" max="4101" width="5.875" style="301" customWidth="1"/>
    <col min="4102" max="4102" width="6.375" style="301" customWidth="1"/>
    <col min="4103" max="4103" width="5.75" style="301" customWidth="1"/>
    <col min="4104" max="4104" width="11.875" style="301" customWidth="1"/>
    <col min="4105" max="4105" width="8.5" style="301" customWidth="1"/>
    <col min="4106" max="4106" width="9" style="301"/>
    <col min="4107" max="4107" width="12.25" style="301" customWidth="1"/>
    <col min="4108" max="4108" width="11.625" style="301" bestFit="1" customWidth="1"/>
    <col min="4109" max="4109" width="11.625" style="301" customWidth="1"/>
    <col min="4110" max="4110" width="7.875" style="301" customWidth="1"/>
    <col min="4111" max="4113" width="7.75" style="301" customWidth="1"/>
    <col min="4114" max="4114" width="14.125" style="301" customWidth="1"/>
    <col min="4115" max="4352" width="9" style="301"/>
    <col min="4353" max="4353" width="8.125" style="301" customWidth="1"/>
    <col min="4354" max="4354" width="6.25" style="301" customWidth="1"/>
    <col min="4355" max="4355" width="6.375" style="301" customWidth="1"/>
    <col min="4356" max="4356" width="5.375" style="301" customWidth="1"/>
    <col min="4357" max="4357" width="5.875" style="301" customWidth="1"/>
    <col min="4358" max="4358" width="6.375" style="301" customWidth="1"/>
    <col min="4359" max="4359" width="5.75" style="301" customWidth="1"/>
    <col min="4360" max="4360" width="11.875" style="301" customWidth="1"/>
    <col min="4361" max="4361" width="8.5" style="301" customWidth="1"/>
    <col min="4362" max="4362" width="9" style="301"/>
    <col min="4363" max="4363" width="12.25" style="301" customWidth="1"/>
    <col min="4364" max="4364" width="11.625" style="301" bestFit="1" customWidth="1"/>
    <col min="4365" max="4365" width="11.625" style="301" customWidth="1"/>
    <col min="4366" max="4366" width="7.875" style="301" customWidth="1"/>
    <col min="4367" max="4369" width="7.75" style="301" customWidth="1"/>
    <col min="4370" max="4370" width="14.125" style="301" customWidth="1"/>
    <col min="4371" max="4608" width="9" style="301"/>
    <col min="4609" max="4609" width="8.125" style="301" customWidth="1"/>
    <col min="4610" max="4610" width="6.25" style="301" customWidth="1"/>
    <col min="4611" max="4611" width="6.375" style="301" customWidth="1"/>
    <col min="4612" max="4612" width="5.375" style="301" customWidth="1"/>
    <col min="4613" max="4613" width="5.875" style="301" customWidth="1"/>
    <col min="4614" max="4614" width="6.375" style="301" customWidth="1"/>
    <col min="4615" max="4615" width="5.75" style="301" customWidth="1"/>
    <col min="4616" max="4616" width="11.875" style="301" customWidth="1"/>
    <col min="4617" max="4617" width="8.5" style="301" customWidth="1"/>
    <col min="4618" max="4618" width="9" style="301"/>
    <col min="4619" max="4619" width="12.25" style="301" customWidth="1"/>
    <col min="4620" max="4620" width="11.625" style="301" bestFit="1" customWidth="1"/>
    <col min="4621" max="4621" width="11.625" style="301" customWidth="1"/>
    <col min="4622" max="4622" width="7.875" style="301" customWidth="1"/>
    <col min="4623" max="4625" width="7.75" style="301" customWidth="1"/>
    <col min="4626" max="4626" width="14.125" style="301" customWidth="1"/>
    <col min="4627" max="4864" width="9" style="301"/>
    <col min="4865" max="4865" width="8.125" style="301" customWidth="1"/>
    <col min="4866" max="4866" width="6.25" style="301" customWidth="1"/>
    <col min="4867" max="4867" width="6.375" style="301" customWidth="1"/>
    <col min="4868" max="4868" width="5.375" style="301" customWidth="1"/>
    <col min="4869" max="4869" width="5.875" style="301" customWidth="1"/>
    <col min="4870" max="4870" width="6.375" style="301" customWidth="1"/>
    <col min="4871" max="4871" width="5.75" style="301" customWidth="1"/>
    <col min="4872" max="4872" width="11.875" style="301" customWidth="1"/>
    <col min="4873" max="4873" width="8.5" style="301" customWidth="1"/>
    <col min="4874" max="4874" width="9" style="301"/>
    <col min="4875" max="4875" width="12.25" style="301" customWidth="1"/>
    <col min="4876" max="4876" width="11.625" style="301" bestFit="1" customWidth="1"/>
    <col min="4877" max="4877" width="11.625" style="301" customWidth="1"/>
    <col min="4878" max="4878" width="7.875" style="301" customWidth="1"/>
    <col min="4879" max="4881" width="7.75" style="301" customWidth="1"/>
    <col min="4882" max="4882" width="14.125" style="301" customWidth="1"/>
    <col min="4883" max="5120" width="9" style="301"/>
    <col min="5121" max="5121" width="8.125" style="301" customWidth="1"/>
    <col min="5122" max="5122" width="6.25" style="301" customWidth="1"/>
    <col min="5123" max="5123" width="6.375" style="301" customWidth="1"/>
    <col min="5124" max="5124" width="5.375" style="301" customWidth="1"/>
    <col min="5125" max="5125" width="5.875" style="301" customWidth="1"/>
    <col min="5126" max="5126" width="6.375" style="301" customWidth="1"/>
    <col min="5127" max="5127" width="5.75" style="301" customWidth="1"/>
    <col min="5128" max="5128" width="11.875" style="301" customWidth="1"/>
    <col min="5129" max="5129" width="8.5" style="301" customWidth="1"/>
    <col min="5130" max="5130" width="9" style="301"/>
    <col min="5131" max="5131" width="12.25" style="301" customWidth="1"/>
    <col min="5132" max="5132" width="11.625" style="301" bestFit="1" customWidth="1"/>
    <col min="5133" max="5133" width="11.625" style="301" customWidth="1"/>
    <col min="5134" max="5134" width="7.875" style="301" customWidth="1"/>
    <col min="5135" max="5137" width="7.75" style="301" customWidth="1"/>
    <col min="5138" max="5138" width="14.125" style="301" customWidth="1"/>
    <col min="5139" max="5376" width="9" style="301"/>
    <col min="5377" max="5377" width="8.125" style="301" customWidth="1"/>
    <col min="5378" max="5378" width="6.25" style="301" customWidth="1"/>
    <col min="5379" max="5379" width="6.375" style="301" customWidth="1"/>
    <col min="5380" max="5380" width="5.375" style="301" customWidth="1"/>
    <col min="5381" max="5381" width="5.875" style="301" customWidth="1"/>
    <col min="5382" max="5382" width="6.375" style="301" customWidth="1"/>
    <col min="5383" max="5383" width="5.75" style="301" customWidth="1"/>
    <col min="5384" max="5384" width="11.875" style="301" customWidth="1"/>
    <col min="5385" max="5385" width="8.5" style="301" customWidth="1"/>
    <col min="5386" max="5386" width="9" style="301"/>
    <col min="5387" max="5387" width="12.25" style="301" customWidth="1"/>
    <col min="5388" max="5388" width="11.625" style="301" bestFit="1" customWidth="1"/>
    <col min="5389" max="5389" width="11.625" style="301" customWidth="1"/>
    <col min="5390" max="5390" width="7.875" style="301" customWidth="1"/>
    <col min="5391" max="5393" width="7.75" style="301" customWidth="1"/>
    <col min="5394" max="5394" width="14.125" style="301" customWidth="1"/>
    <col min="5395" max="5632" width="9" style="301"/>
    <col min="5633" max="5633" width="8.125" style="301" customWidth="1"/>
    <col min="5634" max="5634" width="6.25" style="301" customWidth="1"/>
    <col min="5635" max="5635" width="6.375" style="301" customWidth="1"/>
    <col min="5636" max="5636" width="5.375" style="301" customWidth="1"/>
    <col min="5637" max="5637" width="5.875" style="301" customWidth="1"/>
    <col min="5638" max="5638" width="6.375" style="301" customWidth="1"/>
    <col min="5639" max="5639" width="5.75" style="301" customWidth="1"/>
    <col min="5640" max="5640" width="11.875" style="301" customWidth="1"/>
    <col min="5641" max="5641" width="8.5" style="301" customWidth="1"/>
    <col min="5642" max="5642" width="9" style="301"/>
    <col min="5643" max="5643" width="12.25" style="301" customWidth="1"/>
    <col min="5644" max="5644" width="11.625" style="301" bestFit="1" customWidth="1"/>
    <col min="5645" max="5645" width="11.625" style="301" customWidth="1"/>
    <col min="5646" max="5646" width="7.875" style="301" customWidth="1"/>
    <col min="5647" max="5649" width="7.75" style="301" customWidth="1"/>
    <col min="5650" max="5650" width="14.125" style="301" customWidth="1"/>
    <col min="5651" max="5888" width="9" style="301"/>
    <col min="5889" max="5889" width="8.125" style="301" customWidth="1"/>
    <col min="5890" max="5890" width="6.25" style="301" customWidth="1"/>
    <col min="5891" max="5891" width="6.375" style="301" customWidth="1"/>
    <col min="5892" max="5892" width="5.375" style="301" customWidth="1"/>
    <col min="5893" max="5893" width="5.875" style="301" customWidth="1"/>
    <col min="5894" max="5894" width="6.375" style="301" customWidth="1"/>
    <col min="5895" max="5895" width="5.75" style="301" customWidth="1"/>
    <col min="5896" max="5896" width="11.875" style="301" customWidth="1"/>
    <col min="5897" max="5897" width="8.5" style="301" customWidth="1"/>
    <col min="5898" max="5898" width="9" style="301"/>
    <col min="5899" max="5899" width="12.25" style="301" customWidth="1"/>
    <col min="5900" max="5900" width="11.625" style="301" bestFit="1" customWidth="1"/>
    <col min="5901" max="5901" width="11.625" style="301" customWidth="1"/>
    <col min="5902" max="5902" width="7.875" style="301" customWidth="1"/>
    <col min="5903" max="5905" width="7.75" style="301" customWidth="1"/>
    <col min="5906" max="5906" width="14.125" style="301" customWidth="1"/>
    <col min="5907" max="6144" width="9" style="301"/>
    <col min="6145" max="6145" width="8.125" style="301" customWidth="1"/>
    <col min="6146" max="6146" width="6.25" style="301" customWidth="1"/>
    <col min="6147" max="6147" width="6.375" style="301" customWidth="1"/>
    <col min="6148" max="6148" width="5.375" style="301" customWidth="1"/>
    <col min="6149" max="6149" width="5.875" style="301" customWidth="1"/>
    <col min="6150" max="6150" width="6.375" style="301" customWidth="1"/>
    <col min="6151" max="6151" width="5.75" style="301" customWidth="1"/>
    <col min="6152" max="6152" width="11.875" style="301" customWidth="1"/>
    <col min="6153" max="6153" width="8.5" style="301" customWidth="1"/>
    <col min="6154" max="6154" width="9" style="301"/>
    <col min="6155" max="6155" width="12.25" style="301" customWidth="1"/>
    <col min="6156" max="6156" width="11.625" style="301" bestFit="1" customWidth="1"/>
    <col min="6157" max="6157" width="11.625" style="301" customWidth="1"/>
    <col min="6158" max="6158" width="7.875" style="301" customWidth="1"/>
    <col min="6159" max="6161" width="7.75" style="301" customWidth="1"/>
    <col min="6162" max="6162" width="14.125" style="301" customWidth="1"/>
    <col min="6163" max="6400" width="9" style="301"/>
    <col min="6401" max="6401" width="8.125" style="301" customWidth="1"/>
    <col min="6402" max="6402" width="6.25" style="301" customWidth="1"/>
    <col min="6403" max="6403" width="6.375" style="301" customWidth="1"/>
    <col min="6404" max="6404" width="5.375" style="301" customWidth="1"/>
    <col min="6405" max="6405" width="5.875" style="301" customWidth="1"/>
    <col min="6406" max="6406" width="6.375" style="301" customWidth="1"/>
    <col min="6407" max="6407" width="5.75" style="301" customWidth="1"/>
    <col min="6408" max="6408" width="11.875" style="301" customWidth="1"/>
    <col min="6409" max="6409" width="8.5" style="301" customWidth="1"/>
    <col min="6410" max="6410" width="9" style="301"/>
    <col min="6411" max="6411" width="12.25" style="301" customWidth="1"/>
    <col min="6412" max="6412" width="11.625" style="301" bestFit="1" customWidth="1"/>
    <col min="6413" max="6413" width="11.625" style="301" customWidth="1"/>
    <col min="6414" max="6414" width="7.875" style="301" customWidth="1"/>
    <col min="6415" max="6417" width="7.75" style="301" customWidth="1"/>
    <col min="6418" max="6418" width="14.125" style="301" customWidth="1"/>
    <col min="6419" max="6656" width="9" style="301"/>
    <col min="6657" max="6657" width="8.125" style="301" customWidth="1"/>
    <col min="6658" max="6658" width="6.25" style="301" customWidth="1"/>
    <col min="6659" max="6659" width="6.375" style="301" customWidth="1"/>
    <col min="6660" max="6660" width="5.375" style="301" customWidth="1"/>
    <col min="6661" max="6661" width="5.875" style="301" customWidth="1"/>
    <col min="6662" max="6662" width="6.375" style="301" customWidth="1"/>
    <col min="6663" max="6663" width="5.75" style="301" customWidth="1"/>
    <col min="6664" max="6664" width="11.875" style="301" customWidth="1"/>
    <col min="6665" max="6665" width="8.5" style="301" customWidth="1"/>
    <col min="6666" max="6666" width="9" style="301"/>
    <col min="6667" max="6667" width="12.25" style="301" customWidth="1"/>
    <col min="6668" max="6668" width="11.625" style="301" bestFit="1" customWidth="1"/>
    <col min="6669" max="6669" width="11.625" style="301" customWidth="1"/>
    <col min="6670" max="6670" width="7.875" style="301" customWidth="1"/>
    <col min="6671" max="6673" width="7.75" style="301" customWidth="1"/>
    <col min="6674" max="6674" width="14.125" style="301" customWidth="1"/>
    <col min="6675" max="6912" width="9" style="301"/>
    <col min="6913" max="6913" width="8.125" style="301" customWidth="1"/>
    <col min="6914" max="6914" width="6.25" style="301" customWidth="1"/>
    <col min="6915" max="6915" width="6.375" style="301" customWidth="1"/>
    <col min="6916" max="6916" width="5.375" style="301" customWidth="1"/>
    <col min="6917" max="6917" width="5.875" style="301" customWidth="1"/>
    <col min="6918" max="6918" width="6.375" style="301" customWidth="1"/>
    <col min="6919" max="6919" width="5.75" style="301" customWidth="1"/>
    <col min="6920" max="6920" width="11.875" style="301" customWidth="1"/>
    <col min="6921" max="6921" width="8.5" style="301" customWidth="1"/>
    <col min="6922" max="6922" width="9" style="301"/>
    <col min="6923" max="6923" width="12.25" style="301" customWidth="1"/>
    <col min="6924" max="6924" width="11.625" style="301" bestFit="1" customWidth="1"/>
    <col min="6925" max="6925" width="11.625" style="301" customWidth="1"/>
    <col min="6926" max="6926" width="7.875" style="301" customWidth="1"/>
    <col min="6927" max="6929" width="7.75" style="301" customWidth="1"/>
    <col min="6930" max="6930" width="14.125" style="301" customWidth="1"/>
    <col min="6931" max="7168" width="9" style="301"/>
    <col min="7169" max="7169" width="8.125" style="301" customWidth="1"/>
    <col min="7170" max="7170" width="6.25" style="301" customWidth="1"/>
    <col min="7171" max="7171" width="6.375" style="301" customWidth="1"/>
    <col min="7172" max="7172" width="5.375" style="301" customWidth="1"/>
    <col min="7173" max="7173" width="5.875" style="301" customWidth="1"/>
    <col min="7174" max="7174" width="6.375" style="301" customWidth="1"/>
    <col min="7175" max="7175" width="5.75" style="301" customWidth="1"/>
    <col min="7176" max="7176" width="11.875" style="301" customWidth="1"/>
    <col min="7177" max="7177" width="8.5" style="301" customWidth="1"/>
    <col min="7178" max="7178" width="9" style="301"/>
    <col min="7179" max="7179" width="12.25" style="301" customWidth="1"/>
    <col min="7180" max="7180" width="11.625" style="301" bestFit="1" customWidth="1"/>
    <col min="7181" max="7181" width="11.625" style="301" customWidth="1"/>
    <col min="7182" max="7182" width="7.875" style="301" customWidth="1"/>
    <col min="7183" max="7185" width="7.75" style="301" customWidth="1"/>
    <col min="7186" max="7186" width="14.125" style="301" customWidth="1"/>
    <col min="7187" max="7424" width="9" style="301"/>
    <col min="7425" max="7425" width="8.125" style="301" customWidth="1"/>
    <col min="7426" max="7426" width="6.25" style="301" customWidth="1"/>
    <col min="7427" max="7427" width="6.375" style="301" customWidth="1"/>
    <col min="7428" max="7428" width="5.375" style="301" customWidth="1"/>
    <col min="7429" max="7429" width="5.875" style="301" customWidth="1"/>
    <col min="7430" max="7430" width="6.375" style="301" customWidth="1"/>
    <col min="7431" max="7431" width="5.75" style="301" customWidth="1"/>
    <col min="7432" max="7432" width="11.875" style="301" customWidth="1"/>
    <col min="7433" max="7433" width="8.5" style="301" customWidth="1"/>
    <col min="7434" max="7434" width="9" style="301"/>
    <col min="7435" max="7435" width="12.25" style="301" customWidth="1"/>
    <col min="7436" max="7436" width="11.625" style="301" bestFit="1" customWidth="1"/>
    <col min="7437" max="7437" width="11.625" style="301" customWidth="1"/>
    <col min="7438" max="7438" width="7.875" style="301" customWidth="1"/>
    <col min="7439" max="7441" width="7.75" style="301" customWidth="1"/>
    <col min="7442" max="7442" width="14.125" style="301" customWidth="1"/>
    <col min="7443" max="7680" width="9" style="301"/>
    <col min="7681" max="7681" width="8.125" style="301" customWidth="1"/>
    <col min="7682" max="7682" width="6.25" style="301" customWidth="1"/>
    <col min="7683" max="7683" width="6.375" style="301" customWidth="1"/>
    <col min="7684" max="7684" width="5.375" style="301" customWidth="1"/>
    <col min="7685" max="7685" width="5.875" style="301" customWidth="1"/>
    <col min="7686" max="7686" width="6.375" style="301" customWidth="1"/>
    <col min="7687" max="7687" width="5.75" style="301" customWidth="1"/>
    <col min="7688" max="7688" width="11.875" style="301" customWidth="1"/>
    <col min="7689" max="7689" width="8.5" style="301" customWidth="1"/>
    <col min="7690" max="7690" width="9" style="301"/>
    <col min="7691" max="7691" width="12.25" style="301" customWidth="1"/>
    <col min="7692" max="7692" width="11.625" style="301" bestFit="1" customWidth="1"/>
    <col min="7693" max="7693" width="11.625" style="301" customWidth="1"/>
    <col min="7694" max="7694" width="7.875" style="301" customWidth="1"/>
    <col min="7695" max="7697" width="7.75" style="301" customWidth="1"/>
    <col min="7698" max="7698" width="14.125" style="301" customWidth="1"/>
    <col min="7699" max="7936" width="9" style="301"/>
    <col min="7937" max="7937" width="8.125" style="301" customWidth="1"/>
    <col min="7938" max="7938" width="6.25" style="301" customWidth="1"/>
    <col min="7939" max="7939" width="6.375" style="301" customWidth="1"/>
    <col min="7940" max="7940" width="5.375" style="301" customWidth="1"/>
    <col min="7941" max="7941" width="5.875" style="301" customWidth="1"/>
    <col min="7942" max="7942" width="6.375" style="301" customWidth="1"/>
    <col min="7943" max="7943" width="5.75" style="301" customWidth="1"/>
    <col min="7944" max="7944" width="11.875" style="301" customWidth="1"/>
    <col min="7945" max="7945" width="8.5" style="301" customWidth="1"/>
    <col min="7946" max="7946" width="9" style="301"/>
    <col min="7947" max="7947" width="12.25" style="301" customWidth="1"/>
    <col min="7948" max="7948" width="11.625" style="301" bestFit="1" customWidth="1"/>
    <col min="7949" max="7949" width="11.625" style="301" customWidth="1"/>
    <col min="7950" max="7950" width="7.875" style="301" customWidth="1"/>
    <col min="7951" max="7953" width="7.75" style="301" customWidth="1"/>
    <col min="7954" max="7954" width="14.125" style="301" customWidth="1"/>
    <col min="7955" max="8192" width="9" style="301"/>
    <col min="8193" max="8193" width="8.125" style="301" customWidth="1"/>
    <col min="8194" max="8194" width="6.25" style="301" customWidth="1"/>
    <col min="8195" max="8195" width="6.375" style="301" customWidth="1"/>
    <col min="8196" max="8196" width="5.375" style="301" customWidth="1"/>
    <col min="8197" max="8197" width="5.875" style="301" customWidth="1"/>
    <col min="8198" max="8198" width="6.375" style="301" customWidth="1"/>
    <col min="8199" max="8199" width="5.75" style="301" customWidth="1"/>
    <col min="8200" max="8200" width="11.875" style="301" customWidth="1"/>
    <col min="8201" max="8201" width="8.5" style="301" customWidth="1"/>
    <col min="8202" max="8202" width="9" style="301"/>
    <col min="8203" max="8203" width="12.25" style="301" customWidth="1"/>
    <col min="8204" max="8204" width="11.625" style="301" bestFit="1" customWidth="1"/>
    <col min="8205" max="8205" width="11.625" style="301" customWidth="1"/>
    <col min="8206" max="8206" width="7.875" style="301" customWidth="1"/>
    <col min="8207" max="8209" width="7.75" style="301" customWidth="1"/>
    <col min="8210" max="8210" width="14.125" style="301" customWidth="1"/>
    <col min="8211" max="8448" width="9" style="301"/>
    <col min="8449" max="8449" width="8.125" style="301" customWidth="1"/>
    <col min="8450" max="8450" width="6.25" style="301" customWidth="1"/>
    <col min="8451" max="8451" width="6.375" style="301" customWidth="1"/>
    <col min="8452" max="8452" width="5.375" style="301" customWidth="1"/>
    <col min="8453" max="8453" width="5.875" style="301" customWidth="1"/>
    <col min="8454" max="8454" width="6.375" style="301" customWidth="1"/>
    <col min="8455" max="8455" width="5.75" style="301" customWidth="1"/>
    <col min="8456" max="8456" width="11.875" style="301" customWidth="1"/>
    <col min="8457" max="8457" width="8.5" style="301" customWidth="1"/>
    <col min="8458" max="8458" width="9" style="301"/>
    <col min="8459" max="8459" width="12.25" style="301" customWidth="1"/>
    <col min="8460" max="8460" width="11.625" style="301" bestFit="1" customWidth="1"/>
    <col min="8461" max="8461" width="11.625" style="301" customWidth="1"/>
    <col min="8462" max="8462" width="7.875" style="301" customWidth="1"/>
    <col min="8463" max="8465" width="7.75" style="301" customWidth="1"/>
    <col min="8466" max="8466" width="14.125" style="301" customWidth="1"/>
    <col min="8467" max="8704" width="9" style="301"/>
    <col min="8705" max="8705" width="8.125" style="301" customWidth="1"/>
    <col min="8706" max="8706" width="6.25" style="301" customWidth="1"/>
    <col min="8707" max="8707" width="6.375" style="301" customWidth="1"/>
    <col min="8708" max="8708" width="5.375" style="301" customWidth="1"/>
    <col min="8709" max="8709" width="5.875" style="301" customWidth="1"/>
    <col min="8710" max="8710" width="6.375" style="301" customWidth="1"/>
    <col min="8711" max="8711" width="5.75" style="301" customWidth="1"/>
    <col min="8712" max="8712" width="11.875" style="301" customWidth="1"/>
    <col min="8713" max="8713" width="8.5" style="301" customWidth="1"/>
    <col min="8714" max="8714" width="9" style="301"/>
    <col min="8715" max="8715" width="12.25" style="301" customWidth="1"/>
    <col min="8716" max="8716" width="11.625" style="301" bestFit="1" customWidth="1"/>
    <col min="8717" max="8717" width="11.625" style="301" customWidth="1"/>
    <col min="8718" max="8718" width="7.875" style="301" customWidth="1"/>
    <col min="8719" max="8721" width="7.75" style="301" customWidth="1"/>
    <col min="8722" max="8722" width="14.125" style="301" customWidth="1"/>
    <col min="8723" max="8960" width="9" style="301"/>
    <col min="8961" max="8961" width="8.125" style="301" customWidth="1"/>
    <col min="8962" max="8962" width="6.25" style="301" customWidth="1"/>
    <col min="8963" max="8963" width="6.375" style="301" customWidth="1"/>
    <col min="8964" max="8964" width="5.375" style="301" customWidth="1"/>
    <col min="8965" max="8965" width="5.875" style="301" customWidth="1"/>
    <col min="8966" max="8966" width="6.375" style="301" customWidth="1"/>
    <col min="8967" max="8967" width="5.75" style="301" customWidth="1"/>
    <col min="8968" max="8968" width="11.875" style="301" customWidth="1"/>
    <col min="8969" max="8969" width="8.5" style="301" customWidth="1"/>
    <col min="8970" max="8970" width="9" style="301"/>
    <col min="8971" max="8971" width="12.25" style="301" customWidth="1"/>
    <col min="8972" max="8972" width="11.625" style="301" bestFit="1" customWidth="1"/>
    <col min="8973" max="8973" width="11.625" style="301" customWidth="1"/>
    <col min="8974" max="8974" width="7.875" style="301" customWidth="1"/>
    <col min="8975" max="8977" width="7.75" style="301" customWidth="1"/>
    <col min="8978" max="8978" width="14.125" style="301" customWidth="1"/>
    <col min="8979" max="9216" width="9" style="301"/>
    <col min="9217" max="9217" width="8.125" style="301" customWidth="1"/>
    <col min="9218" max="9218" width="6.25" style="301" customWidth="1"/>
    <col min="9219" max="9219" width="6.375" style="301" customWidth="1"/>
    <col min="9220" max="9220" width="5.375" style="301" customWidth="1"/>
    <col min="9221" max="9221" width="5.875" style="301" customWidth="1"/>
    <col min="9222" max="9222" width="6.375" style="301" customWidth="1"/>
    <col min="9223" max="9223" width="5.75" style="301" customWidth="1"/>
    <col min="9224" max="9224" width="11.875" style="301" customWidth="1"/>
    <col min="9225" max="9225" width="8.5" style="301" customWidth="1"/>
    <col min="9226" max="9226" width="9" style="301"/>
    <col min="9227" max="9227" width="12.25" style="301" customWidth="1"/>
    <col min="9228" max="9228" width="11.625" style="301" bestFit="1" customWidth="1"/>
    <col min="9229" max="9229" width="11.625" style="301" customWidth="1"/>
    <col min="9230" max="9230" width="7.875" style="301" customWidth="1"/>
    <col min="9231" max="9233" width="7.75" style="301" customWidth="1"/>
    <col min="9234" max="9234" width="14.125" style="301" customWidth="1"/>
    <col min="9235" max="9472" width="9" style="301"/>
    <col min="9473" max="9473" width="8.125" style="301" customWidth="1"/>
    <col min="9474" max="9474" width="6.25" style="301" customWidth="1"/>
    <col min="9475" max="9475" width="6.375" style="301" customWidth="1"/>
    <col min="9476" max="9476" width="5.375" style="301" customWidth="1"/>
    <col min="9477" max="9477" width="5.875" style="301" customWidth="1"/>
    <col min="9478" max="9478" width="6.375" style="301" customWidth="1"/>
    <col min="9479" max="9479" width="5.75" style="301" customWidth="1"/>
    <col min="9480" max="9480" width="11.875" style="301" customWidth="1"/>
    <col min="9481" max="9481" width="8.5" style="301" customWidth="1"/>
    <col min="9482" max="9482" width="9" style="301"/>
    <col min="9483" max="9483" width="12.25" style="301" customWidth="1"/>
    <col min="9484" max="9484" width="11.625" style="301" bestFit="1" customWidth="1"/>
    <col min="9485" max="9485" width="11.625" style="301" customWidth="1"/>
    <col min="9486" max="9486" width="7.875" style="301" customWidth="1"/>
    <col min="9487" max="9489" width="7.75" style="301" customWidth="1"/>
    <col min="9490" max="9490" width="14.125" style="301" customWidth="1"/>
    <col min="9491" max="9728" width="9" style="301"/>
    <col min="9729" max="9729" width="8.125" style="301" customWidth="1"/>
    <col min="9730" max="9730" width="6.25" style="301" customWidth="1"/>
    <col min="9731" max="9731" width="6.375" style="301" customWidth="1"/>
    <col min="9732" max="9732" width="5.375" style="301" customWidth="1"/>
    <col min="9733" max="9733" width="5.875" style="301" customWidth="1"/>
    <col min="9734" max="9734" width="6.375" style="301" customWidth="1"/>
    <col min="9735" max="9735" width="5.75" style="301" customWidth="1"/>
    <col min="9736" max="9736" width="11.875" style="301" customWidth="1"/>
    <col min="9737" max="9737" width="8.5" style="301" customWidth="1"/>
    <col min="9738" max="9738" width="9" style="301"/>
    <col min="9739" max="9739" width="12.25" style="301" customWidth="1"/>
    <col min="9740" max="9740" width="11.625" style="301" bestFit="1" customWidth="1"/>
    <col min="9741" max="9741" width="11.625" style="301" customWidth="1"/>
    <col min="9742" max="9742" width="7.875" style="301" customWidth="1"/>
    <col min="9743" max="9745" width="7.75" style="301" customWidth="1"/>
    <col min="9746" max="9746" width="14.125" style="301" customWidth="1"/>
    <col min="9747" max="9984" width="9" style="301"/>
    <col min="9985" max="9985" width="8.125" style="301" customWidth="1"/>
    <col min="9986" max="9986" width="6.25" style="301" customWidth="1"/>
    <col min="9987" max="9987" width="6.375" style="301" customWidth="1"/>
    <col min="9988" max="9988" width="5.375" style="301" customWidth="1"/>
    <col min="9989" max="9989" width="5.875" style="301" customWidth="1"/>
    <col min="9990" max="9990" width="6.375" style="301" customWidth="1"/>
    <col min="9991" max="9991" width="5.75" style="301" customWidth="1"/>
    <col min="9992" max="9992" width="11.875" style="301" customWidth="1"/>
    <col min="9993" max="9993" width="8.5" style="301" customWidth="1"/>
    <col min="9994" max="9994" width="9" style="301"/>
    <col min="9995" max="9995" width="12.25" style="301" customWidth="1"/>
    <col min="9996" max="9996" width="11.625" style="301" bestFit="1" customWidth="1"/>
    <col min="9997" max="9997" width="11.625" style="301" customWidth="1"/>
    <col min="9998" max="9998" width="7.875" style="301" customWidth="1"/>
    <col min="9999" max="10001" width="7.75" style="301" customWidth="1"/>
    <col min="10002" max="10002" width="14.125" style="301" customWidth="1"/>
    <col min="10003" max="10240" width="9" style="301"/>
    <col min="10241" max="10241" width="8.125" style="301" customWidth="1"/>
    <col min="10242" max="10242" width="6.25" style="301" customWidth="1"/>
    <col min="10243" max="10243" width="6.375" style="301" customWidth="1"/>
    <col min="10244" max="10244" width="5.375" style="301" customWidth="1"/>
    <col min="10245" max="10245" width="5.875" style="301" customWidth="1"/>
    <col min="10246" max="10246" width="6.375" style="301" customWidth="1"/>
    <col min="10247" max="10247" width="5.75" style="301" customWidth="1"/>
    <col min="10248" max="10248" width="11.875" style="301" customWidth="1"/>
    <col min="10249" max="10249" width="8.5" style="301" customWidth="1"/>
    <col min="10250" max="10250" width="9" style="301"/>
    <col min="10251" max="10251" width="12.25" style="301" customWidth="1"/>
    <col min="10252" max="10252" width="11.625" style="301" bestFit="1" customWidth="1"/>
    <col min="10253" max="10253" width="11.625" style="301" customWidth="1"/>
    <col min="10254" max="10254" width="7.875" style="301" customWidth="1"/>
    <col min="10255" max="10257" width="7.75" style="301" customWidth="1"/>
    <col min="10258" max="10258" width="14.125" style="301" customWidth="1"/>
    <col min="10259" max="10496" width="9" style="301"/>
    <col min="10497" max="10497" width="8.125" style="301" customWidth="1"/>
    <col min="10498" max="10498" width="6.25" style="301" customWidth="1"/>
    <col min="10499" max="10499" width="6.375" style="301" customWidth="1"/>
    <col min="10500" max="10500" width="5.375" style="301" customWidth="1"/>
    <col min="10501" max="10501" width="5.875" style="301" customWidth="1"/>
    <col min="10502" max="10502" width="6.375" style="301" customWidth="1"/>
    <col min="10503" max="10503" width="5.75" style="301" customWidth="1"/>
    <col min="10504" max="10504" width="11.875" style="301" customWidth="1"/>
    <col min="10505" max="10505" width="8.5" style="301" customWidth="1"/>
    <col min="10506" max="10506" width="9" style="301"/>
    <col min="10507" max="10507" width="12.25" style="301" customWidth="1"/>
    <col min="10508" max="10508" width="11.625" style="301" bestFit="1" customWidth="1"/>
    <col min="10509" max="10509" width="11.625" style="301" customWidth="1"/>
    <col min="10510" max="10510" width="7.875" style="301" customWidth="1"/>
    <col min="10511" max="10513" width="7.75" style="301" customWidth="1"/>
    <col min="10514" max="10514" width="14.125" style="301" customWidth="1"/>
    <col min="10515" max="10752" width="9" style="301"/>
    <col min="10753" max="10753" width="8.125" style="301" customWidth="1"/>
    <col min="10754" max="10754" width="6.25" style="301" customWidth="1"/>
    <col min="10755" max="10755" width="6.375" style="301" customWidth="1"/>
    <col min="10756" max="10756" width="5.375" style="301" customWidth="1"/>
    <col min="10757" max="10757" width="5.875" style="301" customWidth="1"/>
    <col min="10758" max="10758" width="6.375" style="301" customWidth="1"/>
    <col min="10759" max="10759" width="5.75" style="301" customWidth="1"/>
    <col min="10760" max="10760" width="11.875" style="301" customWidth="1"/>
    <col min="10761" max="10761" width="8.5" style="301" customWidth="1"/>
    <col min="10762" max="10762" width="9" style="301"/>
    <col min="10763" max="10763" width="12.25" style="301" customWidth="1"/>
    <col min="10764" max="10764" width="11.625" style="301" bestFit="1" customWidth="1"/>
    <col min="10765" max="10765" width="11.625" style="301" customWidth="1"/>
    <col min="10766" max="10766" width="7.875" style="301" customWidth="1"/>
    <col min="10767" max="10769" width="7.75" style="301" customWidth="1"/>
    <col min="10770" max="10770" width="14.125" style="301" customWidth="1"/>
    <col min="10771" max="11008" width="9" style="301"/>
    <col min="11009" max="11009" width="8.125" style="301" customWidth="1"/>
    <col min="11010" max="11010" width="6.25" style="301" customWidth="1"/>
    <col min="11011" max="11011" width="6.375" style="301" customWidth="1"/>
    <col min="11012" max="11012" width="5.375" style="301" customWidth="1"/>
    <col min="11013" max="11013" width="5.875" style="301" customWidth="1"/>
    <col min="11014" max="11014" width="6.375" style="301" customWidth="1"/>
    <col min="11015" max="11015" width="5.75" style="301" customWidth="1"/>
    <col min="11016" max="11016" width="11.875" style="301" customWidth="1"/>
    <col min="11017" max="11017" width="8.5" style="301" customWidth="1"/>
    <col min="11018" max="11018" width="9" style="301"/>
    <col min="11019" max="11019" width="12.25" style="301" customWidth="1"/>
    <col min="11020" max="11020" width="11.625" style="301" bestFit="1" customWidth="1"/>
    <col min="11021" max="11021" width="11.625" style="301" customWidth="1"/>
    <col min="11022" max="11022" width="7.875" style="301" customWidth="1"/>
    <col min="11023" max="11025" width="7.75" style="301" customWidth="1"/>
    <col min="11026" max="11026" width="14.125" style="301" customWidth="1"/>
    <col min="11027" max="11264" width="9" style="301"/>
    <col min="11265" max="11265" width="8.125" style="301" customWidth="1"/>
    <col min="11266" max="11266" width="6.25" style="301" customWidth="1"/>
    <col min="11267" max="11267" width="6.375" style="301" customWidth="1"/>
    <col min="11268" max="11268" width="5.375" style="301" customWidth="1"/>
    <col min="11269" max="11269" width="5.875" style="301" customWidth="1"/>
    <col min="11270" max="11270" width="6.375" style="301" customWidth="1"/>
    <col min="11271" max="11271" width="5.75" style="301" customWidth="1"/>
    <col min="11272" max="11272" width="11.875" style="301" customWidth="1"/>
    <col min="11273" max="11273" width="8.5" style="301" customWidth="1"/>
    <col min="11274" max="11274" width="9" style="301"/>
    <col min="11275" max="11275" width="12.25" style="301" customWidth="1"/>
    <col min="11276" max="11276" width="11.625" style="301" bestFit="1" customWidth="1"/>
    <col min="11277" max="11277" width="11.625" style="301" customWidth="1"/>
    <col min="11278" max="11278" width="7.875" style="301" customWidth="1"/>
    <col min="11279" max="11281" width="7.75" style="301" customWidth="1"/>
    <col min="11282" max="11282" width="14.125" style="301" customWidth="1"/>
    <col min="11283" max="11520" width="9" style="301"/>
    <col min="11521" max="11521" width="8.125" style="301" customWidth="1"/>
    <col min="11522" max="11522" width="6.25" style="301" customWidth="1"/>
    <col min="11523" max="11523" width="6.375" style="301" customWidth="1"/>
    <col min="11524" max="11524" width="5.375" style="301" customWidth="1"/>
    <col min="11525" max="11525" width="5.875" style="301" customWidth="1"/>
    <col min="11526" max="11526" width="6.375" style="301" customWidth="1"/>
    <col min="11527" max="11527" width="5.75" style="301" customWidth="1"/>
    <col min="11528" max="11528" width="11.875" style="301" customWidth="1"/>
    <col min="11529" max="11529" width="8.5" style="301" customWidth="1"/>
    <col min="11530" max="11530" width="9" style="301"/>
    <col min="11531" max="11531" width="12.25" style="301" customWidth="1"/>
    <col min="11532" max="11532" width="11.625" style="301" bestFit="1" customWidth="1"/>
    <col min="11533" max="11533" width="11.625" style="301" customWidth="1"/>
    <col min="11534" max="11534" width="7.875" style="301" customWidth="1"/>
    <col min="11535" max="11537" width="7.75" style="301" customWidth="1"/>
    <col min="11538" max="11538" width="14.125" style="301" customWidth="1"/>
    <col min="11539" max="11776" width="9" style="301"/>
    <col min="11777" max="11777" width="8.125" style="301" customWidth="1"/>
    <col min="11778" max="11778" width="6.25" style="301" customWidth="1"/>
    <col min="11779" max="11779" width="6.375" style="301" customWidth="1"/>
    <col min="11780" max="11780" width="5.375" style="301" customWidth="1"/>
    <col min="11781" max="11781" width="5.875" style="301" customWidth="1"/>
    <col min="11782" max="11782" width="6.375" style="301" customWidth="1"/>
    <col min="11783" max="11783" width="5.75" style="301" customWidth="1"/>
    <col min="11784" max="11784" width="11.875" style="301" customWidth="1"/>
    <col min="11785" max="11785" width="8.5" style="301" customWidth="1"/>
    <col min="11786" max="11786" width="9" style="301"/>
    <col min="11787" max="11787" width="12.25" style="301" customWidth="1"/>
    <col min="11788" max="11788" width="11.625" style="301" bestFit="1" customWidth="1"/>
    <col min="11789" max="11789" width="11.625" style="301" customWidth="1"/>
    <col min="11790" max="11790" width="7.875" style="301" customWidth="1"/>
    <col min="11791" max="11793" width="7.75" style="301" customWidth="1"/>
    <col min="11794" max="11794" width="14.125" style="301" customWidth="1"/>
    <col min="11795" max="12032" width="9" style="301"/>
    <col min="12033" max="12033" width="8.125" style="301" customWidth="1"/>
    <col min="12034" max="12034" width="6.25" style="301" customWidth="1"/>
    <col min="12035" max="12035" width="6.375" style="301" customWidth="1"/>
    <col min="12036" max="12036" width="5.375" style="301" customWidth="1"/>
    <col min="12037" max="12037" width="5.875" style="301" customWidth="1"/>
    <col min="12038" max="12038" width="6.375" style="301" customWidth="1"/>
    <col min="12039" max="12039" width="5.75" style="301" customWidth="1"/>
    <col min="12040" max="12040" width="11.875" style="301" customWidth="1"/>
    <col min="12041" max="12041" width="8.5" style="301" customWidth="1"/>
    <col min="12042" max="12042" width="9" style="301"/>
    <col min="12043" max="12043" width="12.25" style="301" customWidth="1"/>
    <col min="12044" max="12044" width="11.625" style="301" bestFit="1" customWidth="1"/>
    <col min="12045" max="12045" width="11.625" style="301" customWidth="1"/>
    <col min="12046" max="12046" width="7.875" style="301" customWidth="1"/>
    <col min="12047" max="12049" width="7.75" style="301" customWidth="1"/>
    <col min="12050" max="12050" width="14.125" style="301" customWidth="1"/>
    <col min="12051" max="12288" width="9" style="301"/>
    <col min="12289" max="12289" width="8.125" style="301" customWidth="1"/>
    <col min="12290" max="12290" width="6.25" style="301" customWidth="1"/>
    <col min="12291" max="12291" width="6.375" style="301" customWidth="1"/>
    <col min="12292" max="12292" width="5.375" style="301" customWidth="1"/>
    <col min="12293" max="12293" width="5.875" style="301" customWidth="1"/>
    <col min="12294" max="12294" width="6.375" style="301" customWidth="1"/>
    <col min="12295" max="12295" width="5.75" style="301" customWidth="1"/>
    <col min="12296" max="12296" width="11.875" style="301" customWidth="1"/>
    <col min="12297" max="12297" width="8.5" style="301" customWidth="1"/>
    <col min="12298" max="12298" width="9" style="301"/>
    <col min="12299" max="12299" width="12.25" style="301" customWidth="1"/>
    <col min="12300" max="12300" width="11.625" style="301" bestFit="1" customWidth="1"/>
    <col min="12301" max="12301" width="11.625" style="301" customWidth="1"/>
    <col min="12302" max="12302" width="7.875" style="301" customWidth="1"/>
    <col min="12303" max="12305" width="7.75" style="301" customWidth="1"/>
    <col min="12306" max="12306" width="14.125" style="301" customWidth="1"/>
    <col min="12307" max="12544" width="9" style="301"/>
    <col min="12545" max="12545" width="8.125" style="301" customWidth="1"/>
    <col min="12546" max="12546" width="6.25" style="301" customWidth="1"/>
    <col min="12547" max="12547" width="6.375" style="301" customWidth="1"/>
    <col min="12548" max="12548" width="5.375" style="301" customWidth="1"/>
    <col min="12549" max="12549" width="5.875" style="301" customWidth="1"/>
    <col min="12550" max="12550" width="6.375" style="301" customWidth="1"/>
    <col min="12551" max="12551" width="5.75" style="301" customWidth="1"/>
    <col min="12552" max="12552" width="11.875" style="301" customWidth="1"/>
    <col min="12553" max="12553" width="8.5" style="301" customWidth="1"/>
    <col min="12554" max="12554" width="9" style="301"/>
    <col min="12555" max="12555" width="12.25" style="301" customWidth="1"/>
    <col min="12556" max="12556" width="11.625" style="301" bestFit="1" customWidth="1"/>
    <col min="12557" max="12557" width="11.625" style="301" customWidth="1"/>
    <col min="12558" max="12558" width="7.875" style="301" customWidth="1"/>
    <col min="12559" max="12561" width="7.75" style="301" customWidth="1"/>
    <col min="12562" max="12562" width="14.125" style="301" customWidth="1"/>
    <col min="12563" max="12800" width="9" style="301"/>
    <col min="12801" max="12801" width="8.125" style="301" customWidth="1"/>
    <col min="12802" max="12802" width="6.25" style="301" customWidth="1"/>
    <col min="12803" max="12803" width="6.375" style="301" customWidth="1"/>
    <col min="12804" max="12804" width="5.375" style="301" customWidth="1"/>
    <col min="12805" max="12805" width="5.875" style="301" customWidth="1"/>
    <col min="12806" max="12806" width="6.375" style="301" customWidth="1"/>
    <col min="12807" max="12807" width="5.75" style="301" customWidth="1"/>
    <col min="12808" max="12808" width="11.875" style="301" customWidth="1"/>
    <col min="12809" max="12809" width="8.5" style="301" customWidth="1"/>
    <col min="12810" max="12810" width="9" style="301"/>
    <col min="12811" max="12811" width="12.25" style="301" customWidth="1"/>
    <col min="12812" max="12812" width="11.625" style="301" bestFit="1" customWidth="1"/>
    <col min="12813" max="12813" width="11.625" style="301" customWidth="1"/>
    <col min="12814" max="12814" width="7.875" style="301" customWidth="1"/>
    <col min="12815" max="12817" width="7.75" style="301" customWidth="1"/>
    <col min="12818" max="12818" width="14.125" style="301" customWidth="1"/>
    <col min="12819" max="13056" width="9" style="301"/>
    <col min="13057" max="13057" width="8.125" style="301" customWidth="1"/>
    <col min="13058" max="13058" width="6.25" style="301" customWidth="1"/>
    <col min="13059" max="13059" width="6.375" style="301" customWidth="1"/>
    <col min="13060" max="13060" width="5.375" style="301" customWidth="1"/>
    <col min="13061" max="13061" width="5.875" style="301" customWidth="1"/>
    <col min="13062" max="13062" width="6.375" style="301" customWidth="1"/>
    <col min="13063" max="13063" width="5.75" style="301" customWidth="1"/>
    <col min="13064" max="13064" width="11.875" style="301" customWidth="1"/>
    <col min="13065" max="13065" width="8.5" style="301" customWidth="1"/>
    <col min="13066" max="13066" width="9" style="301"/>
    <col min="13067" max="13067" width="12.25" style="301" customWidth="1"/>
    <col min="13068" max="13068" width="11.625" style="301" bestFit="1" customWidth="1"/>
    <col min="13069" max="13069" width="11.625" style="301" customWidth="1"/>
    <col min="13070" max="13070" width="7.875" style="301" customWidth="1"/>
    <col min="13071" max="13073" width="7.75" style="301" customWidth="1"/>
    <col min="13074" max="13074" width="14.125" style="301" customWidth="1"/>
    <col min="13075" max="13312" width="9" style="301"/>
    <col min="13313" max="13313" width="8.125" style="301" customWidth="1"/>
    <col min="13314" max="13314" width="6.25" style="301" customWidth="1"/>
    <col min="13315" max="13315" width="6.375" style="301" customWidth="1"/>
    <col min="13316" max="13316" width="5.375" style="301" customWidth="1"/>
    <col min="13317" max="13317" width="5.875" style="301" customWidth="1"/>
    <col min="13318" max="13318" width="6.375" style="301" customWidth="1"/>
    <col min="13319" max="13319" width="5.75" style="301" customWidth="1"/>
    <col min="13320" max="13320" width="11.875" style="301" customWidth="1"/>
    <col min="13321" max="13321" width="8.5" style="301" customWidth="1"/>
    <col min="13322" max="13322" width="9" style="301"/>
    <col min="13323" max="13323" width="12.25" style="301" customWidth="1"/>
    <col min="13324" max="13324" width="11.625" style="301" bestFit="1" customWidth="1"/>
    <col min="13325" max="13325" width="11.625" style="301" customWidth="1"/>
    <col min="13326" max="13326" width="7.875" style="301" customWidth="1"/>
    <col min="13327" max="13329" width="7.75" style="301" customWidth="1"/>
    <col min="13330" max="13330" width="14.125" style="301" customWidth="1"/>
    <col min="13331" max="13568" width="9" style="301"/>
    <col min="13569" max="13569" width="8.125" style="301" customWidth="1"/>
    <col min="13570" max="13570" width="6.25" style="301" customWidth="1"/>
    <col min="13571" max="13571" width="6.375" style="301" customWidth="1"/>
    <col min="13572" max="13572" width="5.375" style="301" customWidth="1"/>
    <col min="13573" max="13573" width="5.875" style="301" customWidth="1"/>
    <col min="13574" max="13574" width="6.375" style="301" customWidth="1"/>
    <col min="13575" max="13575" width="5.75" style="301" customWidth="1"/>
    <col min="13576" max="13576" width="11.875" style="301" customWidth="1"/>
    <col min="13577" max="13577" width="8.5" style="301" customWidth="1"/>
    <col min="13578" max="13578" width="9" style="301"/>
    <col min="13579" max="13579" width="12.25" style="301" customWidth="1"/>
    <col min="13580" max="13580" width="11.625" style="301" bestFit="1" customWidth="1"/>
    <col min="13581" max="13581" width="11.625" style="301" customWidth="1"/>
    <col min="13582" max="13582" width="7.875" style="301" customWidth="1"/>
    <col min="13583" max="13585" width="7.75" style="301" customWidth="1"/>
    <col min="13586" max="13586" width="14.125" style="301" customWidth="1"/>
    <col min="13587" max="13824" width="9" style="301"/>
    <col min="13825" max="13825" width="8.125" style="301" customWidth="1"/>
    <col min="13826" max="13826" width="6.25" style="301" customWidth="1"/>
    <col min="13827" max="13827" width="6.375" style="301" customWidth="1"/>
    <col min="13828" max="13828" width="5.375" style="301" customWidth="1"/>
    <col min="13829" max="13829" width="5.875" style="301" customWidth="1"/>
    <col min="13830" max="13830" width="6.375" style="301" customWidth="1"/>
    <col min="13831" max="13831" width="5.75" style="301" customWidth="1"/>
    <col min="13832" max="13832" width="11.875" style="301" customWidth="1"/>
    <col min="13833" max="13833" width="8.5" style="301" customWidth="1"/>
    <col min="13834" max="13834" width="9" style="301"/>
    <col min="13835" max="13835" width="12.25" style="301" customWidth="1"/>
    <col min="13836" max="13836" width="11.625" style="301" bestFit="1" customWidth="1"/>
    <col min="13837" max="13837" width="11.625" style="301" customWidth="1"/>
    <col min="13838" max="13838" width="7.875" style="301" customWidth="1"/>
    <col min="13839" max="13841" width="7.75" style="301" customWidth="1"/>
    <col min="13842" max="13842" width="14.125" style="301" customWidth="1"/>
    <col min="13843" max="14080" width="9" style="301"/>
    <col min="14081" max="14081" width="8.125" style="301" customWidth="1"/>
    <col min="14082" max="14082" width="6.25" style="301" customWidth="1"/>
    <col min="14083" max="14083" width="6.375" style="301" customWidth="1"/>
    <col min="14084" max="14084" width="5.375" style="301" customWidth="1"/>
    <col min="14085" max="14085" width="5.875" style="301" customWidth="1"/>
    <col min="14086" max="14086" width="6.375" style="301" customWidth="1"/>
    <col min="14087" max="14087" width="5.75" style="301" customWidth="1"/>
    <col min="14088" max="14088" width="11.875" style="301" customWidth="1"/>
    <col min="14089" max="14089" width="8.5" style="301" customWidth="1"/>
    <col min="14090" max="14090" width="9" style="301"/>
    <col min="14091" max="14091" width="12.25" style="301" customWidth="1"/>
    <col min="14092" max="14092" width="11.625" style="301" bestFit="1" customWidth="1"/>
    <col min="14093" max="14093" width="11.625" style="301" customWidth="1"/>
    <col min="14094" max="14094" width="7.875" style="301" customWidth="1"/>
    <col min="14095" max="14097" width="7.75" style="301" customWidth="1"/>
    <col min="14098" max="14098" width="14.125" style="301" customWidth="1"/>
    <col min="14099" max="14336" width="9" style="301"/>
    <col min="14337" max="14337" width="8.125" style="301" customWidth="1"/>
    <col min="14338" max="14338" width="6.25" style="301" customWidth="1"/>
    <col min="14339" max="14339" width="6.375" style="301" customWidth="1"/>
    <col min="14340" max="14340" width="5.375" style="301" customWidth="1"/>
    <col min="14341" max="14341" width="5.875" style="301" customWidth="1"/>
    <col min="14342" max="14342" width="6.375" style="301" customWidth="1"/>
    <col min="14343" max="14343" width="5.75" style="301" customWidth="1"/>
    <col min="14344" max="14344" width="11.875" style="301" customWidth="1"/>
    <col min="14345" max="14345" width="8.5" style="301" customWidth="1"/>
    <col min="14346" max="14346" width="9" style="301"/>
    <col min="14347" max="14347" width="12.25" style="301" customWidth="1"/>
    <col min="14348" max="14348" width="11.625" style="301" bestFit="1" customWidth="1"/>
    <col min="14349" max="14349" width="11.625" style="301" customWidth="1"/>
    <col min="14350" max="14350" width="7.875" style="301" customWidth="1"/>
    <col min="14351" max="14353" width="7.75" style="301" customWidth="1"/>
    <col min="14354" max="14354" width="14.125" style="301" customWidth="1"/>
    <col min="14355" max="14592" width="9" style="301"/>
    <col min="14593" max="14593" width="8.125" style="301" customWidth="1"/>
    <col min="14594" max="14594" width="6.25" style="301" customWidth="1"/>
    <col min="14595" max="14595" width="6.375" style="301" customWidth="1"/>
    <col min="14596" max="14596" width="5.375" style="301" customWidth="1"/>
    <col min="14597" max="14597" width="5.875" style="301" customWidth="1"/>
    <col min="14598" max="14598" width="6.375" style="301" customWidth="1"/>
    <col min="14599" max="14599" width="5.75" style="301" customWidth="1"/>
    <col min="14600" max="14600" width="11.875" style="301" customWidth="1"/>
    <col min="14601" max="14601" width="8.5" style="301" customWidth="1"/>
    <col min="14602" max="14602" width="9" style="301"/>
    <col min="14603" max="14603" width="12.25" style="301" customWidth="1"/>
    <col min="14604" max="14604" width="11.625" style="301" bestFit="1" customWidth="1"/>
    <col min="14605" max="14605" width="11.625" style="301" customWidth="1"/>
    <col min="14606" max="14606" width="7.875" style="301" customWidth="1"/>
    <col min="14607" max="14609" width="7.75" style="301" customWidth="1"/>
    <col min="14610" max="14610" width="14.125" style="301" customWidth="1"/>
    <col min="14611" max="14848" width="9" style="301"/>
    <col min="14849" max="14849" width="8.125" style="301" customWidth="1"/>
    <col min="14850" max="14850" width="6.25" style="301" customWidth="1"/>
    <col min="14851" max="14851" width="6.375" style="301" customWidth="1"/>
    <col min="14852" max="14852" width="5.375" style="301" customWidth="1"/>
    <col min="14853" max="14853" width="5.875" style="301" customWidth="1"/>
    <col min="14854" max="14854" width="6.375" style="301" customWidth="1"/>
    <col min="14855" max="14855" width="5.75" style="301" customWidth="1"/>
    <col min="14856" max="14856" width="11.875" style="301" customWidth="1"/>
    <col min="14857" max="14857" width="8.5" style="301" customWidth="1"/>
    <col min="14858" max="14858" width="9" style="301"/>
    <col min="14859" max="14859" width="12.25" style="301" customWidth="1"/>
    <col min="14860" max="14860" width="11.625" style="301" bestFit="1" customWidth="1"/>
    <col min="14861" max="14861" width="11.625" style="301" customWidth="1"/>
    <col min="14862" max="14862" width="7.875" style="301" customWidth="1"/>
    <col min="14863" max="14865" width="7.75" style="301" customWidth="1"/>
    <col min="14866" max="14866" width="14.125" style="301" customWidth="1"/>
    <col min="14867" max="15104" width="9" style="301"/>
    <col min="15105" max="15105" width="8.125" style="301" customWidth="1"/>
    <col min="15106" max="15106" width="6.25" style="301" customWidth="1"/>
    <col min="15107" max="15107" width="6.375" style="301" customWidth="1"/>
    <col min="15108" max="15108" width="5.375" style="301" customWidth="1"/>
    <col min="15109" max="15109" width="5.875" style="301" customWidth="1"/>
    <col min="15110" max="15110" width="6.375" style="301" customWidth="1"/>
    <col min="15111" max="15111" width="5.75" style="301" customWidth="1"/>
    <col min="15112" max="15112" width="11.875" style="301" customWidth="1"/>
    <col min="15113" max="15113" width="8.5" style="301" customWidth="1"/>
    <col min="15114" max="15114" width="9" style="301"/>
    <col min="15115" max="15115" width="12.25" style="301" customWidth="1"/>
    <col min="15116" max="15116" width="11.625" style="301" bestFit="1" customWidth="1"/>
    <col min="15117" max="15117" width="11.625" style="301" customWidth="1"/>
    <col min="15118" max="15118" width="7.875" style="301" customWidth="1"/>
    <col min="15119" max="15121" width="7.75" style="301" customWidth="1"/>
    <col min="15122" max="15122" width="14.125" style="301" customWidth="1"/>
    <col min="15123" max="15360" width="9" style="301"/>
    <col min="15361" max="15361" width="8.125" style="301" customWidth="1"/>
    <col min="15362" max="15362" width="6.25" style="301" customWidth="1"/>
    <col min="15363" max="15363" width="6.375" style="301" customWidth="1"/>
    <col min="15364" max="15364" width="5.375" style="301" customWidth="1"/>
    <col min="15365" max="15365" width="5.875" style="301" customWidth="1"/>
    <col min="15366" max="15366" width="6.375" style="301" customWidth="1"/>
    <col min="15367" max="15367" width="5.75" style="301" customWidth="1"/>
    <col min="15368" max="15368" width="11.875" style="301" customWidth="1"/>
    <col min="15369" max="15369" width="8.5" style="301" customWidth="1"/>
    <col min="15370" max="15370" width="9" style="301"/>
    <col min="15371" max="15371" width="12.25" style="301" customWidth="1"/>
    <col min="15372" max="15372" width="11.625" style="301" bestFit="1" customWidth="1"/>
    <col min="15373" max="15373" width="11.625" style="301" customWidth="1"/>
    <col min="15374" max="15374" width="7.875" style="301" customWidth="1"/>
    <col min="15375" max="15377" width="7.75" style="301" customWidth="1"/>
    <col min="15378" max="15378" width="14.125" style="301" customWidth="1"/>
    <col min="15379" max="15616" width="9" style="301"/>
    <col min="15617" max="15617" width="8.125" style="301" customWidth="1"/>
    <col min="15618" max="15618" width="6.25" style="301" customWidth="1"/>
    <col min="15619" max="15619" width="6.375" style="301" customWidth="1"/>
    <col min="15620" max="15620" width="5.375" style="301" customWidth="1"/>
    <col min="15621" max="15621" width="5.875" style="301" customWidth="1"/>
    <col min="15622" max="15622" width="6.375" style="301" customWidth="1"/>
    <col min="15623" max="15623" width="5.75" style="301" customWidth="1"/>
    <col min="15624" max="15624" width="11.875" style="301" customWidth="1"/>
    <col min="15625" max="15625" width="8.5" style="301" customWidth="1"/>
    <col min="15626" max="15626" width="9" style="301"/>
    <col min="15627" max="15627" width="12.25" style="301" customWidth="1"/>
    <col min="15628" max="15628" width="11.625" style="301" bestFit="1" customWidth="1"/>
    <col min="15629" max="15629" width="11.625" style="301" customWidth="1"/>
    <col min="15630" max="15630" width="7.875" style="301" customWidth="1"/>
    <col min="15631" max="15633" width="7.75" style="301" customWidth="1"/>
    <col min="15634" max="15634" width="14.125" style="301" customWidth="1"/>
    <col min="15635" max="15872" width="9" style="301"/>
    <col min="15873" max="15873" width="8.125" style="301" customWidth="1"/>
    <col min="15874" max="15874" width="6.25" style="301" customWidth="1"/>
    <col min="15875" max="15875" width="6.375" style="301" customWidth="1"/>
    <col min="15876" max="15876" width="5.375" style="301" customWidth="1"/>
    <col min="15877" max="15877" width="5.875" style="301" customWidth="1"/>
    <col min="15878" max="15878" width="6.375" style="301" customWidth="1"/>
    <col min="15879" max="15879" width="5.75" style="301" customWidth="1"/>
    <col min="15880" max="15880" width="11.875" style="301" customWidth="1"/>
    <col min="15881" max="15881" width="8.5" style="301" customWidth="1"/>
    <col min="15882" max="15882" width="9" style="301"/>
    <col min="15883" max="15883" width="12.25" style="301" customWidth="1"/>
    <col min="15884" max="15884" width="11.625" style="301" bestFit="1" customWidth="1"/>
    <col min="15885" max="15885" width="11.625" style="301" customWidth="1"/>
    <col min="15886" max="15886" width="7.875" style="301" customWidth="1"/>
    <col min="15887" max="15889" width="7.75" style="301" customWidth="1"/>
    <col min="15890" max="15890" width="14.125" style="301" customWidth="1"/>
    <col min="15891" max="16128" width="9" style="301"/>
    <col min="16129" max="16129" width="8.125" style="301" customWidth="1"/>
    <col min="16130" max="16130" width="6.25" style="301" customWidth="1"/>
    <col min="16131" max="16131" width="6.375" style="301" customWidth="1"/>
    <col min="16132" max="16132" width="5.375" style="301" customWidth="1"/>
    <col min="16133" max="16133" width="5.875" style="301" customWidth="1"/>
    <col min="16134" max="16134" width="6.375" style="301" customWidth="1"/>
    <col min="16135" max="16135" width="5.75" style="301" customWidth="1"/>
    <col min="16136" max="16136" width="11.875" style="301" customWidth="1"/>
    <col min="16137" max="16137" width="8.5" style="301" customWidth="1"/>
    <col min="16138" max="16138" width="9" style="301"/>
    <col min="16139" max="16139" width="12.25" style="301" customWidth="1"/>
    <col min="16140" max="16140" width="11.625" style="301" bestFit="1" customWidth="1"/>
    <col min="16141" max="16141" width="11.625" style="301" customWidth="1"/>
    <col min="16142" max="16142" width="7.875" style="301" customWidth="1"/>
    <col min="16143" max="16145" width="7.75" style="301" customWidth="1"/>
    <col min="16146" max="16146" width="14.125" style="301" customWidth="1"/>
    <col min="16147" max="16384" width="9" style="301"/>
  </cols>
  <sheetData>
    <row r="1" spans="1:18" ht="16.5" customHeight="1">
      <c r="A1" s="300"/>
      <c r="B1" s="300"/>
      <c r="C1" s="300"/>
      <c r="D1" s="300"/>
      <c r="E1" s="300"/>
    </row>
    <row r="2" spans="1:18" ht="14.25" customHeight="1">
      <c r="A2" s="305"/>
      <c r="B2" s="305"/>
      <c r="C2" s="305"/>
      <c r="D2" s="305"/>
      <c r="E2" s="300"/>
      <c r="F2" s="1412" t="s">
        <v>1210</v>
      </c>
      <c r="G2" s="1412"/>
      <c r="H2" s="1412"/>
      <c r="I2" s="1412"/>
      <c r="J2" s="1412"/>
      <c r="K2" s="1412"/>
    </row>
    <row r="3" spans="1:18" ht="18.75">
      <c r="A3" s="1413" t="s">
        <v>983</v>
      </c>
      <c r="B3" s="1413"/>
      <c r="C3" s="1413"/>
      <c r="D3" s="1413"/>
      <c r="E3" s="1413"/>
      <c r="F3" s="1413"/>
      <c r="G3" s="1413"/>
      <c r="H3" s="1413"/>
      <c r="I3" s="1413"/>
      <c r="J3" s="1413"/>
      <c r="K3" s="1413"/>
    </row>
    <row r="4" spans="1:18" ht="18" customHeight="1">
      <c r="A4" s="1384" t="s">
        <v>984</v>
      </c>
      <c r="B4" s="1384"/>
      <c r="C4" s="1414" t="str">
        <f>下料单!C2</f>
        <v>杜鹃</v>
      </c>
      <c r="D4" s="1415"/>
      <c r="E4" s="1415"/>
      <c r="F4" s="1416" t="s">
        <v>850</v>
      </c>
      <c r="G4" s="1416"/>
      <c r="H4" s="1415">
        <f>下料单!N2</f>
        <v>0</v>
      </c>
      <c r="I4" s="1415"/>
      <c r="J4" s="306" t="s">
        <v>985</v>
      </c>
      <c r="K4" s="307" t="str">
        <f>SUM(G10:G36)&amp;"块"</f>
        <v>0块</v>
      </c>
      <c r="R4" s="308"/>
    </row>
    <row r="5" spans="1:18" ht="19.5" customHeight="1">
      <c r="A5" s="1417" t="s">
        <v>986</v>
      </c>
      <c r="B5" s="1416"/>
      <c r="C5" s="1418" t="str">
        <f>下料单!H2</f>
        <v>S400383705</v>
      </c>
      <c r="D5" s="1418"/>
      <c r="E5" s="1418"/>
      <c r="F5" s="1416" t="s">
        <v>987</v>
      </c>
      <c r="G5" s="1416"/>
      <c r="H5" s="1419" t="s">
        <v>988</v>
      </c>
      <c r="I5" s="1420"/>
      <c r="J5" s="309" t="s">
        <v>989</v>
      </c>
      <c r="K5" s="310" t="str">
        <f>下料单!S2</f>
        <v>西安</v>
      </c>
      <c r="R5" s="308"/>
    </row>
    <row r="6" spans="1:18" ht="22.5" customHeight="1">
      <c r="A6" s="1416" t="s">
        <v>990</v>
      </c>
      <c r="B6" s="1416"/>
      <c r="C6" s="1421" t="s">
        <v>991</v>
      </c>
      <c r="D6" s="1421"/>
      <c r="E6" s="1421"/>
      <c r="F6" s="1422"/>
      <c r="G6" s="1422"/>
      <c r="H6" s="1422"/>
      <c r="I6" s="1422"/>
      <c r="J6" s="309" t="s">
        <v>992</v>
      </c>
      <c r="K6" s="311" t="s">
        <v>993</v>
      </c>
      <c r="R6" s="308"/>
    </row>
    <row r="7" spans="1:18" ht="24" customHeight="1" thickBot="1">
      <c r="A7" s="1399" t="s">
        <v>994</v>
      </c>
      <c r="B7" s="1399"/>
      <c r="C7" s="1399"/>
      <c r="D7" s="1399"/>
      <c r="E7" s="1399"/>
      <c r="F7" s="1399"/>
      <c r="G7" s="1399"/>
      <c r="H7" s="1399"/>
      <c r="I7" s="1399"/>
      <c r="J7" s="1399"/>
      <c r="K7" s="1399"/>
      <c r="R7" s="308"/>
    </row>
    <row r="8" spans="1:18" ht="18" customHeight="1">
      <c r="A8" s="312" t="s">
        <v>995</v>
      </c>
      <c r="B8" s="1400" t="s">
        <v>996</v>
      </c>
      <c r="C8" s="1400"/>
      <c r="D8" s="1400"/>
      <c r="E8" s="1401" t="s">
        <v>997</v>
      </c>
      <c r="F8" s="1401"/>
      <c r="G8" s="1402"/>
      <c r="H8" s="313" t="s">
        <v>998</v>
      </c>
      <c r="I8" s="1403" t="s">
        <v>999</v>
      </c>
      <c r="J8" s="1403"/>
      <c r="K8" s="1404"/>
      <c r="L8" s="1405" t="s">
        <v>1000</v>
      </c>
      <c r="M8" s="1406"/>
      <c r="N8" s="1407"/>
      <c r="R8" s="308"/>
    </row>
    <row r="9" spans="1:18" ht="22.5" customHeight="1">
      <c r="A9" s="314" t="s">
        <v>1001</v>
      </c>
      <c r="B9" s="315" t="s">
        <v>851</v>
      </c>
      <c r="C9" s="315" t="s">
        <v>1002</v>
      </c>
      <c r="D9" s="315" t="s">
        <v>1003</v>
      </c>
      <c r="E9" s="315" t="s">
        <v>1004</v>
      </c>
      <c r="F9" s="315" t="s">
        <v>1002</v>
      </c>
      <c r="G9" s="315" t="s">
        <v>1003</v>
      </c>
      <c r="H9" s="1409" t="s">
        <v>1005</v>
      </c>
      <c r="I9" s="1410"/>
      <c r="J9" s="1409"/>
      <c r="K9" s="1411"/>
      <c r="L9" s="316" t="s">
        <v>1006</v>
      </c>
      <c r="M9" s="317" t="s">
        <v>1007</v>
      </c>
      <c r="N9" s="318" t="s">
        <v>1008</v>
      </c>
      <c r="O9" s="319" t="s">
        <v>1009</v>
      </c>
      <c r="P9" s="319" t="s">
        <v>1010</v>
      </c>
      <c r="Q9" s="320" t="s">
        <v>1011</v>
      </c>
      <c r="R9" s="308"/>
    </row>
    <row r="10" spans="1:18" ht="17.100000000000001" customHeight="1">
      <c r="A10" s="321"/>
      <c r="B10" s="322"/>
      <c r="C10" s="322"/>
      <c r="D10" s="323"/>
      <c r="E10" s="324" t="str">
        <f>+IF(C10="","",C10-1)</f>
        <v/>
      </c>
      <c r="F10" s="324" t="str">
        <f>+IF(B10="","",B10-1)</f>
        <v/>
      </c>
      <c r="G10" s="324" t="str">
        <f>+IF(D10="","",D10)</f>
        <v/>
      </c>
      <c r="H10" s="1408"/>
      <c r="I10" s="1389"/>
      <c r="J10" s="1395"/>
      <c r="K10" s="1396"/>
      <c r="L10" s="302">
        <f t="shared" ref="L10:L35" si="0">B10*C10*D10/1000000</f>
        <v>0</v>
      </c>
      <c r="M10" s="303" t="str">
        <f t="shared" ref="M10:M35" si="1">+IF(D10&gt;0,((B10+C10)*2+240)*G10/1000,"")</f>
        <v/>
      </c>
      <c r="N10" s="303">
        <f>B10*C10*D10/1000000/1.2/2.4/0.85</f>
        <v>0</v>
      </c>
      <c r="O10" s="303">
        <f>(B10*C10*D10/1000000)+((B10+C10)*2*D10/1000)*0.02</f>
        <v>0</v>
      </c>
      <c r="P10" s="303">
        <f>(B10*C10*D10/1000000)*2+((B10+C10)*2*D10/1000)*0.02</f>
        <v>0</v>
      </c>
      <c r="Q10" s="303" t="str">
        <f>+IF(H10=$L$8,B10*D10/1000+0.1,"")</f>
        <v/>
      </c>
      <c r="R10" s="308"/>
    </row>
    <row r="11" spans="1:18" ht="17.100000000000001" customHeight="1">
      <c r="A11" s="321"/>
      <c r="B11" s="322"/>
      <c r="C11" s="322"/>
      <c r="D11" s="323"/>
      <c r="E11" s="324" t="str">
        <f t="shared" ref="E11:E35" si="2">+IF(C11="","",C11-1)</f>
        <v/>
      </c>
      <c r="F11" s="324" t="str">
        <f t="shared" ref="F11:F35" si="3">+IF(B11="","",B11-1)</f>
        <v/>
      </c>
      <c r="G11" s="324" t="str">
        <f t="shared" ref="G11:G35" si="4">+IF(D11="","",D11)</f>
        <v/>
      </c>
      <c r="H11" s="1388"/>
      <c r="I11" s="1389"/>
      <c r="J11" s="1395"/>
      <c r="K11" s="1396"/>
      <c r="L11" s="302">
        <f t="shared" si="0"/>
        <v>0</v>
      </c>
      <c r="M11" s="303" t="str">
        <f t="shared" si="1"/>
        <v/>
      </c>
      <c r="N11" s="303">
        <f t="shared" ref="N11:N36" si="5">B11*C11*D11/1000000/1.2/2.4/0.85</f>
        <v>0</v>
      </c>
      <c r="O11" s="303">
        <f t="shared" ref="O11:O35" si="6">(B11*C11*D11/1000000)+((B11+C11)*2*D11/1000)*0.02</f>
        <v>0</v>
      </c>
      <c r="P11" s="303">
        <f t="shared" ref="P11:P35" si="7">(B11*C11*D11/1000000)*2+((B11+C11)*2*D11/1000)*0.02</f>
        <v>0</v>
      </c>
      <c r="Q11" s="303" t="str">
        <f t="shared" ref="Q11:Q30" si="8">+IF(H11=$L$8,B11*D11/1000+0.1,"")</f>
        <v/>
      </c>
      <c r="R11" s="308"/>
    </row>
    <row r="12" spans="1:18" ht="17.100000000000001" customHeight="1">
      <c r="A12" s="321"/>
      <c r="B12" s="322"/>
      <c r="C12" s="322"/>
      <c r="D12" s="323"/>
      <c r="E12" s="324" t="str">
        <f t="shared" si="2"/>
        <v/>
      </c>
      <c r="F12" s="324" t="str">
        <f t="shared" si="3"/>
        <v/>
      </c>
      <c r="G12" s="324" t="str">
        <f t="shared" si="4"/>
        <v/>
      </c>
      <c r="H12" s="1388"/>
      <c r="I12" s="1389"/>
      <c r="J12" s="1395"/>
      <c r="K12" s="1396"/>
      <c r="L12" s="302">
        <f t="shared" si="0"/>
        <v>0</v>
      </c>
      <c r="M12" s="303" t="str">
        <f t="shared" si="1"/>
        <v/>
      </c>
      <c r="N12" s="303">
        <f t="shared" si="5"/>
        <v>0</v>
      </c>
      <c r="O12" s="303">
        <f t="shared" si="6"/>
        <v>0</v>
      </c>
      <c r="P12" s="303">
        <f t="shared" si="7"/>
        <v>0</v>
      </c>
      <c r="Q12" s="303" t="str">
        <f t="shared" si="8"/>
        <v/>
      </c>
      <c r="R12" s="308"/>
    </row>
    <row r="13" spans="1:18" ht="17.100000000000001" customHeight="1">
      <c r="A13" s="321"/>
      <c r="B13" s="322"/>
      <c r="C13" s="322"/>
      <c r="D13" s="323"/>
      <c r="E13" s="324" t="str">
        <f t="shared" si="2"/>
        <v/>
      </c>
      <c r="F13" s="324" t="str">
        <f t="shared" si="3"/>
        <v/>
      </c>
      <c r="G13" s="324" t="str">
        <f t="shared" si="4"/>
        <v/>
      </c>
      <c r="H13" s="1388"/>
      <c r="I13" s="1389"/>
      <c r="J13" s="1395"/>
      <c r="K13" s="1396"/>
      <c r="L13" s="302">
        <f t="shared" si="0"/>
        <v>0</v>
      </c>
      <c r="M13" s="303" t="str">
        <f t="shared" si="1"/>
        <v/>
      </c>
      <c r="N13" s="303">
        <f t="shared" si="5"/>
        <v>0</v>
      </c>
      <c r="O13" s="303">
        <f t="shared" si="6"/>
        <v>0</v>
      </c>
      <c r="P13" s="303">
        <f t="shared" si="7"/>
        <v>0</v>
      </c>
      <c r="Q13" s="303" t="str">
        <f t="shared" si="8"/>
        <v/>
      </c>
      <c r="R13" s="308"/>
    </row>
    <row r="14" spans="1:18" ht="17.100000000000001" customHeight="1">
      <c r="A14" s="321"/>
      <c r="B14" s="322"/>
      <c r="C14" s="322"/>
      <c r="D14" s="323"/>
      <c r="E14" s="324" t="str">
        <f t="shared" si="2"/>
        <v/>
      </c>
      <c r="F14" s="324" t="str">
        <f t="shared" si="3"/>
        <v/>
      </c>
      <c r="G14" s="324" t="str">
        <f t="shared" si="4"/>
        <v/>
      </c>
      <c r="H14" s="1388"/>
      <c r="I14" s="1389"/>
      <c r="J14" s="1395"/>
      <c r="K14" s="1396"/>
      <c r="L14" s="302">
        <f t="shared" si="0"/>
        <v>0</v>
      </c>
      <c r="M14" s="303" t="str">
        <f t="shared" si="1"/>
        <v/>
      </c>
      <c r="N14" s="303">
        <f t="shared" si="5"/>
        <v>0</v>
      </c>
      <c r="O14" s="303">
        <f t="shared" si="6"/>
        <v>0</v>
      </c>
      <c r="P14" s="303">
        <f t="shared" si="7"/>
        <v>0</v>
      </c>
      <c r="Q14" s="303" t="str">
        <f t="shared" si="8"/>
        <v/>
      </c>
    </row>
    <row r="15" spans="1:18" ht="17.100000000000001" customHeight="1">
      <c r="A15" s="321"/>
      <c r="B15" s="322"/>
      <c r="C15" s="322"/>
      <c r="D15" s="323"/>
      <c r="E15" s="324" t="str">
        <f t="shared" si="2"/>
        <v/>
      </c>
      <c r="F15" s="324" t="str">
        <f t="shared" si="3"/>
        <v/>
      </c>
      <c r="G15" s="324" t="str">
        <f t="shared" si="4"/>
        <v/>
      </c>
      <c r="H15" s="1388"/>
      <c r="I15" s="1389"/>
      <c r="J15" s="1395"/>
      <c r="K15" s="1396"/>
      <c r="L15" s="302">
        <f t="shared" si="0"/>
        <v>0</v>
      </c>
      <c r="M15" s="303" t="str">
        <f t="shared" si="1"/>
        <v/>
      </c>
      <c r="N15" s="303">
        <f t="shared" si="5"/>
        <v>0</v>
      </c>
      <c r="O15" s="303">
        <f t="shared" si="6"/>
        <v>0</v>
      </c>
      <c r="P15" s="303">
        <f t="shared" si="7"/>
        <v>0</v>
      </c>
      <c r="Q15" s="303" t="str">
        <f t="shared" si="8"/>
        <v/>
      </c>
    </row>
    <row r="16" spans="1:18" ht="17.100000000000001" customHeight="1">
      <c r="A16" s="321"/>
      <c r="B16" s="322"/>
      <c r="C16" s="322"/>
      <c r="D16" s="323"/>
      <c r="E16" s="324" t="str">
        <f t="shared" si="2"/>
        <v/>
      </c>
      <c r="F16" s="324" t="str">
        <f t="shared" si="3"/>
        <v/>
      </c>
      <c r="G16" s="324" t="str">
        <f t="shared" si="4"/>
        <v/>
      </c>
      <c r="H16" s="1388"/>
      <c r="I16" s="1389"/>
      <c r="J16" s="1395"/>
      <c r="K16" s="1396"/>
      <c r="L16" s="302">
        <f t="shared" si="0"/>
        <v>0</v>
      </c>
      <c r="M16" s="303" t="str">
        <f t="shared" si="1"/>
        <v/>
      </c>
      <c r="N16" s="303">
        <f t="shared" si="5"/>
        <v>0</v>
      </c>
      <c r="O16" s="303">
        <f t="shared" si="6"/>
        <v>0</v>
      </c>
      <c r="P16" s="303">
        <f t="shared" si="7"/>
        <v>0</v>
      </c>
      <c r="Q16" s="303" t="str">
        <f t="shared" si="8"/>
        <v/>
      </c>
    </row>
    <row r="17" spans="1:17" ht="17.100000000000001" customHeight="1">
      <c r="A17" s="321"/>
      <c r="B17" s="322"/>
      <c r="C17" s="322"/>
      <c r="D17" s="323"/>
      <c r="E17" s="324" t="str">
        <f t="shared" si="2"/>
        <v/>
      </c>
      <c r="F17" s="324" t="str">
        <f t="shared" si="3"/>
        <v/>
      </c>
      <c r="G17" s="324" t="str">
        <f t="shared" si="4"/>
        <v/>
      </c>
      <c r="H17" s="1388"/>
      <c r="I17" s="1389"/>
      <c r="J17" s="1395"/>
      <c r="K17" s="1396"/>
      <c r="L17" s="302">
        <f t="shared" si="0"/>
        <v>0</v>
      </c>
      <c r="M17" s="303" t="str">
        <f t="shared" si="1"/>
        <v/>
      </c>
      <c r="N17" s="303">
        <f t="shared" si="5"/>
        <v>0</v>
      </c>
      <c r="O17" s="303">
        <f t="shared" si="6"/>
        <v>0</v>
      </c>
      <c r="P17" s="303">
        <f t="shared" si="7"/>
        <v>0</v>
      </c>
      <c r="Q17" s="303" t="str">
        <f t="shared" si="8"/>
        <v/>
      </c>
    </row>
    <row r="18" spans="1:17" ht="17.100000000000001" customHeight="1">
      <c r="A18" s="321"/>
      <c r="B18" s="322"/>
      <c r="C18" s="322"/>
      <c r="D18" s="323"/>
      <c r="E18" s="324" t="str">
        <f t="shared" si="2"/>
        <v/>
      </c>
      <c r="F18" s="324" t="str">
        <f t="shared" si="3"/>
        <v/>
      </c>
      <c r="G18" s="324" t="str">
        <f t="shared" si="4"/>
        <v/>
      </c>
      <c r="H18" s="1388"/>
      <c r="I18" s="1389"/>
      <c r="J18" s="1395"/>
      <c r="K18" s="1396"/>
      <c r="L18" s="302">
        <f t="shared" si="0"/>
        <v>0</v>
      </c>
      <c r="M18" s="303" t="str">
        <f t="shared" si="1"/>
        <v/>
      </c>
      <c r="N18" s="303">
        <f t="shared" si="5"/>
        <v>0</v>
      </c>
      <c r="O18" s="303">
        <f t="shared" si="6"/>
        <v>0</v>
      </c>
      <c r="P18" s="303">
        <f t="shared" si="7"/>
        <v>0</v>
      </c>
      <c r="Q18" s="303" t="str">
        <f t="shared" si="8"/>
        <v/>
      </c>
    </row>
    <row r="19" spans="1:17" ht="17.100000000000001" customHeight="1">
      <c r="A19" s="321"/>
      <c r="B19" s="322"/>
      <c r="C19" s="322"/>
      <c r="D19" s="323"/>
      <c r="E19" s="324" t="str">
        <f t="shared" si="2"/>
        <v/>
      </c>
      <c r="F19" s="324" t="str">
        <f t="shared" si="3"/>
        <v/>
      </c>
      <c r="G19" s="324" t="str">
        <f t="shared" si="4"/>
        <v/>
      </c>
      <c r="H19" s="1388"/>
      <c r="I19" s="1389"/>
      <c r="J19" s="1395"/>
      <c r="K19" s="1396"/>
      <c r="L19" s="302">
        <f t="shared" si="0"/>
        <v>0</v>
      </c>
      <c r="M19" s="303" t="str">
        <f t="shared" si="1"/>
        <v/>
      </c>
      <c r="N19" s="303">
        <f t="shared" si="5"/>
        <v>0</v>
      </c>
      <c r="O19" s="303">
        <f t="shared" si="6"/>
        <v>0</v>
      </c>
      <c r="P19" s="303">
        <f t="shared" si="7"/>
        <v>0</v>
      </c>
      <c r="Q19" s="303" t="str">
        <f t="shared" si="8"/>
        <v/>
      </c>
    </row>
    <row r="20" spans="1:17" ht="17.100000000000001" customHeight="1">
      <c r="A20" s="321"/>
      <c r="B20" s="322"/>
      <c r="C20" s="322"/>
      <c r="D20" s="323"/>
      <c r="E20" s="324" t="str">
        <f t="shared" si="2"/>
        <v/>
      </c>
      <c r="F20" s="324" t="str">
        <f t="shared" si="3"/>
        <v/>
      </c>
      <c r="G20" s="324" t="str">
        <f t="shared" si="4"/>
        <v/>
      </c>
      <c r="H20" s="1388"/>
      <c r="I20" s="1389"/>
      <c r="J20" s="1395"/>
      <c r="K20" s="1396"/>
      <c r="L20" s="302">
        <f t="shared" si="0"/>
        <v>0</v>
      </c>
      <c r="M20" s="303" t="str">
        <f t="shared" si="1"/>
        <v/>
      </c>
      <c r="N20" s="303">
        <f t="shared" si="5"/>
        <v>0</v>
      </c>
      <c r="O20" s="303">
        <f t="shared" si="6"/>
        <v>0</v>
      </c>
      <c r="P20" s="303">
        <f t="shared" si="7"/>
        <v>0</v>
      </c>
      <c r="Q20" s="303" t="str">
        <f t="shared" si="8"/>
        <v/>
      </c>
    </row>
    <row r="21" spans="1:17" ht="17.100000000000001" customHeight="1">
      <c r="A21" s="321"/>
      <c r="B21" s="322"/>
      <c r="C21" s="322"/>
      <c r="D21" s="323"/>
      <c r="E21" s="324" t="str">
        <f t="shared" si="2"/>
        <v/>
      </c>
      <c r="F21" s="324" t="str">
        <f t="shared" si="3"/>
        <v/>
      </c>
      <c r="G21" s="324" t="str">
        <f t="shared" si="4"/>
        <v/>
      </c>
      <c r="H21" s="1388"/>
      <c r="I21" s="1389"/>
      <c r="J21" s="1395"/>
      <c r="K21" s="1396"/>
      <c r="L21" s="302">
        <f t="shared" si="0"/>
        <v>0</v>
      </c>
      <c r="M21" s="303" t="str">
        <f t="shared" si="1"/>
        <v/>
      </c>
      <c r="N21" s="303">
        <f t="shared" si="5"/>
        <v>0</v>
      </c>
      <c r="O21" s="303">
        <f t="shared" si="6"/>
        <v>0</v>
      </c>
      <c r="P21" s="303">
        <f t="shared" si="7"/>
        <v>0</v>
      </c>
      <c r="Q21" s="303" t="str">
        <f t="shared" si="8"/>
        <v/>
      </c>
    </row>
    <row r="22" spans="1:17" ht="17.100000000000001" customHeight="1">
      <c r="A22" s="325"/>
      <c r="B22" s="322"/>
      <c r="C22" s="322"/>
      <c r="D22" s="323"/>
      <c r="E22" s="324" t="str">
        <f t="shared" si="2"/>
        <v/>
      </c>
      <c r="F22" s="324" t="str">
        <f t="shared" si="3"/>
        <v/>
      </c>
      <c r="G22" s="324" t="str">
        <f t="shared" si="4"/>
        <v/>
      </c>
      <c r="H22" s="1388"/>
      <c r="I22" s="1389"/>
      <c r="J22" s="1395"/>
      <c r="K22" s="1396"/>
      <c r="L22" s="302">
        <f t="shared" si="0"/>
        <v>0</v>
      </c>
      <c r="M22" s="303" t="str">
        <f t="shared" si="1"/>
        <v/>
      </c>
      <c r="N22" s="303">
        <f t="shared" si="5"/>
        <v>0</v>
      </c>
      <c r="O22" s="303">
        <f t="shared" si="6"/>
        <v>0</v>
      </c>
      <c r="P22" s="303">
        <f t="shared" si="7"/>
        <v>0</v>
      </c>
      <c r="Q22" s="303" t="str">
        <f t="shared" si="8"/>
        <v/>
      </c>
    </row>
    <row r="23" spans="1:17" ht="17.100000000000001" customHeight="1">
      <c r="A23" s="325"/>
      <c r="B23" s="322"/>
      <c r="C23" s="322"/>
      <c r="D23" s="323"/>
      <c r="E23" s="324" t="str">
        <f t="shared" si="2"/>
        <v/>
      </c>
      <c r="F23" s="324" t="str">
        <f t="shared" si="3"/>
        <v/>
      </c>
      <c r="G23" s="324" t="str">
        <f t="shared" si="4"/>
        <v/>
      </c>
      <c r="H23" s="1388"/>
      <c r="I23" s="1389"/>
      <c r="J23" s="1395"/>
      <c r="K23" s="1396"/>
      <c r="L23" s="302">
        <f t="shared" si="0"/>
        <v>0</v>
      </c>
      <c r="M23" s="303" t="str">
        <f t="shared" si="1"/>
        <v/>
      </c>
      <c r="N23" s="303">
        <f t="shared" si="5"/>
        <v>0</v>
      </c>
      <c r="O23" s="303">
        <f t="shared" si="6"/>
        <v>0</v>
      </c>
      <c r="P23" s="303">
        <f t="shared" si="7"/>
        <v>0</v>
      </c>
      <c r="Q23" s="303" t="str">
        <f t="shared" si="8"/>
        <v/>
      </c>
    </row>
    <row r="24" spans="1:17" ht="17.100000000000001" customHeight="1">
      <c r="A24" s="325"/>
      <c r="B24" s="322"/>
      <c r="C24" s="322"/>
      <c r="D24" s="323"/>
      <c r="E24" s="324" t="str">
        <f t="shared" si="2"/>
        <v/>
      </c>
      <c r="F24" s="324" t="str">
        <f t="shared" si="3"/>
        <v/>
      </c>
      <c r="G24" s="324" t="str">
        <f t="shared" si="4"/>
        <v/>
      </c>
      <c r="H24" s="1388"/>
      <c r="I24" s="1389"/>
      <c r="J24" s="1395"/>
      <c r="K24" s="1396"/>
      <c r="L24" s="302">
        <f t="shared" si="0"/>
        <v>0</v>
      </c>
      <c r="M24" s="303" t="str">
        <f t="shared" si="1"/>
        <v/>
      </c>
      <c r="N24" s="303">
        <f t="shared" si="5"/>
        <v>0</v>
      </c>
      <c r="O24" s="303">
        <f t="shared" si="6"/>
        <v>0</v>
      </c>
      <c r="P24" s="303">
        <f t="shared" si="7"/>
        <v>0</v>
      </c>
      <c r="Q24" s="303" t="str">
        <f t="shared" si="8"/>
        <v/>
      </c>
    </row>
    <row r="25" spans="1:17" ht="17.100000000000001" customHeight="1">
      <c r="A25" s="325"/>
      <c r="B25" s="322"/>
      <c r="C25" s="322"/>
      <c r="D25" s="323"/>
      <c r="E25" s="324" t="str">
        <f t="shared" si="2"/>
        <v/>
      </c>
      <c r="F25" s="324" t="str">
        <f t="shared" si="3"/>
        <v/>
      </c>
      <c r="G25" s="324" t="str">
        <f t="shared" si="4"/>
        <v/>
      </c>
      <c r="H25" s="1388"/>
      <c r="I25" s="1389"/>
      <c r="J25" s="1395"/>
      <c r="K25" s="1396"/>
      <c r="L25" s="302">
        <f t="shared" si="0"/>
        <v>0</v>
      </c>
      <c r="M25" s="303" t="str">
        <f t="shared" si="1"/>
        <v/>
      </c>
      <c r="N25" s="303">
        <f t="shared" si="5"/>
        <v>0</v>
      </c>
      <c r="O25" s="303">
        <f t="shared" si="6"/>
        <v>0</v>
      </c>
      <c r="P25" s="303">
        <f t="shared" si="7"/>
        <v>0</v>
      </c>
      <c r="Q25" s="303" t="str">
        <f t="shared" si="8"/>
        <v/>
      </c>
    </row>
    <row r="26" spans="1:17" ht="17.100000000000001" customHeight="1">
      <c r="A26" s="325"/>
      <c r="B26" s="322"/>
      <c r="C26" s="322"/>
      <c r="D26" s="323"/>
      <c r="E26" s="324" t="str">
        <f t="shared" si="2"/>
        <v/>
      </c>
      <c r="F26" s="324" t="str">
        <f t="shared" si="3"/>
        <v/>
      </c>
      <c r="G26" s="324" t="str">
        <f t="shared" si="4"/>
        <v/>
      </c>
      <c r="H26" s="1388"/>
      <c r="I26" s="1389"/>
      <c r="J26" s="1395"/>
      <c r="K26" s="1396"/>
      <c r="L26" s="302">
        <f t="shared" si="0"/>
        <v>0</v>
      </c>
      <c r="M26" s="303" t="str">
        <f t="shared" si="1"/>
        <v/>
      </c>
      <c r="N26" s="303">
        <f t="shared" si="5"/>
        <v>0</v>
      </c>
      <c r="O26" s="303">
        <f t="shared" si="6"/>
        <v>0</v>
      </c>
      <c r="P26" s="303">
        <f t="shared" si="7"/>
        <v>0</v>
      </c>
      <c r="Q26" s="303" t="str">
        <f t="shared" si="8"/>
        <v/>
      </c>
    </row>
    <row r="27" spans="1:17" ht="17.100000000000001" customHeight="1">
      <c r="A27" s="325"/>
      <c r="B27" s="322"/>
      <c r="C27" s="322"/>
      <c r="D27" s="323"/>
      <c r="E27" s="324" t="str">
        <f t="shared" si="2"/>
        <v/>
      </c>
      <c r="F27" s="324" t="str">
        <f t="shared" si="3"/>
        <v/>
      </c>
      <c r="G27" s="324" t="str">
        <f t="shared" si="4"/>
        <v/>
      </c>
      <c r="H27" s="1388"/>
      <c r="I27" s="1389"/>
      <c r="J27" s="1395"/>
      <c r="K27" s="1396"/>
      <c r="L27" s="302">
        <f t="shared" si="0"/>
        <v>0</v>
      </c>
      <c r="M27" s="303" t="str">
        <f t="shared" si="1"/>
        <v/>
      </c>
      <c r="N27" s="303">
        <f t="shared" si="5"/>
        <v>0</v>
      </c>
      <c r="O27" s="303">
        <f t="shared" si="6"/>
        <v>0</v>
      </c>
      <c r="P27" s="303">
        <f t="shared" si="7"/>
        <v>0</v>
      </c>
      <c r="Q27" s="303" t="str">
        <f t="shared" si="8"/>
        <v/>
      </c>
    </row>
    <row r="28" spans="1:17" ht="17.100000000000001" customHeight="1">
      <c r="A28" s="326"/>
      <c r="B28" s="322"/>
      <c r="C28" s="322"/>
      <c r="D28" s="323"/>
      <c r="E28" s="324" t="str">
        <f t="shared" si="2"/>
        <v/>
      </c>
      <c r="F28" s="324" t="str">
        <f t="shared" si="3"/>
        <v/>
      </c>
      <c r="G28" s="324" t="str">
        <f t="shared" si="4"/>
        <v/>
      </c>
      <c r="H28" s="1388"/>
      <c r="I28" s="1389"/>
      <c r="J28" s="1395"/>
      <c r="K28" s="1396"/>
      <c r="L28" s="302">
        <f t="shared" si="0"/>
        <v>0</v>
      </c>
      <c r="M28" s="303" t="str">
        <f t="shared" si="1"/>
        <v/>
      </c>
      <c r="N28" s="303">
        <f t="shared" si="5"/>
        <v>0</v>
      </c>
      <c r="O28" s="303">
        <f t="shared" si="6"/>
        <v>0</v>
      </c>
      <c r="P28" s="303">
        <f t="shared" si="7"/>
        <v>0</v>
      </c>
      <c r="Q28" s="303" t="str">
        <f t="shared" si="8"/>
        <v/>
      </c>
    </row>
    <row r="29" spans="1:17" ht="17.100000000000001" customHeight="1">
      <c r="A29" s="327"/>
      <c r="B29" s="328"/>
      <c r="C29" s="328"/>
      <c r="D29" s="329"/>
      <c r="E29" s="324" t="str">
        <f t="shared" si="2"/>
        <v/>
      </c>
      <c r="F29" s="324" t="str">
        <f t="shared" si="3"/>
        <v/>
      </c>
      <c r="G29" s="324" t="str">
        <f t="shared" si="4"/>
        <v/>
      </c>
      <c r="H29" s="1388"/>
      <c r="I29" s="1389"/>
      <c r="J29" s="1395"/>
      <c r="K29" s="1396"/>
      <c r="L29" s="302">
        <f t="shared" si="0"/>
        <v>0</v>
      </c>
      <c r="M29" s="303" t="str">
        <f t="shared" si="1"/>
        <v/>
      </c>
      <c r="N29" s="303">
        <f t="shared" si="5"/>
        <v>0</v>
      </c>
      <c r="O29" s="303">
        <f t="shared" si="6"/>
        <v>0</v>
      </c>
      <c r="P29" s="303">
        <f t="shared" si="7"/>
        <v>0</v>
      </c>
      <c r="Q29" s="303" t="str">
        <f t="shared" si="8"/>
        <v/>
      </c>
    </row>
    <row r="30" spans="1:17" ht="17.100000000000001" customHeight="1">
      <c r="A30" s="330"/>
      <c r="B30" s="322"/>
      <c r="C30" s="322"/>
      <c r="D30" s="323"/>
      <c r="E30" s="324" t="str">
        <f t="shared" si="2"/>
        <v/>
      </c>
      <c r="F30" s="324" t="str">
        <f t="shared" si="3"/>
        <v/>
      </c>
      <c r="G30" s="324" t="str">
        <f t="shared" si="4"/>
        <v/>
      </c>
      <c r="H30" s="1388"/>
      <c r="I30" s="1389"/>
      <c r="J30" s="1397"/>
      <c r="K30" s="1398"/>
      <c r="L30" s="302">
        <f t="shared" si="0"/>
        <v>0</v>
      </c>
      <c r="M30" s="303" t="str">
        <f t="shared" si="1"/>
        <v/>
      </c>
      <c r="N30" s="303">
        <f t="shared" si="5"/>
        <v>0</v>
      </c>
      <c r="O30" s="303">
        <f t="shared" si="6"/>
        <v>0</v>
      </c>
      <c r="P30" s="303">
        <f t="shared" si="7"/>
        <v>0</v>
      </c>
      <c r="Q30" s="303" t="str">
        <f t="shared" si="8"/>
        <v/>
      </c>
    </row>
    <row r="31" spans="1:17" ht="17.100000000000001" customHeight="1">
      <c r="A31" s="330"/>
      <c r="B31" s="322"/>
      <c r="C31" s="322"/>
      <c r="D31" s="323"/>
      <c r="E31" s="324" t="str">
        <f t="shared" si="2"/>
        <v/>
      </c>
      <c r="F31" s="324" t="str">
        <f t="shared" si="3"/>
        <v/>
      </c>
      <c r="G31" s="324" t="str">
        <f t="shared" si="4"/>
        <v/>
      </c>
      <c r="H31" s="1388"/>
      <c r="I31" s="1389"/>
      <c r="J31" s="1390"/>
      <c r="K31" s="1391"/>
      <c r="L31" s="302">
        <f t="shared" si="0"/>
        <v>0</v>
      </c>
      <c r="M31" s="303" t="str">
        <f t="shared" si="1"/>
        <v/>
      </c>
      <c r="N31" s="303">
        <f t="shared" si="5"/>
        <v>0</v>
      </c>
      <c r="O31" s="303">
        <f t="shared" si="6"/>
        <v>0</v>
      </c>
      <c r="P31" s="303">
        <f t="shared" si="7"/>
        <v>0</v>
      </c>
    </row>
    <row r="32" spans="1:17" ht="17.100000000000001" customHeight="1">
      <c r="A32" s="330"/>
      <c r="B32" s="322"/>
      <c r="C32" s="322"/>
      <c r="D32" s="323"/>
      <c r="E32" s="324" t="str">
        <f t="shared" si="2"/>
        <v/>
      </c>
      <c r="F32" s="324" t="str">
        <f t="shared" si="3"/>
        <v/>
      </c>
      <c r="G32" s="324" t="str">
        <f t="shared" si="4"/>
        <v/>
      </c>
      <c r="H32" s="1388"/>
      <c r="I32" s="1389"/>
      <c r="J32" s="1390"/>
      <c r="K32" s="1391"/>
      <c r="L32" s="302">
        <f t="shared" si="0"/>
        <v>0</v>
      </c>
      <c r="M32" s="303" t="str">
        <f t="shared" si="1"/>
        <v/>
      </c>
      <c r="N32" s="303">
        <f t="shared" si="5"/>
        <v>0</v>
      </c>
      <c r="O32" s="303">
        <f t="shared" si="6"/>
        <v>0</v>
      </c>
      <c r="P32" s="303">
        <f t="shared" si="7"/>
        <v>0</v>
      </c>
    </row>
    <row r="33" spans="1:38" ht="17.100000000000001" customHeight="1">
      <c r="A33" s="327"/>
      <c r="B33" s="328"/>
      <c r="C33" s="328"/>
      <c r="D33" s="329"/>
      <c r="E33" s="324" t="str">
        <f t="shared" si="2"/>
        <v/>
      </c>
      <c r="F33" s="324" t="str">
        <f t="shared" si="3"/>
        <v/>
      </c>
      <c r="G33" s="324" t="str">
        <f t="shared" si="4"/>
        <v/>
      </c>
      <c r="H33" s="1388"/>
      <c r="I33" s="1389"/>
      <c r="J33" s="1390"/>
      <c r="K33" s="1391"/>
      <c r="L33" s="302">
        <f t="shared" si="0"/>
        <v>0</v>
      </c>
      <c r="M33" s="303" t="str">
        <f t="shared" si="1"/>
        <v/>
      </c>
      <c r="N33" s="303">
        <f t="shared" si="5"/>
        <v>0</v>
      </c>
      <c r="O33" s="303">
        <f t="shared" si="6"/>
        <v>0</v>
      </c>
      <c r="P33" s="303">
        <f t="shared" si="7"/>
        <v>0</v>
      </c>
    </row>
    <row r="34" spans="1:38" ht="17.100000000000001" customHeight="1">
      <c r="A34" s="327"/>
      <c r="B34" s="328"/>
      <c r="C34" s="328"/>
      <c r="D34" s="329"/>
      <c r="E34" s="324" t="str">
        <f t="shared" si="2"/>
        <v/>
      </c>
      <c r="F34" s="324" t="str">
        <f t="shared" si="3"/>
        <v/>
      </c>
      <c r="G34" s="324" t="str">
        <f t="shared" si="4"/>
        <v/>
      </c>
      <c r="H34" s="1388"/>
      <c r="I34" s="1389"/>
      <c r="J34" s="1388"/>
      <c r="K34" s="1392"/>
      <c r="L34" s="302">
        <f t="shared" si="0"/>
        <v>0</v>
      </c>
      <c r="M34" s="303" t="str">
        <f t="shared" si="1"/>
        <v/>
      </c>
      <c r="N34" s="303">
        <f t="shared" si="5"/>
        <v>0</v>
      </c>
      <c r="O34" s="303">
        <f t="shared" si="6"/>
        <v>0</v>
      </c>
      <c r="P34" s="303">
        <f t="shared" si="7"/>
        <v>0</v>
      </c>
    </row>
    <row r="35" spans="1:38" ht="17.100000000000001" customHeight="1">
      <c r="A35" s="331"/>
      <c r="B35" s="322"/>
      <c r="C35" s="322"/>
      <c r="D35" s="323"/>
      <c r="E35" s="324" t="str">
        <f t="shared" si="2"/>
        <v/>
      </c>
      <c r="F35" s="324" t="str">
        <f t="shared" si="3"/>
        <v/>
      </c>
      <c r="G35" s="324" t="str">
        <f t="shared" si="4"/>
        <v/>
      </c>
      <c r="H35" s="1388"/>
      <c r="I35" s="1389"/>
      <c r="J35" s="1390"/>
      <c r="K35" s="1391"/>
      <c r="L35" s="302">
        <f t="shared" si="0"/>
        <v>0</v>
      </c>
      <c r="M35" s="303" t="str">
        <f t="shared" si="1"/>
        <v/>
      </c>
      <c r="N35" s="303">
        <f t="shared" si="5"/>
        <v>0</v>
      </c>
      <c r="O35" s="303">
        <f t="shared" si="6"/>
        <v>0</v>
      </c>
      <c r="P35" s="303">
        <f t="shared" si="7"/>
        <v>0</v>
      </c>
    </row>
    <row r="36" spans="1:38" ht="17.100000000000001" customHeight="1" thickBot="1">
      <c r="A36" s="332"/>
      <c r="B36" s="333"/>
      <c r="C36" s="333"/>
      <c r="D36" s="334"/>
      <c r="E36" s="334"/>
      <c r="F36" s="334"/>
      <c r="G36" s="334"/>
      <c r="H36" s="1393" t="s">
        <v>1012</v>
      </c>
      <c r="I36" s="1394"/>
      <c r="J36" s="1394"/>
      <c r="K36" s="335">
        <f>+O38</f>
        <v>0</v>
      </c>
      <c r="N36" s="303">
        <f t="shared" si="5"/>
        <v>0</v>
      </c>
    </row>
    <row r="37" spans="1:38" ht="17.100000000000001" customHeight="1">
      <c r="A37" s="1385"/>
      <c r="B37" s="1385"/>
      <c r="C37" s="1385"/>
      <c r="D37" s="1385"/>
      <c r="E37" s="1385"/>
      <c r="F37" s="1385"/>
      <c r="G37" s="1385"/>
      <c r="H37" s="1385"/>
      <c r="I37" s="1385"/>
      <c r="J37" s="1385"/>
      <c r="K37" s="1385"/>
    </row>
    <row r="38" spans="1:38" s="339" customFormat="1" ht="20.100000000000001" customHeight="1">
      <c r="A38" s="336"/>
      <c r="B38" s="1384" t="s">
        <v>1013</v>
      </c>
      <c r="C38" s="1384"/>
      <c r="D38" s="1384"/>
      <c r="E38" s="1384"/>
      <c r="F38" s="1384"/>
      <c r="G38" s="1384"/>
      <c r="H38" s="1384"/>
      <c r="I38" s="1384"/>
      <c r="J38" s="306"/>
      <c r="K38" s="337"/>
      <c r="L38" s="302">
        <f>SUM(L9:L36)</f>
        <v>0</v>
      </c>
      <c r="M38" s="303">
        <f>+SUM(M9:M36)</f>
        <v>0</v>
      </c>
      <c r="N38" s="303">
        <f>SUM(N9:N36)</f>
        <v>0</v>
      </c>
      <c r="O38" s="303">
        <f>SUM(O9:O36)</f>
        <v>0</v>
      </c>
      <c r="P38" s="303">
        <f>SUM(P9:P36)</f>
        <v>0</v>
      </c>
      <c r="Q38" s="303">
        <f>SUM(Q10:Q36)</f>
        <v>0</v>
      </c>
      <c r="R38" s="303" t="s">
        <v>1014</v>
      </c>
      <c r="S38" s="338"/>
      <c r="T38" s="338"/>
      <c r="U38" s="338"/>
      <c r="V38" s="338"/>
      <c r="W38" s="338"/>
      <c r="X38" s="338"/>
      <c r="Y38" s="338"/>
      <c r="Z38" s="338"/>
      <c r="AA38" s="338"/>
      <c r="AB38" s="338"/>
      <c r="AC38" s="338"/>
      <c r="AD38" s="338"/>
      <c r="AE38" s="338"/>
      <c r="AF38" s="338"/>
      <c r="AG38" s="338"/>
      <c r="AH38" s="338"/>
      <c r="AI38" s="338"/>
      <c r="AJ38" s="338"/>
      <c r="AK38" s="338"/>
      <c r="AL38" s="338"/>
    </row>
    <row r="39" spans="1:38" ht="21" customHeight="1">
      <c r="A39" s="1385" t="s">
        <v>1015</v>
      </c>
      <c r="B39" s="1385"/>
      <c r="C39" s="1385"/>
      <c r="D39" s="1385"/>
      <c r="E39" s="1385"/>
      <c r="F39" s="1385"/>
      <c r="G39" s="1385"/>
      <c r="H39" s="1385"/>
      <c r="I39" s="1385"/>
      <c r="J39" s="1385"/>
      <c r="K39" s="1385"/>
      <c r="M39" s="340" t="s">
        <v>1016</v>
      </c>
    </row>
    <row r="40" spans="1:38" ht="13.5" customHeight="1">
      <c r="A40" s="341"/>
      <c r="B40" s="342"/>
      <c r="C40" s="339"/>
      <c r="D40" s="339"/>
      <c r="E40" s="339"/>
      <c r="F40" s="343"/>
      <c r="G40" s="344"/>
      <c r="H40" s="343"/>
      <c r="I40" s="337"/>
      <c r="J40" s="337"/>
      <c r="K40" s="345"/>
    </row>
    <row r="41" spans="1:38" ht="18" customHeight="1">
      <c r="A41" s="336" t="s">
        <v>1017</v>
      </c>
      <c r="B41" s="1386" t="s">
        <v>1481</v>
      </c>
      <c r="C41" s="1386"/>
      <c r="D41" s="306"/>
      <c r="E41" s="346"/>
      <c r="F41" s="1384"/>
      <c r="G41" s="1384"/>
      <c r="H41" s="306"/>
      <c r="I41" s="337"/>
      <c r="J41" s="337"/>
    </row>
    <row r="42" spans="1:38" ht="21">
      <c r="A42" s="347"/>
      <c r="B42" s="1387"/>
      <c r="C42" s="1387"/>
      <c r="D42" s="348"/>
      <c r="E42" s="337"/>
      <c r="F42" s="348"/>
      <c r="G42" s="349"/>
      <c r="H42" s="348"/>
      <c r="I42" s="350"/>
      <c r="J42" s="350"/>
      <c r="K42" s="345"/>
    </row>
    <row r="43" spans="1:38" s="304" customFormat="1" ht="20.25">
      <c r="A43" s="351"/>
      <c r="B43" s="351"/>
      <c r="C43" s="351"/>
      <c r="D43" s="351"/>
      <c r="E43" s="351"/>
      <c r="F43" s="351"/>
      <c r="G43" s="351"/>
      <c r="H43" s="351"/>
      <c r="I43" s="351"/>
      <c r="J43" s="351"/>
      <c r="K43" s="351"/>
      <c r="L43" s="302"/>
      <c r="M43" s="303"/>
      <c r="N43" s="303"/>
      <c r="O43" s="303"/>
      <c r="P43" s="303"/>
      <c r="Q43" s="303"/>
      <c r="R43" s="303"/>
    </row>
    <row r="44" spans="1:38" s="304" customFormat="1" ht="20.25">
      <c r="A44" s="351"/>
      <c r="B44" s="351"/>
      <c r="C44" s="351"/>
      <c r="D44" s="351"/>
      <c r="E44" s="351"/>
      <c r="F44" s="351"/>
      <c r="G44" s="351"/>
      <c r="H44" s="351"/>
      <c r="I44" s="351"/>
      <c r="J44" s="351"/>
      <c r="K44" s="351"/>
      <c r="L44" s="302"/>
      <c r="M44" s="303"/>
      <c r="N44" s="303"/>
      <c r="O44" s="303"/>
      <c r="P44" s="303"/>
      <c r="Q44" s="303"/>
      <c r="R44" s="303"/>
    </row>
    <row r="45" spans="1:38" s="304" customFormat="1" ht="20.25">
      <c r="A45" s="351"/>
      <c r="B45" s="351"/>
      <c r="C45" s="351"/>
      <c r="D45" s="351"/>
      <c r="E45" s="351"/>
      <c r="F45" s="351"/>
      <c r="G45" s="351"/>
      <c r="H45" s="351"/>
      <c r="I45" s="351"/>
      <c r="J45" s="351"/>
      <c r="K45" s="351"/>
      <c r="L45" s="302"/>
      <c r="M45" s="303"/>
      <c r="N45" s="303"/>
      <c r="O45" s="303"/>
      <c r="P45" s="303"/>
      <c r="Q45" s="303"/>
      <c r="R45" s="303"/>
    </row>
    <row r="46" spans="1:38" s="304" customFormat="1" ht="20.25">
      <c r="A46" s="351"/>
      <c r="B46" s="351"/>
      <c r="C46" s="351"/>
      <c r="D46" s="351"/>
      <c r="E46" s="351"/>
      <c r="F46" s="351"/>
      <c r="G46" s="351"/>
      <c r="H46" s="351"/>
      <c r="I46" s="351"/>
      <c r="J46" s="351"/>
      <c r="K46" s="351"/>
      <c r="L46" s="302"/>
      <c r="M46" s="303"/>
      <c r="N46" s="303"/>
      <c r="O46" s="303"/>
      <c r="P46" s="303"/>
      <c r="Q46" s="303"/>
      <c r="R46" s="303"/>
    </row>
    <row r="47" spans="1:38" s="304" customFormat="1" ht="20.25">
      <c r="A47" s="304" t="str">
        <f>+'料单 (4)'!L3</f>
        <v>材质</v>
      </c>
      <c r="B47" s="351"/>
      <c r="C47" s="351"/>
      <c r="D47" s="351"/>
      <c r="E47" s="351"/>
      <c r="F47" s="351"/>
      <c r="G47" s="351"/>
      <c r="H47" s="351"/>
      <c r="I47" s="351"/>
      <c r="J47" s="351"/>
      <c r="K47" s="351"/>
      <c r="L47" s="302"/>
      <c r="M47" s="303"/>
      <c r="N47" s="303"/>
      <c r="O47" s="303"/>
      <c r="P47" s="303"/>
      <c r="Q47" s="303"/>
      <c r="R47" s="303"/>
    </row>
    <row r="48" spans="1:38" s="304" customFormat="1" ht="20.25">
      <c r="B48" s="351"/>
      <c r="C48" s="351"/>
      <c r="D48" s="351"/>
      <c r="E48" s="351"/>
      <c r="F48" s="351"/>
      <c r="G48" s="351"/>
      <c r="H48" s="351"/>
      <c r="I48" s="351"/>
      <c r="J48" s="351"/>
      <c r="K48" s="351"/>
      <c r="L48" s="302"/>
      <c r="M48" s="303"/>
      <c r="N48" s="303"/>
      <c r="O48" s="303"/>
      <c r="P48" s="303"/>
      <c r="Q48" s="303"/>
      <c r="R48" s="303"/>
    </row>
    <row r="49" spans="1:18" s="304" customFormat="1" ht="20.25">
      <c r="A49" s="304" t="str">
        <f>+'料单 (4)'!L5</f>
        <v>L02象牙白</v>
      </c>
      <c r="B49" s="351"/>
      <c r="C49" s="351"/>
      <c r="D49" s="351"/>
      <c r="E49" s="351"/>
      <c r="F49" s="351"/>
      <c r="G49" s="351"/>
      <c r="H49" s="351"/>
      <c r="I49" s="351"/>
      <c r="J49" s="351"/>
      <c r="K49" s="351"/>
      <c r="L49" s="302"/>
      <c r="M49" s="303"/>
      <c r="N49" s="303"/>
      <c r="O49" s="303"/>
      <c r="P49" s="303"/>
      <c r="Q49" s="303"/>
      <c r="R49" s="303"/>
    </row>
    <row r="50" spans="1:18" s="304" customFormat="1" ht="20.25">
      <c r="A50" s="304" t="str">
        <f>+'料单 (4)'!L6</f>
        <v>L12纯白</v>
      </c>
      <c r="B50" s="351"/>
      <c r="C50" s="351"/>
      <c r="D50" s="351"/>
      <c r="E50" s="351"/>
      <c r="F50" s="351"/>
      <c r="G50" s="351"/>
      <c r="H50" s="351"/>
      <c r="I50" s="351"/>
      <c r="J50" s="351"/>
      <c r="K50" s="351"/>
      <c r="L50" s="302"/>
      <c r="M50" s="303"/>
      <c r="N50" s="303"/>
      <c r="O50" s="303"/>
      <c r="P50" s="303"/>
      <c r="Q50" s="303"/>
      <c r="R50" s="303"/>
    </row>
    <row r="51" spans="1:18" s="304" customFormat="1" ht="20.25">
      <c r="A51" s="304" t="str">
        <f>+'料单 (4)'!L7</f>
        <v>L01珍珠白</v>
      </c>
      <c r="B51" s="351"/>
      <c r="C51" s="351"/>
      <c r="D51" s="351"/>
      <c r="E51" s="351"/>
      <c r="F51" s="351"/>
      <c r="G51" s="351"/>
      <c r="H51" s="351"/>
      <c r="I51" s="351"/>
      <c r="J51" s="351"/>
      <c r="K51" s="351"/>
      <c r="L51" s="302"/>
      <c r="M51" s="303"/>
      <c r="N51" s="303"/>
      <c r="O51" s="303"/>
      <c r="P51" s="303"/>
      <c r="Q51" s="303"/>
      <c r="R51" s="303"/>
    </row>
    <row r="52" spans="1:18" s="304" customFormat="1" ht="20.25">
      <c r="A52" s="304" t="str">
        <f>+'料单 (4)'!L8</f>
        <v>L02象牙白</v>
      </c>
      <c r="B52" s="351"/>
      <c r="C52" s="351"/>
      <c r="D52" s="351"/>
      <c r="E52" s="351"/>
      <c r="F52" s="351"/>
      <c r="G52" s="351"/>
      <c r="H52" s="351"/>
      <c r="I52" s="351"/>
      <c r="J52" s="351"/>
      <c r="K52" s="351"/>
      <c r="L52" s="302"/>
      <c r="M52" s="303"/>
      <c r="N52" s="303"/>
      <c r="O52" s="303"/>
      <c r="P52" s="303"/>
      <c r="Q52" s="303"/>
      <c r="R52" s="303"/>
    </row>
    <row r="53" spans="1:18" s="304" customFormat="1" ht="20.25">
      <c r="A53" s="304" t="str">
        <f>+'料单 (4)'!L9</f>
        <v>L05浅灰</v>
      </c>
      <c r="B53" s="351"/>
      <c r="C53" s="351"/>
      <c r="D53" s="351"/>
      <c r="E53" s="351"/>
      <c r="F53" s="351"/>
      <c r="G53" s="351"/>
      <c r="H53" s="351"/>
      <c r="I53" s="351"/>
      <c r="J53" s="351"/>
      <c r="K53" s="351"/>
      <c r="L53" s="302"/>
      <c r="M53" s="303"/>
      <c r="N53" s="303"/>
      <c r="O53" s="303"/>
      <c r="P53" s="303"/>
      <c r="Q53" s="303"/>
      <c r="R53" s="303"/>
    </row>
    <row r="54" spans="1:18" s="304" customFormat="1" ht="20.25">
      <c r="A54" s="304" t="str">
        <f>+'料单 (4)'!L10</f>
        <v>L06卡布奇诺</v>
      </c>
      <c r="B54" s="351"/>
      <c r="C54" s="351"/>
      <c r="D54" s="351"/>
      <c r="E54" s="351"/>
      <c r="F54" s="351"/>
      <c r="G54" s="351"/>
      <c r="H54" s="351"/>
      <c r="I54" s="351"/>
      <c r="J54" s="351"/>
      <c r="K54" s="351"/>
      <c r="L54" s="302"/>
      <c r="M54" s="303"/>
      <c r="N54" s="303"/>
      <c r="O54" s="303"/>
      <c r="P54" s="303"/>
      <c r="Q54" s="303"/>
      <c r="R54" s="303"/>
    </row>
    <row r="55" spans="1:18" s="304" customFormat="1" ht="20.25">
      <c r="A55" s="304" t="str">
        <f>+'料单 (4)'!L11</f>
        <v>L11纯黑</v>
      </c>
      <c r="B55" s="351"/>
      <c r="C55" s="351"/>
      <c r="D55" s="351"/>
      <c r="E55" s="351"/>
      <c r="F55" s="351"/>
      <c r="G55" s="351"/>
      <c r="H55" s="351"/>
      <c r="I55" s="351"/>
      <c r="J55" s="351"/>
      <c r="K55" s="351"/>
      <c r="L55" s="302"/>
      <c r="M55" s="303"/>
      <c r="N55" s="303"/>
      <c r="O55" s="303"/>
      <c r="P55" s="303"/>
      <c r="Q55" s="303"/>
      <c r="R55" s="303"/>
    </row>
    <row r="56" spans="1:18" s="304" customFormat="1" ht="20.25">
      <c r="A56" s="304" t="str">
        <f>+'料单 (4)'!L12</f>
        <v>L12纯白</v>
      </c>
      <c r="B56" s="351"/>
      <c r="C56" s="351"/>
      <c r="D56" s="351"/>
      <c r="E56" s="351"/>
      <c r="F56" s="351"/>
      <c r="G56" s="351"/>
      <c r="H56" s="351"/>
      <c r="I56" s="351"/>
      <c r="J56" s="351"/>
      <c r="K56" s="351"/>
      <c r="L56" s="302"/>
      <c r="M56" s="303"/>
      <c r="N56" s="303"/>
      <c r="O56" s="303"/>
      <c r="P56" s="303"/>
      <c r="Q56" s="303"/>
      <c r="R56" s="303"/>
    </row>
    <row r="57" spans="1:18" s="304" customFormat="1" ht="20.25">
      <c r="A57" s="304" t="str">
        <f>+'料单 (4)'!L13</f>
        <v>G01珍珠白</v>
      </c>
      <c r="B57" s="351"/>
      <c r="C57" s="351"/>
      <c r="D57" s="351"/>
      <c r="E57" s="351"/>
      <c r="F57" s="351"/>
      <c r="G57" s="351"/>
      <c r="H57" s="351"/>
      <c r="I57" s="351"/>
      <c r="J57" s="351"/>
      <c r="K57" s="351"/>
      <c r="L57" s="302"/>
      <c r="M57" s="303"/>
      <c r="N57" s="303"/>
      <c r="O57" s="303"/>
      <c r="P57" s="303"/>
      <c r="Q57" s="303"/>
      <c r="R57" s="303"/>
    </row>
    <row r="58" spans="1:18" s="304" customFormat="1" ht="20.25">
      <c r="A58" s="304" t="str">
        <f>+'料单 (4)'!L14</f>
        <v>G02象牙白</v>
      </c>
      <c r="B58" s="351"/>
      <c r="C58" s="351"/>
      <c r="D58" s="351"/>
      <c r="E58" s="351"/>
      <c r="F58" s="351"/>
      <c r="G58" s="351"/>
      <c r="H58" s="351"/>
      <c r="I58" s="351"/>
      <c r="J58" s="351"/>
      <c r="K58" s="351"/>
      <c r="L58" s="302"/>
      <c r="M58" s="303"/>
      <c r="N58" s="303"/>
      <c r="O58" s="303"/>
      <c r="P58" s="303"/>
      <c r="Q58" s="303"/>
      <c r="R58" s="303"/>
    </row>
    <row r="59" spans="1:18" s="304" customFormat="1" ht="20.25">
      <c r="A59" s="304" t="str">
        <f>+'料单 (4)'!L15</f>
        <v>G06卡布奇诺</v>
      </c>
      <c r="B59" s="351"/>
      <c r="C59" s="351"/>
      <c r="D59" s="351"/>
      <c r="E59" s="351"/>
      <c r="F59" s="351"/>
      <c r="G59" s="351"/>
      <c r="H59" s="351"/>
      <c r="I59" s="351"/>
      <c r="J59" s="351"/>
      <c r="K59" s="351"/>
      <c r="L59" s="302"/>
      <c r="M59" s="303"/>
      <c r="N59" s="303"/>
      <c r="O59" s="303"/>
      <c r="P59" s="303"/>
      <c r="Q59" s="303"/>
      <c r="R59" s="303"/>
    </row>
    <row r="60" spans="1:18" s="304" customFormat="1" ht="20.25">
      <c r="A60" s="304" t="str">
        <f>+'料单 (4)'!L16</f>
        <v>G07深灰</v>
      </c>
      <c r="B60" s="351"/>
      <c r="C60" s="351"/>
      <c r="D60" s="351"/>
      <c r="E60" s="351"/>
      <c r="F60" s="351"/>
      <c r="G60" s="351"/>
      <c r="H60" s="351"/>
      <c r="I60" s="351"/>
      <c r="J60" s="351"/>
      <c r="K60" s="351"/>
      <c r="L60" s="302"/>
      <c r="M60" s="303"/>
      <c r="N60" s="303"/>
      <c r="O60" s="303"/>
      <c r="P60" s="303"/>
      <c r="Q60" s="303"/>
      <c r="R60" s="303"/>
    </row>
    <row r="61" spans="1:18" s="304" customFormat="1" ht="20.25">
      <c r="A61" s="304" t="str">
        <f>+'料单 (4)'!L17</f>
        <v>G08柠檬绿</v>
      </c>
      <c r="B61" s="351"/>
      <c r="C61" s="351"/>
      <c r="D61" s="351"/>
      <c r="E61" s="351"/>
      <c r="F61" s="351"/>
      <c r="G61" s="351"/>
      <c r="H61" s="351"/>
      <c r="I61" s="351"/>
      <c r="J61" s="351"/>
      <c r="K61" s="351"/>
      <c r="L61" s="302"/>
      <c r="M61" s="303"/>
      <c r="N61" s="303"/>
      <c r="O61" s="303"/>
      <c r="P61" s="303"/>
      <c r="Q61" s="303"/>
      <c r="R61" s="303"/>
    </row>
    <row r="62" spans="1:18" s="304" customFormat="1" ht="20.25">
      <c r="A62" s="304" t="str">
        <f>+'料单 (4)'!L18</f>
        <v>G09法拉利红</v>
      </c>
      <c r="B62" s="351"/>
      <c r="C62" s="351"/>
      <c r="D62" s="351"/>
      <c r="E62" s="351"/>
      <c r="F62" s="351"/>
      <c r="G62" s="351"/>
      <c r="H62" s="351"/>
      <c r="I62" s="351"/>
      <c r="J62" s="351"/>
      <c r="K62" s="351"/>
      <c r="L62" s="302"/>
      <c r="M62" s="303"/>
      <c r="N62" s="303"/>
      <c r="O62" s="303"/>
      <c r="P62" s="303"/>
      <c r="Q62" s="303"/>
      <c r="R62" s="303"/>
    </row>
    <row r="63" spans="1:18" s="304" customFormat="1" ht="20.25">
      <c r="A63" s="304" t="str">
        <f>+'料单 (4)'!L21</f>
        <v>G10酒红</v>
      </c>
      <c r="B63" s="351"/>
      <c r="C63" s="351"/>
      <c r="D63" s="351"/>
      <c r="E63" s="351"/>
      <c r="F63" s="351"/>
      <c r="G63" s="351"/>
      <c r="H63" s="351"/>
      <c r="I63" s="351"/>
      <c r="J63" s="351"/>
      <c r="K63" s="351"/>
      <c r="L63" s="302"/>
      <c r="M63" s="303"/>
      <c r="N63" s="303"/>
      <c r="O63" s="303"/>
      <c r="P63" s="303"/>
      <c r="Q63" s="303"/>
      <c r="R63" s="303"/>
    </row>
    <row r="64" spans="1:18" s="304" customFormat="1" ht="20.25">
      <c r="A64" s="304" t="str">
        <f>+'料单 (4)'!L22</f>
        <v>G11纯黑</v>
      </c>
      <c r="B64" s="351"/>
      <c r="C64" s="351"/>
      <c r="D64" s="351"/>
      <c r="E64" s="351"/>
      <c r="F64" s="351"/>
      <c r="G64" s="351"/>
      <c r="H64" s="351"/>
      <c r="I64" s="351"/>
      <c r="J64" s="351"/>
      <c r="K64" s="351"/>
      <c r="L64" s="302"/>
      <c r="M64" s="303"/>
      <c r="N64" s="303"/>
      <c r="O64" s="303"/>
      <c r="P64" s="303"/>
      <c r="Q64" s="303"/>
      <c r="R64" s="303"/>
    </row>
    <row r="65" spans="1:18" s="304" customFormat="1" ht="20.25">
      <c r="A65" s="304" t="str">
        <f>+'料单 (4)'!L23</f>
        <v>G12纯白</v>
      </c>
      <c r="B65" s="351"/>
      <c r="C65" s="351"/>
      <c r="D65" s="351"/>
      <c r="E65" s="351"/>
      <c r="F65" s="351"/>
      <c r="G65" s="351"/>
      <c r="H65" s="351"/>
      <c r="I65" s="351"/>
      <c r="J65" s="351"/>
      <c r="K65" s="351"/>
      <c r="L65" s="302"/>
      <c r="M65" s="303"/>
      <c r="N65" s="303"/>
      <c r="O65" s="303"/>
      <c r="P65" s="303"/>
      <c r="Q65" s="303"/>
      <c r="R65" s="303"/>
    </row>
    <row r="66" spans="1:18" s="304" customFormat="1" ht="20.25">
      <c r="A66" s="351"/>
      <c r="B66" s="351"/>
      <c r="C66" s="351"/>
      <c r="D66" s="351"/>
      <c r="E66" s="351"/>
      <c r="F66" s="351"/>
      <c r="G66" s="351"/>
      <c r="H66" s="351"/>
      <c r="I66" s="351"/>
      <c r="J66" s="351"/>
      <c r="K66" s="351"/>
      <c r="L66" s="302"/>
      <c r="M66" s="303"/>
      <c r="N66" s="303"/>
      <c r="O66" s="303"/>
      <c r="P66" s="303"/>
      <c r="Q66" s="303"/>
      <c r="R66" s="303"/>
    </row>
    <row r="67" spans="1:18" s="304" customFormat="1" ht="20.25">
      <c r="A67" s="351"/>
      <c r="B67" s="351"/>
      <c r="C67" s="351"/>
      <c r="D67" s="351"/>
      <c r="E67" s="351"/>
      <c r="F67" s="351"/>
      <c r="G67" s="351"/>
      <c r="H67" s="351"/>
      <c r="I67" s="351"/>
      <c r="J67" s="351"/>
      <c r="K67" s="351"/>
      <c r="L67" s="302"/>
      <c r="M67" s="303"/>
      <c r="N67" s="303"/>
      <c r="O67" s="303"/>
      <c r="P67" s="303"/>
      <c r="Q67" s="303"/>
      <c r="R67" s="303"/>
    </row>
    <row r="68" spans="1:18" s="304" customFormat="1" ht="20.25">
      <c r="A68" s="351"/>
      <c r="B68" s="351"/>
      <c r="C68" s="351"/>
      <c r="D68" s="351"/>
      <c r="E68" s="351"/>
      <c r="F68" s="351"/>
      <c r="G68" s="351"/>
      <c r="H68" s="351"/>
      <c r="I68" s="351"/>
      <c r="J68" s="351"/>
      <c r="K68" s="351"/>
      <c r="L68" s="302"/>
      <c r="M68" s="303"/>
      <c r="N68" s="303"/>
      <c r="O68" s="303"/>
      <c r="P68" s="303"/>
      <c r="Q68" s="303"/>
      <c r="R68" s="303"/>
    </row>
    <row r="69" spans="1:18" s="304" customFormat="1" ht="20.25">
      <c r="A69" s="351"/>
      <c r="B69" s="351"/>
      <c r="C69" s="351"/>
      <c r="D69" s="351"/>
      <c r="E69" s="351"/>
      <c r="F69" s="351"/>
      <c r="G69" s="351"/>
      <c r="H69" s="351"/>
      <c r="I69" s="351"/>
      <c r="J69" s="351"/>
      <c r="K69" s="351"/>
      <c r="L69" s="302"/>
      <c r="M69" s="303"/>
      <c r="N69" s="303"/>
      <c r="O69" s="303"/>
      <c r="P69" s="303"/>
      <c r="Q69" s="303"/>
      <c r="R69" s="303"/>
    </row>
    <row r="70" spans="1:18" s="304" customFormat="1" ht="20.25">
      <c r="A70" s="351"/>
      <c r="B70" s="351"/>
      <c r="C70" s="351"/>
      <c r="D70" s="351"/>
      <c r="E70" s="351"/>
      <c r="F70" s="351"/>
      <c r="G70" s="351"/>
      <c r="H70" s="351"/>
      <c r="I70" s="351"/>
      <c r="J70" s="351"/>
      <c r="K70" s="351"/>
      <c r="L70" s="302"/>
      <c r="M70" s="303"/>
      <c r="N70" s="303"/>
      <c r="O70" s="303"/>
      <c r="P70" s="303"/>
      <c r="Q70" s="303"/>
      <c r="R70" s="303"/>
    </row>
    <row r="71" spans="1:18" s="304" customFormat="1" ht="20.25">
      <c r="A71" s="351"/>
      <c r="B71" s="351"/>
      <c r="C71" s="351"/>
      <c r="D71" s="351"/>
      <c r="E71" s="351"/>
      <c r="F71" s="351"/>
      <c r="G71" s="351"/>
      <c r="H71" s="351"/>
      <c r="I71" s="351"/>
      <c r="J71" s="351"/>
      <c r="K71" s="351"/>
      <c r="L71" s="302"/>
      <c r="M71" s="303"/>
      <c r="N71" s="303"/>
      <c r="O71" s="303"/>
      <c r="P71" s="303"/>
      <c r="Q71" s="303"/>
      <c r="R71" s="303"/>
    </row>
    <row r="72" spans="1:18" s="304" customFormat="1" ht="20.25">
      <c r="A72" s="351"/>
      <c r="B72" s="351"/>
      <c r="C72" s="351"/>
      <c r="D72" s="351"/>
      <c r="E72" s="351"/>
      <c r="F72" s="351"/>
      <c r="G72" s="351"/>
      <c r="H72" s="351"/>
      <c r="I72" s="351"/>
      <c r="J72" s="351"/>
      <c r="K72" s="351"/>
      <c r="L72" s="302"/>
      <c r="M72" s="303"/>
      <c r="N72" s="303"/>
      <c r="O72" s="303"/>
      <c r="P72" s="303"/>
      <c r="Q72" s="303"/>
      <c r="R72" s="303"/>
    </row>
    <row r="73" spans="1:18" s="304" customFormat="1" ht="20.25">
      <c r="A73" s="351"/>
      <c r="B73" s="351"/>
      <c r="C73" s="351"/>
      <c r="D73" s="351"/>
      <c r="E73" s="351"/>
      <c r="F73" s="351"/>
      <c r="G73" s="351"/>
      <c r="H73" s="351"/>
      <c r="I73" s="351"/>
      <c r="J73" s="351"/>
      <c r="K73" s="351"/>
      <c r="L73" s="302"/>
      <c r="M73" s="303"/>
      <c r="N73" s="303"/>
      <c r="O73" s="303"/>
      <c r="P73" s="303"/>
      <c r="Q73" s="303"/>
      <c r="R73" s="303"/>
    </row>
    <row r="74" spans="1:18" s="304" customFormat="1" ht="20.25">
      <c r="A74" s="351"/>
      <c r="B74" s="351"/>
      <c r="C74" s="351"/>
      <c r="D74" s="351"/>
      <c r="E74" s="351"/>
      <c r="F74" s="351"/>
      <c r="G74" s="351"/>
      <c r="H74" s="351"/>
      <c r="I74" s="351"/>
      <c r="J74" s="351"/>
      <c r="K74" s="351"/>
      <c r="L74" s="302"/>
      <c r="M74" s="303"/>
      <c r="N74" s="303"/>
      <c r="O74" s="303"/>
      <c r="P74" s="303"/>
      <c r="Q74" s="303"/>
      <c r="R74" s="303"/>
    </row>
    <row r="75" spans="1:18" s="304" customFormat="1" ht="20.25">
      <c r="A75" s="351"/>
      <c r="B75" s="351"/>
      <c r="C75" s="351"/>
      <c r="D75" s="351"/>
      <c r="E75" s="351"/>
      <c r="F75" s="351"/>
      <c r="G75" s="351"/>
      <c r="H75" s="351"/>
      <c r="I75" s="351"/>
      <c r="J75" s="351"/>
      <c r="K75" s="351"/>
      <c r="L75" s="302"/>
      <c r="M75" s="303"/>
      <c r="N75" s="303"/>
      <c r="O75" s="303"/>
      <c r="P75" s="303"/>
      <c r="Q75" s="303"/>
      <c r="R75" s="303"/>
    </row>
    <row r="76" spans="1:18" s="304" customFormat="1" ht="20.25">
      <c r="A76" s="351"/>
      <c r="B76" s="351"/>
      <c r="C76" s="351"/>
      <c r="D76" s="351"/>
      <c r="E76" s="351"/>
      <c r="F76" s="351"/>
      <c r="G76" s="351"/>
      <c r="H76" s="351"/>
      <c r="I76" s="351"/>
      <c r="J76" s="351"/>
      <c r="K76" s="351"/>
      <c r="L76" s="302"/>
      <c r="M76" s="303"/>
      <c r="N76" s="303"/>
      <c r="O76" s="303"/>
      <c r="P76" s="303"/>
      <c r="Q76" s="303"/>
      <c r="R76" s="303"/>
    </row>
    <row r="77" spans="1:18" s="304" customFormat="1" ht="20.25">
      <c r="A77" s="351"/>
      <c r="B77" s="351"/>
      <c r="C77" s="351"/>
      <c r="D77" s="351"/>
      <c r="E77" s="351"/>
      <c r="F77" s="351"/>
      <c r="G77" s="351"/>
      <c r="H77" s="351"/>
      <c r="I77" s="351"/>
      <c r="J77" s="351"/>
      <c r="K77" s="351"/>
      <c r="L77" s="302"/>
      <c r="M77" s="303"/>
      <c r="N77" s="303"/>
      <c r="O77" s="303"/>
      <c r="P77" s="303"/>
      <c r="Q77" s="303"/>
      <c r="R77" s="303"/>
    </row>
    <row r="78" spans="1:18" s="304" customFormat="1" ht="20.25">
      <c r="A78" s="351"/>
      <c r="B78" s="351"/>
      <c r="C78" s="351"/>
      <c r="D78" s="351"/>
      <c r="E78" s="351"/>
      <c r="F78" s="351"/>
      <c r="G78" s="351"/>
      <c r="H78" s="351"/>
      <c r="I78" s="351"/>
      <c r="J78" s="351"/>
      <c r="K78" s="351"/>
      <c r="L78" s="302"/>
      <c r="M78" s="303"/>
      <c r="N78" s="303"/>
      <c r="O78" s="303"/>
      <c r="P78" s="303"/>
      <c r="Q78" s="303"/>
      <c r="R78" s="303"/>
    </row>
    <row r="79" spans="1:18" s="304" customFormat="1" ht="20.25">
      <c r="A79" s="351"/>
      <c r="B79" s="351"/>
      <c r="C79" s="351"/>
      <c r="D79" s="351"/>
      <c r="E79" s="351"/>
      <c r="F79" s="351"/>
      <c r="G79" s="351"/>
      <c r="H79" s="351"/>
      <c r="I79" s="351"/>
      <c r="J79" s="351"/>
      <c r="K79" s="351"/>
      <c r="L79" s="302"/>
      <c r="M79" s="303"/>
      <c r="N79" s="303"/>
      <c r="O79" s="303"/>
      <c r="P79" s="303"/>
      <c r="Q79" s="303"/>
      <c r="R79" s="303"/>
    </row>
    <row r="80" spans="1:18" s="304" customFormat="1" ht="20.25">
      <c r="A80" s="351"/>
      <c r="B80" s="351"/>
      <c r="C80" s="351"/>
      <c r="D80" s="351"/>
      <c r="E80" s="351"/>
      <c r="F80" s="351"/>
      <c r="G80" s="351"/>
      <c r="H80" s="351"/>
      <c r="I80" s="351"/>
      <c r="J80" s="351"/>
      <c r="K80" s="351"/>
      <c r="L80" s="302"/>
      <c r="M80" s="303"/>
      <c r="N80" s="303"/>
      <c r="O80" s="303"/>
      <c r="P80" s="303"/>
      <c r="Q80" s="303"/>
      <c r="R80" s="303"/>
    </row>
    <row r="81" spans="1:18" s="304" customFormat="1" ht="20.25">
      <c r="A81" s="351"/>
      <c r="B81" s="351"/>
      <c r="C81" s="351"/>
      <c r="D81" s="351"/>
      <c r="E81" s="351"/>
      <c r="F81" s="351"/>
      <c r="G81" s="351"/>
      <c r="H81" s="351"/>
      <c r="I81" s="351"/>
      <c r="J81" s="351"/>
      <c r="K81" s="351"/>
      <c r="L81" s="302"/>
      <c r="M81" s="303"/>
      <c r="N81" s="303"/>
      <c r="O81" s="303"/>
      <c r="P81" s="303"/>
      <c r="Q81" s="303"/>
      <c r="R81" s="303"/>
    </row>
    <row r="82" spans="1:18" s="304" customFormat="1" ht="20.25">
      <c r="A82" s="351"/>
      <c r="B82" s="351"/>
      <c r="C82" s="351"/>
      <c r="D82" s="351"/>
      <c r="E82" s="351"/>
      <c r="F82" s="351"/>
      <c r="G82" s="351"/>
      <c r="H82" s="351"/>
      <c r="I82" s="351"/>
      <c r="J82" s="351"/>
      <c r="K82" s="351"/>
      <c r="L82" s="302"/>
      <c r="M82" s="303"/>
      <c r="N82" s="303"/>
      <c r="O82" s="303"/>
      <c r="P82" s="303"/>
      <c r="Q82" s="303"/>
      <c r="R82" s="303"/>
    </row>
    <row r="83" spans="1:18" s="304" customFormat="1" ht="20.25">
      <c r="A83" s="351"/>
      <c r="B83" s="351"/>
      <c r="C83" s="351"/>
      <c r="D83" s="351"/>
      <c r="E83" s="351"/>
      <c r="F83" s="351"/>
      <c r="G83" s="351"/>
      <c r="H83" s="351"/>
      <c r="I83" s="351"/>
      <c r="J83" s="351"/>
      <c r="K83" s="351"/>
      <c r="L83" s="302"/>
      <c r="M83" s="303"/>
      <c r="N83" s="303"/>
      <c r="O83" s="303"/>
      <c r="P83" s="303"/>
      <c r="Q83" s="303"/>
      <c r="R83" s="303"/>
    </row>
    <row r="84" spans="1:18" s="304" customFormat="1" ht="20.25">
      <c r="A84" s="351"/>
      <c r="B84" s="351"/>
      <c r="C84" s="351"/>
      <c r="D84" s="351"/>
      <c r="E84" s="351"/>
      <c r="F84" s="351"/>
      <c r="G84" s="351"/>
      <c r="H84" s="351"/>
      <c r="I84" s="351"/>
      <c r="J84" s="351"/>
      <c r="K84" s="351"/>
      <c r="L84" s="302"/>
      <c r="M84" s="303"/>
      <c r="N84" s="303"/>
      <c r="O84" s="303"/>
      <c r="P84" s="303"/>
      <c r="Q84" s="303"/>
      <c r="R84" s="303"/>
    </row>
    <row r="85" spans="1:18" s="304" customFormat="1" ht="20.25">
      <c r="A85" s="351"/>
      <c r="B85" s="351"/>
      <c r="C85" s="351"/>
      <c r="D85" s="351"/>
      <c r="E85" s="351"/>
      <c r="F85" s="351"/>
      <c r="G85" s="351"/>
      <c r="H85" s="351"/>
      <c r="I85" s="351"/>
      <c r="J85" s="351"/>
      <c r="K85" s="351"/>
      <c r="L85" s="302"/>
      <c r="M85" s="303"/>
      <c r="N85" s="303"/>
      <c r="O85" s="303"/>
      <c r="P85" s="303"/>
      <c r="Q85" s="303"/>
      <c r="R85" s="303"/>
    </row>
    <row r="86" spans="1:18" s="304" customFormat="1" ht="20.25">
      <c r="A86" s="351"/>
      <c r="B86" s="351"/>
      <c r="C86" s="351"/>
      <c r="D86" s="351"/>
      <c r="E86" s="351"/>
      <c r="F86" s="351"/>
      <c r="G86" s="351"/>
      <c r="H86" s="351"/>
      <c r="I86" s="351"/>
      <c r="J86" s="351"/>
      <c r="K86" s="351"/>
      <c r="L86" s="302"/>
      <c r="M86" s="303"/>
      <c r="N86" s="303"/>
      <c r="O86" s="303"/>
      <c r="P86" s="303"/>
      <c r="Q86" s="303"/>
      <c r="R86" s="303"/>
    </row>
    <row r="87" spans="1:18" s="304" customFormat="1" ht="20.25">
      <c r="A87" s="351"/>
      <c r="B87" s="351"/>
      <c r="C87" s="351"/>
      <c r="D87" s="351"/>
      <c r="E87" s="351"/>
      <c r="F87" s="351"/>
      <c r="G87" s="351"/>
      <c r="H87" s="351"/>
      <c r="I87" s="351"/>
      <c r="J87" s="351"/>
      <c r="K87" s="351"/>
      <c r="L87" s="302"/>
      <c r="M87" s="303"/>
      <c r="N87" s="303"/>
      <c r="O87" s="303"/>
      <c r="P87" s="303"/>
      <c r="Q87" s="303"/>
      <c r="R87" s="303"/>
    </row>
    <row r="88" spans="1:18" s="304" customFormat="1" ht="20.25">
      <c r="A88" s="351"/>
      <c r="B88" s="351"/>
      <c r="C88" s="351"/>
      <c r="D88" s="351"/>
      <c r="E88" s="351"/>
      <c r="F88" s="351"/>
      <c r="G88" s="351"/>
      <c r="H88" s="351"/>
      <c r="I88" s="351"/>
      <c r="J88" s="351"/>
      <c r="K88" s="351"/>
      <c r="L88" s="302"/>
      <c r="M88" s="303"/>
      <c r="N88" s="303"/>
      <c r="O88" s="303"/>
      <c r="P88" s="303"/>
      <c r="Q88" s="303"/>
      <c r="R88" s="303"/>
    </row>
    <row r="89" spans="1:18" s="304" customFormat="1" ht="20.25">
      <c r="A89" s="351"/>
      <c r="B89" s="351"/>
      <c r="C89" s="351"/>
      <c r="D89" s="351"/>
      <c r="E89" s="351"/>
      <c r="F89" s="351"/>
      <c r="G89" s="351"/>
      <c r="H89" s="351"/>
      <c r="I89" s="351"/>
      <c r="J89" s="351"/>
      <c r="K89" s="351"/>
      <c r="L89" s="302"/>
      <c r="M89" s="303"/>
      <c r="N89" s="303"/>
      <c r="O89" s="303"/>
      <c r="P89" s="303"/>
      <c r="Q89" s="303"/>
      <c r="R89" s="303"/>
    </row>
    <row r="90" spans="1:18" s="304" customFormat="1" ht="20.25">
      <c r="A90" s="351"/>
      <c r="B90" s="351"/>
      <c r="C90" s="351"/>
      <c r="D90" s="351"/>
      <c r="E90" s="351"/>
      <c r="F90" s="351"/>
      <c r="G90" s="351"/>
      <c r="H90" s="351"/>
      <c r="I90" s="351"/>
      <c r="J90" s="351"/>
      <c r="K90" s="351"/>
      <c r="L90" s="302"/>
      <c r="M90" s="303"/>
      <c r="N90" s="303"/>
      <c r="O90" s="303"/>
      <c r="P90" s="303"/>
      <c r="Q90" s="303"/>
      <c r="R90" s="303"/>
    </row>
    <row r="91" spans="1:18" s="304" customFormat="1" ht="20.25">
      <c r="A91" s="351"/>
      <c r="B91" s="351"/>
      <c r="C91" s="351"/>
      <c r="D91" s="351"/>
      <c r="E91" s="351"/>
      <c r="F91" s="351"/>
      <c r="G91" s="351"/>
      <c r="H91" s="351"/>
      <c r="I91" s="351"/>
      <c r="J91" s="351"/>
      <c r="K91" s="351"/>
      <c r="L91" s="302"/>
      <c r="M91" s="303"/>
      <c r="N91" s="303"/>
      <c r="O91" s="303"/>
      <c r="P91" s="303"/>
      <c r="Q91" s="303"/>
      <c r="R91" s="303"/>
    </row>
    <row r="92" spans="1:18" s="304" customFormat="1" ht="20.25">
      <c r="A92" s="351"/>
      <c r="B92" s="351"/>
      <c r="C92" s="351"/>
      <c r="D92" s="351"/>
      <c r="E92" s="351"/>
      <c r="F92" s="351"/>
      <c r="G92" s="351"/>
      <c r="H92" s="351"/>
      <c r="I92" s="351"/>
      <c r="J92" s="351"/>
      <c r="K92" s="351"/>
      <c r="L92" s="302"/>
      <c r="M92" s="303"/>
      <c r="N92" s="303"/>
      <c r="O92" s="303"/>
      <c r="P92" s="303"/>
      <c r="Q92" s="303"/>
      <c r="R92" s="303"/>
    </row>
    <row r="93" spans="1:18" s="304" customFormat="1" ht="20.25">
      <c r="A93" s="351"/>
      <c r="B93" s="351"/>
      <c r="C93" s="351"/>
      <c r="D93" s="351"/>
      <c r="E93" s="351"/>
      <c r="F93" s="351"/>
      <c r="G93" s="351"/>
      <c r="H93" s="351"/>
      <c r="I93" s="351"/>
      <c r="J93" s="351"/>
      <c r="K93" s="351"/>
      <c r="L93" s="302"/>
      <c r="M93" s="303"/>
      <c r="N93" s="303"/>
      <c r="O93" s="303"/>
      <c r="P93" s="303"/>
      <c r="Q93" s="303"/>
      <c r="R93" s="303"/>
    </row>
    <row r="94" spans="1:18" s="304" customFormat="1" ht="20.25">
      <c r="A94" s="351"/>
      <c r="B94" s="351"/>
      <c r="C94" s="351"/>
      <c r="D94" s="351"/>
      <c r="E94" s="351"/>
      <c r="F94" s="351"/>
      <c r="G94" s="351"/>
      <c r="H94" s="351"/>
      <c r="I94" s="351"/>
      <c r="J94" s="351"/>
      <c r="K94" s="351"/>
      <c r="L94" s="302"/>
      <c r="M94" s="303"/>
      <c r="N94" s="303"/>
      <c r="O94" s="303"/>
      <c r="P94" s="303"/>
      <c r="Q94" s="303"/>
      <c r="R94" s="303"/>
    </row>
    <row r="95" spans="1:18" s="304" customFormat="1" ht="20.25">
      <c r="A95" s="351"/>
      <c r="B95" s="351"/>
      <c r="C95" s="351"/>
      <c r="D95" s="351"/>
      <c r="E95" s="351"/>
      <c r="F95" s="351"/>
      <c r="G95" s="351"/>
      <c r="H95" s="351"/>
      <c r="I95" s="351"/>
      <c r="J95" s="351"/>
      <c r="K95" s="351"/>
      <c r="L95" s="302"/>
      <c r="M95" s="303"/>
      <c r="N95" s="303"/>
      <c r="O95" s="303"/>
      <c r="P95" s="303"/>
      <c r="Q95" s="303"/>
      <c r="R95" s="303"/>
    </row>
    <row r="96" spans="1:18" s="304" customFormat="1" ht="20.25">
      <c r="A96" s="351"/>
      <c r="B96" s="351"/>
      <c r="C96" s="351"/>
      <c r="D96" s="351"/>
      <c r="E96" s="351"/>
      <c r="F96" s="351"/>
      <c r="G96" s="351"/>
      <c r="H96" s="351"/>
      <c r="I96" s="351"/>
      <c r="J96" s="351"/>
      <c r="K96" s="351"/>
      <c r="L96" s="302"/>
      <c r="M96" s="303"/>
      <c r="N96" s="303"/>
      <c r="O96" s="303"/>
      <c r="P96" s="303"/>
      <c r="Q96" s="303"/>
      <c r="R96" s="303"/>
    </row>
    <row r="97" spans="1:18" s="304" customFormat="1" ht="20.25">
      <c r="A97" s="351"/>
      <c r="B97" s="351"/>
      <c r="C97" s="351"/>
      <c r="D97" s="351"/>
      <c r="E97" s="351"/>
      <c r="F97" s="351"/>
      <c r="G97" s="351"/>
      <c r="H97" s="351"/>
      <c r="I97" s="351"/>
      <c r="J97" s="351"/>
      <c r="K97" s="351"/>
      <c r="L97" s="302"/>
      <c r="M97" s="303"/>
      <c r="N97" s="303"/>
      <c r="O97" s="303"/>
      <c r="P97" s="303"/>
      <c r="Q97" s="303"/>
      <c r="R97" s="303"/>
    </row>
    <row r="98" spans="1:18" s="304" customFormat="1" ht="20.25">
      <c r="A98" s="351"/>
      <c r="B98" s="351"/>
      <c r="C98" s="351"/>
      <c r="D98" s="351"/>
      <c r="E98" s="351"/>
      <c r="F98" s="351"/>
      <c r="G98" s="351"/>
      <c r="H98" s="351"/>
      <c r="I98" s="351"/>
      <c r="J98" s="351"/>
      <c r="K98" s="351"/>
      <c r="L98" s="302"/>
      <c r="M98" s="303"/>
      <c r="N98" s="303"/>
      <c r="O98" s="303"/>
      <c r="P98" s="303"/>
      <c r="Q98" s="303"/>
      <c r="R98" s="303"/>
    </row>
    <row r="99" spans="1:18" s="304" customFormat="1" ht="20.25">
      <c r="A99" s="351"/>
      <c r="B99" s="351"/>
      <c r="C99" s="351"/>
      <c r="D99" s="351"/>
      <c r="E99" s="351"/>
      <c r="F99" s="351"/>
      <c r="G99" s="351"/>
      <c r="H99" s="351"/>
      <c r="I99" s="351"/>
      <c r="J99" s="351"/>
      <c r="K99" s="351"/>
      <c r="L99" s="302"/>
      <c r="M99" s="303"/>
      <c r="N99" s="303"/>
      <c r="O99" s="303"/>
      <c r="P99" s="303"/>
      <c r="Q99" s="303"/>
      <c r="R99" s="303"/>
    </row>
    <row r="100" spans="1:18" s="304" customFormat="1" ht="20.25">
      <c r="A100" s="351"/>
      <c r="B100" s="351"/>
      <c r="C100" s="351"/>
      <c r="D100" s="351"/>
      <c r="E100" s="351"/>
      <c r="F100" s="351"/>
      <c r="G100" s="351"/>
      <c r="H100" s="351"/>
      <c r="I100" s="351"/>
      <c r="J100" s="351"/>
      <c r="K100" s="351"/>
      <c r="L100" s="302"/>
      <c r="M100" s="303"/>
      <c r="N100" s="303"/>
      <c r="O100" s="303"/>
      <c r="P100" s="303"/>
      <c r="Q100" s="303"/>
      <c r="R100" s="303"/>
    </row>
    <row r="101" spans="1:18" s="304" customFormat="1" ht="20.25">
      <c r="A101" s="351"/>
      <c r="B101" s="351"/>
      <c r="C101" s="351"/>
      <c r="D101" s="351"/>
      <c r="E101" s="351"/>
      <c r="F101" s="351"/>
      <c r="G101" s="351"/>
      <c r="H101" s="351"/>
      <c r="I101" s="351"/>
      <c r="J101" s="351"/>
      <c r="K101" s="351"/>
      <c r="L101" s="302"/>
      <c r="M101" s="303"/>
      <c r="N101" s="303"/>
      <c r="O101" s="303"/>
      <c r="P101" s="303"/>
      <c r="Q101" s="303"/>
      <c r="R101" s="303"/>
    </row>
    <row r="102" spans="1:18" s="304" customFormat="1" ht="20.25">
      <c r="A102" s="351"/>
      <c r="B102" s="351"/>
      <c r="C102" s="351"/>
      <c r="D102" s="351"/>
      <c r="E102" s="351"/>
      <c r="F102" s="351"/>
      <c r="G102" s="351"/>
      <c r="H102" s="351"/>
      <c r="I102" s="351"/>
      <c r="J102" s="351"/>
      <c r="K102" s="351"/>
      <c r="L102" s="302"/>
      <c r="M102" s="303"/>
      <c r="N102" s="303"/>
      <c r="O102" s="303"/>
      <c r="P102" s="303"/>
      <c r="Q102" s="303"/>
      <c r="R102" s="303"/>
    </row>
    <row r="103" spans="1:18" s="304" customFormat="1" ht="20.25">
      <c r="A103" s="351"/>
      <c r="B103" s="351"/>
      <c r="C103" s="351"/>
      <c r="D103" s="351"/>
      <c r="E103" s="351"/>
      <c r="F103" s="351"/>
      <c r="G103" s="351"/>
      <c r="H103" s="351"/>
      <c r="I103" s="351"/>
      <c r="J103" s="351"/>
      <c r="K103" s="351"/>
      <c r="L103" s="302"/>
      <c r="M103" s="303"/>
      <c r="N103" s="303"/>
      <c r="O103" s="303"/>
      <c r="P103" s="303"/>
      <c r="Q103" s="303"/>
      <c r="R103" s="303"/>
    </row>
    <row r="104" spans="1:18" s="304" customFormat="1" ht="20.25">
      <c r="A104" s="351"/>
      <c r="B104" s="351"/>
      <c r="C104" s="351"/>
      <c r="D104" s="351"/>
      <c r="E104" s="351"/>
      <c r="F104" s="351"/>
      <c r="G104" s="351"/>
      <c r="H104" s="351"/>
      <c r="I104" s="351"/>
      <c r="J104" s="351"/>
      <c r="K104" s="351"/>
      <c r="L104" s="302"/>
      <c r="M104" s="303"/>
      <c r="N104" s="303"/>
      <c r="O104" s="303"/>
      <c r="P104" s="303"/>
      <c r="Q104" s="303"/>
      <c r="R104" s="303"/>
    </row>
    <row r="105" spans="1:18" s="304" customFormat="1" ht="20.25">
      <c r="A105" s="351"/>
      <c r="B105" s="351"/>
      <c r="C105" s="351"/>
      <c r="D105" s="351"/>
      <c r="E105" s="351"/>
      <c r="F105" s="351"/>
      <c r="G105" s="351"/>
      <c r="H105" s="351"/>
      <c r="I105" s="351"/>
      <c r="J105" s="351"/>
      <c r="K105" s="351"/>
      <c r="L105" s="302"/>
      <c r="M105" s="303"/>
      <c r="N105" s="303"/>
      <c r="O105" s="303"/>
      <c r="P105" s="303"/>
      <c r="Q105" s="303"/>
      <c r="R105" s="303"/>
    </row>
    <row r="106" spans="1:18" s="304" customFormat="1" ht="20.25">
      <c r="A106" s="351"/>
      <c r="B106" s="351"/>
      <c r="C106" s="351"/>
      <c r="D106" s="351"/>
      <c r="E106" s="351"/>
      <c r="F106" s="351"/>
      <c r="G106" s="351"/>
      <c r="H106" s="351"/>
      <c r="I106" s="351"/>
      <c r="J106" s="351"/>
      <c r="K106" s="351"/>
      <c r="L106" s="302"/>
      <c r="M106" s="303"/>
      <c r="N106" s="303"/>
      <c r="O106" s="303"/>
      <c r="P106" s="303"/>
      <c r="Q106" s="303"/>
      <c r="R106" s="303"/>
    </row>
    <row r="107" spans="1:18" s="304" customFormat="1" ht="20.25">
      <c r="A107" s="351"/>
      <c r="B107" s="351"/>
      <c r="C107" s="351"/>
      <c r="D107" s="351"/>
      <c r="E107" s="351"/>
      <c r="F107" s="351"/>
      <c r="G107" s="351"/>
      <c r="H107" s="351"/>
      <c r="I107" s="351"/>
      <c r="J107" s="351"/>
      <c r="K107" s="351"/>
      <c r="L107" s="302"/>
      <c r="M107" s="303"/>
      <c r="N107" s="303"/>
      <c r="O107" s="303"/>
      <c r="P107" s="303"/>
      <c r="Q107" s="303"/>
      <c r="R107" s="303"/>
    </row>
    <row r="108" spans="1:18" s="304" customFormat="1" ht="20.25">
      <c r="A108" s="351"/>
      <c r="B108" s="351"/>
      <c r="C108" s="351"/>
      <c r="D108" s="351"/>
      <c r="E108" s="351"/>
      <c r="F108" s="351"/>
      <c r="G108" s="351"/>
      <c r="H108" s="351"/>
      <c r="I108" s="351"/>
      <c r="J108" s="351"/>
      <c r="K108" s="351"/>
      <c r="L108" s="302"/>
      <c r="M108" s="303"/>
      <c r="N108" s="303"/>
      <c r="O108" s="303"/>
      <c r="P108" s="303"/>
      <c r="Q108" s="303"/>
      <c r="R108" s="303"/>
    </row>
    <row r="109" spans="1:18" s="304" customFormat="1" ht="20.25">
      <c r="A109" s="351"/>
      <c r="B109" s="351"/>
      <c r="C109" s="351"/>
      <c r="D109" s="351"/>
      <c r="E109" s="351"/>
      <c r="F109" s="351"/>
      <c r="G109" s="351"/>
      <c r="H109" s="351"/>
      <c r="I109" s="351"/>
      <c r="J109" s="351"/>
      <c r="K109" s="351"/>
      <c r="L109" s="302"/>
      <c r="M109" s="303"/>
      <c r="N109" s="303"/>
      <c r="O109" s="303"/>
      <c r="P109" s="303"/>
      <c r="Q109" s="303"/>
      <c r="R109" s="303"/>
    </row>
    <row r="110" spans="1:18" s="304" customFormat="1" ht="20.25">
      <c r="A110" s="351"/>
      <c r="B110" s="351"/>
      <c r="C110" s="351"/>
      <c r="D110" s="351"/>
      <c r="E110" s="351"/>
      <c r="F110" s="351"/>
      <c r="G110" s="351"/>
      <c r="H110" s="351"/>
      <c r="I110" s="351"/>
      <c r="J110" s="351"/>
      <c r="K110" s="351"/>
      <c r="L110" s="302"/>
      <c r="M110" s="303"/>
      <c r="N110" s="303"/>
      <c r="O110" s="303"/>
      <c r="P110" s="303"/>
      <c r="Q110" s="303"/>
      <c r="R110" s="303"/>
    </row>
    <row r="111" spans="1:18" s="304" customFormat="1" ht="20.25">
      <c r="A111" s="351"/>
      <c r="B111" s="351"/>
      <c r="C111" s="351"/>
      <c r="D111" s="351"/>
      <c r="E111" s="351"/>
      <c r="F111" s="351"/>
      <c r="G111" s="351"/>
      <c r="H111" s="351"/>
      <c r="I111" s="351"/>
      <c r="J111" s="351"/>
      <c r="K111" s="351"/>
      <c r="L111" s="302"/>
      <c r="M111" s="303"/>
      <c r="N111" s="303"/>
      <c r="O111" s="303"/>
      <c r="P111" s="303"/>
      <c r="Q111" s="303"/>
      <c r="R111" s="303"/>
    </row>
    <row r="112" spans="1:18" s="304" customFormat="1" ht="20.25">
      <c r="A112" s="351"/>
      <c r="B112" s="351"/>
      <c r="C112" s="351"/>
      <c r="D112" s="351"/>
      <c r="E112" s="351"/>
      <c r="F112" s="351"/>
      <c r="G112" s="351"/>
      <c r="H112" s="351"/>
      <c r="I112" s="351"/>
      <c r="J112" s="351"/>
      <c r="K112" s="351"/>
      <c r="L112" s="302"/>
      <c r="M112" s="303"/>
      <c r="N112" s="303"/>
      <c r="O112" s="303"/>
      <c r="P112" s="303"/>
      <c r="Q112" s="303"/>
      <c r="R112" s="303"/>
    </row>
    <row r="113" spans="1:18" s="304" customFormat="1" ht="20.25">
      <c r="A113" s="351"/>
      <c r="B113" s="351"/>
      <c r="C113" s="351"/>
      <c r="D113" s="351"/>
      <c r="E113" s="351"/>
      <c r="F113" s="351"/>
      <c r="G113" s="351"/>
      <c r="H113" s="351"/>
      <c r="I113" s="351"/>
      <c r="J113" s="351"/>
      <c r="K113" s="351"/>
      <c r="L113" s="302"/>
      <c r="M113" s="303"/>
      <c r="N113" s="303"/>
      <c r="O113" s="303"/>
      <c r="P113" s="303"/>
      <c r="Q113" s="303"/>
      <c r="R113" s="303"/>
    </row>
    <row r="114" spans="1:18" s="304" customFormat="1" ht="20.25">
      <c r="A114" s="351"/>
      <c r="B114" s="351"/>
      <c r="C114" s="351"/>
      <c r="D114" s="351"/>
      <c r="E114" s="351"/>
      <c r="F114" s="351"/>
      <c r="G114" s="351"/>
      <c r="H114" s="351"/>
      <c r="I114" s="351"/>
      <c r="J114" s="351"/>
      <c r="K114" s="351"/>
      <c r="L114" s="302"/>
      <c r="M114" s="303"/>
      <c r="N114" s="303"/>
      <c r="O114" s="303"/>
      <c r="P114" s="303"/>
      <c r="Q114" s="303"/>
      <c r="R114" s="303"/>
    </row>
    <row r="115" spans="1:18" s="304" customFormat="1" ht="20.25">
      <c r="A115" s="351"/>
      <c r="B115" s="351"/>
      <c r="C115" s="351"/>
      <c r="D115" s="351"/>
      <c r="E115" s="351"/>
      <c r="F115" s="351"/>
      <c r="G115" s="351"/>
      <c r="H115" s="351"/>
      <c r="I115" s="351"/>
      <c r="J115" s="351"/>
      <c r="K115" s="351"/>
      <c r="L115" s="302"/>
      <c r="M115" s="303"/>
      <c r="N115" s="303"/>
      <c r="O115" s="303"/>
      <c r="P115" s="303"/>
      <c r="Q115" s="303"/>
      <c r="R115" s="303"/>
    </row>
    <row r="116" spans="1:18" s="304" customFormat="1" ht="20.25">
      <c r="A116" s="351"/>
      <c r="B116" s="351"/>
      <c r="C116" s="351"/>
      <c r="D116" s="351"/>
      <c r="E116" s="351"/>
      <c r="F116" s="351"/>
      <c r="G116" s="351"/>
      <c r="H116" s="351"/>
      <c r="I116" s="351"/>
      <c r="J116" s="351"/>
      <c r="K116" s="351"/>
      <c r="L116" s="302"/>
      <c r="M116" s="303"/>
      <c r="N116" s="303"/>
      <c r="O116" s="303"/>
      <c r="P116" s="303"/>
      <c r="Q116" s="303"/>
      <c r="R116" s="303"/>
    </row>
    <row r="117" spans="1:18" s="304" customFormat="1" ht="20.25">
      <c r="A117" s="351"/>
      <c r="B117" s="351"/>
      <c r="C117" s="351"/>
      <c r="D117" s="351"/>
      <c r="E117" s="351"/>
      <c r="F117" s="351"/>
      <c r="G117" s="351"/>
      <c r="H117" s="351"/>
      <c r="I117" s="351"/>
      <c r="J117" s="351"/>
      <c r="K117" s="351"/>
      <c r="L117" s="302"/>
      <c r="M117" s="303"/>
      <c r="N117" s="303"/>
      <c r="O117" s="303"/>
      <c r="P117" s="303"/>
      <c r="Q117" s="303"/>
      <c r="R117" s="303"/>
    </row>
    <row r="118" spans="1:18" s="304" customFormat="1" ht="20.25">
      <c r="A118" s="351"/>
      <c r="B118" s="351"/>
      <c r="C118" s="351"/>
      <c r="D118" s="351"/>
      <c r="E118" s="351"/>
      <c r="F118" s="351"/>
      <c r="G118" s="351"/>
      <c r="H118" s="351"/>
      <c r="I118" s="351"/>
      <c r="J118" s="351"/>
      <c r="K118" s="351"/>
      <c r="L118" s="302"/>
      <c r="M118" s="303"/>
      <c r="N118" s="303"/>
      <c r="O118" s="303"/>
      <c r="P118" s="303"/>
      <c r="Q118" s="303"/>
      <c r="R118" s="303"/>
    </row>
    <row r="119" spans="1:18" s="304" customFormat="1" ht="20.25">
      <c r="A119" s="351"/>
      <c r="B119" s="351"/>
      <c r="C119" s="351"/>
      <c r="D119" s="351"/>
      <c r="E119" s="351"/>
      <c r="F119" s="351"/>
      <c r="G119" s="351"/>
      <c r="H119" s="351"/>
      <c r="I119" s="351"/>
      <c r="J119" s="351"/>
      <c r="K119" s="351"/>
      <c r="L119" s="302"/>
      <c r="M119" s="303"/>
      <c r="N119" s="303"/>
      <c r="O119" s="303"/>
      <c r="P119" s="303"/>
      <c r="Q119" s="303"/>
      <c r="R119" s="303"/>
    </row>
    <row r="120" spans="1:18" s="304" customFormat="1" ht="20.25">
      <c r="A120" s="351"/>
      <c r="B120" s="351"/>
      <c r="C120" s="351"/>
      <c r="D120" s="351"/>
      <c r="E120" s="351"/>
      <c r="F120" s="351"/>
      <c r="G120" s="351"/>
      <c r="H120" s="351"/>
      <c r="I120" s="351"/>
      <c r="J120" s="351"/>
      <c r="K120" s="351"/>
      <c r="L120" s="302"/>
      <c r="M120" s="303"/>
      <c r="N120" s="303"/>
      <c r="O120" s="303"/>
      <c r="P120" s="303"/>
      <c r="Q120" s="303"/>
      <c r="R120" s="303"/>
    </row>
    <row r="121" spans="1:18" s="304" customFormat="1" ht="20.25">
      <c r="A121" s="351"/>
      <c r="B121" s="351"/>
      <c r="C121" s="351"/>
      <c r="D121" s="351"/>
      <c r="E121" s="351"/>
      <c r="F121" s="351"/>
      <c r="G121" s="351"/>
      <c r="H121" s="351"/>
      <c r="I121" s="351"/>
      <c r="J121" s="351"/>
      <c r="K121" s="351"/>
      <c r="L121" s="302"/>
      <c r="M121" s="303"/>
      <c r="N121" s="303"/>
      <c r="O121" s="303"/>
      <c r="P121" s="303"/>
      <c r="Q121" s="303"/>
      <c r="R121" s="303"/>
    </row>
    <row r="122" spans="1:18" s="304" customFormat="1" ht="20.25">
      <c r="A122" s="351"/>
      <c r="B122" s="351"/>
      <c r="C122" s="351"/>
      <c r="D122" s="351"/>
      <c r="E122" s="351"/>
      <c r="F122" s="351"/>
      <c r="G122" s="351"/>
      <c r="H122" s="351"/>
      <c r="I122" s="351"/>
      <c r="J122" s="351"/>
      <c r="K122" s="351"/>
      <c r="L122" s="302"/>
      <c r="M122" s="303"/>
      <c r="N122" s="303"/>
      <c r="O122" s="303"/>
      <c r="P122" s="303"/>
      <c r="Q122" s="303"/>
      <c r="R122" s="303"/>
    </row>
    <row r="123" spans="1:18" ht="20.25">
      <c r="A123" s="345"/>
      <c r="B123" s="345"/>
      <c r="C123" s="345"/>
      <c r="D123" s="345"/>
      <c r="E123" s="345"/>
      <c r="F123" s="345"/>
      <c r="G123" s="345"/>
      <c r="H123" s="345"/>
      <c r="I123" s="345"/>
      <c r="J123" s="345"/>
      <c r="K123" s="345"/>
    </row>
    <row r="124" spans="1:18" ht="20.25">
      <c r="A124" s="345"/>
      <c r="B124" s="345"/>
      <c r="C124" s="345"/>
      <c r="D124" s="345"/>
      <c r="E124" s="345"/>
      <c r="F124" s="345"/>
      <c r="G124" s="345"/>
      <c r="H124" s="345"/>
      <c r="I124" s="345"/>
      <c r="J124" s="345"/>
      <c r="K124" s="345"/>
    </row>
    <row r="125" spans="1:18" ht="20.25">
      <c r="A125" s="345"/>
      <c r="B125" s="345"/>
      <c r="C125" s="345"/>
      <c r="D125" s="345"/>
      <c r="E125" s="345"/>
      <c r="F125" s="345"/>
      <c r="G125" s="345"/>
      <c r="H125" s="345"/>
      <c r="I125" s="345"/>
      <c r="J125" s="345"/>
      <c r="K125" s="345"/>
    </row>
    <row r="126" spans="1:18" ht="20.25">
      <c r="A126" s="345"/>
      <c r="B126" s="345"/>
      <c r="C126" s="345"/>
      <c r="D126" s="345"/>
      <c r="E126" s="345"/>
      <c r="F126" s="345"/>
      <c r="G126" s="345"/>
      <c r="H126" s="345"/>
      <c r="I126" s="345"/>
      <c r="J126" s="345"/>
      <c r="K126" s="345"/>
    </row>
    <row r="127" spans="1:18" ht="20.25">
      <c r="A127" s="345"/>
      <c r="B127" s="345"/>
      <c r="C127" s="345"/>
      <c r="D127" s="345"/>
      <c r="E127" s="345"/>
      <c r="F127" s="345"/>
      <c r="G127" s="345"/>
      <c r="H127" s="345"/>
      <c r="I127" s="345"/>
      <c r="J127" s="345"/>
      <c r="K127" s="345"/>
    </row>
    <row r="128" spans="1:18" ht="20.25">
      <c r="A128" s="345"/>
      <c r="B128" s="345"/>
      <c r="C128" s="345"/>
      <c r="D128" s="345"/>
      <c r="E128" s="345"/>
      <c r="F128" s="345"/>
      <c r="G128" s="345"/>
      <c r="H128" s="345"/>
      <c r="I128" s="345"/>
      <c r="J128" s="345"/>
      <c r="K128" s="345"/>
    </row>
    <row r="129" spans="1:11" ht="20.25">
      <c r="A129" s="345"/>
      <c r="B129" s="345"/>
      <c r="C129" s="345"/>
      <c r="D129" s="345"/>
      <c r="E129" s="345"/>
      <c r="F129" s="345"/>
      <c r="G129" s="345"/>
      <c r="H129" s="345"/>
      <c r="I129" s="345"/>
      <c r="J129" s="345"/>
      <c r="K129" s="345"/>
    </row>
    <row r="130" spans="1:11" ht="20.25">
      <c r="A130" s="345"/>
      <c r="B130" s="345"/>
      <c r="C130" s="345"/>
      <c r="D130" s="345"/>
      <c r="E130" s="345"/>
      <c r="F130" s="345"/>
      <c r="G130" s="345"/>
      <c r="H130" s="345"/>
      <c r="I130" s="345"/>
      <c r="J130" s="345"/>
      <c r="K130" s="345"/>
    </row>
    <row r="131" spans="1:11" ht="20.25">
      <c r="A131" s="345"/>
      <c r="B131" s="345"/>
      <c r="C131" s="345"/>
      <c r="D131" s="345"/>
      <c r="E131" s="345"/>
      <c r="F131" s="345"/>
      <c r="G131" s="345"/>
      <c r="H131" s="345"/>
      <c r="I131" s="345"/>
      <c r="J131" s="345"/>
      <c r="K131" s="345"/>
    </row>
    <row r="132" spans="1:11" ht="20.25">
      <c r="A132" s="345"/>
      <c r="B132" s="345"/>
      <c r="C132" s="345"/>
      <c r="D132" s="345"/>
      <c r="E132" s="345"/>
      <c r="F132" s="345"/>
      <c r="G132" s="345"/>
      <c r="H132" s="345"/>
      <c r="I132" s="345"/>
      <c r="J132" s="345"/>
      <c r="K132" s="345"/>
    </row>
    <row r="133" spans="1:11" ht="20.25">
      <c r="A133" s="345"/>
      <c r="B133" s="345"/>
      <c r="C133" s="345"/>
      <c r="D133" s="345"/>
      <c r="E133" s="345"/>
      <c r="F133" s="345"/>
      <c r="G133" s="345"/>
      <c r="H133" s="345"/>
      <c r="I133" s="345"/>
      <c r="J133" s="345"/>
      <c r="K133" s="345"/>
    </row>
    <row r="134" spans="1:11" ht="20.25">
      <c r="A134" s="345"/>
      <c r="B134" s="345"/>
      <c r="C134" s="345"/>
      <c r="D134" s="345"/>
      <c r="E134" s="345"/>
      <c r="F134" s="345"/>
      <c r="G134" s="345"/>
      <c r="H134" s="345"/>
      <c r="I134" s="345"/>
      <c r="J134" s="345"/>
      <c r="K134" s="345"/>
    </row>
    <row r="135" spans="1:11" ht="20.25">
      <c r="A135" s="345"/>
      <c r="B135" s="345"/>
      <c r="C135" s="345"/>
      <c r="D135" s="345"/>
      <c r="E135" s="345"/>
      <c r="F135" s="345"/>
      <c r="G135" s="345"/>
      <c r="H135" s="345"/>
      <c r="I135" s="345"/>
      <c r="J135" s="345"/>
      <c r="K135" s="345"/>
    </row>
    <row r="136" spans="1:11" ht="20.25">
      <c r="A136" s="345"/>
      <c r="B136" s="345"/>
      <c r="C136" s="345"/>
      <c r="D136" s="345"/>
      <c r="E136" s="345"/>
      <c r="F136" s="345"/>
      <c r="G136" s="345"/>
      <c r="H136" s="345"/>
      <c r="I136" s="345"/>
      <c r="J136" s="345"/>
      <c r="K136" s="345"/>
    </row>
    <row r="137" spans="1:11" ht="20.25">
      <c r="A137" s="345"/>
      <c r="B137" s="345"/>
      <c r="C137" s="345"/>
      <c r="D137" s="345"/>
      <c r="E137" s="345"/>
      <c r="F137" s="345"/>
      <c r="G137" s="345"/>
      <c r="H137" s="345"/>
      <c r="I137" s="345"/>
      <c r="J137" s="345"/>
      <c r="K137" s="345"/>
    </row>
    <row r="138" spans="1:11" ht="20.25">
      <c r="A138" s="345"/>
      <c r="B138" s="345"/>
      <c r="C138" s="345"/>
      <c r="D138" s="345"/>
      <c r="E138" s="345"/>
      <c r="F138" s="345"/>
      <c r="G138" s="345"/>
      <c r="H138" s="345"/>
      <c r="I138" s="345"/>
      <c r="J138" s="345"/>
      <c r="K138" s="345"/>
    </row>
    <row r="139" spans="1:11" ht="20.25">
      <c r="A139" s="345"/>
      <c r="B139" s="345"/>
      <c r="C139" s="345"/>
      <c r="D139" s="345"/>
      <c r="E139" s="345"/>
      <c r="F139" s="345"/>
      <c r="G139" s="345"/>
      <c r="H139" s="345"/>
      <c r="I139" s="345"/>
      <c r="J139" s="345"/>
      <c r="K139" s="345"/>
    </row>
    <row r="140" spans="1:11" ht="20.25">
      <c r="A140" s="345"/>
      <c r="B140" s="345"/>
      <c r="C140" s="345"/>
      <c r="D140" s="345"/>
      <c r="E140" s="345"/>
      <c r="F140" s="345"/>
      <c r="G140" s="345"/>
      <c r="H140" s="345"/>
      <c r="I140" s="345"/>
      <c r="J140" s="345"/>
      <c r="K140" s="345"/>
    </row>
    <row r="141" spans="1:11" ht="20.25">
      <c r="A141" s="345"/>
      <c r="B141" s="345"/>
      <c r="C141" s="345"/>
      <c r="D141" s="345"/>
      <c r="E141" s="345"/>
      <c r="F141" s="345"/>
      <c r="G141" s="345"/>
      <c r="H141" s="345"/>
      <c r="I141" s="345"/>
      <c r="J141" s="345"/>
      <c r="K141" s="345"/>
    </row>
    <row r="142" spans="1:11" ht="20.25">
      <c r="A142" s="345"/>
      <c r="B142" s="345"/>
      <c r="C142" s="345"/>
      <c r="D142" s="345"/>
      <c r="E142" s="345"/>
      <c r="F142" s="345"/>
      <c r="G142" s="345"/>
      <c r="H142" s="345"/>
      <c r="I142" s="345"/>
      <c r="J142" s="345"/>
      <c r="K142" s="345"/>
    </row>
    <row r="143" spans="1:11" ht="20.25">
      <c r="A143" s="345"/>
      <c r="B143" s="345"/>
      <c r="C143" s="345"/>
      <c r="D143" s="345"/>
      <c r="E143" s="345"/>
      <c r="F143" s="345"/>
      <c r="G143" s="345"/>
      <c r="H143" s="345"/>
      <c r="I143" s="345"/>
      <c r="J143" s="345"/>
      <c r="K143" s="345"/>
    </row>
    <row r="144" spans="1:11" ht="20.25">
      <c r="A144" s="345"/>
      <c r="B144" s="345"/>
      <c r="C144" s="345"/>
      <c r="D144" s="345"/>
      <c r="E144" s="345"/>
      <c r="F144" s="345"/>
      <c r="G144" s="345"/>
      <c r="H144" s="345"/>
      <c r="I144" s="345"/>
      <c r="J144" s="345"/>
      <c r="K144" s="345"/>
    </row>
    <row r="145" spans="1:11" ht="20.25">
      <c r="A145" s="345"/>
      <c r="B145" s="345"/>
      <c r="C145" s="345"/>
      <c r="D145" s="345"/>
      <c r="E145" s="345"/>
      <c r="F145" s="345"/>
      <c r="G145" s="345"/>
      <c r="H145" s="345"/>
      <c r="I145" s="345"/>
      <c r="J145" s="345"/>
      <c r="K145" s="345"/>
    </row>
    <row r="146" spans="1:11" ht="20.25">
      <c r="A146" s="345"/>
      <c r="B146" s="345"/>
      <c r="C146" s="345"/>
      <c r="D146" s="345"/>
      <c r="E146" s="345"/>
      <c r="F146" s="345"/>
      <c r="G146" s="345"/>
      <c r="H146" s="345"/>
      <c r="I146" s="345"/>
      <c r="J146" s="345"/>
      <c r="K146" s="345"/>
    </row>
    <row r="147" spans="1:11" ht="20.25">
      <c r="A147" s="345"/>
      <c r="B147" s="345"/>
      <c r="C147" s="345"/>
      <c r="D147" s="345"/>
      <c r="E147" s="345"/>
      <c r="F147" s="345"/>
      <c r="G147" s="345"/>
      <c r="H147" s="345"/>
      <c r="I147" s="345"/>
      <c r="J147" s="345"/>
      <c r="K147" s="345"/>
    </row>
    <row r="148" spans="1:11" ht="20.25">
      <c r="A148" s="345"/>
      <c r="B148" s="345"/>
      <c r="C148" s="345"/>
      <c r="D148" s="345"/>
      <c r="E148" s="345"/>
      <c r="F148" s="345"/>
      <c r="G148" s="345"/>
      <c r="H148" s="345"/>
      <c r="I148" s="345"/>
      <c r="J148" s="345"/>
      <c r="K148" s="345"/>
    </row>
    <row r="149" spans="1:11" ht="20.25">
      <c r="A149" s="345"/>
      <c r="B149" s="345"/>
      <c r="C149" s="345"/>
      <c r="D149" s="345"/>
      <c r="E149" s="345"/>
      <c r="F149" s="345"/>
      <c r="G149" s="345"/>
      <c r="H149" s="345"/>
      <c r="I149" s="345"/>
      <c r="J149" s="345"/>
      <c r="K149" s="345"/>
    </row>
    <row r="150" spans="1:11" ht="20.25">
      <c r="A150" s="345"/>
      <c r="B150" s="345"/>
      <c r="C150" s="345"/>
      <c r="D150" s="345"/>
      <c r="E150" s="345"/>
      <c r="F150" s="345"/>
      <c r="G150" s="345"/>
      <c r="H150" s="345"/>
      <c r="I150" s="345"/>
      <c r="J150" s="345"/>
      <c r="K150" s="345"/>
    </row>
    <row r="151" spans="1:11" ht="20.25">
      <c r="A151" s="345"/>
      <c r="B151" s="345"/>
      <c r="C151" s="345"/>
      <c r="D151" s="345"/>
      <c r="E151" s="345"/>
      <c r="F151" s="345"/>
      <c r="G151" s="345"/>
      <c r="H151" s="345"/>
      <c r="I151" s="345"/>
      <c r="J151" s="345"/>
      <c r="K151" s="345"/>
    </row>
    <row r="152" spans="1:11" ht="20.25">
      <c r="A152" s="345"/>
      <c r="B152" s="345"/>
      <c r="C152" s="345"/>
      <c r="D152" s="345"/>
      <c r="E152" s="345"/>
      <c r="F152" s="345"/>
      <c r="G152" s="345"/>
      <c r="H152" s="345"/>
      <c r="I152" s="345"/>
      <c r="J152" s="345"/>
      <c r="K152" s="345"/>
    </row>
    <row r="153" spans="1:11" ht="20.25">
      <c r="A153" s="345"/>
      <c r="B153" s="345"/>
      <c r="C153" s="345"/>
      <c r="D153" s="345"/>
      <c r="E153" s="345"/>
      <c r="F153" s="345"/>
      <c r="G153" s="345"/>
      <c r="H153" s="345"/>
      <c r="I153" s="345"/>
      <c r="J153" s="345"/>
      <c r="K153" s="345"/>
    </row>
    <row r="154" spans="1:11" ht="20.25">
      <c r="A154" s="345"/>
      <c r="B154" s="345"/>
      <c r="C154" s="345"/>
      <c r="D154" s="345"/>
      <c r="E154" s="345"/>
      <c r="F154" s="345"/>
      <c r="G154" s="345"/>
      <c r="H154" s="345"/>
      <c r="I154" s="345"/>
      <c r="J154" s="345"/>
      <c r="K154" s="345"/>
    </row>
    <row r="155" spans="1:11" ht="20.25">
      <c r="A155" s="345"/>
      <c r="B155" s="345"/>
      <c r="C155" s="345"/>
      <c r="D155" s="345"/>
      <c r="E155" s="345"/>
      <c r="F155" s="345"/>
      <c r="G155" s="345"/>
      <c r="H155" s="345"/>
      <c r="I155" s="345"/>
      <c r="J155" s="345"/>
      <c r="K155" s="345"/>
    </row>
    <row r="156" spans="1:11" ht="20.25">
      <c r="A156" s="345"/>
      <c r="B156" s="345"/>
      <c r="C156" s="345"/>
      <c r="D156" s="345"/>
      <c r="E156" s="345"/>
      <c r="F156" s="345"/>
      <c r="G156" s="345"/>
      <c r="H156" s="345"/>
      <c r="I156" s="345"/>
      <c r="J156" s="345"/>
      <c r="K156" s="345"/>
    </row>
    <row r="157" spans="1:11" ht="20.25">
      <c r="A157" s="345"/>
      <c r="B157" s="345"/>
      <c r="C157" s="345"/>
      <c r="D157" s="345"/>
      <c r="E157" s="345"/>
      <c r="F157" s="345"/>
      <c r="G157" s="345"/>
      <c r="H157" s="345"/>
      <c r="I157" s="345"/>
      <c r="J157" s="345"/>
      <c r="K157" s="345"/>
    </row>
    <row r="158" spans="1:11" ht="20.25">
      <c r="A158" s="345"/>
      <c r="B158" s="345"/>
      <c r="C158" s="345"/>
      <c r="D158" s="345"/>
      <c r="E158" s="345"/>
      <c r="F158" s="345"/>
      <c r="G158" s="345"/>
      <c r="H158" s="345"/>
      <c r="I158" s="345"/>
      <c r="J158" s="345"/>
      <c r="K158" s="345"/>
    </row>
    <row r="159" spans="1:11" ht="20.25">
      <c r="A159" s="345"/>
      <c r="B159" s="345"/>
      <c r="C159" s="345"/>
      <c r="D159" s="345"/>
      <c r="E159" s="345"/>
      <c r="F159" s="345"/>
      <c r="G159" s="345"/>
      <c r="H159" s="345"/>
      <c r="I159" s="345"/>
      <c r="J159" s="345"/>
      <c r="K159" s="345"/>
    </row>
    <row r="160" spans="1:11" ht="20.25">
      <c r="A160" s="345"/>
      <c r="B160" s="345"/>
      <c r="C160" s="345"/>
      <c r="D160" s="345"/>
      <c r="E160" s="345"/>
      <c r="F160" s="345"/>
      <c r="G160" s="345"/>
      <c r="H160" s="345"/>
      <c r="I160" s="345"/>
      <c r="J160" s="345"/>
      <c r="K160" s="345"/>
    </row>
    <row r="161" spans="1:11" ht="20.25">
      <c r="A161" s="345"/>
      <c r="B161" s="345"/>
      <c r="C161" s="345"/>
      <c r="D161" s="345"/>
      <c r="E161" s="345"/>
      <c r="F161" s="345"/>
      <c r="G161" s="345"/>
      <c r="H161" s="345"/>
      <c r="I161" s="345"/>
      <c r="J161" s="345"/>
      <c r="K161" s="345"/>
    </row>
    <row r="162" spans="1:11" ht="20.25">
      <c r="A162" s="345"/>
      <c r="B162" s="345"/>
      <c r="C162" s="345"/>
      <c r="D162" s="345"/>
      <c r="E162" s="345"/>
      <c r="F162" s="345"/>
      <c r="G162" s="345"/>
      <c r="H162" s="345"/>
      <c r="I162" s="345"/>
      <c r="J162" s="345"/>
      <c r="K162" s="345"/>
    </row>
    <row r="163" spans="1:11" ht="20.25">
      <c r="A163" s="345"/>
      <c r="B163" s="345"/>
      <c r="C163" s="345"/>
      <c r="D163" s="345"/>
      <c r="E163" s="345"/>
      <c r="F163" s="345"/>
      <c r="G163" s="345"/>
      <c r="H163" s="345"/>
      <c r="I163" s="345"/>
      <c r="J163" s="345"/>
      <c r="K163" s="345"/>
    </row>
    <row r="164" spans="1:11" ht="20.25">
      <c r="A164" s="345"/>
      <c r="B164" s="345"/>
      <c r="C164" s="345"/>
      <c r="D164" s="345"/>
      <c r="E164" s="345"/>
      <c r="F164" s="345"/>
      <c r="G164" s="345"/>
      <c r="H164" s="345"/>
      <c r="I164" s="345"/>
      <c r="J164" s="345"/>
      <c r="K164" s="345"/>
    </row>
    <row r="165" spans="1:11" ht="20.25">
      <c r="A165" s="345"/>
      <c r="B165" s="345"/>
      <c r="C165" s="345"/>
      <c r="D165" s="345"/>
      <c r="E165" s="345"/>
      <c r="F165" s="345"/>
      <c r="G165" s="345"/>
      <c r="H165" s="345"/>
      <c r="I165" s="345"/>
      <c r="J165" s="345"/>
      <c r="K165" s="345"/>
    </row>
    <row r="166" spans="1:11" ht="20.25">
      <c r="A166" s="345"/>
      <c r="B166" s="345"/>
      <c r="C166" s="345"/>
      <c r="D166" s="345"/>
      <c r="E166" s="345"/>
      <c r="F166" s="345"/>
      <c r="G166" s="345"/>
      <c r="H166" s="345"/>
      <c r="I166" s="345"/>
      <c r="J166" s="345"/>
      <c r="K166" s="345"/>
    </row>
    <row r="167" spans="1:11" ht="20.25">
      <c r="A167" s="345"/>
      <c r="B167" s="345"/>
      <c r="C167" s="345"/>
      <c r="D167" s="345"/>
      <c r="E167" s="345"/>
      <c r="F167" s="345"/>
      <c r="G167" s="345"/>
      <c r="H167" s="345"/>
      <c r="I167" s="345"/>
      <c r="J167" s="345"/>
      <c r="K167" s="345"/>
    </row>
    <row r="168" spans="1:11" ht="20.25">
      <c r="A168" s="345"/>
      <c r="B168" s="345"/>
      <c r="C168" s="345"/>
      <c r="D168" s="345"/>
      <c r="E168" s="345"/>
      <c r="F168" s="345"/>
      <c r="G168" s="345"/>
      <c r="H168" s="345"/>
      <c r="I168" s="345"/>
      <c r="J168" s="345"/>
      <c r="K168" s="345"/>
    </row>
    <row r="169" spans="1:11" ht="20.25">
      <c r="A169" s="345"/>
      <c r="B169" s="345"/>
      <c r="C169" s="345"/>
      <c r="D169" s="345"/>
      <c r="E169" s="345"/>
      <c r="F169" s="345"/>
      <c r="G169" s="345"/>
      <c r="H169" s="345"/>
      <c r="I169" s="345"/>
      <c r="J169" s="345"/>
      <c r="K169" s="345"/>
    </row>
    <row r="170" spans="1:11" ht="20.25">
      <c r="A170" s="345"/>
      <c r="B170" s="345"/>
      <c r="C170" s="345"/>
      <c r="D170" s="345"/>
      <c r="E170" s="345"/>
      <c r="F170" s="345"/>
      <c r="G170" s="345"/>
      <c r="H170" s="345"/>
      <c r="I170" s="345"/>
      <c r="J170" s="345"/>
      <c r="K170" s="345"/>
    </row>
    <row r="171" spans="1:11" ht="20.25">
      <c r="A171" s="345"/>
      <c r="B171" s="345"/>
      <c r="C171" s="345"/>
      <c r="D171" s="345"/>
      <c r="E171" s="345"/>
      <c r="F171" s="345"/>
      <c r="G171" s="345"/>
      <c r="H171" s="345"/>
      <c r="I171" s="345"/>
      <c r="J171" s="345"/>
      <c r="K171" s="345"/>
    </row>
    <row r="172" spans="1:11" ht="20.25">
      <c r="A172" s="345"/>
      <c r="B172" s="345"/>
      <c r="C172" s="345"/>
      <c r="D172" s="345"/>
      <c r="E172" s="345"/>
      <c r="F172" s="345"/>
      <c r="G172" s="345"/>
      <c r="H172" s="345"/>
      <c r="I172" s="345"/>
      <c r="J172" s="345"/>
      <c r="K172" s="345"/>
    </row>
    <row r="173" spans="1:11" ht="20.25">
      <c r="A173" s="345"/>
      <c r="B173" s="345"/>
      <c r="C173" s="345"/>
      <c r="D173" s="345"/>
      <c r="E173" s="345"/>
      <c r="F173" s="345"/>
      <c r="G173" s="345"/>
      <c r="H173" s="345"/>
      <c r="I173" s="345"/>
      <c r="J173" s="345"/>
      <c r="K173" s="345"/>
    </row>
    <row r="174" spans="1:11" ht="20.25">
      <c r="A174" s="345"/>
      <c r="B174" s="345"/>
      <c r="C174" s="345"/>
      <c r="D174" s="345"/>
      <c r="E174" s="345"/>
      <c r="F174" s="345"/>
      <c r="G174" s="345"/>
      <c r="H174" s="345"/>
      <c r="I174" s="345"/>
      <c r="J174" s="345"/>
      <c r="K174" s="345"/>
    </row>
    <row r="175" spans="1:11" ht="20.25">
      <c r="A175" s="345"/>
      <c r="B175" s="345"/>
      <c r="C175" s="345"/>
      <c r="D175" s="345"/>
      <c r="E175" s="345"/>
      <c r="F175" s="345"/>
      <c r="G175" s="345"/>
      <c r="H175" s="345"/>
      <c r="I175" s="345"/>
      <c r="J175" s="345"/>
      <c r="K175" s="345"/>
    </row>
    <row r="176" spans="1:11" ht="20.25">
      <c r="A176" s="345"/>
      <c r="B176" s="345"/>
      <c r="C176" s="345"/>
      <c r="D176" s="345"/>
      <c r="E176" s="345"/>
      <c r="F176" s="345"/>
      <c r="G176" s="345"/>
      <c r="H176" s="345"/>
      <c r="I176" s="345"/>
      <c r="J176" s="345"/>
      <c r="K176" s="345"/>
    </row>
    <row r="177" spans="1:11" ht="20.25">
      <c r="A177" s="345"/>
      <c r="B177" s="345"/>
      <c r="C177" s="345"/>
      <c r="D177" s="345"/>
      <c r="E177" s="345"/>
      <c r="F177" s="345"/>
      <c r="G177" s="345"/>
      <c r="H177" s="345"/>
      <c r="I177" s="345"/>
      <c r="J177" s="345"/>
      <c r="K177" s="345"/>
    </row>
    <row r="178" spans="1:11" ht="20.25">
      <c r="A178" s="345"/>
      <c r="B178" s="345"/>
      <c r="C178" s="345"/>
      <c r="D178" s="345"/>
      <c r="E178" s="345"/>
      <c r="F178" s="345"/>
      <c r="G178" s="345"/>
      <c r="H178" s="345"/>
      <c r="I178" s="345"/>
      <c r="J178" s="345"/>
      <c r="K178" s="345"/>
    </row>
    <row r="179" spans="1:11" ht="20.25">
      <c r="A179" s="345"/>
      <c r="B179" s="345"/>
      <c r="C179" s="345"/>
      <c r="D179" s="345"/>
      <c r="E179" s="345"/>
      <c r="F179" s="345"/>
      <c r="G179" s="345"/>
      <c r="H179" s="345"/>
      <c r="I179" s="345"/>
      <c r="J179" s="345"/>
      <c r="K179" s="345"/>
    </row>
    <row r="180" spans="1:11" ht="20.25">
      <c r="A180" s="345"/>
      <c r="B180" s="345"/>
      <c r="C180" s="345"/>
      <c r="D180" s="345"/>
      <c r="E180" s="345"/>
      <c r="F180" s="345"/>
      <c r="G180" s="345"/>
      <c r="H180" s="345"/>
      <c r="I180" s="345"/>
      <c r="J180" s="345"/>
      <c r="K180" s="345"/>
    </row>
    <row r="181" spans="1:11" ht="20.25">
      <c r="A181" s="345"/>
      <c r="B181" s="345"/>
      <c r="C181" s="345"/>
      <c r="D181" s="345"/>
      <c r="E181" s="345"/>
      <c r="F181" s="345"/>
      <c r="G181" s="345"/>
      <c r="H181" s="345"/>
      <c r="I181" s="345"/>
      <c r="J181" s="345"/>
      <c r="K181" s="345"/>
    </row>
    <row r="182" spans="1:11" ht="20.25">
      <c r="A182" s="345"/>
      <c r="B182" s="345"/>
      <c r="C182" s="345"/>
      <c r="D182" s="345"/>
      <c r="E182" s="345"/>
      <c r="F182" s="345"/>
      <c r="G182" s="345"/>
      <c r="H182" s="345"/>
      <c r="I182" s="345"/>
      <c r="J182" s="345"/>
      <c r="K182" s="345"/>
    </row>
    <row r="183" spans="1:11" ht="20.25">
      <c r="A183" s="345"/>
      <c r="B183" s="345"/>
      <c r="C183" s="345"/>
      <c r="D183" s="345"/>
      <c r="E183" s="345"/>
      <c r="F183" s="345"/>
      <c r="G183" s="345"/>
      <c r="H183" s="345"/>
      <c r="I183" s="345"/>
      <c r="J183" s="345"/>
      <c r="K183" s="345"/>
    </row>
    <row r="184" spans="1:11" ht="20.25">
      <c r="A184" s="345"/>
      <c r="B184" s="345"/>
      <c r="C184" s="345"/>
      <c r="D184" s="345"/>
      <c r="E184" s="345"/>
      <c r="F184" s="345"/>
      <c r="G184" s="345"/>
      <c r="H184" s="345"/>
      <c r="I184" s="345"/>
      <c r="J184" s="345"/>
      <c r="K184" s="345"/>
    </row>
    <row r="185" spans="1:11" ht="20.25">
      <c r="A185" s="345"/>
      <c r="B185" s="345"/>
      <c r="C185" s="345"/>
      <c r="D185" s="345"/>
      <c r="E185" s="345"/>
      <c r="F185" s="345"/>
      <c r="G185" s="345"/>
      <c r="H185" s="345"/>
      <c r="I185" s="345"/>
      <c r="J185" s="345"/>
      <c r="K185" s="345"/>
    </row>
    <row r="186" spans="1:11" ht="20.25">
      <c r="A186" s="345"/>
      <c r="B186" s="345"/>
      <c r="C186" s="345"/>
      <c r="D186" s="345"/>
      <c r="E186" s="345"/>
      <c r="F186" s="345"/>
      <c r="G186" s="345"/>
      <c r="H186" s="345"/>
      <c r="I186" s="345"/>
      <c r="J186" s="345"/>
      <c r="K186" s="345"/>
    </row>
    <row r="187" spans="1:11" ht="20.25">
      <c r="A187" s="345"/>
      <c r="B187" s="345"/>
      <c r="C187" s="345"/>
      <c r="D187" s="345"/>
      <c r="E187" s="345"/>
      <c r="F187" s="345"/>
      <c r="G187" s="345"/>
      <c r="H187" s="345"/>
      <c r="I187" s="345"/>
      <c r="J187" s="345"/>
      <c r="K187" s="345"/>
    </row>
    <row r="188" spans="1:11" ht="20.25">
      <c r="A188" s="345"/>
      <c r="B188" s="345"/>
      <c r="C188" s="345"/>
      <c r="D188" s="345"/>
      <c r="E188" s="345"/>
      <c r="F188" s="345"/>
      <c r="G188" s="345"/>
      <c r="H188" s="345"/>
      <c r="I188" s="345"/>
      <c r="J188" s="345"/>
      <c r="K188" s="345"/>
    </row>
    <row r="189" spans="1:11" ht="20.25">
      <c r="A189" s="345"/>
      <c r="B189" s="345"/>
      <c r="C189" s="345"/>
      <c r="D189" s="345"/>
      <c r="E189" s="345"/>
      <c r="F189" s="345"/>
      <c r="G189" s="345"/>
      <c r="H189" s="345"/>
      <c r="I189" s="345"/>
      <c r="J189" s="345"/>
      <c r="K189" s="345"/>
    </row>
    <row r="190" spans="1:11" ht="20.25">
      <c r="A190" s="345"/>
      <c r="B190" s="345"/>
      <c r="C190" s="345"/>
      <c r="D190" s="345"/>
      <c r="E190" s="345"/>
      <c r="F190" s="345"/>
      <c r="G190" s="345"/>
      <c r="H190" s="345"/>
      <c r="I190" s="345"/>
      <c r="J190" s="345"/>
      <c r="K190" s="345"/>
    </row>
    <row r="191" spans="1:11" ht="20.25">
      <c r="A191" s="345"/>
      <c r="B191" s="345"/>
      <c r="C191" s="345"/>
      <c r="D191" s="345"/>
      <c r="E191" s="345"/>
      <c r="F191" s="345"/>
      <c r="G191" s="345"/>
      <c r="H191" s="345"/>
      <c r="I191" s="345"/>
      <c r="J191" s="345"/>
      <c r="K191" s="345"/>
    </row>
    <row r="192" spans="1:11" ht="20.25">
      <c r="A192" s="345"/>
      <c r="B192" s="345"/>
      <c r="C192" s="345"/>
      <c r="D192" s="345"/>
      <c r="E192" s="345"/>
      <c r="F192" s="345"/>
      <c r="G192" s="345"/>
      <c r="H192" s="345"/>
      <c r="I192" s="345"/>
      <c r="J192" s="345"/>
      <c r="K192" s="345"/>
    </row>
    <row r="193" spans="1:11" ht="20.25">
      <c r="A193" s="345"/>
      <c r="B193" s="345"/>
      <c r="C193" s="345"/>
      <c r="D193" s="345"/>
      <c r="E193" s="345"/>
      <c r="F193" s="345"/>
      <c r="G193" s="345"/>
      <c r="H193" s="345"/>
      <c r="I193" s="345"/>
      <c r="J193" s="345"/>
      <c r="K193" s="345"/>
    </row>
    <row r="194" spans="1:11" ht="20.25">
      <c r="A194" s="345"/>
      <c r="B194" s="345"/>
      <c r="C194" s="345"/>
      <c r="D194" s="345"/>
      <c r="E194" s="345"/>
      <c r="F194" s="345"/>
      <c r="G194" s="345"/>
      <c r="H194" s="345"/>
      <c r="I194" s="345"/>
      <c r="J194" s="345"/>
      <c r="K194" s="345"/>
    </row>
    <row r="195" spans="1:11" ht="20.25">
      <c r="A195" s="345"/>
      <c r="B195" s="345"/>
      <c r="C195" s="345"/>
      <c r="D195" s="345"/>
      <c r="E195" s="345"/>
      <c r="F195" s="345"/>
      <c r="G195" s="345"/>
      <c r="H195" s="345"/>
      <c r="I195" s="345"/>
      <c r="J195" s="345"/>
      <c r="K195" s="345"/>
    </row>
    <row r="196" spans="1:11" ht="20.25">
      <c r="A196" s="345"/>
      <c r="B196" s="345"/>
      <c r="C196" s="345"/>
      <c r="D196" s="345"/>
      <c r="E196" s="345"/>
      <c r="F196" s="345"/>
      <c r="G196" s="345"/>
      <c r="H196" s="345"/>
      <c r="I196" s="345"/>
      <c r="J196" s="345"/>
      <c r="K196" s="345"/>
    </row>
    <row r="197" spans="1:11" ht="20.25">
      <c r="A197" s="345"/>
      <c r="B197" s="345"/>
      <c r="C197" s="345"/>
      <c r="D197" s="345"/>
      <c r="E197" s="345"/>
      <c r="F197" s="345"/>
      <c r="G197" s="345"/>
      <c r="H197" s="345"/>
      <c r="I197" s="345"/>
      <c r="J197" s="345"/>
      <c r="K197" s="345"/>
    </row>
    <row r="198" spans="1:11" ht="20.25">
      <c r="A198" s="345"/>
      <c r="B198" s="345"/>
      <c r="C198" s="345"/>
      <c r="D198" s="345"/>
      <c r="E198" s="345"/>
      <c r="F198" s="345"/>
      <c r="G198" s="345"/>
      <c r="H198" s="345"/>
      <c r="I198" s="345"/>
      <c r="J198" s="345"/>
      <c r="K198" s="345"/>
    </row>
    <row r="199" spans="1:11" ht="20.25">
      <c r="A199" s="345"/>
      <c r="B199" s="345"/>
      <c r="C199" s="345"/>
      <c r="D199" s="345"/>
      <c r="E199" s="345"/>
      <c r="F199" s="345"/>
      <c r="G199" s="345"/>
      <c r="H199" s="345"/>
      <c r="I199" s="345"/>
      <c r="J199" s="345"/>
      <c r="K199" s="345"/>
    </row>
    <row r="200" spans="1:11" ht="20.25">
      <c r="A200" s="345"/>
      <c r="B200" s="345"/>
      <c r="C200" s="345"/>
      <c r="D200" s="345"/>
      <c r="E200" s="345"/>
      <c r="F200" s="345"/>
      <c r="G200" s="345"/>
      <c r="H200" s="345"/>
      <c r="I200" s="345"/>
      <c r="J200" s="345"/>
      <c r="K200" s="345"/>
    </row>
    <row r="201" spans="1:11" ht="20.25">
      <c r="A201" s="345"/>
      <c r="B201" s="345"/>
      <c r="C201" s="345"/>
      <c r="D201" s="345"/>
      <c r="E201" s="345"/>
      <c r="F201" s="345"/>
      <c r="G201" s="345"/>
      <c r="H201" s="345"/>
      <c r="I201" s="345"/>
      <c r="J201" s="345"/>
      <c r="K201" s="345"/>
    </row>
    <row r="202" spans="1:11" ht="20.25">
      <c r="A202" s="345"/>
      <c r="B202" s="345"/>
      <c r="C202" s="345"/>
      <c r="D202" s="345"/>
      <c r="E202" s="345"/>
      <c r="F202" s="345"/>
      <c r="G202" s="345"/>
      <c r="H202" s="345"/>
      <c r="I202" s="345"/>
      <c r="J202" s="345"/>
      <c r="K202" s="345"/>
    </row>
    <row r="203" spans="1:11" ht="20.25">
      <c r="A203" s="345"/>
      <c r="B203" s="345"/>
      <c r="C203" s="345"/>
      <c r="D203" s="345"/>
      <c r="E203" s="345"/>
      <c r="F203" s="345"/>
      <c r="G203" s="345"/>
      <c r="H203" s="345"/>
      <c r="I203" s="345"/>
      <c r="J203" s="345"/>
      <c r="K203" s="345"/>
    </row>
    <row r="204" spans="1:11" ht="20.25">
      <c r="A204" s="345"/>
      <c r="B204" s="345"/>
      <c r="C204" s="345"/>
      <c r="D204" s="345"/>
      <c r="E204" s="345"/>
      <c r="F204" s="345"/>
      <c r="G204" s="345"/>
      <c r="H204" s="345"/>
      <c r="I204" s="345"/>
      <c r="J204" s="345"/>
      <c r="K204" s="345"/>
    </row>
    <row r="205" spans="1:11" ht="20.25">
      <c r="A205" s="345"/>
      <c r="B205" s="345"/>
      <c r="C205" s="345"/>
      <c r="D205" s="345"/>
      <c r="E205" s="345"/>
      <c r="F205" s="345"/>
      <c r="G205" s="345"/>
      <c r="H205" s="345"/>
      <c r="I205" s="345"/>
      <c r="J205" s="345"/>
      <c r="K205" s="345"/>
    </row>
    <row r="206" spans="1:11" ht="20.25">
      <c r="A206" s="345"/>
      <c r="B206" s="345"/>
      <c r="C206" s="345"/>
      <c r="D206" s="345"/>
      <c r="E206" s="345"/>
      <c r="F206" s="345"/>
      <c r="G206" s="345"/>
      <c r="H206" s="345"/>
      <c r="I206" s="345"/>
      <c r="J206" s="345"/>
      <c r="K206" s="345"/>
    </row>
    <row r="207" spans="1:11" ht="20.25">
      <c r="A207" s="345"/>
      <c r="B207" s="345"/>
      <c r="C207" s="345"/>
      <c r="D207" s="345"/>
      <c r="E207" s="345"/>
      <c r="F207" s="345"/>
      <c r="G207" s="345"/>
      <c r="H207" s="345"/>
      <c r="I207" s="345"/>
      <c r="J207" s="345"/>
      <c r="K207" s="345"/>
    </row>
    <row r="208" spans="1:11" ht="20.25">
      <c r="A208" s="345"/>
      <c r="B208" s="345"/>
      <c r="C208" s="345"/>
      <c r="D208" s="345"/>
      <c r="E208" s="345"/>
      <c r="F208" s="345"/>
      <c r="G208" s="345"/>
      <c r="H208" s="345"/>
      <c r="I208" s="345"/>
      <c r="J208" s="345"/>
      <c r="K208" s="345"/>
    </row>
    <row r="209" spans="1:11" ht="20.25">
      <c r="A209" s="345"/>
      <c r="B209" s="345"/>
      <c r="C209" s="345"/>
      <c r="D209" s="345"/>
      <c r="E209" s="345"/>
      <c r="F209" s="345"/>
      <c r="G209" s="345"/>
      <c r="H209" s="345"/>
      <c r="I209" s="345"/>
      <c r="J209" s="345"/>
      <c r="K209" s="345"/>
    </row>
    <row r="210" spans="1:11" ht="20.25">
      <c r="A210" s="345"/>
      <c r="B210" s="345"/>
      <c r="C210" s="345"/>
      <c r="D210" s="345"/>
      <c r="E210" s="345"/>
      <c r="F210" s="345"/>
      <c r="G210" s="345"/>
      <c r="H210" s="345"/>
      <c r="I210" s="345"/>
      <c r="J210" s="345"/>
      <c r="K210" s="345"/>
    </row>
    <row r="211" spans="1:11" ht="20.25">
      <c r="A211" s="345"/>
      <c r="B211" s="345"/>
      <c r="C211" s="345"/>
      <c r="D211" s="345"/>
      <c r="E211" s="345"/>
      <c r="F211" s="345"/>
      <c r="G211" s="345"/>
      <c r="H211" s="345"/>
      <c r="I211" s="345"/>
      <c r="J211" s="345"/>
      <c r="K211" s="345"/>
    </row>
    <row r="212" spans="1:11" ht="20.25">
      <c r="A212" s="345"/>
      <c r="B212" s="345"/>
      <c r="C212" s="345"/>
      <c r="D212" s="345"/>
      <c r="E212" s="345"/>
      <c r="F212" s="345"/>
      <c r="G212" s="345"/>
      <c r="H212" s="345"/>
      <c r="I212" s="345"/>
      <c r="J212" s="345"/>
      <c r="K212" s="345"/>
    </row>
    <row r="213" spans="1:11" ht="20.25">
      <c r="A213" s="345"/>
      <c r="B213" s="345"/>
      <c r="C213" s="345"/>
      <c r="D213" s="345"/>
      <c r="E213" s="345"/>
      <c r="F213" s="345"/>
      <c r="G213" s="345"/>
      <c r="H213" s="345"/>
      <c r="I213" s="345"/>
      <c r="J213" s="345"/>
      <c r="K213" s="345"/>
    </row>
    <row r="214" spans="1:11" ht="20.25">
      <c r="A214" s="345"/>
      <c r="B214" s="345"/>
      <c r="C214" s="345"/>
      <c r="D214" s="345"/>
      <c r="E214" s="345"/>
      <c r="F214" s="345"/>
      <c r="G214" s="345"/>
      <c r="H214" s="345"/>
      <c r="I214" s="345"/>
      <c r="J214" s="345"/>
      <c r="K214" s="345"/>
    </row>
    <row r="215" spans="1:11" ht="20.25">
      <c r="A215" s="345"/>
      <c r="B215" s="345"/>
      <c r="C215" s="345"/>
      <c r="D215" s="345"/>
      <c r="E215" s="345"/>
      <c r="F215" s="345"/>
      <c r="G215" s="345"/>
      <c r="H215" s="345"/>
      <c r="I215" s="345"/>
      <c r="J215" s="345"/>
      <c r="K215" s="345"/>
    </row>
    <row r="216" spans="1:11" ht="20.25">
      <c r="A216" s="345"/>
      <c r="B216" s="345"/>
      <c r="C216" s="345"/>
      <c r="D216" s="345"/>
      <c r="E216" s="345"/>
      <c r="F216" s="345"/>
      <c r="G216" s="345"/>
      <c r="H216" s="345"/>
      <c r="I216" s="345"/>
      <c r="J216" s="345"/>
      <c r="K216" s="345"/>
    </row>
    <row r="217" spans="1:11" ht="20.25">
      <c r="A217" s="345"/>
      <c r="B217" s="345"/>
      <c r="C217" s="345"/>
      <c r="D217" s="345"/>
      <c r="E217" s="345"/>
      <c r="F217" s="345"/>
      <c r="G217" s="345"/>
      <c r="H217" s="345"/>
      <c r="I217" s="345"/>
      <c r="J217" s="345"/>
      <c r="K217" s="345"/>
    </row>
    <row r="218" spans="1:11" ht="20.25">
      <c r="A218" s="345"/>
      <c r="B218" s="345"/>
      <c r="C218" s="345"/>
      <c r="D218" s="345"/>
      <c r="E218" s="345"/>
      <c r="F218" s="345"/>
      <c r="G218" s="345"/>
      <c r="H218" s="345"/>
      <c r="I218" s="345"/>
      <c r="J218" s="345"/>
      <c r="K218" s="345"/>
    </row>
    <row r="219" spans="1:11" ht="20.25">
      <c r="A219" s="345"/>
      <c r="B219" s="345"/>
      <c r="C219" s="345"/>
      <c r="D219" s="345"/>
      <c r="E219" s="345"/>
      <c r="F219" s="345"/>
      <c r="G219" s="345"/>
      <c r="H219" s="345"/>
      <c r="I219" s="345"/>
      <c r="J219" s="345"/>
      <c r="K219" s="345"/>
    </row>
    <row r="220" spans="1:11" ht="20.25">
      <c r="A220" s="345"/>
      <c r="B220" s="345"/>
      <c r="C220" s="345"/>
      <c r="D220" s="345"/>
      <c r="E220" s="345"/>
      <c r="F220" s="345"/>
      <c r="G220" s="345"/>
      <c r="H220" s="345"/>
      <c r="I220" s="345"/>
      <c r="J220" s="345"/>
      <c r="K220" s="345"/>
    </row>
    <row r="221" spans="1:11" ht="20.25">
      <c r="A221" s="345"/>
      <c r="B221" s="345"/>
      <c r="C221" s="345"/>
      <c r="D221" s="345"/>
      <c r="E221" s="345"/>
      <c r="F221" s="345"/>
      <c r="G221" s="345"/>
      <c r="H221" s="345"/>
      <c r="I221" s="345"/>
      <c r="J221" s="345"/>
      <c r="K221" s="345"/>
    </row>
    <row r="222" spans="1:11" ht="20.25">
      <c r="A222" s="345"/>
      <c r="B222" s="345"/>
      <c r="C222" s="345"/>
      <c r="D222" s="345"/>
      <c r="E222" s="345"/>
      <c r="F222" s="345"/>
      <c r="G222" s="345"/>
      <c r="H222" s="345"/>
      <c r="I222" s="345"/>
      <c r="J222" s="345"/>
      <c r="K222" s="345"/>
    </row>
    <row r="223" spans="1:11" ht="20.25">
      <c r="A223" s="345"/>
      <c r="B223" s="345"/>
      <c r="C223" s="345"/>
      <c r="D223" s="345"/>
      <c r="E223" s="345"/>
      <c r="F223" s="345"/>
      <c r="G223" s="345"/>
      <c r="H223" s="345"/>
      <c r="I223" s="345"/>
      <c r="J223" s="345"/>
      <c r="K223" s="345"/>
    </row>
    <row r="224" spans="1:11" ht="20.25">
      <c r="A224" s="345"/>
      <c r="B224" s="345"/>
      <c r="C224" s="345"/>
      <c r="D224" s="345"/>
      <c r="E224" s="345"/>
      <c r="F224" s="345"/>
      <c r="G224" s="345"/>
      <c r="H224" s="345"/>
      <c r="I224" s="345"/>
      <c r="J224" s="345"/>
      <c r="K224" s="345"/>
    </row>
    <row r="225" spans="1:11" ht="20.25">
      <c r="A225" s="345"/>
      <c r="B225" s="345"/>
      <c r="C225" s="345"/>
      <c r="D225" s="345"/>
      <c r="E225" s="345"/>
      <c r="F225" s="345"/>
      <c r="G225" s="345"/>
      <c r="H225" s="345"/>
      <c r="I225" s="345"/>
      <c r="J225" s="345"/>
      <c r="K225" s="345"/>
    </row>
    <row r="226" spans="1:11" ht="20.25">
      <c r="A226" s="345"/>
      <c r="B226" s="345"/>
      <c r="C226" s="345"/>
      <c r="D226" s="345"/>
      <c r="E226" s="345"/>
      <c r="F226" s="345"/>
      <c r="G226" s="345"/>
      <c r="H226" s="345"/>
      <c r="I226" s="345"/>
      <c r="J226" s="345"/>
      <c r="K226" s="345"/>
    </row>
    <row r="227" spans="1:11" ht="20.25">
      <c r="A227" s="345"/>
      <c r="B227" s="345"/>
      <c r="C227" s="345"/>
      <c r="D227" s="345"/>
      <c r="E227" s="345"/>
      <c r="F227" s="345"/>
      <c r="G227" s="345"/>
      <c r="H227" s="345"/>
      <c r="I227" s="345"/>
      <c r="J227" s="345"/>
      <c r="K227" s="345"/>
    </row>
    <row r="228" spans="1:11" ht="20.25">
      <c r="A228" s="345"/>
      <c r="B228" s="345"/>
      <c r="C228" s="345"/>
      <c r="D228" s="345"/>
      <c r="E228" s="345"/>
      <c r="F228" s="345"/>
      <c r="G228" s="345"/>
      <c r="H228" s="345"/>
      <c r="I228" s="345"/>
      <c r="J228" s="345"/>
      <c r="K228" s="345"/>
    </row>
    <row r="229" spans="1:11" ht="20.25">
      <c r="A229" s="345"/>
      <c r="B229" s="345"/>
      <c r="C229" s="345"/>
      <c r="D229" s="345"/>
      <c r="E229" s="345"/>
      <c r="F229" s="345"/>
      <c r="G229" s="345"/>
      <c r="H229" s="345"/>
      <c r="I229" s="345"/>
      <c r="J229" s="345"/>
      <c r="K229" s="345"/>
    </row>
    <row r="230" spans="1:11" ht="20.25">
      <c r="A230" s="345"/>
      <c r="B230" s="345"/>
      <c r="C230" s="345"/>
      <c r="D230" s="345"/>
      <c r="E230" s="345"/>
      <c r="F230" s="345"/>
      <c r="G230" s="345"/>
      <c r="H230" s="345"/>
      <c r="I230" s="345"/>
      <c r="J230" s="345"/>
      <c r="K230" s="345"/>
    </row>
    <row r="231" spans="1:11" ht="20.25">
      <c r="A231" s="345"/>
      <c r="B231" s="345"/>
      <c r="C231" s="345"/>
      <c r="D231" s="345"/>
      <c r="E231" s="345"/>
      <c r="F231" s="345"/>
      <c r="G231" s="345"/>
      <c r="H231" s="345"/>
      <c r="I231" s="345"/>
      <c r="J231" s="345"/>
      <c r="K231" s="345"/>
    </row>
    <row r="232" spans="1:11" ht="20.25">
      <c r="A232" s="345"/>
      <c r="B232" s="345"/>
      <c r="C232" s="345"/>
      <c r="D232" s="345"/>
      <c r="E232" s="345"/>
      <c r="F232" s="345"/>
      <c r="G232" s="345"/>
      <c r="H232" s="345"/>
      <c r="I232" s="345"/>
      <c r="J232" s="345"/>
      <c r="K232" s="345"/>
    </row>
    <row r="233" spans="1:11" ht="20.25">
      <c r="A233" s="345"/>
      <c r="B233" s="345"/>
      <c r="C233" s="345"/>
      <c r="D233" s="345"/>
      <c r="E233" s="345"/>
      <c r="F233" s="345"/>
      <c r="G233" s="345"/>
      <c r="H233" s="345"/>
      <c r="I233" s="345"/>
      <c r="J233" s="345"/>
      <c r="K233" s="345"/>
    </row>
    <row r="234" spans="1:11" ht="20.25">
      <c r="A234" s="345"/>
      <c r="B234" s="345"/>
      <c r="C234" s="345"/>
      <c r="D234" s="345"/>
      <c r="E234" s="345"/>
      <c r="F234" s="345"/>
      <c r="G234" s="345"/>
      <c r="H234" s="345"/>
      <c r="I234" s="345"/>
      <c r="J234" s="345"/>
      <c r="K234" s="345"/>
    </row>
    <row r="235" spans="1:11" ht="20.25">
      <c r="A235" s="345"/>
      <c r="B235" s="345"/>
      <c r="C235" s="345"/>
      <c r="D235" s="345"/>
      <c r="E235" s="345"/>
      <c r="F235" s="345"/>
      <c r="G235" s="345"/>
      <c r="H235" s="345"/>
      <c r="I235" s="345"/>
      <c r="J235" s="345"/>
      <c r="K235" s="345"/>
    </row>
    <row r="236" spans="1:11" ht="20.25">
      <c r="A236" s="345"/>
      <c r="B236" s="345"/>
      <c r="C236" s="345"/>
      <c r="D236" s="345"/>
      <c r="E236" s="345"/>
      <c r="F236" s="345"/>
      <c r="G236" s="345"/>
      <c r="H236" s="345"/>
      <c r="I236" s="345"/>
      <c r="J236" s="345"/>
      <c r="K236" s="345"/>
    </row>
    <row r="237" spans="1:11" ht="20.25">
      <c r="A237" s="345"/>
      <c r="B237" s="345"/>
      <c r="C237" s="345"/>
      <c r="D237" s="345"/>
      <c r="E237" s="345"/>
      <c r="F237" s="345"/>
      <c r="G237" s="345"/>
      <c r="H237" s="345"/>
      <c r="I237" s="345"/>
      <c r="J237" s="345"/>
      <c r="K237" s="345"/>
    </row>
    <row r="238" spans="1:11" ht="20.25">
      <c r="A238" s="345"/>
      <c r="B238" s="345"/>
      <c r="C238" s="345"/>
      <c r="D238" s="345"/>
      <c r="E238" s="345"/>
      <c r="F238" s="345"/>
      <c r="G238" s="345"/>
      <c r="H238" s="345"/>
      <c r="I238" s="345"/>
      <c r="J238" s="345"/>
      <c r="K238" s="345"/>
    </row>
    <row r="239" spans="1:11" ht="20.25">
      <c r="A239" s="345"/>
      <c r="B239" s="345"/>
      <c r="C239" s="345"/>
      <c r="D239" s="345"/>
      <c r="E239" s="345"/>
      <c r="F239" s="345"/>
      <c r="G239" s="345"/>
      <c r="H239" s="345"/>
      <c r="I239" s="345"/>
      <c r="J239" s="345"/>
      <c r="K239" s="345"/>
    </row>
    <row r="240" spans="1:11" ht="20.25">
      <c r="A240" s="345"/>
      <c r="B240" s="345"/>
      <c r="C240" s="345"/>
      <c r="D240" s="345"/>
      <c r="E240" s="345"/>
      <c r="F240" s="345"/>
      <c r="G240" s="345"/>
      <c r="H240" s="345"/>
      <c r="I240" s="345"/>
      <c r="J240" s="345"/>
      <c r="K240" s="345"/>
    </row>
    <row r="241" spans="1:11" ht="20.25">
      <c r="A241" s="345"/>
      <c r="B241" s="345"/>
      <c r="C241" s="345"/>
      <c r="D241" s="345"/>
      <c r="E241" s="345"/>
      <c r="F241" s="345"/>
      <c r="G241" s="345"/>
      <c r="H241" s="345"/>
      <c r="I241" s="345"/>
      <c r="J241" s="345"/>
      <c r="K241" s="345"/>
    </row>
    <row r="242" spans="1:11" ht="20.25">
      <c r="A242" s="345"/>
      <c r="B242" s="345"/>
      <c r="C242" s="345"/>
      <c r="D242" s="345"/>
      <c r="E242" s="345"/>
      <c r="F242" s="345"/>
      <c r="G242" s="345"/>
      <c r="H242" s="345"/>
      <c r="I242" s="345"/>
      <c r="J242" s="345"/>
      <c r="K242" s="345"/>
    </row>
    <row r="243" spans="1:11" ht="20.25">
      <c r="A243" s="345"/>
      <c r="B243" s="345"/>
      <c r="C243" s="345"/>
      <c r="D243" s="345"/>
      <c r="E243" s="345"/>
      <c r="F243" s="345"/>
      <c r="G243" s="345"/>
      <c r="H243" s="345"/>
      <c r="I243" s="345"/>
      <c r="J243" s="345"/>
      <c r="K243" s="345"/>
    </row>
    <row r="244" spans="1:11" ht="20.25">
      <c r="A244" s="345"/>
      <c r="B244" s="345"/>
      <c r="C244" s="345"/>
      <c r="D244" s="345"/>
      <c r="E244" s="345"/>
      <c r="F244" s="345"/>
      <c r="G244" s="345"/>
      <c r="H244" s="345"/>
      <c r="I244" s="345"/>
      <c r="J244" s="345"/>
      <c r="K244" s="345"/>
    </row>
    <row r="245" spans="1:11" ht="20.25">
      <c r="A245" s="345"/>
      <c r="B245" s="345"/>
      <c r="C245" s="345"/>
      <c r="D245" s="345"/>
      <c r="E245" s="345"/>
      <c r="F245" s="345"/>
      <c r="G245" s="345"/>
      <c r="H245" s="345"/>
      <c r="I245" s="345"/>
      <c r="J245" s="345"/>
      <c r="K245" s="345"/>
    </row>
    <row r="246" spans="1:11" ht="20.25">
      <c r="A246" s="345"/>
      <c r="B246" s="345"/>
      <c r="C246" s="345"/>
      <c r="D246" s="345"/>
      <c r="E246" s="345"/>
      <c r="F246" s="345"/>
      <c r="G246" s="345"/>
      <c r="H246" s="345"/>
      <c r="I246" s="345"/>
      <c r="J246" s="345"/>
      <c r="K246" s="345"/>
    </row>
    <row r="247" spans="1:11" ht="20.25">
      <c r="A247" s="345"/>
      <c r="B247" s="345"/>
      <c r="C247" s="345"/>
      <c r="D247" s="345"/>
      <c r="E247" s="345"/>
      <c r="F247" s="345"/>
      <c r="G247" s="345"/>
      <c r="H247" s="345"/>
      <c r="I247" s="345"/>
      <c r="J247" s="345"/>
      <c r="K247" s="345"/>
    </row>
    <row r="248" spans="1:11" ht="20.25">
      <c r="A248" s="345"/>
      <c r="B248" s="345"/>
      <c r="C248" s="345"/>
      <c r="D248" s="345"/>
      <c r="E248" s="345"/>
      <c r="F248" s="345"/>
      <c r="G248" s="345"/>
      <c r="H248" s="345"/>
      <c r="I248" s="345"/>
      <c r="J248" s="345"/>
      <c r="K248" s="345"/>
    </row>
    <row r="249" spans="1:11" ht="20.25">
      <c r="A249" s="345"/>
      <c r="B249" s="345"/>
      <c r="C249" s="345"/>
      <c r="D249" s="345"/>
      <c r="E249" s="345"/>
      <c r="F249" s="345"/>
      <c r="G249" s="345"/>
      <c r="H249" s="345"/>
      <c r="I249" s="345"/>
      <c r="J249" s="345"/>
      <c r="K249" s="345"/>
    </row>
    <row r="250" spans="1:11" ht="20.25">
      <c r="A250" s="345"/>
      <c r="B250" s="345"/>
      <c r="C250" s="345"/>
      <c r="D250" s="345"/>
      <c r="E250" s="345"/>
      <c r="F250" s="345"/>
      <c r="G250" s="345"/>
      <c r="H250" s="345"/>
      <c r="I250" s="345"/>
      <c r="J250" s="345"/>
      <c r="K250" s="345"/>
    </row>
    <row r="251" spans="1:11" ht="20.25">
      <c r="A251" s="345"/>
      <c r="B251" s="345"/>
      <c r="C251" s="345"/>
      <c r="D251" s="345"/>
      <c r="E251" s="345"/>
      <c r="F251" s="345"/>
      <c r="G251" s="345"/>
      <c r="H251" s="345"/>
      <c r="I251" s="345"/>
      <c r="J251" s="345"/>
      <c r="K251" s="345"/>
    </row>
    <row r="252" spans="1:11" ht="20.25">
      <c r="A252" s="345"/>
      <c r="B252" s="345"/>
      <c r="C252" s="345"/>
      <c r="D252" s="345"/>
      <c r="E252" s="345"/>
      <c r="F252" s="345"/>
      <c r="G252" s="345"/>
      <c r="H252" s="345"/>
      <c r="I252" s="345"/>
      <c r="J252" s="345"/>
      <c r="K252" s="345"/>
    </row>
    <row r="253" spans="1:11" ht="20.25">
      <c r="A253" s="345"/>
      <c r="B253" s="345"/>
      <c r="C253" s="345"/>
      <c r="D253" s="345"/>
      <c r="E253" s="345"/>
      <c r="F253" s="345"/>
      <c r="G253" s="345"/>
      <c r="H253" s="345"/>
      <c r="I253" s="345"/>
      <c r="J253" s="345"/>
      <c r="K253" s="345"/>
    </row>
    <row r="254" spans="1:11" ht="20.25">
      <c r="A254" s="345"/>
      <c r="B254" s="345"/>
      <c r="C254" s="345"/>
      <c r="D254" s="345"/>
      <c r="E254" s="345"/>
      <c r="F254" s="345"/>
      <c r="G254" s="345"/>
      <c r="H254" s="345"/>
      <c r="I254" s="345"/>
      <c r="J254" s="345"/>
      <c r="K254" s="345"/>
    </row>
    <row r="255" spans="1:11" ht="20.25">
      <c r="A255" s="345"/>
      <c r="B255" s="345"/>
      <c r="C255" s="345"/>
      <c r="D255" s="345"/>
      <c r="E255" s="345"/>
      <c r="F255" s="345"/>
      <c r="G255" s="345"/>
      <c r="H255" s="345"/>
      <c r="I255" s="345"/>
      <c r="J255" s="345"/>
      <c r="K255" s="345"/>
    </row>
    <row r="256" spans="1:11" ht="20.25">
      <c r="A256" s="345"/>
      <c r="B256" s="345"/>
      <c r="C256" s="345"/>
      <c r="D256" s="345"/>
      <c r="E256" s="345"/>
      <c r="F256" s="345"/>
      <c r="G256" s="345"/>
      <c r="H256" s="345"/>
      <c r="I256" s="345"/>
      <c r="J256" s="345"/>
      <c r="K256" s="345"/>
    </row>
    <row r="257" spans="1:11" ht="20.25">
      <c r="A257" s="345"/>
      <c r="B257" s="345"/>
      <c r="C257" s="345"/>
      <c r="D257" s="345"/>
      <c r="E257" s="345"/>
      <c r="F257" s="345"/>
      <c r="G257" s="345"/>
      <c r="H257" s="345"/>
      <c r="I257" s="345"/>
      <c r="J257" s="345"/>
      <c r="K257" s="345"/>
    </row>
    <row r="258" spans="1:11" ht="20.25">
      <c r="A258" s="345"/>
      <c r="B258" s="345"/>
      <c r="C258" s="345"/>
      <c r="D258" s="345"/>
      <c r="E258" s="345"/>
      <c r="F258" s="345"/>
      <c r="G258" s="345"/>
      <c r="H258" s="345"/>
      <c r="I258" s="345"/>
      <c r="J258" s="345"/>
      <c r="K258" s="345"/>
    </row>
    <row r="259" spans="1:11" ht="20.25">
      <c r="A259" s="345"/>
      <c r="B259" s="345"/>
      <c r="C259" s="345"/>
      <c r="D259" s="345"/>
      <c r="E259" s="345"/>
      <c r="F259" s="345"/>
      <c r="G259" s="345"/>
      <c r="H259" s="345"/>
      <c r="I259" s="345"/>
      <c r="J259" s="345"/>
      <c r="K259" s="345"/>
    </row>
    <row r="260" spans="1:11" ht="20.25">
      <c r="A260" s="345"/>
      <c r="B260" s="345"/>
      <c r="C260" s="345"/>
      <c r="D260" s="345"/>
      <c r="E260" s="345"/>
      <c r="F260" s="345"/>
      <c r="G260" s="345"/>
      <c r="H260" s="345"/>
      <c r="I260" s="345"/>
      <c r="J260" s="345"/>
      <c r="K260" s="345"/>
    </row>
    <row r="261" spans="1:11" ht="20.25">
      <c r="A261" s="345"/>
      <c r="B261" s="345"/>
      <c r="C261" s="345"/>
      <c r="D261" s="345"/>
      <c r="E261" s="345"/>
      <c r="F261" s="345"/>
      <c r="G261" s="345"/>
      <c r="H261" s="345"/>
      <c r="I261" s="345"/>
      <c r="J261" s="345"/>
      <c r="K261" s="345"/>
    </row>
    <row r="262" spans="1:11" ht="20.25">
      <c r="A262" s="345"/>
      <c r="B262" s="345"/>
      <c r="C262" s="345"/>
      <c r="D262" s="345"/>
      <c r="E262" s="345"/>
      <c r="F262" s="345"/>
      <c r="G262" s="345"/>
      <c r="H262" s="345"/>
      <c r="I262" s="345"/>
      <c r="J262" s="345"/>
      <c r="K262" s="345"/>
    </row>
    <row r="263" spans="1:11" ht="20.25">
      <c r="A263" s="345"/>
      <c r="B263" s="345"/>
      <c r="C263" s="345"/>
      <c r="D263" s="345"/>
      <c r="E263" s="345"/>
      <c r="F263" s="345"/>
      <c r="G263" s="345"/>
      <c r="H263" s="345"/>
      <c r="I263" s="345"/>
      <c r="J263" s="345"/>
      <c r="K263" s="345"/>
    </row>
    <row r="264" spans="1:11" ht="20.25">
      <c r="A264" s="345"/>
      <c r="B264" s="345"/>
      <c r="C264" s="345"/>
      <c r="D264" s="345"/>
      <c r="E264" s="345"/>
      <c r="F264" s="345"/>
      <c r="G264" s="345"/>
      <c r="H264" s="345"/>
      <c r="I264" s="345"/>
      <c r="J264" s="345"/>
      <c r="K264" s="345"/>
    </row>
    <row r="265" spans="1:11" ht="20.25">
      <c r="A265" s="345"/>
      <c r="B265" s="345"/>
      <c r="C265" s="345"/>
      <c r="D265" s="345"/>
      <c r="E265" s="345"/>
      <c r="F265" s="345"/>
      <c r="G265" s="345"/>
      <c r="H265" s="345"/>
      <c r="I265" s="345"/>
      <c r="J265" s="345"/>
      <c r="K265" s="345"/>
    </row>
    <row r="266" spans="1:11" ht="20.25">
      <c r="A266" s="345"/>
      <c r="B266" s="345"/>
      <c r="C266" s="345"/>
      <c r="D266" s="345"/>
      <c r="E266" s="345"/>
      <c r="F266" s="345"/>
      <c r="G266" s="345"/>
      <c r="H266" s="345"/>
      <c r="I266" s="345"/>
      <c r="J266" s="345"/>
      <c r="K266" s="345"/>
    </row>
    <row r="267" spans="1:11" ht="20.25">
      <c r="A267" s="345"/>
      <c r="B267" s="345"/>
      <c r="C267" s="345"/>
      <c r="D267" s="345"/>
      <c r="E267" s="345"/>
      <c r="F267" s="345"/>
      <c r="G267" s="345"/>
      <c r="H267" s="345"/>
      <c r="I267" s="345"/>
      <c r="J267" s="345"/>
      <c r="K267" s="345"/>
    </row>
    <row r="268" spans="1:11" ht="20.25">
      <c r="A268" s="345"/>
      <c r="B268" s="345"/>
      <c r="C268" s="345"/>
      <c r="D268" s="345"/>
      <c r="E268" s="345"/>
      <c r="F268" s="345"/>
      <c r="G268" s="345"/>
      <c r="H268" s="345"/>
      <c r="I268" s="345"/>
      <c r="J268" s="345"/>
      <c r="K268" s="345"/>
    </row>
    <row r="269" spans="1:11" ht="20.25">
      <c r="A269" s="345"/>
      <c r="B269" s="345"/>
      <c r="C269" s="345"/>
      <c r="D269" s="345"/>
      <c r="E269" s="345"/>
      <c r="F269" s="345"/>
      <c r="G269" s="345"/>
      <c r="H269" s="345"/>
      <c r="I269" s="345"/>
      <c r="J269" s="345"/>
      <c r="K269" s="345"/>
    </row>
    <row r="270" spans="1:11" ht="20.25">
      <c r="A270" s="345"/>
      <c r="B270" s="345"/>
      <c r="C270" s="345"/>
      <c r="D270" s="345"/>
      <c r="E270" s="345"/>
      <c r="F270" s="345"/>
      <c r="G270" s="345"/>
      <c r="H270" s="345"/>
      <c r="I270" s="345"/>
      <c r="J270" s="345"/>
      <c r="K270" s="345"/>
    </row>
    <row r="271" spans="1:11" ht="20.25">
      <c r="A271" s="345"/>
      <c r="B271" s="345"/>
      <c r="C271" s="345"/>
      <c r="D271" s="345"/>
      <c r="E271" s="345"/>
      <c r="F271" s="345"/>
      <c r="G271" s="345"/>
      <c r="H271" s="345"/>
      <c r="I271" s="345"/>
      <c r="J271" s="345"/>
      <c r="K271" s="345"/>
    </row>
    <row r="272" spans="1:11" ht="20.25">
      <c r="A272" s="345"/>
      <c r="B272" s="345"/>
      <c r="C272" s="345"/>
      <c r="D272" s="345"/>
      <c r="E272" s="345"/>
      <c r="F272" s="345"/>
      <c r="G272" s="345"/>
      <c r="H272" s="345"/>
      <c r="I272" s="345"/>
      <c r="J272" s="345"/>
      <c r="K272" s="345"/>
    </row>
    <row r="273" spans="1:11" ht="20.25">
      <c r="A273" s="345"/>
      <c r="B273" s="345"/>
      <c r="C273" s="345"/>
      <c r="D273" s="345"/>
      <c r="E273" s="345"/>
      <c r="F273" s="345"/>
      <c r="G273" s="345"/>
      <c r="H273" s="345"/>
      <c r="I273" s="345"/>
      <c r="J273" s="345"/>
      <c r="K273" s="345"/>
    </row>
    <row r="274" spans="1:11" ht="20.25">
      <c r="A274" s="345"/>
      <c r="B274" s="345"/>
      <c r="C274" s="345"/>
      <c r="D274" s="345"/>
      <c r="E274" s="345"/>
      <c r="F274" s="345"/>
      <c r="G274" s="345"/>
      <c r="H274" s="345"/>
      <c r="I274" s="345"/>
      <c r="J274" s="345"/>
      <c r="K274" s="345"/>
    </row>
    <row r="275" spans="1:11" ht="20.25">
      <c r="A275" s="345"/>
      <c r="B275" s="345"/>
      <c r="C275" s="345"/>
      <c r="D275" s="345"/>
      <c r="E275" s="345"/>
      <c r="F275" s="345"/>
      <c r="G275" s="345"/>
      <c r="H275" s="345"/>
      <c r="I275" s="345"/>
      <c r="J275" s="345"/>
      <c r="K275" s="345"/>
    </row>
    <row r="276" spans="1:11" ht="20.25">
      <c r="A276" s="345"/>
      <c r="B276" s="345"/>
      <c r="C276" s="345"/>
      <c r="D276" s="345"/>
      <c r="E276" s="345"/>
      <c r="F276" s="345"/>
      <c r="G276" s="345"/>
      <c r="H276" s="345"/>
      <c r="I276" s="345"/>
      <c r="J276" s="345"/>
      <c r="K276" s="345"/>
    </row>
    <row r="277" spans="1:11" ht="20.25">
      <c r="A277" s="345"/>
      <c r="B277" s="345"/>
      <c r="C277" s="345"/>
      <c r="D277" s="345"/>
      <c r="E277" s="345"/>
      <c r="F277" s="345"/>
      <c r="G277" s="345"/>
      <c r="H277" s="345"/>
      <c r="I277" s="345"/>
      <c r="J277" s="345"/>
      <c r="K277" s="345"/>
    </row>
    <row r="278" spans="1:11" ht="20.25">
      <c r="A278" s="345"/>
      <c r="B278" s="345"/>
      <c r="C278" s="345"/>
      <c r="D278" s="345"/>
      <c r="E278" s="345"/>
      <c r="F278" s="345"/>
      <c r="G278" s="345"/>
      <c r="H278" s="345"/>
      <c r="I278" s="345"/>
      <c r="J278" s="345"/>
      <c r="K278" s="345"/>
    </row>
    <row r="279" spans="1:11" ht="20.25">
      <c r="A279" s="345"/>
      <c r="B279" s="345"/>
      <c r="C279" s="345"/>
      <c r="D279" s="345"/>
      <c r="E279" s="345"/>
      <c r="F279" s="345"/>
      <c r="G279" s="345"/>
      <c r="H279" s="345"/>
      <c r="I279" s="345"/>
      <c r="J279" s="345"/>
      <c r="K279" s="345"/>
    </row>
    <row r="280" spans="1:11" ht="20.25">
      <c r="A280" s="345"/>
      <c r="B280" s="345"/>
      <c r="C280" s="345"/>
      <c r="D280" s="345"/>
      <c r="E280" s="345"/>
      <c r="F280" s="345"/>
      <c r="G280" s="345"/>
      <c r="H280" s="345"/>
      <c r="I280" s="345"/>
      <c r="J280" s="345"/>
      <c r="K280" s="345"/>
    </row>
    <row r="281" spans="1:11" ht="20.25">
      <c r="A281" s="345"/>
      <c r="B281" s="345"/>
      <c r="C281" s="345"/>
      <c r="D281" s="345"/>
      <c r="E281" s="345"/>
      <c r="F281" s="345"/>
      <c r="G281" s="345"/>
      <c r="H281" s="345"/>
      <c r="I281" s="345"/>
      <c r="J281" s="345"/>
      <c r="K281" s="345"/>
    </row>
    <row r="282" spans="1:11" ht="20.25">
      <c r="A282" s="345"/>
      <c r="B282" s="345"/>
      <c r="C282" s="345"/>
      <c r="D282" s="345"/>
      <c r="E282" s="345"/>
      <c r="F282" s="345"/>
      <c r="G282" s="345"/>
      <c r="H282" s="345"/>
      <c r="I282" s="345"/>
      <c r="J282" s="345"/>
      <c r="K282" s="345"/>
    </row>
    <row r="283" spans="1:11" ht="20.25">
      <c r="A283" s="345"/>
      <c r="B283" s="345"/>
      <c r="C283" s="345"/>
      <c r="D283" s="345"/>
      <c r="E283" s="345"/>
      <c r="F283" s="345"/>
      <c r="G283" s="345"/>
      <c r="H283" s="345"/>
      <c r="I283" s="345"/>
      <c r="J283" s="345"/>
      <c r="K283" s="345"/>
    </row>
    <row r="284" spans="1:11" ht="20.25">
      <c r="A284" s="345"/>
      <c r="B284" s="345"/>
      <c r="C284" s="345"/>
      <c r="D284" s="345"/>
      <c r="E284" s="345"/>
      <c r="F284" s="345"/>
      <c r="G284" s="345"/>
      <c r="H284" s="345"/>
      <c r="I284" s="345"/>
      <c r="J284" s="345"/>
      <c r="K284" s="345"/>
    </row>
    <row r="285" spans="1:11" ht="20.25">
      <c r="A285" s="345"/>
      <c r="B285" s="345"/>
      <c r="C285" s="345"/>
      <c r="D285" s="345"/>
      <c r="E285" s="345"/>
      <c r="F285" s="345"/>
      <c r="G285" s="345"/>
      <c r="H285" s="345"/>
      <c r="I285" s="345"/>
      <c r="J285" s="345"/>
      <c r="K285" s="345"/>
    </row>
    <row r="286" spans="1:11" ht="20.25">
      <c r="A286" s="345"/>
      <c r="B286" s="345"/>
      <c r="C286" s="345"/>
      <c r="D286" s="345"/>
      <c r="E286" s="345"/>
      <c r="F286" s="345"/>
      <c r="G286" s="345"/>
      <c r="H286" s="345"/>
      <c r="I286" s="345"/>
      <c r="J286" s="345"/>
      <c r="K286" s="345"/>
    </row>
    <row r="287" spans="1:11" ht="20.25">
      <c r="A287" s="345"/>
      <c r="B287" s="345"/>
      <c r="C287" s="345"/>
      <c r="D287" s="345"/>
      <c r="E287" s="345"/>
      <c r="F287" s="345"/>
      <c r="G287" s="345"/>
      <c r="H287" s="345"/>
      <c r="I287" s="345"/>
      <c r="J287" s="345"/>
      <c r="K287" s="345"/>
    </row>
    <row r="288" spans="1:11" ht="20.25">
      <c r="A288" s="345"/>
      <c r="B288" s="345"/>
      <c r="C288" s="345"/>
      <c r="D288" s="345"/>
      <c r="E288" s="345"/>
      <c r="F288" s="345"/>
      <c r="G288" s="345"/>
      <c r="H288" s="345"/>
      <c r="I288" s="345"/>
      <c r="J288" s="345"/>
      <c r="K288" s="345"/>
    </row>
    <row r="289" spans="1:11" ht="20.25">
      <c r="A289" s="345"/>
      <c r="B289" s="345"/>
      <c r="C289" s="345"/>
      <c r="D289" s="345"/>
      <c r="E289" s="345"/>
      <c r="F289" s="345"/>
      <c r="G289" s="345"/>
      <c r="H289" s="345"/>
      <c r="I289" s="345"/>
      <c r="J289" s="345"/>
      <c r="K289" s="345"/>
    </row>
    <row r="290" spans="1:11" ht="20.25">
      <c r="A290" s="345"/>
      <c r="B290" s="345"/>
      <c r="C290" s="345"/>
      <c r="D290" s="345"/>
      <c r="E290" s="345"/>
      <c r="F290" s="345"/>
      <c r="G290" s="345"/>
      <c r="H290" s="345"/>
      <c r="I290" s="345"/>
      <c r="J290" s="345"/>
      <c r="K290" s="345"/>
    </row>
    <row r="291" spans="1:11" ht="20.25">
      <c r="A291" s="345"/>
      <c r="B291" s="345"/>
      <c r="C291" s="345"/>
      <c r="D291" s="345"/>
      <c r="E291" s="345"/>
      <c r="F291" s="345"/>
      <c r="G291" s="345"/>
      <c r="H291" s="345"/>
      <c r="I291" s="345"/>
      <c r="J291" s="345"/>
      <c r="K291" s="345"/>
    </row>
    <row r="292" spans="1:11" ht="20.25">
      <c r="A292" s="345"/>
      <c r="B292" s="345"/>
      <c r="C292" s="345"/>
      <c r="D292" s="345"/>
      <c r="E292" s="345"/>
      <c r="F292" s="345"/>
      <c r="G292" s="345"/>
      <c r="H292" s="345"/>
      <c r="I292" s="345"/>
      <c r="J292" s="345"/>
      <c r="K292" s="345"/>
    </row>
    <row r="293" spans="1:11" ht="20.25">
      <c r="A293" s="345"/>
      <c r="B293" s="345"/>
      <c r="C293" s="345"/>
      <c r="D293" s="345"/>
      <c r="E293" s="345"/>
      <c r="F293" s="345"/>
      <c r="G293" s="345"/>
      <c r="H293" s="345"/>
      <c r="I293" s="345"/>
      <c r="J293" s="345"/>
      <c r="K293" s="345"/>
    </row>
    <row r="294" spans="1:11" ht="20.25">
      <c r="A294" s="345"/>
      <c r="B294" s="345"/>
      <c r="C294" s="345"/>
      <c r="D294" s="345"/>
      <c r="E294" s="345"/>
      <c r="F294" s="345"/>
      <c r="G294" s="345"/>
      <c r="H294" s="345"/>
      <c r="I294" s="345"/>
      <c r="J294" s="345"/>
      <c r="K294" s="345"/>
    </row>
    <row r="295" spans="1:11" ht="20.25">
      <c r="A295" s="345"/>
      <c r="B295" s="345"/>
      <c r="C295" s="345"/>
      <c r="D295" s="345"/>
      <c r="E295" s="345"/>
      <c r="F295" s="345"/>
      <c r="G295" s="345"/>
      <c r="H295" s="345"/>
      <c r="I295" s="345"/>
      <c r="J295" s="345"/>
      <c r="K295" s="345"/>
    </row>
    <row r="296" spans="1:11" ht="20.25">
      <c r="A296" s="345"/>
      <c r="B296" s="345"/>
      <c r="C296" s="345"/>
      <c r="D296" s="345"/>
      <c r="E296" s="345"/>
      <c r="F296" s="345"/>
      <c r="G296" s="345"/>
      <c r="H296" s="345"/>
      <c r="I296" s="345"/>
      <c r="J296" s="345"/>
      <c r="K296" s="345"/>
    </row>
    <row r="297" spans="1:11" ht="20.25">
      <c r="A297" s="345"/>
      <c r="B297" s="345"/>
      <c r="C297" s="345"/>
      <c r="D297" s="345"/>
      <c r="E297" s="345"/>
      <c r="F297" s="345"/>
      <c r="G297" s="345"/>
      <c r="H297" s="345"/>
      <c r="I297" s="345"/>
      <c r="J297" s="345"/>
      <c r="K297" s="345"/>
    </row>
    <row r="298" spans="1:11" ht="20.25">
      <c r="A298" s="345"/>
      <c r="B298" s="345"/>
      <c r="C298" s="345"/>
      <c r="D298" s="345"/>
      <c r="E298" s="345"/>
      <c r="F298" s="345"/>
      <c r="G298" s="345"/>
      <c r="H298" s="345"/>
      <c r="I298" s="345"/>
      <c r="J298" s="345"/>
      <c r="K298" s="345"/>
    </row>
    <row r="299" spans="1:11" ht="20.25">
      <c r="A299" s="345"/>
      <c r="B299" s="345"/>
      <c r="C299" s="345"/>
      <c r="D299" s="345"/>
      <c r="E299" s="345"/>
      <c r="F299" s="345"/>
      <c r="G299" s="345"/>
      <c r="H299" s="345"/>
      <c r="I299" s="345"/>
      <c r="J299" s="345"/>
      <c r="K299" s="345"/>
    </row>
    <row r="300" spans="1:11" ht="20.25">
      <c r="A300" s="345"/>
      <c r="B300" s="345"/>
      <c r="C300" s="345"/>
      <c r="D300" s="345"/>
      <c r="E300" s="345"/>
      <c r="F300" s="345"/>
      <c r="G300" s="345"/>
      <c r="H300" s="345"/>
      <c r="I300" s="345"/>
      <c r="J300" s="345"/>
      <c r="K300" s="345"/>
    </row>
    <row r="301" spans="1:11" ht="20.25">
      <c r="A301" s="345"/>
      <c r="B301" s="345"/>
      <c r="C301" s="345"/>
      <c r="D301" s="345"/>
      <c r="E301" s="345"/>
      <c r="F301" s="345"/>
      <c r="G301" s="345"/>
      <c r="H301" s="345"/>
      <c r="I301" s="345"/>
      <c r="J301" s="345"/>
      <c r="K301" s="345"/>
    </row>
    <row r="302" spans="1:11" ht="20.25">
      <c r="A302" s="345"/>
      <c r="B302" s="345"/>
      <c r="C302" s="345"/>
      <c r="D302" s="345"/>
      <c r="E302" s="345"/>
      <c r="F302" s="345"/>
      <c r="G302" s="345"/>
      <c r="H302" s="345"/>
      <c r="I302" s="345"/>
      <c r="J302" s="345"/>
      <c r="K302" s="345"/>
    </row>
    <row r="303" spans="1:11" ht="20.25">
      <c r="A303" s="345"/>
      <c r="B303" s="345"/>
      <c r="C303" s="345"/>
      <c r="D303" s="345"/>
      <c r="E303" s="345"/>
      <c r="F303" s="345"/>
      <c r="G303" s="345"/>
      <c r="H303" s="345"/>
      <c r="I303" s="345"/>
      <c r="J303" s="345"/>
      <c r="K303" s="345"/>
    </row>
    <row r="304" spans="1:11" ht="20.25">
      <c r="A304" s="345"/>
      <c r="B304" s="345"/>
      <c r="C304" s="345"/>
      <c r="D304" s="345"/>
      <c r="E304" s="345"/>
      <c r="F304" s="345"/>
      <c r="G304" s="345"/>
      <c r="H304" s="345"/>
      <c r="I304" s="345"/>
      <c r="J304" s="345"/>
      <c r="K304" s="345"/>
    </row>
    <row r="305" spans="1:11" ht="20.25">
      <c r="A305" s="345"/>
      <c r="B305" s="345"/>
      <c r="C305" s="345"/>
      <c r="D305" s="345"/>
      <c r="E305" s="345"/>
      <c r="F305" s="345"/>
      <c r="G305" s="345"/>
      <c r="H305" s="345"/>
      <c r="I305" s="345"/>
      <c r="J305" s="345"/>
      <c r="K305" s="345"/>
    </row>
    <row r="306" spans="1:11" ht="20.25">
      <c r="A306" s="345"/>
      <c r="B306" s="345"/>
      <c r="C306" s="345"/>
      <c r="D306" s="345"/>
      <c r="E306" s="345"/>
      <c r="F306" s="345"/>
      <c r="G306" s="345"/>
      <c r="H306" s="345"/>
      <c r="I306" s="345"/>
      <c r="J306" s="345"/>
      <c r="K306" s="345"/>
    </row>
    <row r="307" spans="1:11" ht="20.25">
      <c r="A307" s="345"/>
      <c r="B307" s="345"/>
      <c r="C307" s="345"/>
      <c r="D307" s="345"/>
      <c r="E307" s="345"/>
      <c r="F307" s="345"/>
      <c r="G307" s="345"/>
      <c r="H307" s="345"/>
      <c r="I307" s="345"/>
      <c r="J307" s="345"/>
      <c r="K307" s="345"/>
    </row>
    <row r="308" spans="1:11" ht="20.25">
      <c r="A308" s="345"/>
      <c r="B308" s="345"/>
      <c r="C308" s="345"/>
      <c r="D308" s="345"/>
      <c r="E308" s="345"/>
      <c r="F308" s="345"/>
      <c r="G308" s="345"/>
      <c r="H308" s="345"/>
      <c r="I308" s="345"/>
      <c r="J308" s="345"/>
      <c r="K308" s="345"/>
    </row>
    <row r="309" spans="1:11" ht="20.25">
      <c r="A309" s="345"/>
      <c r="B309" s="345"/>
      <c r="C309" s="345"/>
      <c r="D309" s="345"/>
      <c r="E309" s="345"/>
      <c r="F309" s="345"/>
      <c r="G309" s="345"/>
      <c r="H309" s="345"/>
      <c r="I309" s="345"/>
      <c r="J309" s="345"/>
      <c r="K309" s="345"/>
    </row>
    <row r="310" spans="1:11" ht="20.25">
      <c r="A310" s="345"/>
      <c r="B310" s="345"/>
      <c r="C310" s="345"/>
      <c r="D310" s="345"/>
      <c r="E310" s="345"/>
      <c r="F310" s="345"/>
      <c r="G310" s="345"/>
      <c r="H310" s="345"/>
      <c r="I310" s="345"/>
      <c r="J310" s="345"/>
      <c r="K310" s="345"/>
    </row>
    <row r="311" spans="1:11" ht="20.25">
      <c r="A311" s="345"/>
      <c r="B311" s="345"/>
      <c r="C311" s="345"/>
      <c r="D311" s="345"/>
      <c r="E311" s="345"/>
      <c r="F311" s="345"/>
      <c r="G311" s="345"/>
      <c r="H311" s="345"/>
      <c r="I311" s="345"/>
      <c r="J311" s="345"/>
      <c r="K311" s="345"/>
    </row>
    <row r="312" spans="1:11" ht="20.25">
      <c r="A312" s="345"/>
      <c r="B312" s="345"/>
      <c r="C312" s="345"/>
      <c r="D312" s="345"/>
      <c r="E312" s="345"/>
      <c r="F312" s="345"/>
      <c r="G312" s="345"/>
      <c r="H312" s="345"/>
      <c r="I312" s="345"/>
      <c r="J312" s="345"/>
      <c r="K312" s="345"/>
    </row>
    <row r="313" spans="1:11" ht="20.25">
      <c r="A313" s="345"/>
      <c r="B313" s="345"/>
      <c r="C313" s="345"/>
      <c r="D313" s="345"/>
      <c r="E313" s="345"/>
      <c r="F313" s="345"/>
      <c r="G313" s="345"/>
      <c r="H313" s="345"/>
      <c r="I313" s="345"/>
      <c r="J313" s="345"/>
      <c r="K313" s="345"/>
    </row>
    <row r="314" spans="1:11" ht="20.25">
      <c r="A314" s="345"/>
      <c r="B314" s="345"/>
      <c r="C314" s="345"/>
      <c r="D314" s="345"/>
      <c r="E314" s="345"/>
      <c r="F314" s="345"/>
      <c r="G314" s="345"/>
      <c r="H314" s="345"/>
      <c r="I314" s="345"/>
      <c r="J314" s="345"/>
      <c r="K314" s="345"/>
    </row>
    <row r="315" spans="1:11" ht="20.25">
      <c r="A315" s="345"/>
      <c r="B315" s="345"/>
      <c r="C315" s="345"/>
      <c r="D315" s="345"/>
      <c r="E315" s="345"/>
      <c r="F315" s="345"/>
      <c r="G315" s="345"/>
      <c r="H315" s="345"/>
      <c r="I315" s="345"/>
      <c r="J315" s="345"/>
      <c r="K315" s="345"/>
    </row>
    <row r="316" spans="1:11" ht="20.25">
      <c r="A316" s="345"/>
      <c r="B316" s="345"/>
      <c r="C316" s="345"/>
      <c r="D316" s="345"/>
      <c r="E316" s="345"/>
      <c r="F316" s="345"/>
      <c r="G316" s="345"/>
      <c r="H316" s="345"/>
      <c r="I316" s="345"/>
      <c r="J316" s="345"/>
      <c r="K316" s="345"/>
    </row>
    <row r="317" spans="1:11" ht="20.25">
      <c r="A317" s="345"/>
      <c r="B317" s="345"/>
      <c r="C317" s="345"/>
      <c r="D317" s="345"/>
      <c r="E317" s="345"/>
      <c r="F317" s="345"/>
      <c r="G317" s="345"/>
      <c r="H317" s="345"/>
      <c r="I317" s="345"/>
      <c r="J317" s="345"/>
      <c r="K317" s="345"/>
    </row>
    <row r="318" spans="1:11" ht="20.25">
      <c r="A318" s="345"/>
      <c r="B318" s="345"/>
      <c r="C318" s="345"/>
      <c r="D318" s="345"/>
      <c r="E318" s="345"/>
      <c r="F318" s="345"/>
      <c r="G318" s="345"/>
      <c r="H318" s="345"/>
      <c r="I318" s="345"/>
      <c r="J318" s="345"/>
      <c r="K318" s="345"/>
    </row>
    <row r="319" spans="1:11" ht="20.25">
      <c r="A319" s="345"/>
      <c r="B319" s="345"/>
      <c r="C319" s="345"/>
      <c r="D319" s="345"/>
      <c r="E319" s="345"/>
      <c r="F319" s="345"/>
      <c r="G319" s="345"/>
      <c r="H319" s="345"/>
      <c r="I319" s="345"/>
      <c r="J319" s="345"/>
      <c r="K319" s="345"/>
    </row>
    <row r="320" spans="1:11" ht="20.25">
      <c r="A320" s="345"/>
      <c r="B320" s="345"/>
      <c r="C320" s="345"/>
      <c r="D320" s="345"/>
      <c r="E320" s="345"/>
      <c r="F320" s="345"/>
      <c r="G320" s="345"/>
      <c r="H320" s="345"/>
      <c r="I320" s="345"/>
      <c r="J320" s="345"/>
      <c r="K320" s="345"/>
    </row>
    <row r="321" spans="1:11" ht="20.25">
      <c r="A321" s="345"/>
      <c r="B321" s="345"/>
      <c r="C321" s="345"/>
      <c r="D321" s="345"/>
      <c r="E321" s="345"/>
      <c r="F321" s="345"/>
      <c r="G321" s="345"/>
      <c r="H321" s="345"/>
      <c r="I321" s="345"/>
      <c r="J321" s="345"/>
      <c r="K321" s="345"/>
    </row>
    <row r="322" spans="1:11" ht="20.25">
      <c r="A322" s="345"/>
      <c r="B322" s="345"/>
      <c r="C322" s="345"/>
      <c r="D322" s="345"/>
      <c r="E322" s="345"/>
      <c r="F322" s="345"/>
      <c r="G322" s="345"/>
      <c r="H322" s="345"/>
      <c r="I322" s="345"/>
      <c r="J322" s="345"/>
      <c r="K322" s="345"/>
    </row>
    <row r="323" spans="1:11" ht="20.25">
      <c r="A323" s="345"/>
      <c r="B323" s="345"/>
      <c r="C323" s="345"/>
      <c r="D323" s="345"/>
      <c r="E323" s="345"/>
      <c r="F323" s="345"/>
      <c r="G323" s="345"/>
      <c r="H323" s="345"/>
      <c r="I323" s="345"/>
      <c r="J323" s="345"/>
      <c r="K323" s="345"/>
    </row>
    <row r="324" spans="1:11" ht="20.25">
      <c r="A324" s="345"/>
      <c r="B324" s="345"/>
      <c r="C324" s="345"/>
      <c r="D324" s="345"/>
      <c r="E324" s="345"/>
      <c r="F324" s="345"/>
      <c r="G324" s="345"/>
      <c r="H324" s="345"/>
      <c r="I324" s="345"/>
      <c r="J324" s="345"/>
      <c r="K324" s="345"/>
    </row>
    <row r="325" spans="1:11" ht="20.25">
      <c r="A325" s="345"/>
      <c r="B325" s="345"/>
      <c r="C325" s="345"/>
      <c r="D325" s="345"/>
      <c r="E325" s="345"/>
      <c r="F325" s="345"/>
      <c r="G325" s="345"/>
      <c r="H325" s="345"/>
      <c r="I325" s="345"/>
      <c r="J325" s="345"/>
      <c r="K325" s="345"/>
    </row>
    <row r="326" spans="1:11" ht="20.25">
      <c r="A326" s="345"/>
      <c r="B326" s="345"/>
      <c r="C326" s="345"/>
      <c r="D326" s="345"/>
      <c r="E326" s="345"/>
      <c r="F326" s="345"/>
      <c r="G326" s="345"/>
      <c r="H326" s="345"/>
      <c r="I326" s="345"/>
      <c r="J326" s="345"/>
      <c r="K326" s="345"/>
    </row>
    <row r="327" spans="1:11" ht="20.25">
      <c r="A327" s="345"/>
      <c r="B327" s="345"/>
      <c r="C327" s="345"/>
      <c r="D327" s="345"/>
      <c r="E327" s="345"/>
      <c r="F327" s="345"/>
      <c r="G327" s="345"/>
      <c r="H327" s="345"/>
      <c r="I327" s="345"/>
      <c r="J327" s="345"/>
      <c r="K327" s="345"/>
    </row>
    <row r="328" spans="1:11" ht="20.25">
      <c r="A328" s="345"/>
      <c r="B328" s="345"/>
      <c r="C328" s="345"/>
      <c r="D328" s="345"/>
      <c r="E328" s="345"/>
      <c r="F328" s="345"/>
      <c r="G328" s="345"/>
      <c r="H328" s="345"/>
      <c r="I328" s="345"/>
      <c r="J328" s="345"/>
      <c r="K328" s="345"/>
    </row>
    <row r="329" spans="1:11" ht="20.25">
      <c r="A329" s="345"/>
      <c r="B329" s="345"/>
      <c r="C329" s="345"/>
      <c r="D329" s="345"/>
      <c r="E329" s="345"/>
      <c r="F329" s="345"/>
      <c r="G329" s="345"/>
      <c r="H329" s="345"/>
      <c r="I329" s="345"/>
      <c r="J329" s="345"/>
      <c r="K329" s="345"/>
    </row>
    <row r="330" spans="1:11" ht="20.25">
      <c r="A330" s="345"/>
      <c r="B330" s="345"/>
      <c r="C330" s="345"/>
      <c r="D330" s="345"/>
      <c r="E330" s="345"/>
      <c r="F330" s="345"/>
      <c r="G330" s="345"/>
      <c r="H330" s="345"/>
      <c r="I330" s="345"/>
      <c r="J330" s="345"/>
      <c r="K330" s="345"/>
    </row>
    <row r="331" spans="1:11" ht="20.25">
      <c r="A331" s="345"/>
      <c r="B331" s="345"/>
      <c r="C331" s="345"/>
      <c r="D331" s="345"/>
      <c r="E331" s="345"/>
      <c r="F331" s="345"/>
      <c r="G331" s="345"/>
      <c r="H331" s="345"/>
      <c r="I331" s="345"/>
      <c r="J331" s="345"/>
      <c r="K331" s="345"/>
    </row>
    <row r="332" spans="1:11" ht="20.25">
      <c r="A332" s="345"/>
      <c r="B332" s="345"/>
      <c r="C332" s="345"/>
      <c r="D332" s="345"/>
      <c r="E332" s="345"/>
      <c r="F332" s="345"/>
      <c r="G332" s="345"/>
      <c r="H332" s="345"/>
      <c r="I332" s="345"/>
      <c r="J332" s="345"/>
      <c r="K332" s="345"/>
    </row>
    <row r="333" spans="1:11" ht="20.25">
      <c r="A333" s="345"/>
      <c r="B333" s="345"/>
      <c r="C333" s="345"/>
      <c r="D333" s="345"/>
      <c r="E333" s="345"/>
      <c r="F333" s="345"/>
      <c r="G333" s="345"/>
      <c r="H333" s="345"/>
      <c r="I333" s="345"/>
      <c r="J333" s="345"/>
      <c r="K333" s="345"/>
    </row>
    <row r="334" spans="1:11" ht="20.25">
      <c r="A334" s="345"/>
      <c r="B334" s="345"/>
      <c r="C334" s="345"/>
      <c r="D334" s="345"/>
      <c r="E334" s="345"/>
      <c r="F334" s="345"/>
      <c r="G334" s="345"/>
      <c r="H334" s="345"/>
      <c r="I334" s="345"/>
      <c r="J334" s="345"/>
      <c r="K334" s="345"/>
    </row>
    <row r="335" spans="1:11" ht="20.25">
      <c r="A335" s="345"/>
      <c r="B335" s="345"/>
      <c r="C335" s="345"/>
      <c r="D335" s="345"/>
      <c r="E335" s="345"/>
      <c r="F335" s="345"/>
      <c r="G335" s="345"/>
      <c r="H335" s="345"/>
      <c r="I335" s="345"/>
      <c r="J335" s="345"/>
      <c r="K335" s="345"/>
    </row>
    <row r="336" spans="1:11" ht="20.25">
      <c r="A336" s="345"/>
      <c r="B336" s="345"/>
      <c r="C336" s="345"/>
      <c r="D336" s="345"/>
      <c r="E336" s="345"/>
      <c r="F336" s="345"/>
      <c r="G336" s="345"/>
      <c r="H336" s="345"/>
      <c r="I336" s="345"/>
      <c r="J336" s="345"/>
      <c r="K336" s="345"/>
    </row>
    <row r="337" spans="1:11" ht="20.25">
      <c r="A337" s="345"/>
      <c r="B337" s="345"/>
      <c r="C337" s="345"/>
      <c r="D337" s="345"/>
      <c r="E337" s="345"/>
      <c r="F337" s="345"/>
      <c r="G337" s="345"/>
      <c r="H337" s="345"/>
      <c r="I337" s="345"/>
      <c r="J337" s="345"/>
      <c r="K337" s="345"/>
    </row>
    <row r="338" spans="1:11" ht="20.25">
      <c r="A338" s="345"/>
      <c r="B338" s="345"/>
      <c r="C338" s="345"/>
      <c r="D338" s="345"/>
      <c r="E338" s="345"/>
      <c r="F338" s="345"/>
      <c r="G338" s="345"/>
      <c r="H338" s="345"/>
      <c r="I338" s="345"/>
      <c r="J338" s="345"/>
      <c r="K338" s="345"/>
    </row>
    <row r="339" spans="1:11" ht="20.25">
      <c r="A339" s="345"/>
      <c r="B339" s="345"/>
      <c r="C339" s="345"/>
      <c r="D339" s="345"/>
      <c r="E339" s="345"/>
      <c r="F339" s="345"/>
      <c r="G339" s="345"/>
      <c r="H339" s="345"/>
      <c r="I339" s="345"/>
      <c r="J339" s="345"/>
      <c r="K339" s="345"/>
    </row>
    <row r="340" spans="1:11" ht="20.25">
      <c r="A340" s="345"/>
      <c r="B340" s="345"/>
      <c r="C340" s="345"/>
      <c r="D340" s="345"/>
      <c r="E340" s="345"/>
      <c r="F340" s="345"/>
      <c r="G340" s="345"/>
      <c r="H340" s="345"/>
      <c r="I340" s="345"/>
      <c r="J340" s="345"/>
      <c r="K340" s="345"/>
    </row>
    <row r="341" spans="1:11" ht="20.25">
      <c r="A341" s="345"/>
      <c r="B341" s="345"/>
      <c r="C341" s="345"/>
      <c r="D341" s="345"/>
      <c r="E341" s="345"/>
      <c r="F341" s="345"/>
      <c r="G341" s="345"/>
      <c r="H341" s="345"/>
      <c r="I341" s="345"/>
      <c r="J341" s="345"/>
      <c r="K341" s="345"/>
    </row>
    <row r="342" spans="1:11" ht="20.25">
      <c r="A342" s="345"/>
      <c r="B342" s="345"/>
      <c r="C342" s="345"/>
      <c r="D342" s="345"/>
      <c r="E342" s="345"/>
      <c r="F342" s="345"/>
      <c r="G342" s="345"/>
      <c r="H342" s="345"/>
      <c r="I342" s="345"/>
      <c r="J342" s="345"/>
      <c r="K342" s="345"/>
    </row>
    <row r="343" spans="1:11" ht="20.25">
      <c r="A343" s="345"/>
      <c r="B343" s="345"/>
      <c r="C343" s="345"/>
      <c r="D343" s="345"/>
      <c r="E343" s="345"/>
      <c r="F343" s="345"/>
      <c r="G343" s="345"/>
      <c r="H343" s="345"/>
      <c r="I343" s="345"/>
      <c r="J343" s="345"/>
      <c r="K343" s="345"/>
    </row>
    <row r="344" spans="1:11" ht="20.25">
      <c r="A344" s="345"/>
      <c r="B344" s="345"/>
      <c r="C344" s="345"/>
      <c r="D344" s="345"/>
      <c r="E344" s="345"/>
      <c r="F344" s="345"/>
      <c r="G344" s="345"/>
      <c r="H344" s="345"/>
      <c r="I344" s="345"/>
      <c r="J344" s="345"/>
      <c r="K344" s="345"/>
    </row>
    <row r="345" spans="1:11" ht="20.25">
      <c r="A345" s="345"/>
      <c r="B345" s="345"/>
      <c r="C345" s="345"/>
      <c r="D345" s="345"/>
      <c r="E345" s="345"/>
      <c r="F345" s="345"/>
      <c r="G345" s="345"/>
      <c r="H345" s="345"/>
      <c r="I345" s="345"/>
      <c r="J345" s="345"/>
      <c r="K345" s="345"/>
    </row>
    <row r="346" spans="1:11" ht="20.25">
      <c r="A346" s="345"/>
      <c r="B346" s="345"/>
      <c r="C346" s="345"/>
      <c r="D346" s="345"/>
      <c r="E346" s="345"/>
      <c r="F346" s="345"/>
      <c r="G346" s="345"/>
      <c r="H346" s="345"/>
      <c r="I346" s="345"/>
      <c r="J346" s="345"/>
      <c r="K346" s="345"/>
    </row>
    <row r="347" spans="1:11" ht="20.25">
      <c r="A347" s="345"/>
      <c r="B347" s="345"/>
      <c r="C347" s="345"/>
      <c r="D347" s="345"/>
      <c r="E347" s="345"/>
      <c r="F347" s="345"/>
      <c r="G347" s="345"/>
      <c r="H347" s="345"/>
      <c r="I347" s="345"/>
      <c r="J347" s="345"/>
      <c r="K347" s="345"/>
    </row>
    <row r="348" spans="1:11" ht="20.25">
      <c r="A348" s="345"/>
      <c r="B348" s="345"/>
      <c r="C348" s="345"/>
      <c r="D348" s="345"/>
      <c r="E348" s="345"/>
      <c r="F348" s="345"/>
      <c r="G348" s="345"/>
      <c r="H348" s="345"/>
      <c r="I348" s="345"/>
      <c r="J348" s="345"/>
      <c r="K348" s="345"/>
    </row>
    <row r="349" spans="1:11" ht="20.25">
      <c r="A349" s="345"/>
      <c r="B349" s="345"/>
      <c r="C349" s="345"/>
      <c r="D349" s="345"/>
      <c r="E349" s="345"/>
      <c r="F349" s="345"/>
      <c r="G349" s="345"/>
      <c r="H349" s="345"/>
      <c r="I349" s="345"/>
      <c r="J349" s="345"/>
      <c r="K349" s="345"/>
    </row>
    <row r="350" spans="1:11" ht="20.25">
      <c r="A350" s="345"/>
      <c r="B350" s="345"/>
      <c r="C350" s="345"/>
      <c r="D350" s="345"/>
      <c r="E350" s="345"/>
      <c r="F350" s="345"/>
      <c r="G350" s="345"/>
      <c r="H350" s="345"/>
      <c r="I350" s="345"/>
      <c r="J350" s="345"/>
      <c r="K350" s="345"/>
    </row>
    <row r="351" spans="1:11" ht="20.25">
      <c r="A351" s="345"/>
      <c r="B351" s="345"/>
      <c r="C351" s="345"/>
      <c r="D351" s="345"/>
      <c r="E351" s="345"/>
      <c r="F351" s="345"/>
      <c r="G351" s="345"/>
      <c r="H351" s="345"/>
      <c r="I351" s="345"/>
      <c r="J351" s="345"/>
      <c r="K351" s="345"/>
    </row>
    <row r="352" spans="1:11" ht="20.25">
      <c r="A352" s="345"/>
      <c r="B352" s="345"/>
      <c r="C352" s="345"/>
      <c r="D352" s="345"/>
      <c r="E352" s="345"/>
      <c r="F352" s="345"/>
      <c r="G352" s="345"/>
      <c r="H352" s="345"/>
      <c r="I352" s="345"/>
      <c r="J352" s="345"/>
      <c r="K352" s="345"/>
    </row>
    <row r="353" spans="1:11" ht="20.25">
      <c r="A353" s="345"/>
      <c r="B353" s="345"/>
      <c r="C353" s="345"/>
      <c r="D353" s="345"/>
      <c r="E353" s="345"/>
      <c r="F353" s="345"/>
      <c r="G353" s="345"/>
      <c r="H353" s="345"/>
      <c r="I353" s="345"/>
      <c r="J353" s="345"/>
      <c r="K353" s="345"/>
    </row>
    <row r="354" spans="1:11" ht="20.25">
      <c r="A354" s="345"/>
      <c r="B354" s="345"/>
      <c r="C354" s="345"/>
      <c r="D354" s="345"/>
      <c r="E354" s="345"/>
      <c r="F354" s="345"/>
      <c r="G354" s="345"/>
      <c r="H354" s="345"/>
      <c r="I354" s="345"/>
      <c r="J354" s="345"/>
      <c r="K354" s="345"/>
    </row>
    <row r="355" spans="1:11" ht="20.25">
      <c r="A355" s="345"/>
      <c r="B355" s="345"/>
      <c r="C355" s="345"/>
      <c r="D355" s="345"/>
      <c r="E355" s="345"/>
      <c r="F355" s="345"/>
      <c r="G355" s="345"/>
      <c r="H355" s="345"/>
      <c r="I355" s="345"/>
      <c r="J355" s="345"/>
      <c r="K355" s="345"/>
    </row>
    <row r="356" spans="1:11" ht="20.25">
      <c r="A356" s="345"/>
      <c r="B356" s="345"/>
      <c r="C356" s="345"/>
      <c r="D356" s="345"/>
      <c r="E356" s="345"/>
      <c r="F356" s="345"/>
      <c r="G356" s="345"/>
      <c r="H356" s="345"/>
      <c r="I356" s="345"/>
      <c r="J356" s="345"/>
      <c r="K356" s="345"/>
    </row>
    <row r="357" spans="1:11" ht="20.25">
      <c r="A357" s="345"/>
      <c r="B357" s="345"/>
      <c r="C357" s="345"/>
      <c r="D357" s="345"/>
      <c r="E357" s="345"/>
      <c r="F357" s="345"/>
      <c r="G357" s="345"/>
      <c r="H357" s="345"/>
      <c r="I357" s="345"/>
      <c r="J357" s="345"/>
      <c r="K357" s="345"/>
    </row>
    <row r="358" spans="1:11" ht="20.25">
      <c r="A358" s="345"/>
      <c r="B358" s="345"/>
      <c r="C358" s="345"/>
      <c r="D358" s="345"/>
      <c r="E358" s="345"/>
      <c r="F358" s="345"/>
      <c r="G358" s="345"/>
      <c r="H358" s="345"/>
      <c r="I358" s="345"/>
      <c r="J358" s="345"/>
      <c r="K358" s="345"/>
    </row>
    <row r="359" spans="1:11" ht="20.25">
      <c r="A359" s="345"/>
      <c r="B359" s="345"/>
      <c r="C359" s="345"/>
      <c r="D359" s="345"/>
      <c r="E359" s="345"/>
      <c r="F359" s="345"/>
      <c r="G359" s="345"/>
      <c r="H359" s="345"/>
      <c r="I359" s="345"/>
      <c r="J359" s="345"/>
      <c r="K359" s="345"/>
    </row>
    <row r="360" spans="1:11" ht="20.25">
      <c r="A360" s="345"/>
      <c r="B360" s="345"/>
      <c r="C360" s="345"/>
      <c r="D360" s="345"/>
      <c r="E360" s="345"/>
      <c r="F360" s="345"/>
      <c r="G360" s="345"/>
      <c r="H360" s="345"/>
      <c r="I360" s="345"/>
      <c r="J360" s="345"/>
      <c r="K360" s="345"/>
    </row>
    <row r="361" spans="1:11" ht="20.25">
      <c r="A361" s="345"/>
      <c r="B361" s="345"/>
      <c r="C361" s="345"/>
      <c r="D361" s="345"/>
      <c r="E361" s="345"/>
      <c r="F361" s="345"/>
      <c r="G361" s="345"/>
      <c r="H361" s="345"/>
      <c r="I361" s="345"/>
      <c r="J361" s="345"/>
      <c r="K361" s="345"/>
    </row>
    <row r="362" spans="1:11" ht="20.25">
      <c r="A362" s="345"/>
      <c r="B362" s="345"/>
      <c r="C362" s="345"/>
      <c r="D362" s="345"/>
      <c r="E362" s="345"/>
      <c r="F362" s="345"/>
      <c r="G362" s="345"/>
      <c r="H362" s="345"/>
      <c r="I362" s="345"/>
      <c r="J362" s="345"/>
      <c r="K362" s="345"/>
    </row>
    <row r="363" spans="1:11" ht="20.25">
      <c r="A363" s="345"/>
      <c r="B363" s="345"/>
      <c r="C363" s="345"/>
      <c r="D363" s="345"/>
      <c r="E363" s="345"/>
      <c r="F363" s="345"/>
      <c r="G363" s="345"/>
      <c r="H363" s="345"/>
      <c r="I363" s="345"/>
      <c r="J363" s="345"/>
      <c r="K363" s="345"/>
    </row>
    <row r="364" spans="1:11" ht="20.25">
      <c r="A364" s="345"/>
      <c r="B364" s="345"/>
      <c r="C364" s="345"/>
      <c r="D364" s="345"/>
      <c r="E364" s="345"/>
      <c r="F364" s="345"/>
      <c r="G364" s="345"/>
      <c r="H364" s="345"/>
      <c r="I364" s="345"/>
      <c r="J364" s="345"/>
      <c r="K364" s="345"/>
    </row>
    <row r="365" spans="1:11" ht="20.25">
      <c r="A365" s="345"/>
      <c r="B365" s="345"/>
      <c r="C365" s="345"/>
      <c r="D365" s="345"/>
      <c r="E365" s="345"/>
      <c r="F365" s="345"/>
      <c r="G365" s="345"/>
      <c r="H365" s="345"/>
      <c r="I365" s="345"/>
      <c r="J365" s="345"/>
      <c r="K365" s="345"/>
    </row>
    <row r="366" spans="1:11" ht="20.25">
      <c r="A366" s="345"/>
      <c r="B366" s="345"/>
      <c r="C366" s="345"/>
      <c r="D366" s="345"/>
      <c r="E366" s="345"/>
      <c r="F366" s="345"/>
      <c r="G366" s="345"/>
      <c r="H366" s="345"/>
      <c r="I366" s="345"/>
      <c r="J366" s="345"/>
      <c r="K366" s="345"/>
    </row>
    <row r="367" spans="1:11" ht="20.25">
      <c r="A367" s="345"/>
      <c r="B367" s="345"/>
      <c r="C367" s="345"/>
      <c r="D367" s="345"/>
      <c r="E367" s="345"/>
      <c r="F367" s="345"/>
      <c r="G367" s="345"/>
      <c r="H367" s="345"/>
      <c r="I367" s="345"/>
      <c r="J367" s="345"/>
      <c r="K367" s="345"/>
    </row>
    <row r="368" spans="1:11" ht="20.25">
      <c r="A368" s="345"/>
      <c r="B368" s="345"/>
      <c r="C368" s="345"/>
      <c r="D368" s="345"/>
      <c r="E368" s="345"/>
      <c r="F368" s="345"/>
      <c r="G368" s="345"/>
      <c r="H368" s="345"/>
      <c r="I368" s="345"/>
      <c r="J368" s="345"/>
      <c r="K368" s="345"/>
    </row>
    <row r="369" spans="1:11" ht="20.25">
      <c r="A369" s="345"/>
      <c r="B369" s="345"/>
      <c r="C369" s="345"/>
      <c r="D369" s="345"/>
      <c r="E369" s="345"/>
      <c r="F369" s="345"/>
      <c r="G369" s="345"/>
      <c r="H369" s="345"/>
      <c r="I369" s="345"/>
      <c r="J369" s="345"/>
      <c r="K369" s="345"/>
    </row>
    <row r="370" spans="1:11" ht="20.25">
      <c r="A370" s="345"/>
      <c r="B370" s="345"/>
      <c r="C370" s="345"/>
      <c r="D370" s="345"/>
      <c r="E370" s="345"/>
      <c r="F370" s="345"/>
      <c r="G370" s="345"/>
      <c r="H370" s="345"/>
      <c r="I370" s="345"/>
      <c r="J370" s="345"/>
      <c r="K370" s="345"/>
    </row>
    <row r="371" spans="1:11" ht="20.25">
      <c r="A371" s="345"/>
      <c r="B371" s="345"/>
      <c r="C371" s="345"/>
      <c r="D371" s="345"/>
      <c r="E371" s="345"/>
      <c r="F371" s="345"/>
      <c r="G371" s="345"/>
      <c r="H371" s="345"/>
      <c r="I371" s="345"/>
      <c r="J371" s="345"/>
      <c r="K371" s="345"/>
    </row>
    <row r="372" spans="1:11" ht="20.25">
      <c r="A372" s="345"/>
      <c r="B372" s="345"/>
      <c r="C372" s="345"/>
      <c r="D372" s="345"/>
      <c r="E372" s="345"/>
      <c r="F372" s="345"/>
      <c r="G372" s="345"/>
      <c r="H372" s="345"/>
      <c r="I372" s="345"/>
      <c r="J372" s="345"/>
      <c r="K372" s="345"/>
    </row>
    <row r="373" spans="1:11" ht="20.25">
      <c r="A373" s="345"/>
      <c r="B373" s="345"/>
      <c r="C373" s="345"/>
      <c r="D373" s="345"/>
      <c r="E373" s="345"/>
      <c r="F373" s="345"/>
      <c r="G373" s="345"/>
      <c r="H373" s="345"/>
      <c r="I373" s="345"/>
      <c r="J373" s="345"/>
      <c r="K373" s="345"/>
    </row>
    <row r="374" spans="1:11" ht="20.25">
      <c r="A374" s="345"/>
      <c r="B374" s="345"/>
      <c r="C374" s="345"/>
      <c r="D374" s="345"/>
      <c r="E374" s="345"/>
      <c r="F374" s="345"/>
      <c r="G374" s="345"/>
      <c r="H374" s="345"/>
      <c r="I374" s="345"/>
      <c r="J374" s="345"/>
      <c r="K374" s="345"/>
    </row>
    <row r="375" spans="1:11" ht="20.25">
      <c r="A375" s="345"/>
      <c r="B375" s="345"/>
      <c r="C375" s="345"/>
      <c r="D375" s="345"/>
      <c r="E375" s="345"/>
      <c r="F375" s="345"/>
      <c r="G375" s="345"/>
      <c r="H375" s="345"/>
      <c r="I375" s="345"/>
      <c r="J375" s="345"/>
      <c r="K375" s="345"/>
    </row>
    <row r="376" spans="1:11" ht="20.25">
      <c r="A376" s="345"/>
      <c r="B376" s="345"/>
      <c r="C376" s="345"/>
      <c r="D376" s="345"/>
      <c r="E376" s="345"/>
      <c r="F376" s="345"/>
      <c r="G376" s="345"/>
      <c r="H376" s="345"/>
      <c r="I376" s="345"/>
      <c r="J376" s="345"/>
      <c r="K376" s="345"/>
    </row>
    <row r="377" spans="1:11" ht="20.25">
      <c r="A377" s="345"/>
      <c r="B377" s="345"/>
      <c r="C377" s="345"/>
      <c r="D377" s="345"/>
      <c r="E377" s="345"/>
      <c r="F377" s="345"/>
      <c r="G377" s="345"/>
      <c r="H377" s="345"/>
      <c r="I377" s="345"/>
      <c r="J377" s="345"/>
      <c r="K377" s="345"/>
    </row>
    <row r="378" spans="1:11" ht="20.25">
      <c r="A378" s="345"/>
      <c r="B378" s="345"/>
      <c r="C378" s="345"/>
      <c r="D378" s="345"/>
      <c r="E378" s="345"/>
      <c r="F378" s="345"/>
      <c r="G378" s="345"/>
      <c r="H378" s="345"/>
      <c r="I378" s="345"/>
      <c r="J378" s="345"/>
      <c r="K378" s="345"/>
    </row>
    <row r="379" spans="1:11" ht="20.25">
      <c r="A379" s="345"/>
      <c r="B379" s="345"/>
      <c r="C379" s="345"/>
      <c r="D379" s="345"/>
      <c r="E379" s="345"/>
      <c r="F379" s="345"/>
      <c r="G379" s="345"/>
      <c r="H379" s="345"/>
      <c r="I379" s="345"/>
      <c r="J379" s="345"/>
      <c r="K379" s="345"/>
    </row>
    <row r="380" spans="1:11" ht="20.25">
      <c r="A380" s="345"/>
      <c r="B380" s="345"/>
      <c r="C380" s="345"/>
      <c r="D380" s="345"/>
      <c r="E380" s="345"/>
      <c r="F380" s="345"/>
      <c r="G380" s="345"/>
      <c r="H380" s="345"/>
      <c r="I380" s="345"/>
      <c r="J380" s="345"/>
      <c r="K380" s="345"/>
    </row>
    <row r="381" spans="1:11" ht="20.25">
      <c r="A381" s="345"/>
      <c r="B381" s="345"/>
      <c r="C381" s="345"/>
      <c r="D381" s="345"/>
      <c r="E381" s="345"/>
      <c r="F381" s="345"/>
      <c r="G381" s="345"/>
      <c r="H381" s="345"/>
      <c r="I381" s="345"/>
      <c r="J381" s="345"/>
      <c r="K381" s="345"/>
    </row>
    <row r="382" spans="1:11" ht="20.25">
      <c r="A382" s="345"/>
      <c r="B382" s="345"/>
      <c r="C382" s="345"/>
      <c r="D382" s="345"/>
      <c r="E382" s="345"/>
      <c r="F382" s="345"/>
      <c r="G382" s="345"/>
      <c r="H382" s="345"/>
      <c r="I382" s="345"/>
      <c r="J382" s="345"/>
      <c r="K382" s="345"/>
    </row>
    <row r="383" spans="1:11" ht="20.25">
      <c r="A383" s="345"/>
      <c r="B383" s="345"/>
      <c r="C383" s="345"/>
      <c r="D383" s="345"/>
      <c r="E383" s="345"/>
      <c r="F383" s="345"/>
      <c r="G383" s="345"/>
      <c r="H383" s="345"/>
      <c r="I383" s="345"/>
      <c r="J383" s="345"/>
      <c r="K383" s="345"/>
    </row>
    <row r="384" spans="1:11" ht="20.25">
      <c r="A384" s="345"/>
      <c r="B384" s="345"/>
      <c r="C384" s="345"/>
      <c r="D384" s="345"/>
      <c r="E384" s="345"/>
      <c r="F384" s="345"/>
      <c r="G384" s="345"/>
      <c r="H384" s="345"/>
      <c r="I384" s="345"/>
      <c r="J384" s="345"/>
      <c r="K384" s="345"/>
    </row>
    <row r="385" spans="1:11" ht="20.25">
      <c r="A385" s="345"/>
      <c r="B385" s="345"/>
      <c r="C385" s="345"/>
      <c r="D385" s="345"/>
      <c r="E385" s="345"/>
      <c r="F385" s="345"/>
      <c r="G385" s="345"/>
      <c r="H385" s="345"/>
      <c r="I385" s="345"/>
      <c r="J385" s="345"/>
      <c r="K385" s="345"/>
    </row>
    <row r="386" spans="1:11" ht="20.25">
      <c r="A386" s="345"/>
      <c r="B386" s="345"/>
      <c r="C386" s="345"/>
      <c r="D386" s="345"/>
      <c r="E386" s="345"/>
      <c r="F386" s="345"/>
      <c r="G386" s="345"/>
      <c r="H386" s="345"/>
      <c r="I386" s="345"/>
      <c r="J386" s="345"/>
      <c r="K386" s="345"/>
    </row>
    <row r="387" spans="1:11" ht="20.25">
      <c r="A387" s="345"/>
      <c r="B387" s="345"/>
      <c r="C387" s="345"/>
      <c r="D387" s="345"/>
      <c r="E387" s="345"/>
      <c r="F387" s="345"/>
      <c r="G387" s="345"/>
      <c r="H387" s="345"/>
      <c r="I387" s="345"/>
      <c r="J387" s="345"/>
      <c r="K387" s="345"/>
    </row>
    <row r="388" spans="1:11" ht="20.25">
      <c r="A388" s="345"/>
      <c r="B388" s="345"/>
      <c r="C388" s="345"/>
      <c r="D388" s="345"/>
      <c r="E388" s="345"/>
      <c r="F388" s="345"/>
      <c r="G388" s="345"/>
      <c r="H388" s="345"/>
      <c r="I388" s="345"/>
      <c r="J388" s="345"/>
      <c r="K388" s="345"/>
    </row>
    <row r="389" spans="1:11" ht="20.25">
      <c r="A389" s="345"/>
      <c r="B389" s="345"/>
      <c r="C389" s="345"/>
      <c r="D389" s="345"/>
      <c r="E389" s="345"/>
      <c r="F389" s="345"/>
      <c r="G389" s="345"/>
      <c r="H389" s="345"/>
      <c r="I389" s="345"/>
      <c r="J389" s="345"/>
      <c r="K389" s="345"/>
    </row>
    <row r="390" spans="1:11" ht="20.25">
      <c r="A390" s="345"/>
      <c r="B390" s="345"/>
      <c r="C390" s="345"/>
      <c r="D390" s="345"/>
      <c r="E390" s="345"/>
      <c r="F390" s="345"/>
      <c r="G390" s="345"/>
      <c r="H390" s="345"/>
      <c r="I390" s="345"/>
      <c r="J390" s="345"/>
      <c r="K390" s="345"/>
    </row>
    <row r="391" spans="1:11" ht="20.25">
      <c r="A391" s="345"/>
      <c r="B391" s="345"/>
      <c r="C391" s="345"/>
      <c r="D391" s="345"/>
      <c r="E391" s="345"/>
      <c r="F391" s="345"/>
      <c r="G391" s="345"/>
      <c r="H391" s="345"/>
      <c r="I391" s="345"/>
      <c r="J391" s="345"/>
      <c r="K391" s="345"/>
    </row>
    <row r="392" spans="1:11" ht="20.25">
      <c r="A392" s="345"/>
      <c r="B392" s="345"/>
      <c r="C392" s="345"/>
      <c r="D392" s="345"/>
      <c r="E392" s="345"/>
      <c r="F392" s="345"/>
      <c r="G392" s="345"/>
      <c r="H392" s="345"/>
      <c r="I392" s="345"/>
      <c r="J392" s="345"/>
      <c r="K392" s="345"/>
    </row>
    <row r="393" spans="1:11" ht="20.25">
      <c r="A393" s="345"/>
      <c r="B393" s="345"/>
      <c r="C393" s="345"/>
      <c r="D393" s="345"/>
      <c r="E393" s="345"/>
      <c r="F393" s="345"/>
      <c r="G393" s="345"/>
      <c r="H393" s="345"/>
      <c r="I393" s="345"/>
      <c r="J393" s="345"/>
      <c r="K393" s="345"/>
    </row>
    <row r="394" spans="1:11" ht="20.25">
      <c r="A394" s="345"/>
      <c r="B394" s="345"/>
      <c r="C394" s="345"/>
      <c r="D394" s="345"/>
      <c r="E394" s="345"/>
      <c r="F394" s="345"/>
      <c r="G394" s="345"/>
      <c r="H394" s="345"/>
      <c r="I394" s="345"/>
      <c r="J394" s="345"/>
      <c r="K394" s="345"/>
    </row>
    <row r="395" spans="1:11" ht="20.25">
      <c r="A395" s="345"/>
      <c r="B395" s="345"/>
      <c r="C395" s="345"/>
      <c r="D395" s="345"/>
      <c r="E395" s="345"/>
      <c r="F395" s="345"/>
      <c r="G395" s="345"/>
      <c r="H395" s="345"/>
      <c r="I395" s="345"/>
      <c r="J395" s="345"/>
      <c r="K395" s="345"/>
    </row>
    <row r="396" spans="1:11" ht="20.25">
      <c r="A396" s="345"/>
      <c r="B396" s="345"/>
      <c r="C396" s="345"/>
      <c r="D396" s="345"/>
      <c r="E396" s="345"/>
      <c r="F396" s="345"/>
      <c r="G396" s="345"/>
      <c r="H396" s="345"/>
      <c r="I396" s="345"/>
      <c r="J396" s="345"/>
      <c r="K396" s="345"/>
    </row>
    <row r="397" spans="1:11" ht="20.25">
      <c r="A397" s="345"/>
      <c r="B397" s="345"/>
      <c r="C397" s="345"/>
      <c r="D397" s="345"/>
      <c r="E397" s="345"/>
      <c r="F397" s="345"/>
      <c r="G397" s="345"/>
      <c r="H397" s="345"/>
      <c r="I397" s="345"/>
      <c r="J397" s="345"/>
      <c r="K397" s="345"/>
    </row>
    <row r="398" spans="1:11" ht="20.25">
      <c r="A398" s="345"/>
      <c r="B398" s="345"/>
      <c r="C398" s="345"/>
      <c r="D398" s="345"/>
      <c r="E398" s="345"/>
      <c r="F398" s="345"/>
      <c r="G398" s="345"/>
      <c r="H398" s="345"/>
      <c r="I398" s="345"/>
      <c r="J398" s="345"/>
      <c r="K398" s="345"/>
    </row>
    <row r="399" spans="1:11" ht="20.25">
      <c r="A399" s="345"/>
      <c r="B399" s="345"/>
      <c r="C399" s="345"/>
      <c r="D399" s="345"/>
      <c r="E399" s="345"/>
      <c r="F399" s="345"/>
      <c r="G399" s="345"/>
      <c r="H399" s="345"/>
      <c r="I399" s="345"/>
      <c r="J399" s="345"/>
      <c r="K399" s="345"/>
    </row>
    <row r="400" spans="1:11" ht="20.25">
      <c r="A400" s="345"/>
      <c r="B400" s="345"/>
      <c r="C400" s="345"/>
      <c r="D400" s="345"/>
      <c r="E400" s="345"/>
      <c r="F400" s="345"/>
      <c r="G400" s="345"/>
      <c r="H400" s="345"/>
      <c r="I400" s="345"/>
      <c r="J400" s="345"/>
      <c r="K400" s="345"/>
    </row>
    <row r="401" spans="1:11" ht="20.25">
      <c r="A401" s="345"/>
      <c r="B401" s="345"/>
      <c r="C401" s="345"/>
      <c r="D401" s="345"/>
      <c r="E401" s="345"/>
      <c r="F401" s="345"/>
      <c r="G401" s="345"/>
      <c r="H401" s="345"/>
      <c r="I401" s="345"/>
      <c r="J401" s="345"/>
      <c r="K401" s="345"/>
    </row>
    <row r="402" spans="1:11" ht="20.25">
      <c r="A402" s="345"/>
      <c r="B402" s="345"/>
      <c r="C402" s="345"/>
      <c r="D402" s="345"/>
      <c r="E402" s="345"/>
      <c r="F402" s="345"/>
      <c r="G402" s="345"/>
      <c r="H402" s="345"/>
      <c r="I402" s="345"/>
      <c r="J402" s="345"/>
      <c r="K402" s="345"/>
    </row>
    <row r="403" spans="1:11" ht="20.25">
      <c r="A403" s="345"/>
      <c r="B403" s="345"/>
      <c r="C403" s="345"/>
      <c r="D403" s="345"/>
      <c r="E403" s="345"/>
      <c r="F403" s="345"/>
      <c r="G403" s="345"/>
      <c r="H403" s="345"/>
      <c r="I403" s="345"/>
      <c r="J403" s="345"/>
      <c r="K403" s="345"/>
    </row>
    <row r="404" spans="1:11" ht="20.25">
      <c r="A404" s="345"/>
      <c r="B404" s="345"/>
      <c r="C404" s="345"/>
      <c r="D404" s="345"/>
      <c r="E404" s="345"/>
      <c r="F404" s="345"/>
      <c r="G404" s="345"/>
      <c r="H404" s="345"/>
      <c r="I404" s="345"/>
      <c r="J404" s="345"/>
      <c r="K404" s="345"/>
    </row>
    <row r="405" spans="1:11" ht="20.25">
      <c r="A405" s="345"/>
      <c r="B405" s="345"/>
      <c r="C405" s="345"/>
      <c r="D405" s="345"/>
      <c r="E405" s="345"/>
      <c r="F405" s="345"/>
      <c r="G405" s="345"/>
      <c r="H405" s="345"/>
      <c r="I405" s="345"/>
      <c r="J405" s="345"/>
      <c r="K405" s="345"/>
    </row>
    <row r="406" spans="1:11" ht="20.25">
      <c r="A406" s="345"/>
      <c r="B406" s="345"/>
      <c r="C406" s="345"/>
      <c r="D406" s="345"/>
      <c r="E406" s="345"/>
      <c r="F406" s="345"/>
      <c r="G406" s="345"/>
      <c r="H406" s="345"/>
      <c r="I406" s="345"/>
      <c r="J406" s="345"/>
      <c r="K406" s="345"/>
    </row>
    <row r="407" spans="1:11" ht="20.25">
      <c r="A407" s="345"/>
      <c r="B407" s="345"/>
      <c r="C407" s="345"/>
      <c r="D407" s="345"/>
      <c r="E407" s="345"/>
      <c r="F407" s="345"/>
      <c r="G407" s="345"/>
      <c r="H407" s="345"/>
      <c r="I407" s="345"/>
      <c r="J407" s="345"/>
      <c r="K407" s="345"/>
    </row>
    <row r="408" spans="1:11" ht="20.25">
      <c r="A408" s="345"/>
      <c r="B408" s="345"/>
      <c r="C408" s="345"/>
      <c r="D408" s="345"/>
      <c r="E408" s="345"/>
      <c r="F408" s="345"/>
      <c r="G408" s="345"/>
      <c r="H408" s="345"/>
      <c r="I408" s="345"/>
      <c r="J408" s="345"/>
      <c r="K408" s="345"/>
    </row>
    <row r="409" spans="1:11" ht="20.25">
      <c r="A409" s="345"/>
      <c r="B409" s="345"/>
      <c r="C409" s="345"/>
      <c r="D409" s="345"/>
      <c r="E409" s="345"/>
      <c r="F409" s="345"/>
      <c r="G409" s="345"/>
      <c r="H409" s="345"/>
      <c r="I409" s="345"/>
      <c r="J409" s="345"/>
      <c r="K409" s="345"/>
    </row>
    <row r="410" spans="1:11" ht="20.25">
      <c r="A410" s="345"/>
      <c r="B410" s="345"/>
      <c r="C410" s="345"/>
      <c r="D410" s="345"/>
      <c r="E410" s="345"/>
      <c r="F410" s="345"/>
      <c r="G410" s="345"/>
      <c r="H410" s="345"/>
      <c r="I410" s="345"/>
      <c r="J410" s="345"/>
      <c r="K410" s="345"/>
    </row>
    <row r="411" spans="1:11" ht="20.25">
      <c r="A411" s="345"/>
      <c r="B411" s="345"/>
      <c r="C411" s="345"/>
      <c r="D411" s="345"/>
      <c r="E411" s="345"/>
      <c r="F411" s="345"/>
      <c r="G411" s="345"/>
      <c r="H411" s="345"/>
      <c r="I411" s="345"/>
      <c r="J411" s="345"/>
      <c r="K411" s="345"/>
    </row>
    <row r="412" spans="1:11" ht="20.25">
      <c r="A412" s="345"/>
      <c r="B412" s="345"/>
      <c r="C412" s="345"/>
      <c r="D412" s="345"/>
      <c r="E412" s="345"/>
      <c r="F412" s="345"/>
      <c r="G412" s="345"/>
      <c r="H412" s="345"/>
      <c r="I412" s="345"/>
      <c r="J412" s="345"/>
      <c r="K412" s="345"/>
    </row>
    <row r="413" spans="1:11" ht="20.25">
      <c r="A413" s="345"/>
      <c r="B413" s="345"/>
      <c r="C413" s="345"/>
      <c r="D413" s="345"/>
      <c r="E413" s="345"/>
      <c r="F413" s="345"/>
      <c r="G413" s="345"/>
      <c r="H413" s="345"/>
      <c r="I413" s="345"/>
      <c r="J413" s="345"/>
      <c r="K413" s="345"/>
    </row>
    <row r="414" spans="1:11" ht="20.25">
      <c r="A414" s="345"/>
      <c r="B414" s="345"/>
      <c r="C414" s="345"/>
      <c r="D414" s="345"/>
      <c r="E414" s="345"/>
      <c r="F414" s="345"/>
      <c r="G414" s="345"/>
      <c r="H414" s="345"/>
      <c r="I414" s="345"/>
      <c r="J414" s="345"/>
      <c r="K414" s="345"/>
    </row>
    <row r="415" spans="1:11" ht="20.25">
      <c r="A415" s="345"/>
      <c r="B415" s="345"/>
      <c r="C415" s="345"/>
      <c r="D415" s="345"/>
      <c r="E415" s="345"/>
      <c r="F415" s="345"/>
      <c r="G415" s="345"/>
      <c r="H415" s="345"/>
      <c r="I415" s="345"/>
      <c r="J415" s="345"/>
      <c r="K415" s="345"/>
    </row>
    <row r="416" spans="1:11" ht="20.25">
      <c r="A416" s="345"/>
      <c r="B416" s="345"/>
      <c r="C416" s="345"/>
      <c r="D416" s="345"/>
      <c r="E416" s="345"/>
      <c r="F416" s="345"/>
      <c r="G416" s="345"/>
      <c r="H416" s="345"/>
      <c r="I416" s="345"/>
      <c r="J416" s="345"/>
      <c r="K416" s="345"/>
    </row>
    <row r="417" spans="1:11" ht="20.25">
      <c r="A417" s="345"/>
      <c r="B417" s="345"/>
      <c r="C417" s="345"/>
      <c r="D417" s="345"/>
      <c r="E417" s="345"/>
      <c r="F417" s="345"/>
      <c r="G417" s="345"/>
      <c r="H417" s="345"/>
      <c r="I417" s="345"/>
      <c r="J417" s="345"/>
      <c r="K417" s="345"/>
    </row>
    <row r="418" spans="1:11" ht="20.25">
      <c r="A418" s="345"/>
      <c r="B418" s="345"/>
      <c r="C418" s="345"/>
      <c r="D418" s="345"/>
      <c r="E418" s="345"/>
      <c r="F418" s="345"/>
      <c r="G418" s="345"/>
      <c r="H418" s="345"/>
      <c r="I418" s="345"/>
      <c r="J418" s="345"/>
      <c r="K418" s="345"/>
    </row>
    <row r="419" spans="1:11" ht="20.25">
      <c r="A419" s="345"/>
      <c r="B419" s="345"/>
      <c r="C419" s="345"/>
      <c r="D419" s="345"/>
      <c r="E419" s="345"/>
      <c r="F419" s="345"/>
      <c r="G419" s="345"/>
      <c r="H419" s="345"/>
      <c r="I419" s="345"/>
      <c r="J419" s="345"/>
      <c r="K419" s="345"/>
    </row>
    <row r="420" spans="1:11" ht="20.25">
      <c r="A420" s="345"/>
      <c r="B420" s="345"/>
      <c r="C420" s="345"/>
      <c r="D420" s="345"/>
      <c r="E420" s="345"/>
      <c r="F420" s="345"/>
      <c r="G420" s="345"/>
      <c r="H420" s="345"/>
      <c r="I420" s="345"/>
      <c r="J420" s="345"/>
      <c r="K420" s="345"/>
    </row>
    <row r="421" spans="1:11" ht="20.25">
      <c r="A421" s="345"/>
      <c r="B421" s="345"/>
      <c r="C421" s="345"/>
      <c r="D421" s="345"/>
      <c r="E421" s="345"/>
      <c r="F421" s="345"/>
      <c r="G421" s="345"/>
      <c r="H421" s="345"/>
      <c r="I421" s="345"/>
      <c r="J421" s="345"/>
      <c r="K421" s="345"/>
    </row>
    <row r="422" spans="1:11" ht="20.25">
      <c r="A422" s="345"/>
      <c r="B422" s="345"/>
      <c r="C422" s="345"/>
      <c r="D422" s="345"/>
      <c r="E422" s="345"/>
      <c r="F422" s="345"/>
      <c r="G422" s="345"/>
      <c r="H422" s="345"/>
      <c r="I422" s="345"/>
      <c r="J422" s="345"/>
      <c r="K422" s="345"/>
    </row>
    <row r="423" spans="1:11" ht="20.25">
      <c r="A423" s="345"/>
      <c r="B423" s="345"/>
      <c r="C423" s="345"/>
      <c r="D423" s="345"/>
      <c r="E423" s="345"/>
      <c r="F423" s="345"/>
      <c r="G423" s="345"/>
      <c r="H423" s="345"/>
      <c r="I423" s="345"/>
      <c r="J423" s="345"/>
      <c r="K423" s="345"/>
    </row>
    <row r="424" spans="1:11" ht="20.25">
      <c r="A424" s="345"/>
      <c r="B424" s="345"/>
      <c r="C424" s="345"/>
      <c r="D424" s="345"/>
      <c r="E424" s="345"/>
      <c r="F424" s="345"/>
      <c r="G424" s="345"/>
      <c r="H424" s="345"/>
      <c r="I424" s="345"/>
      <c r="J424" s="345"/>
      <c r="K424" s="345"/>
    </row>
    <row r="425" spans="1:11" ht="20.25">
      <c r="A425" s="345"/>
      <c r="B425" s="345"/>
      <c r="C425" s="345"/>
      <c r="D425" s="345"/>
      <c r="E425" s="345"/>
      <c r="F425" s="345"/>
      <c r="G425" s="345"/>
      <c r="H425" s="345"/>
      <c r="I425" s="345"/>
      <c r="J425" s="345"/>
      <c r="K425" s="345"/>
    </row>
    <row r="426" spans="1:11" ht="20.25">
      <c r="A426" s="345"/>
      <c r="B426" s="345"/>
      <c r="C426" s="345"/>
      <c r="D426" s="345"/>
      <c r="E426" s="345"/>
      <c r="F426" s="345"/>
      <c r="G426" s="345"/>
      <c r="H426" s="345"/>
      <c r="I426" s="345"/>
      <c r="J426" s="345"/>
      <c r="K426" s="345"/>
    </row>
    <row r="427" spans="1:11" ht="20.25">
      <c r="A427" s="345"/>
      <c r="B427" s="345"/>
      <c r="C427" s="345"/>
      <c r="D427" s="345"/>
      <c r="E427" s="345"/>
      <c r="F427" s="345"/>
      <c r="G427" s="345"/>
      <c r="H427" s="345"/>
      <c r="I427" s="345"/>
      <c r="J427" s="345"/>
      <c r="K427" s="345"/>
    </row>
    <row r="428" spans="1:11" ht="20.25">
      <c r="A428" s="345"/>
      <c r="B428" s="345"/>
      <c r="C428" s="345"/>
      <c r="D428" s="345"/>
      <c r="E428" s="345"/>
      <c r="F428" s="345"/>
      <c r="G428" s="345"/>
      <c r="H428" s="345"/>
      <c r="I428" s="345"/>
      <c r="J428" s="345"/>
      <c r="K428" s="345"/>
    </row>
    <row r="429" spans="1:11" ht="20.25">
      <c r="A429" s="345"/>
      <c r="B429" s="345"/>
      <c r="C429" s="345"/>
      <c r="D429" s="345"/>
      <c r="E429" s="345"/>
      <c r="F429" s="345"/>
      <c r="G429" s="345"/>
      <c r="H429" s="345"/>
      <c r="I429" s="345"/>
      <c r="J429" s="345"/>
      <c r="K429" s="345"/>
    </row>
    <row r="430" spans="1:11" ht="20.25">
      <c r="A430" s="345"/>
      <c r="B430" s="345"/>
      <c r="C430" s="345"/>
      <c r="D430" s="345"/>
      <c r="E430" s="345"/>
      <c r="F430" s="345"/>
      <c r="G430" s="345"/>
      <c r="H430" s="345"/>
      <c r="I430" s="345"/>
      <c r="J430" s="345"/>
      <c r="K430" s="345"/>
    </row>
    <row r="431" spans="1:11" ht="20.25">
      <c r="A431" s="345"/>
      <c r="B431" s="345"/>
      <c r="C431" s="345"/>
      <c r="D431" s="345"/>
      <c r="E431" s="345"/>
      <c r="F431" s="345"/>
      <c r="G431" s="345"/>
      <c r="H431" s="345"/>
      <c r="I431" s="345"/>
      <c r="J431" s="345"/>
      <c r="K431" s="345"/>
    </row>
    <row r="432" spans="1:11" ht="20.25">
      <c r="A432" s="345"/>
      <c r="B432" s="345"/>
      <c r="C432" s="345"/>
      <c r="D432" s="345"/>
      <c r="E432" s="345"/>
      <c r="F432" s="345"/>
      <c r="G432" s="345"/>
      <c r="H432" s="345"/>
      <c r="I432" s="345"/>
      <c r="J432" s="345"/>
      <c r="K432" s="345"/>
    </row>
    <row r="433" spans="1:11" ht="20.25">
      <c r="A433" s="345"/>
      <c r="B433" s="345"/>
      <c r="C433" s="345"/>
      <c r="D433" s="345"/>
      <c r="E433" s="345"/>
      <c r="F433" s="345"/>
      <c r="G433" s="345"/>
      <c r="H433" s="345"/>
      <c r="I433" s="345"/>
      <c r="J433" s="345"/>
      <c r="K433" s="345"/>
    </row>
    <row r="434" spans="1:11" ht="20.25">
      <c r="A434" s="345"/>
      <c r="B434" s="345"/>
      <c r="C434" s="345"/>
      <c r="D434" s="345"/>
      <c r="E434" s="345"/>
      <c r="F434" s="345"/>
      <c r="G434" s="345"/>
      <c r="H434" s="345"/>
      <c r="I434" s="345"/>
      <c r="J434" s="345"/>
      <c r="K434" s="345"/>
    </row>
    <row r="435" spans="1:11" ht="20.25">
      <c r="A435" s="345"/>
      <c r="B435" s="345"/>
      <c r="C435" s="345"/>
      <c r="D435" s="345"/>
      <c r="E435" s="345"/>
      <c r="F435" s="345"/>
      <c r="G435" s="345"/>
      <c r="H435" s="345"/>
      <c r="I435" s="345"/>
      <c r="J435" s="345"/>
      <c r="K435" s="345"/>
    </row>
    <row r="436" spans="1:11" ht="20.25">
      <c r="A436" s="345"/>
      <c r="B436" s="345"/>
      <c r="C436" s="345"/>
      <c r="D436" s="345"/>
      <c r="E436" s="345"/>
      <c r="F436" s="345"/>
      <c r="G436" s="345"/>
      <c r="H436" s="345"/>
      <c r="I436" s="345"/>
      <c r="J436" s="345"/>
      <c r="K436" s="345"/>
    </row>
    <row r="437" spans="1:11" ht="20.25">
      <c r="A437" s="345"/>
      <c r="B437" s="345"/>
      <c r="C437" s="345"/>
      <c r="D437" s="345"/>
      <c r="E437" s="345"/>
      <c r="F437" s="345"/>
      <c r="G437" s="345"/>
      <c r="H437" s="345"/>
      <c r="I437" s="345"/>
      <c r="J437" s="345"/>
      <c r="K437" s="345"/>
    </row>
    <row r="438" spans="1:11" ht="20.25">
      <c r="A438" s="345"/>
      <c r="B438" s="345"/>
      <c r="C438" s="345"/>
      <c r="D438" s="345"/>
      <c r="E438" s="345"/>
      <c r="F438" s="345"/>
      <c r="G438" s="345"/>
      <c r="H438" s="345"/>
      <c r="I438" s="345"/>
      <c r="J438" s="345"/>
      <c r="K438" s="345"/>
    </row>
    <row r="439" spans="1:11" ht="20.25">
      <c r="A439" s="345"/>
      <c r="B439" s="345"/>
      <c r="C439" s="345"/>
      <c r="D439" s="345"/>
      <c r="E439" s="345"/>
      <c r="F439" s="345"/>
      <c r="G439" s="345"/>
      <c r="H439" s="345"/>
      <c r="I439" s="345"/>
      <c r="J439" s="345"/>
      <c r="K439" s="345"/>
    </row>
    <row r="440" spans="1:11" ht="20.25">
      <c r="A440" s="345"/>
      <c r="B440" s="345"/>
      <c r="C440" s="345"/>
      <c r="D440" s="345"/>
      <c r="E440" s="345"/>
      <c r="F440" s="345"/>
      <c r="G440" s="345"/>
      <c r="H440" s="345"/>
      <c r="I440" s="345"/>
      <c r="J440" s="345"/>
      <c r="K440" s="345"/>
    </row>
    <row r="441" spans="1:11" ht="20.25">
      <c r="A441" s="345"/>
      <c r="B441" s="345"/>
      <c r="C441" s="345"/>
      <c r="D441" s="345"/>
      <c r="E441" s="345"/>
      <c r="F441" s="345"/>
      <c r="G441" s="345"/>
      <c r="H441" s="345"/>
      <c r="I441" s="345"/>
      <c r="J441" s="345"/>
      <c r="K441" s="345"/>
    </row>
    <row r="442" spans="1:11" ht="20.25">
      <c r="A442" s="345"/>
      <c r="B442" s="345"/>
      <c r="C442" s="345"/>
      <c r="D442" s="345"/>
      <c r="E442" s="345"/>
      <c r="F442" s="345"/>
      <c r="G442" s="345"/>
      <c r="H442" s="345"/>
      <c r="I442" s="345"/>
      <c r="J442" s="345"/>
      <c r="K442" s="345"/>
    </row>
    <row r="443" spans="1:11" ht="20.25">
      <c r="A443" s="345"/>
      <c r="B443" s="345"/>
      <c r="C443" s="345"/>
      <c r="D443" s="345"/>
      <c r="E443" s="345"/>
      <c r="F443" s="345"/>
      <c r="G443" s="345"/>
      <c r="H443" s="345"/>
      <c r="I443" s="345"/>
      <c r="J443" s="345"/>
      <c r="K443" s="345"/>
    </row>
    <row r="444" spans="1:11" ht="20.25">
      <c r="A444" s="345"/>
      <c r="B444" s="345"/>
      <c r="C444" s="345"/>
      <c r="D444" s="345"/>
      <c r="E444" s="345"/>
      <c r="F444" s="345"/>
      <c r="G444" s="345"/>
      <c r="H444" s="345"/>
      <c r="I444" s="345"/>
      <c r="J444" s="345"/>
      <c r="K444" s="345"/>
    </row>
    <row r="445" spans="1:11" ht="20.25">
      <c r="A445" s="345"/>
      <c r="B445" s="345"/>
      <c r="C445" s="345"/>
      <c r="D445" s="345"/>
      <c r="E445" s="345"/>
      <c r="F445" s="345"/>
      <c r="G445" s="345"/>
      <c r="H445" s="345"/>
      <c r="I445" s="345"/>
      <c r="J445" s="345"/>
      <c r="K445" s="345"/>
    </row>
    <row r="446" spans="1:11" ht="20.25">
      <c r="A446" s="345"/>
      <c r="B446" s="345"/>
      <c r="C446" s="345"/>
      <c r="D446" s="345"/>
      <c r="E446" s="345"/>
      <c r="F446" s="345"/>
      <c r="G446" s="345"/>
      <c r="H446" s="345"/>
      <c r="I446" s="345"/>
      <c r="J446" s="345"/>
      <c r="K446" s="345"/>
    </row>
    <row r="447" spans="1:11" ht="20.25">
      <c r="A447" s="345"/>
      <c r="B447" s="345"/>
      <c r="C447" s="345"/>
      <c r="D447" s="345"/>
      <c r="E447" s="345"/>
      <c r="F447" s="345"/>
      <c r="G447" s="345"/>
      <c r="H447" s="345"/>
      <c r="I447" s="345"/>
      <c r="J447" s="345"/>
      <c r="K447" s="345"/>
    </row>
    <row r="448" spans="1:11" ht="20.25">
      <c r="A448" s="345"/>
      <c r="B448" s="345"/>
      <c r="C448" s="345"/>
      <c r="D448" s="345"/>
      <c r="E448" s="345"/>
      <c r="F448" s="345"/>
      <c r="G448" s="345"/>
      <c r="H448" s="345"/>
      <c r="I448" s="345"/>
      <c r="J448" s="345"/>
      <c r="K448" s="345"/>
    </row>
    <row r="449" spans="1:11" ht="20.25">
      <c r="A449" s="345"/>
      <c r="B449" s="345"/>
      <c r="C449" s="345"/>
      <c r="D449" s="345"/>
      <c r="E449" s="345"/>
      <c r="F449" s="345"/>
      <c r="G449" s="345"/>
      <c r="H449" s="345"/>
      <c r="I449" s="345"/>
      <c r="J449" s="345"/>
      <c r="K449" s="345"/>
    </row>
    <row r="450" spans="1:11" ht="20.25">
      <c r="A450" s="345"/>
      <c r="B450" s="345"/>
      <c r="C450" s="345"/>
      <c r="D450" s="345"/>
      <c r="E450" s="345"/>
      <c r="F450" s="345"/>
      <c r="G450" s="345"/>
      <c r="H450" s="345"/>
      <c r="I450" s="345"/>
      <c r="J450" s="345"/>
      <c r="K450" s="345"/>
    </row>
    <row r="451" spans="1:11" ht="20.25">
      <c r="A451" s="345"/>
      <c r="B451" s="345"/>
      <c r="C451" s="345"/>
      <c r="D451" s="345"/>
      <c r="E451" s="345"/>
      <c r="F451" s="345"/>
      <c r="G451" s="345"/>
      <c r="H451" s="345"/>
      <c r="I451" s="345"/>
      <c r="J451" s="345"/>
      <c r="K451" s="345"/>
    </row>
    <row r="452" spans="1:11" ht="20.25">
      <c r="A452" s="345"/>
      <c r="B452" s="345"/>
      <c r="C452" s="345"/>
      <c r="D452" s="345"/>
      <c r="E452" s="345"/>
      <c r="F452" s="345"/>
      <c r="G452" s="345"/>
      <c r="H452" s="345"/>
      <c r="I452" s="345"/>
      <c r="J452" s="345"/>
      <c r="K452" s="345"/>
    </row>
    <row r="453" spans="1:11" ht="20.25">
      <c r="A453" s="345"/>
      <c r="B453" s="345"/>
      <c r="C453" s="345"/>
      <c r="D453" s="345"/>
      <c r="E453" s="345"/>
      <c r="F453" s="345"/>
      <c r="G453" s="345"/>
      <c r="H453" s="345"/>
      <c r="I453" s="345"/>
      <c r="J453" s="345"/>
      <c r="K453" s="345"/>
    </row>
    <row r="454" spans="1:11" ht="20.25">
      <c r="A454" s="345"/>
      <c r="B454" s="345"/>
      <c r="C454" s="345"/>
      <c r="D454" s="345"/>
      <c r="E454" s="345"/>
      <c r="F454" s="345"/>
      <c r="G454" s="345"/>
      <c r="H454" s="345"/>
      <c r="I454" s="345"/>
      <c r="J454" s="345"/>
      <c r="K454" s="345"/>
    </row>
    <row r="455" spans="1:11" ht="20.25">
      <c r="A455" s="345"/>
      <c r="B455" s="345"/>
      <c r="C455" s="345"/>
      <c r="D455" s="345"/>
      <c r="E455" s="345"/>
      <c r="F455" s="345"/>
      <c r="G455" s="345"/>
      <c r="H455" s="345"/>
      <c r="I455" s="345"/>
      <c r="J455" s="345"/>
      <c r="K455" s="345"/>
    </row>
    <row r="456" spans="1:11" ht="20.25">
      <c r="A456" s="345"/>
      <c r="B456" s="345"/>
      <c r="C456" s="345"/>
      <c r="D456" s="345"/>
      <c r="E456" s="345"/>
      <c r="F456" s="345"/>
      <c r="G456" s="345"/>
      <c r="H456" s="345"/>
      <c r="I456" s="345"/>
      <c r="J456" s="345"/>
      <c r="K456" s="345"/>
    </row>
    <row r="457" spans="1:11" ht="20.25">
      <c r="A457" s="345"/>
      <c r="B457" s="345"/>
      <c r="C457" s="345"/>
      <c r="D457" s="345"/>
      <c r="E457" s="345"/>
      <c r="F457" s="345"/>
      <c r="G457" s="345"/>
      <c r="H457" s="345"/>
      <c r="I457" s="345"/>
      <c r="J457" s="345"/>
      <c r="K457" s="345"/>
    </row>
    <row r="458" spans="1:11" ht="20.25">
      <c r="A458" s="345"/>
      <c r="B458" s="345"/>
      <c r="C458" s="345"/>
      <c r="D458" s="345"/>
      <c r="E458" s="345"/>
      <c r="F458" s="345"/>
      <c r="G458" s="345"/>
      <c r="H458" s="345"/>
      <c r="I458" s="345"/>
      <c r="J458" s="345"/>
      <c r="K458" s="345"/>
    </row>
    <row r="459" spans="1:11" ht="20.25">
      <c r="A459" s="345"/>
      <c r="B459" s="345"/>
      <c r="C459" s="345"/>
      <c r="D459" s="345"/>
      <c r="E459" s="345"/>
      <c r="F459" s="345"/>
      <c r="G459" s="345"/>
      <c r="H459" s="345"/>
      <c r="I459" s="345"/>
      <c r="J459" s="345"/>
      <c r="K459" s="345"/>
    </row>
    <row r="460" spans="1:11" ht="20.25">
      <c r="A460" s="345"/>
      <c r="B460" s="345"/>
      <c r="C460" s="345"/>
      <c r="D460" s="345"/>
      <c r="E460" s="345"/>
      <c r="F460" s="345"/>
      <c r="G460" s="345"/>
      <c r="H460" s="345"/>
      <c r="I460" s="345"/>
      <c r="J460" s="345"/>
      <c r="K460" s="345"/>
    </row>
    <row r="461" spans="1:11" ht="20.25">
      <c r="A461" s="345"/>
      <c r="B461" s="345"/>
      <c r="C461" s="345"/>
      <c r="D461" s="345"/>
      <c r="E461" s="345"/>
      <c r="F461" s="345"/>
      <c r="G461" s="345"/>
      <c r="H461" s="345"/>
      <c r="I461" s="345"/>
      <c r="J461" s="345"/>
      <c r="K461" s="345"/>
    </row>
    <row r="462" spans="1:11" ht="20.25">
      <c r="A462" s="345"/>
      <c r="B462" s="345"/>
      <c r="C462" s="345"/>
      <c r="D462" s="345"/>
      <c r="E462" s="345"/>
      <c r="F462" s="345"/>
      <c r="G462" s="345"/>
      <c r="H462" s="345"/>
      <c r="I462" s="345"/>
      <c r="J462" s="345"/>
      <c r="K462" s="345"/>
    </row>
    <row r="463" spans="1:11" ht="20.25">
      <c r="A463" s="345"/>
      <c r="B463" s="345"/>
      <c r="C463" s="345"/>
      <c r="D463" s="345"/>
      <c r="E463" s="345"/>
      <c r="F463" s="345"/>
      <c r="G463" s="345"/>
      <c r="H463" s="345"/>
      <c r="I463" s="345"/>
      <c r="J463" s="345"/>
      <c r="K463" s="345"/>
    </row>
    <row r="464" spans="1:11" ht="20.25">
      <c r="A464" s="345"/>
      <c r="B464" s="345"/>
      <c r="C464" s="345"/>
      <c r="D464" s="345"/>
      <c r="E464" s="345"/>
      <c r="F464" s="345"/>
      <c r="G464" s="345"/>
      <c r="H464" s="345"/>
      <c r="I464" s="345"/>
      <c r="J464" s="345"/>
      <c r="K464" s="345"/>
    </row>
    <row r="465" spans="1:11" ht="20.25">
      <c r="A465" s="345"/>
      <c r="B465" s="345"/>
      <c r="C465" s="345"/>
      <c r="D465" s="345"/>
      <c r="E465" s="345"/>
      <c r="F465" s="345"/>
      <c r="G465" s="345"/>
      <c r="H465" s="345"/>
      <c r="I465" s="345"/>
      <c r="J465" s="345"/>
      <c r="K465" s="345"/>
    </row>
    <row r="466" spans="1:11" ht="20.25">
      <c r="A466" s="345"/>
      <c r="B466" s="345"/>
      <c r="C466" s="345"/>
      <c r="D466" s="345"/>
      <c r="E466" s="345"/>
      <c r="F466" s="345"/>
      <c r="G466" s="345"/>
      <c r="H466" s="345"/>
      <c r="I466" s="345"/>
      <c r="J466" s="345"/>
      <c r="K466" s="345"/>
    </row>
    <row r="467" spans="1:11" ht="20.25">
      <c r="A467" s="345"/>
      <c r="B467" s="345"/>
      <c r="C467" s="345"/>
      <c r="D467" s="345"/>
      <c r="E467" s="345"/>
      <c r="F467" s="345"/>
      <c r="G467" s="345"/>
      <c r="H467" s="345"/>
      <c r="I467" s="345"/>
      <c r="J467" s="345"/>
      <c r="K467" s="345"/>
    </row>
    <row r="468" spans="1:11" ht="20.25">
      <c r="A468" s="345"/>
      <c r="B468" s="345"/>
      <c r="C468" s="345"/>
      <c r="D468" s="345"/>
      <c r="E468" s="345"/>
      <c r="F468" s="345"/>
      <c r="G468" s="345"/>
      <c r="H468" s="345"/>
      <c r="I468" s="345"/>
      <c r="J468" s="345"/>
      <c r="K468" s="345"/>
    </row>
    <row r="469" spans="1:11" ht="20.25">
      <c r="A469" s="345"/>
      <c r="B469" s="345"/>
      <c r="C469" s="345"/>
      <c r="D469" s="345"/>
      <c r="E469" s="345"/>
      <c r="F469" s="345"/>
      <c r="G469" s="345"/>
      <c r="H469" s="345"/>
      <c r="I469" s="345"/>
      <c r="J469" s="345"/>
      <c r="K469" s="345"/>
    </row>
    <row r="470" spans="1:11" ht="20.25">
      <c r="A470" s="345"/>
      <c r="B470" s="345"/>
      <c r="C470" s="345"/>
      <c r="D470" s="345"/>
      <c r="E470" s="345"/>
      <c r="F470" s="345"/>
      <c r="G470" s="345"/>
      <c r="H470" s="345"/>
      <c r="I470" s="345"/>
      <c r="J470" s="345"/>
      <c r="K470" s="345"/>
    </row>
    <row r="471" spans="1:11" ht="20.25">
      <c r="A471" s="345"/>
      <c r="B471" s="345"/>
      <c r="C471" s="345"/>
      <c r="D471" s="345"/>
      <c r="E471" s="345"/>
      <c r="F471" s="345"/>
      <c r="G471" s="345"/>
      <c r="H471" s="345"/>
      <c r="I471" s="345"/>
      <c r="J471" s="345"/>
      <c r="K471" s="345"/>
    </row>
    <row r="472" spans="1:11" ht="20.25">
      <c r="A472" s="345"/>
      <c r="B472" s="345"/>
      <c r="C472" s="345"/>
      <c r="D472" s="345"/>
      <c r="E472" s="345"/>
      <c r="F472" s="345"/>
      <c r="G472" s="345"/>
      <c r="H472" s="345"/>
      <c r="I472" s="345"/>
      <c r="J472" s="345"/>
      <c r="K472" s="345"/>
    </row>
    <row r="473" spans="1:11" ht="20.25">
      <c r="A473" s="345"/>
      <c r="B473" s="345"/>
      <c r="C473" s="345"/>
      <c r="D473" s="345"/>
      <c r="E473" s="345"/>
      <c r="F473" s="345"/>
      <c r="G473" s="345"/>
      <c r="H473" s="345"/>
      <c r="I473" s="345"/>
      <c r="J473" s="345"/>
      <c r="K473" s="345"/>
    </row>
    <row r="474" spans="1:11" ht="20.25">
      <c r="A474" s="345"/>
      <c r="B474" s="345"/>
      <c r="C474" s="345"/>
      <c r="D474" s="345"/>
      <c r="E474" s="345"/>
      <c r="F474" s="345"/>
      <c r="G474" s="345"/>
      <c r="H474" s="345"/>
      <c r="I474" s="345"/>
      <c r="J474" s="345"/>
      <c r="K474" s="345"/>
    </row>
    <row r="475" spans="1:11" ht="20.25">
      <c r="A475" s="345"/>
      <c r="B475" s="345"/>
      <c r="C475" s="345"/>
      <c r="D475" s="345"/>
      <c r="E475" s="345"/>
      <c r="F475" s="345"/>
      <c r="G475" s="345"/>
      <c r="H475" s="345"/>
      <c r="I475" s="345"/>
      <c r="J475" s="345"/>
      <c r="K475" s="345"/>
    </row>
    <row r="476" spans="1:11" ht="20.25">
      <c r="A476" s="345"/>
      <c r="B476" s="345"/>
      <c r="C476" s="345"/>
      <c r="D476" s="345"/>
      <c r="E476" s="345"/>
      <c r="F476" s="345"/>
      <c r="G476" s="345"/>
      <c r="H476" s="345"/>
      <c r="I476" s="345"/>
      <c r="J476" s="345"/>
      <c r="K476" s="345"/>
    </row>
    <row r="477" spans="1:11" ht="20.25">
      <c r="A477" s="345"/>
      <c r="B477" s="345"/>
      <c r="C477" s="345"/>
      <c r="D477" s="345"/>
      <c r="E477" s="345"/>
      <c r="F477" s="345"/>
      <c r="G477" s="345"/>
      <c r="H477" s="345"/>
      <c r="I477" s="345"/>
      <c r="J477" s="345"/>
      <c r="K477" s="345"/>
    </row>
    <row r="478" spans="1:11" ht="20.25">
      <c r="A478" s="345"/>
      <c r="B478" s="345"/>
      <c r="C478" s="345"/>
      <c r="D478" s="345"/>
      <c r="E478" s="345"/>
      <c r="F478" s="345"/>
      <c r="G478" s="345"/>
      <c r="H478" s="345"/>
      <c r="I478" s="345"/>
      <c r="J478" s="345"/>
      <c r="K478" s="345"/>
    </row>
    <row r="479" spans="1:11" ht="20.25">
      <c r="A479" s="345"/>
      <c r="B479" s="345"/>
      <c r="C479" s="345"/>
      <c r="D479" s="345"/>
      <c r="E479" s="345"/>
      <c r="F479" s="345"/>
      <c r="G479" s="345"/>
      <c r="H479" s="345"/>
      <c r="I479" s="345"/>
      <c r="J479" s="345"/>
      <c r="K479" s="345"/>
    </row>
    <row r="480" spans="1:11" ht="20.25">
      <c r="A480" s="345"/>
      <c r="B480" s="345"/>
      <c r="C480" s="345"/>
      <c r="D480" s="345"/>
      <c r="E480" s="345"/>
      <c r="F480" s="345"/>
      <c r="G480" s="345"/>
      <c r="H480" s="345"/>
      <c r="I480" s="345"/>
      <c r="J480" s="345"/>
      <c r="K480" s="345"/>
    </row>
    <row r="481" spans="1:11" ht="20.25">
      <c r="A481" s="345"/>
      <c r="B481" s="345"/>
      <c r="C481" s="345"/>
      <c r="D481" s="345"/>
      <c r="E481" s="345"/>
      <c r="F481" s="345"/>
      <c r="G481" s="345"/>
      <c r="H481" s="345"/>
      <c r="I481" s="345"/>
      <c r="J481" s="345"/>
      <c r="K481" s="345"/>
    </row>
    <row r="482" spans="1:11" ht="20.25">
      <c r="A482" s="345"/>
      <c r="B482" s="345"/>
      <c r="C482" s="345"/>
      <c r="D482" s="345"/>
      <c r="E482" s="345"/>
      <c r="F482" s="345"/>
      <c r="G482" s="345"/>
      <c r="H482" s="345"/>
      <c r="I482" s="345"/>
      <c r="J482" s="345"/>
      <c r="K482" s="345"/>
    </row>
    <row r="483" spans="1:11" ht="20.25">
      <c r="A483" s="345"/>
      <c r="B483" s="345"/>
      <c r="C483" s="345"/>
      <c r="D483" s="345"/>
      <c r="E483" s="345"/>
      <c r="F483" s="345"/>
      <c r="G483" s="345"/>
      <c r="H483" s="345"/>
      <c r="I483" s="345"/>
      <c r="J483" s="345"/>
      <c r="K483" s="345"/>
    </row>
    <row r="484" spans="1:11" ht="20.25">
      <c r="A484" s="345"/>
      <c r="B484" s="345"/>
      <c r="C484" s="345"/>
      <c r="D484" s="345"/>
      <c r="E484" s="345"/>
      <c r="F484" s="345"/>
      <c r="G484" s="345"/>
      <c r="H484" s="345"/>
      <c r="I484" s="345"/>
      <c r="J484" s="345"/>
      <c r="K484" s="345"/>
    </row>
    <row r="485" spans="1:11" ht="20.25">
      <c r="A485" s="345"/>
      <c r="B485" s="345"/>
      <c r="C485" s="345"/>
      <c r="D485" s="345"/>
      <c r="E485" s="345"/>
      <c r="F485" s="345"/>
      <c r="G485" s="345"/>
      <c r="H485" s="345"/>
      <c r="I485" s="345"/>
      <c r="J485" s="345"/>
      <c r="K485" s="345"/>
    </row>
    <row r="486" spans="1:11" ht="20.25">
      <c r="A486" s="345"/>
      <c r="B486" s="345"/>
      <c r="C486" s="345"/>
      <c r="D486" s="345"/>
      <c r="E486" s="345"/>
      <c r="F486" s="345"/>
      <c r="G486" s="345"/>
      <c r="H486" s="345"/>
      <c r="I486" s="345"/>
      <c r="J486" s="345"/>
      <c r="K486" s="345"/>
    </row>
    <row r="487" spans="1:11" ht="20.25">
      <c r="A487" s="345"/>
      <c r="B487" s="345"/>
      <c r="C487" s="345"/>
      <c r="D487" s="345"/>
      <c r="E487" s="345"/>
      <c r="F487" s="345"/>
      <c r="G487" s="345"/>
      <c r="H487" s="345"/>
      <c r="I487" s="345"/>
      <c r="J487" s="345"/>
      <c r="K487" s="345"/>
    </row>
    <row r="488" spans="1:11" ht="20.25">
      <c r="A488" s="345"/>
      <c r="B488" s="345"/>
      <c r="C488" s="345"/>
      <c r="D488" s="345"/>
      <c r="E488" s="345"/>
      <c r="F488" s="345"/>
      <c r="G488" s="345"/>
      <c r="H488" s="345"/>
      <c r="I488" s="345"/>
      <c r="J488" s="345"/>
      <c r="K488" s="345"/>
    </row>
    <row r="489" spans="1:11" ht="20.25">
      <c r="A489" s="345"/>
      <c r="B489" s="345"/>
      <c r="C489" s="345"/>
      <c r="D489" s="345"/>
      <c r="E489" s="345"/>
      <c r="F489" s="345"/>
      <c r="G489" s="345"/>
      <c r="H489" s="345"/>
      <c r="I489" s="345"/>
      <c r="J489" s="345"/>
      <c r="K489" s="345"/>
    </row>
    <row r="490" spans="1:11" ht="20.25">
      <c r="A490" s="345"/>
      <c r="B490" s="345"/>
      <c r="C490" s="345"/>
      <c r="D490" s="345"/>
      <c r="E490" s="345"/>
      <c r="F490" s="345"/>
      <c r="G490" s="345"/>
      <c r="H490" s="345"/>
      <c r="I490" s="345"/>
      <c r="J490" s="345"/>
      <c r="K490" s="345"/>
    </row>
    <row r="491" spans="1:11" ht="20.25">
      <c r="A491" s="345"/>
      <c r="B491" s="345"/>
      <c r="C491" s="345"/>
      <c r="D491" s="345"/>
      <c r="E491" s="345"/>
      <c r="F491" s="345"/>
      <c r="G491" s="345"/>
      <c r="H491" s="345"/>
      <c r="I491" s="345"/>
      <c r="J491" s="345"/>
      <c r="K491" s="345"/>
    </row>
    <row r="492" spans="1:11" ht="20.25">
      <c r="A492" s="345"/>
      <c r="B492" s="345"/>
      <c r="C492" s="345"/>
      <c r="D492" s="345"/>
      <c r="E492" s="345"/>
      <c r="F492" s="345"/>
      <c r="G492" s="345"/>
      <c r="H492" s="345"/>
      <c r="I492" s="345"/>
      <c r="J492" s="345"/>
      <c r="K492" s="345"/>
    </row>
    <row r="493" spans="1:11" ht="20.25">
      <c r="A493" s="345"/>
      <c r="B493" s="345"/>
      <c r="C493" s="345"/>
      <c r="D493" s="345"/>
      <c r="E493" s="345"/>
      <c r="F493" s="345"/>
      <c r="G493" s="345"/>
      <c r="H493" s="345"/>
      <c r="I493" s="345"/>
      <c r="J493" s="345"/>
      <c r="K493" s="345"/>
    </row>
    <row r="494" spans="1:11" ht="20.25">
      <c r="A494" s="345"/>
      <c r="B494" s="345"/>
      <c r="C494" s="345"/>
      <c r="D494" s="345"/>
      <c r="E494" s="345"/>
      <c r="F494" s="345"/>
      <c r="G494" s="345"/>
      <c r="H494" s="345"/>
      <c r="I494" s="345"/>
      <c r="J494" s="345"/>
      <c r="K494" s="345"/>
    </row>
    <row r="495" spans="1:11" ht="20.25">
      <c r="A495" s="345"/>
      <c r="B495" s="345"/>
      <c r="C495" s="345"/>
      <c r="D495" s="345"/>
      <c r="E495" s="345"/>
      <c r="F495" s="345"/>
      <c r="G495" s="345"/>
      <c r="H495" s="345"/>
      <c r="I495" s="345"/>
      <c r="J495" s="345"/>
      <c r="K495" s="345"/>
    </row>
    <row r="496" spans="1:11" ht="20.25">
      <c r="A496" s="345"/>
      <c r="B496" s="345"/>
      <c r="C496" s="345"/>
      <c r="D496" s="345"/>
      <c r="E496" s="345"/>
      <c r="F496" s="345"/>
      <c r="G496" s="345"/>
      <c r="H496" s="345"/>
      <c r="I496" s="345"/>
      <c r="J496" s="345"/>
      <c r="K496" s="345"/>
    </row>
    <row r="497" spans="1:11" ht="20.25">
      <c r="A497" s="345"/>
      <c r="B497" s="345"/>
      <c r="C497" s="345"/>
      <c r="D497" s="345"/>
      <c r="E497" s="345"/>
      <c r="F497" s="345"/>
      <c r="G497" s="345"/>
      <c r="H497" s="345"/>
      <c r="I497" s="345"/>
      <c r="J497" s="345"/>
      <c r="K497" s="345"/>
    </row>
    <row r="498" spans="1:11" ht="20.25">
      <c r="A498" s="345"/>
      <c r="B498" s="345"/>
      <c r="C498" s="345"/>
      <c r="D498" s="345"/>
      <c r="E498" s="345"/>
      <c r="F498" s="345"/>
      <c r="G498" s="345"/>
      <c r="H498" s="345"/>
      <c r="I498" s="345"/>
      <c r="J498" s="345"/>
      <c r="K498" s="345"/>
    </row>
    <row r="499" spans="1:11" ht="20.25">
      <c r="A499" s="345"/>
      <c r="B499" s="345"/>
      <c r="C499" s="345"/>
      <c r="D499" s="345"/>
      <c r="E499" s="345"/>
      <c r="F499" s="345"/>
      <c r="G499" s="345"/>
      <c r="H499" s="345"/>
      <c r="I499" s="345"/>
      <c r="J499" s="345"/>
      <c r="K499" s="345"/>
    </row>
    <row r="500" spans="1:11" ht="20.25">
      <c r="A500" s="345"/>
      <c r="B500" s="345"/>
      <c r="C500" s="345"/>
      <c r="D500" s="345"/>
      <c r="E500" s="345"/>
      <c r="F500" s="345"/>
      <c r="G500" s="345"/>
      <c r="H500" s="345"/>
      <c r="I500" s="345"/>
      <c r="J500" s="345"/>
      <c r="K500" s="345"/>
    </row>
    <row r="501" spans="1:11" ht="20.25">
      <c r="A501" s="345"/>
      <c r="B501" s="345"/>
      <c r="C501" s="345"/>
      <c r="D501" s="345"/>
      <c r="E501" s="345"/>
      <c r="F501" s="345"/>
      <c r="G501" s="345"/>
      <c r="H501" s="345"/>
      <c r="I501" s="345"/>
      <c r="J501" s="345"/>
      <c r="K501" s="345"/>
    </row>
    <row r="502" spans="1:11" ht="20.25">
      <c r="A502" s="345"/>
      <c r="B502" s="345"/>
      <c r="C502" s="345"/>
      <c r="D502" s="345"/>
      <c r="E502" s="345"/>
      <c r="F502" s="345"/>
      <c r="G502" s="345"/>
      <c r="H502" s="345"/>
      <c r="I502" s="345"/>
      <c r="J502" s="345"/>
      <c r="K502" s="345"/>
    </row>
    <row r="503" spans="1:11" ht="20.25">
      <c r="A503" s="345"/>
      <c r="B503" s="345"/>
      <c r="C503" s="345"/>
      <c r="D503" s="345"/>
      <c r="E503" s="345"/>
      <c r="F503" s="345"/>
      <c r="G503" s="345"/>
      <c r="H503" s="345"/>
      <c r="I503" s="345"/>
      <c r="J503" s="345"/>
      <c r="K503" s="345"/>
    </row>
    <row r="504" spans="1:11" ht="20.25">
      <c r="A504" s="345"/>
      <c r="B504" s="345"/>
      <c r="C504" s="345"/>
      <c r="D504" s="345"/>
      <c r="E504" s="345"/>
      <c r="F504" s="345"/>
      <c r="G504" s="345"/>
      <c r="H504" s="345"/>
      <c r="I504" s="345"/>
      <c r="J504" s="345"/>
      <c r="K504" s="345"/>
    </row>
    <row r="505" spans="1:11" ht="20.25">
      <c r="A505" s="345"/>
      <c r="B505" s="345"/>
      <c r="C505" s="345"/>
      <c r="D505" s="345"/>
      <c r="E505" s="345"/>
      <c r="F505" s="345"/>
      <c r="G505" s="345"/>
      <c r="H505" s="345"/>
      <c r="I505" s="345"/>
      <c r="J505" s="345"/>
      <c r="K505" s="345"/>
    </row>
    <row r="506" spans="1:11" ht="20.25">
      <c r="A506" s="345"/>
      <c r="B506" s="345"/>
      <c r="C506" s="345"/>
      <c r="D506" s="345"/>
      <c r="E506" s="345"/>
      <c r="F506" s="345"/>
      <c r="G506" s="345"/>
      <c r="H506" s="345"/>
      <c r="I506" s="345"/>
      <c r="J506" s="345"/>
      <c r="K506" s="345"/>
    </row>
    <row r="507" spans="1:11" ht="20.25">
      <c r="A507" s="345"/>
      <c r="B507" s="345"/>
      <c r="C507" s="345"/>
      <c r="D507" s="345"/>
      <c r="E507" s="345"/>
      <c r="F507" s="345"/>
      <c r="G507" s="345"/>
      <c r="H507" s="345"/>
      <c r="I507" s="345"/>
      <c r="J507" s="345"/>
      <c r="K507" s="345"/>
    </row>
    <row r="508" spans="1:11" ht="20.25">
      <c r="A508" s="345"/>
      <c r="B508" s="345"/>
      <c r="C508" s="345"/>
      <c r="D508" s="345"/>
      <c r="E508" s="345"/>
      <c r="F508" s="345"/>
      <c r="G508" s="345"/>
      <c r="H508" s="345"/>
      <c r="I508" s="345"/>
      <c r="J508" s="345"/>
      <c r="K508" s="345"/>
    </row>
    <row r="509" spans="1:11" ht="20.25">
      <c r="A509" s="345"/>
      <c r="B509" s="345"/>
      <c r="C509" s="345"/>
      <c r="D509" s="345"/>
      <c r="E509" s="345"/>
      <c r="F509" s="345"/>
      <c r="G509" s="345"/>
      <c r="H509" s="345"/>
      <c r="I509" s="345"/>
      <c r="J509" s="345"/>
      <c r="K509" s="345"/>
    </row>
    <row r="510" spans="1:11" ht="20.25">
      <c r="A510" s="345"/>
      <c r="B510" s="345"/>
      <c r="C510" s="345"/>
      <c r="D510" s="345"/>
      <c r="E510" s="345"/>
      <c r="F510" s="345"/>
      <c r="G510" s="345"/>
      <c r="H510" s="345"/>
      <c r="I510" s="345"/>
      <c r="J510" s="345"/>
      <c r="K510" s="345"/>
    </row>
    <row r="511" spans="1:11" ht="20.25">
      <c r="A511" s="345"/>
      <c r="B511" s="345"/>
      <c r="C511" s="345"/>
      <c r="D511" s="345"/>
      <c r="E511" s="345"/>
      <c r="F511" s="345"/>
      <c r="G511" s="345"/>
      <c r="H511" s="345"/>
      <c r="I511" s="345"/>
      <c r="J511" s="345"/>
      <c r="K511" s="345"/>
    </row>
    <row r="512" spans="1:11" ht="20.25">
      <c r="A512" s="345"/>
      <c r="B512" s="345"/>
      <c r="C512" s="345"/>
      <c r="D512" s="345"/>
      <c r="E512" s="345"/>
      <c r="F512" s="345"/>
      <c r="G512" s="345"/>
      <c r="H512" s="345"/>
      <c r="I512" s="345"/>
      <c r="J512" s="345"/>
      <c r="K512" s="345"/>
    </row>
    <row r="513" spans="1:11" ht="20.25">
      <c r="A513" s="345"/>
      <c r="B513" s="345"/>
      <c r="C513" s="345"/>
      <c r="D513" s="345"/>
      <c r="E513" s="345"/>
      <c r="F513" s="345"/>
      <c r="G513" s="345"/>
      <c r="H513" s="345"/>
      <c r="I513" s="345"/>
      <c r="J513" s="345"/>
      <c r="K513" s="345"/>
    </row>
    <row r="514" spans="1:11" ht="20.25">
      <c r="A514" s="345"/>
      <c r="B514" s="345"/>
      <c r="C514" s="345"/>
      <c r="D514" s="345"/>
      <c r="E514" s="345"/>
      <c r="F514" s="345"/>
      <c r="G514" s="345"/>
      <c r="H514" s="345"/>
      <c r="I514" s="345"/>
      <c r="J514" s="345"/>
      <c r="K514" s="345"/>
    </row>
    <row r="515" spans="1:11" ht="20.25">
      <c r="A515" s="345"/>
      <c r="B515" s="345"/>
      <c r="C515" s="345"/>
      <c r="D515" s="345"/>
      <c r="E515" s="345"/>
      <c r="F515" s="345"/>
      <c r="G515" s="345"/>
      <c r="H515" s="345"/>
      <c r="I515" s="345"/>
      <c r="J515" s="345"/>
      <c r="K515" s="345"/>
    </row>
    <row r="516" spans="1:11" ht="20.25">
      <c r="A516" s="345"/>
      <c r="B516" s="345"/>
      <c r="C516" s="345"/>
      <c r="D516" s="345"/>
      <c r="E516" s="345"/>
      <c r="F516" s="345"/>
      <c r="G516" s="345"/>
      <c r="H516" s="345"/>
      <c r="I516" s="345"/>
      <c r="J516" s="345"/>
      <c r="K516" s="345"/>
    </row>
    <row r="517" spans="1:11" ht="20.25">
      <c r="A517" s="345"/>
      <c r="B517" s="345"/>
      <c r="C517" s="345"/>
      <c r="D517" s="345"/>
      <c r="E517" s="345"/>
      <c r="F517" s="345"/>
      <c r="G517" s="345"/>
      <c r="H517" s="345"/>
      <c r="I517" s="345"/>
      <c r="J517" s="345"/>
      <c r="K517" s="345"/>
    </row>
    <row r="518" spans="1:11" ht="20.25">
      <c r="A518" s="345"/>
      <c r="B518" s="345"/>
      <c r="C518" s="345"/>
      <c r="D518" s="345"/>
      <c r="E518" s="345"/>
      <c r="F518" s="345"/>
      <c r="G518" s="345"/>
      <c r="H518" s="345"/>
      <c r="I518" s="345"/>
      <c r="J518" s="345"/>
      <c r="K518" s="345"/>
    </row>
    <row r="519" spans="1:11" ht="20.25">
      <c r="A519" s="345"/>
      <c r="B519" s="345"/>
      <c r="C519" s="345"/>
      <c r="D519" s="345"/>
      <c r="E519" s="345"/>
      <c r="F519" s="345"/>
      <c r="G519" s="345"/>
      <c r="H519" s="345"/>
      <c r="I519" s="345"/>
      <c r="J519" s="345"/>
      <c r="K519" s="345"/>
    </row>
    <row r="520" spans="1:11" ht="20.25">
      <c r="A520" s="345"/>
      <c r="B520" s="345"/>
      <c r="C520" s="345"/>
      <c r="D520" s="345"/>
      <c r="E520" s="345"/>
      <c r="F520" s="345"/>
      <c r="G520" s="345"/>
      <c r="H520" s="345"/>
      <c r="I520" s="345"/>
      <c r="J520" s="345"/>
      <c r="K520" s="345"/>
    </row>
    <row r="521" spans="1:11" ht="20.25">
      <c r="A521" s="345"/>
      <c r="B521" s="345"/>
      <c r="C521" s="345"/>
      <c r="D521" s="345"/>
      <c r="E521" s="345"/>
      <c r="F521" s="345"/>
      <c r="G521" s="345"/>
      <c r="H521" s="345"/>
      <c r="I521" s="345"/>
      <c r="J521" s="345"/>
      <c r="K521" s="345"/>
    </row>
    <row r="522" spans="1:11" ht="20.25">
      <c r="A522" s="345"/>
      <c r="B522" s="345"/>
      <c r="C522" s="345"/>
      <c r="D522" s="345"/>
      <c r="E522" s="345"/>
      <c r="F522" s="345"/>
      <c r="G522" s="345"/>
      <c r="H522" s="345"/>
      <c r="I522" s="345"/>
      <c r="J522" s="345"/>
      <c r="K522" s="345"/>
    </row>
    <row r="523" spans="1:11" ht="20.25">
      <c r="A523" s="345"/>
      <c r="B523" s="345"/>
      <c r="C523" s="345"/>
      <c r="D523" s="345"/>
      <c r="E523" s="345"/>
      <c r="F523" s="345"/>
      <c r="G523" s="345"/>
      <c r="H523" s="345"/>
      <c r="I523" s="345"/>
      <c r="J523" s="345"/>
      <c r="K523" s="345"/>
    </row>
    <row r="524" spans="1:11" ht="20.25">
      <c r="A524" s="345"/>
      <c r="B524" s="345"/>
      <c r="C524" s="345"/>
      <c r="D524" s="345"/>
      <c r="E524" s="345"/>
      <c r="F524" s="345"/>
      <c r="G524" s="345"/>
      <c r="H524" s="345"/>
      <c r="I524" s="345"/>
      <c r="J524" s="345"/>
      <c r="K524" s="345"/>
    </row>
    <row r="525" spans="1:11" ht="20.25">
      <c r="A525" s="345"/>
      <c r="B525" s="345"/>
      <c r="C525" s="345"/>
      <c r="D525" s="345"/>
      <c r="E525" s="345"/>
      <c r="F525" s="345"/>
      <c r="G525" s="345"/>
      <c r="H525" s="345"/>
      <c r="I525" s="345"/>
      <c r="J525" s="345"/>
      <c r="K525" s="345"/>
    </row>
    <row r="526" spans="1:11" ht="20.25">
      <c r="A526" s="345"/>
      <c r="B526" s="345"/>
      <c r="C526" s="345"/>
      <c r="D526" s="345"/>
      <c r="E526" s="345"/>
      <c r="F526" s="345"/>
      <c r="G526" s="345"/>
      <c r="H526" s="345"/>
      <c r="I526" s="345"/>
      <c r="J526" s="345"/>
      <c r="K526" s="345"/>
    </row>
    <row r="527" spans="1:11" ht="20.25">
      <c r="A527" s="345"/>
      <c r="B527" s="345"/>
      <c r="C527" s="345"/>
      <c r="D527" s="345"/>
      <c r="E527" s="345"/>
      <c r="F527" s="345"/>
      <c r="G527" s="345"/>
      <c r="H527" s="345"/>
      <c r="I527" s="345"/>
      <c r="J527" s="345"/>
      <c r="K527" s="345"/>
    </row>
    <row r="528" spans="1:11" ht="20.25">
      <c r="A528" s="345"/>
      <c r="B528" s="345"/>
      <c r="C528" s="345"/>
      <c r="D528" s="345"/>
      <c r="E528" s="345"/>
      <c r="F528" s="345"/>
      <c r="G528" s="345"/>
      <c r="H528" s="345"/>
      <c r="I528" s="345"/>
      <c r="J528" s="345"/>
      <c r="K528" s="345"/>
    </row>
    <row r="529" spans="1:11" ht="20.25">
      <c r="A529" s="345"/>
      <c r="B529" s="345"/>
      <c r="C529" s="345"/>
      <c r="D529" s="345"/>
      <c r="E529" s="345"/>
      <c r="F529" s="345"/>
      <c r="G529" s="345"/>
      <c r="H529" s="345"/>
      <c r="I529" s="345"/>
      <c r="J529" s="345"/>
      <c r="K529" s="345"/>
    </row>
    <row r="530" spans="1:11" ht="20.25">
      <c r="A530" s="345"/>
      <c r="B530" s="345"/>
      <c r="C530" s="345"/>
      <c r="D530" s="345"/>
      <c r="E530" s="345"/>
      <c r="F530" s="345"/>
      <c r="G530" s="345"/>
      <c r="H530" s="345"/>
      <c r="I530" s="345"/>
      <c r="J530" s="345"/>
      <c r="K530" s="345"/>
    </row>
    <row r="531" spans="1:11" ht="20.25">
      <c r="A531" s="345"/>
      <c r="B531" s="345"/>
      <c r="C531" s="345"/>
      <c r="D531" s="345"/>
      <c r="E531" s="345"/>
      <c r="F531" s="345"/>
      <c r="G531" s="345"/>
      <c r="H531" s="345"/>
      <c r="I531" s="345"/>
      <c r="J531" s="345"/>
      <c r="K531" s="345"/>
    </row>
    <row r="532" spans="1:11" ht="20.25">
      <c r="A532" s="345"/>
      <c r="B532" s="345"/>
      <c r="C532" s="345"/>
      <c r="D532" s="345"/>
      <c r="E532" s="345"/>
      <c r="F532" s="345"/>
      <c r="G532" s="345"/>
      <c r="H532" s="345"/>
      <c r="I532" s="345"/>
      <c r="J532" s="345"/>
      <c r="K532" s="345"/>
    </row>
    <row r="533" spans="1:11" ht="20.25">
      <c r="A533" s="345"/>
      <c r="B533" s="345"/>
      <c r="C533" s="345"/>
      <c r="D533" s="345"/>
      <c r="E533" s="345"/>
      <c r="F533" s="345"/>
      <c r="G533" s="345"/>
      <c r="H533" s="345"/>
      <c r="I533" s="345"/>
      <c r="J533" s="345"/>
      <c r="K533" s="345"/>
    </row>
    <row r="534" spans="1:11" ht="20.25">
      <c r="A534" s="345"/>
      <c r="B534" s="345"/>
      <c r="C534" s="345"/>
      <c r="D534" s="345"/>
      <c r="E534" s="345"/>
      <c r="F534" s="345"/>
      <c r="G534" s="345"/>
      <c r="H534" s="345"/>
      <c r="I534" s="345"/>
      <c r="J534" s="345"/>
      <c r="K534" s="345"/>
    </row>
    <row r="535" spans="1:11" ht="20.25">
      <c r="A535" s="345"/>
      <c r="B535" s="345"/>
      <c r="C535" s="345"/>
      <c r="D535" s="345"/>
      <c r="E535" s="345"/>
      <c r="F535" s="345"/>
      <c r="G535" s="345"/>
      <c r="H535" s="345"/>
      <c r="I535" s="345"/>
      <c r="J535" s="345"/>
      <c r="K535" s="345"/>
    </row>
    <row r="536" spans="1:11" ht="20.25">
      <c r="A536" s="345"/>
      <c r="B536" s="345"/>
      <c r="C536" s="345"/>
      <c r="D536" s="345"/>
      <c r="E536" s="345"/>
      <c r="F536" s="345"/>
      <c r="G536" s="345"/>
      <c r="H536" s="345"/>
      <c r="I536" s="345"/>
      <c r="J536" s="345"/>
      <c r="K536" s="345"/>
    </row>
    <row r="537" spans="1:11" ht="20.25">
      <c r="A537" s="345"/>
      <c r="B537" s="345"/>
      <c r="C537" s="345"/>
      <c r="D537" s="345"/>
      <c r="E537" s="345"/>
      <c r="F537" s="345"/>
      <c r="G537" s="345"/>
      <c r="H537" s="345"/>
      <c r="I537" s="345"/>
      <c r="J537" s="345"/>
      <c r="K537" s="345"/>
    </row>
    <row r="538" spans="1:11" ht="20.25">
      <c r="A538" s="345"/>
      <c r="B538" s="345"/>
      <c r="C538" s="345"/>
      <c r="D538" s="345"/>
      <c r="E538" s="345"/>
      <c r="F538" s="345"/>
      <c r="G538" s="345"/>
      <c r="H538" s="345"/>
      <c r="I538" s="345"/>
      <c r="J538" s="345"/>
      <c r="K538" s="345"/>
    </row>
    <row r="539" spans="1:11" ht="20.25">
      <c r="A539" s="345"/>
      <c r="B539" s="345"/>
      <c r="C539" s="345"/>
      <c r="D539" s="345"/>
      <c r="E539" s="345"/>
      <c r="F539" s="345"/>
      <c r="G539" s="345"/>
      <c r="H539" s="345"/>
      <c r="I539" s="345"/>
      <c r="J539" s="345"/>
      <c r="K539" s="345"/>
    </row>
    <row r="540" spans="1:11" ht="20.25">
      <c r="A540" s="345"/>
      <c r="B540" s="345"/>
      <c r="C540" s="345"/>
      <c r="D540" s="345"/>
      <c r="E540" s="345"/>
      <c r="F540" s="345"/>
      <c r="G540" s="345"/>
      <c r="H540" s="345"/>
      <c r="I540" s="345"/>
      <c r="J540" s="345"/>
      <c r="K540" s="345"/>
    </row>
    <row r="541" spans="1:11" ht="20.25">
      <c r="A541" s="345"/>
      <c r="B541" s="345"/>
      <c r="C541" s="345"/>
      <c r="D541" s="345"/>
      <c r="E541" s="345"/>
      <c r="F541" s="345"/>
      <c r="G541" s="345"/>
      <c r="H541" s="345"/>
      <c r="I541" s="345"/>
      <c r="J541" s="345"/>
      <c r="K541" s="345"/>
    </row>
    <row r="542" spans="1:11" ht="20.25">
      <c r="A542" s="345"/>
      <c r="B542" s="345"/>
      <c r="C542" s="345"/>
      <c r="D542" s="345"/>
      <c r="E542" s="345"/>
      <c r="F542" s="345"/>
      <c r="G542" s="345"/>
      <c r="H542" s="345"/>
      <c r="I542" s="345"/>
      <c r="J542" s="345"/>
      <c r="K542" s="345"/>
    </row>
    <row r="543" spans="1:11" ht="20.25">
      <c r="A543" s="345"/>
      <c r="B543" s="345"/>
      <c r="C543" s="345"/>
      <c r="D543" s="345"/>
      <c r="E543" s="345"/>
      <c r="F543" s="345"/>
      <c r="G543" s="345"/>
      <c r="H543" s="345"/>
      <c r="I543" s="345"/>
      <c r="J543" s="345"/>
      <c r="K543" s="345"/>
    </row>
    <row r="544" spans="1:11" ht="20.25">
      <c r="A544" s="345"/>
      <c r="B544" s="345"/>
      <c r="C544" s="345"/>
      <c r="D544" s="345"/>
      <c r="E544" s="345"/>
      <c r="F544" s="345"/>
      <c r="G544" s="345"/>
      <c r="H544" s="345"/>
      <c r="I544" s="345"/>
      <c r="J544" s="345"/>
      <c r="K544" s="345"/>
    </row>
    <row r="545" spans="1:11" ht="20.25">
      <c r="A545" s="345"/>
      <c r="B545" s="345"/>
      <c r="C545" s="345"/>
      <c r="D545" s="345"/>
      <c r="E545" s="345"/>
      <c r="F545" s="345"/>
      <c r="G545" s="345"/>
      <c r="H545" s="345"/>
      <c r="I545" s="345"/>
      <c r="J545" s="345"/>
      <c r="K545" s="345"/>
    </row>
    <row r="546" spans="1:11" ht="20.25">
      <c r="A546" s="345"/>
      <c r="B546" s="345"/>
      <c r="C546" s="345"/>
      <c r="D546" s="345"/>
      <c r="E546" s="345"/>
      <c r="F546" s="345"/>
      <c r="G546" s="345"/>
      <c r="H546" s="345"/>
      <c r="I546" s="345"/>
      <c r="J546" s="345"/>
      <c r="K546" s="345"/>
    </row>
    <row r="547" spans="1:11" ht="20.25">
      <c r="A547" s="345"/>
      <c r="B547" s="345"/>
      <c r="C547" s="345"/>
      <c r="D547" s="345"/>
      <c r="E547" s="345"/>
      <c r="F547" s="345"/>
      <c r="G547" s="345"/>
      <c r="H547" s="345"/>
      <c r="I547" s="345"/>
      <c r="J547" s="345"/>
      <c r="K547" s="345"/>
    </row>
    <row r="548" spans="1:11" ht="20.25">
      <c r="A548" s="345"/>
      <c r="B548" s="345"/>
      <c r="C548" s="345"/>
      <c r="D548" s="345"/>
      <c r="E548" s="345"/>
      <c r="F548" s="345"/>
      <c r="G548" s="345"/>
      <c r="H548" s="345"/>
      <c r="I548" s="345"/>
      <c r="J548" s="345"/>
      <c r="K548" s="345"/>
    </row>
    <row r="549" spans="1:11" ht="20.25">
      <c r="A549" s="345"/>
      <c r="B549" s="345"/>
      <c r="C549" s="345"/>
      <c r="D549" s="345"/>
      <c r="E549" s="345"/>
      <c r="F549" s="345"/>
      <c r="G549" s="345"/>
      <c r="H549" s="345"/>
      <c r="I549" s="345"/>
      <c r="J549" s="345"/>
      <c r="K549" s="345"/>
    </row>
    <row r="550" spans="1:11" ht="20.25">
      <c r="A550" s="345"/>
      <c r="B550" s="345"/>
      <c r="C550" s="345"/>
      <c r="D550" s="345"/>
      <c r="E550" s="345"/>
      <c r="F550" s="345"/>
      <c r="G550" s="345"/>
      <c r="H550" s="345"/>
      <c r="I550" s="345"/>
      <c r="J550" s="345"/>
      <c r="K550" s="345"/>
    </row>
    <row r="551" spans="1:11" ht="20.25">
      <c r="A551" s="345"/>
      <c r="B551" s="345"/>
      <c r="C551" s="345"/>
      <c r="D551" s="345"/>
      <c r="E551" s="345"/>
      <c r="F551" s="345"/>
      <c r="G551" s="345"/>
      <c r="H551" s="345"/>
      <c r="I551" s="345"/>
      <c r="J551" s="345"/>
      <c r="K551" s="345"/>
    </row>
    <row r="552" spans="1:11" ht="20.25">
      <c r="A552" s="345"/>
      <c r="B552" s="345"/>
      <c r="C552" s="345"/>
      <c r="D552" s="345"/>
      <c r="E552" s="345"/>
      <c r="F552" s="345"/>
      <c r="G552" s="345"/>
      <c r="H552" s="345"/>
      <c r="I552" s="345"/>
      <c r="J552" s="345"/>
      <c r="K552" s="345"/>
    </row>
    <row r="553" spans="1:11" ht="20.25">
      <c r="A553" s="345"/>
      <c r="B553" s="345"/>
      <c r="C553" s="345"/>
      <c r="D553" s="345"/>
      <c r="E553" s="345"/>
      <c r="F553" s="345"/>
      <c r="G553" s="345"/>
      <c r="H553" s="345"/>
      <c r="I553" s="345"/>
      <c r="J553" s="345"/>
      <c r="K553" s="345"/>
    </row>
    <row r="554" spans="1:11" ht="20.25">
      <c r="A554" s="345"/>
      <c r="B554" s="345"/>
      <c r="C554" s="345"/>
      <c r="D554" s="345"/>
      <c r="E554" s="345"/>
      <c r="F554" s="345"/>
      <c r="G554" s="345"/>
      <c r="H554" s="345"/>
      <c r="I554" s="345"/>
      <c r="J554" s="345"/>
      <c r="K554" s="345"/>
    </row>
    <row r="555" spans="1:11" ht="20.25">
      <c r="A555" s="345"/>
      <c r="B555" s="345"/>
      <c r="C555" s="345"/>
      <c r="D555" s="345"/>
      <c r="E555" s="345"/>
      <c r="F555" s="345"/>
      <c r="G555" s="345"/>
      <c r="H555" s="345"/>
      <c r="I555" s="345"/>
      <c r="J555" s="345"/>
      <c r="K555" s="345"/>
    </row>
    <row r="556" spans="1:11" ht="20.25">
      <c r="A556" s="345"/>
      <c r="B556" s="345"/>
      <c r="C556" s="345"/>
      <c r="D556" s="345"/>
      <c r="E556" s="345"/>
      <c r="F556" s="345"/>
      <c r="G556" s="345"/>
      <c r="H556" s="345"/>
      <c r="I556" s="345"/>
      <c r="J556" s="345"/>
      <c r="K556" s="345"/>
    </row>
    <row r="557" spans="1:11" ht="20.25">
      <c r="A557" s="345"/>
      <c r="B557" s="345"/>
      <c r="C557" s="345"/>
      <c r="D557" s="345"/>
      <c r="E557" s="345"/>
      <c r="F557" s="345"/>
      <c r="G557" s="345"/>
      <c r="H557" s="345"/>
      <c r="I557" s="345"/>
      <c r="J557" s="345"/>
      <c r="K557" s="345"/>
    </row>
    <row r="558" spans="1:11" ht="20.25">
      <c r="A558" s="345"/>
      <c r="B558" s="345"/>
      <c r="C558" s="345"/>
      <c r="D558" s="345"/>
      <c r="E558" s="345"/>
      <c r="F558" s="345"/>
      <c r="G558" s="345"/>
      <c r="H558" s="345"/>
      <c r="I558" s="345"/>
      <c r="J558" s="345"/>
      <c r="K558" s="345"/>
    </row>
    <row r="559" spans="1:11" ht="20.25">
      <c r="A559" s="345"/>
      <c r="B559" s="345"/>
      <c r="C559" s="345"/>
      <c r="D559" s="345"/>
      <c r="E559" s="345"/>
      <c r="F559" s="345"/>
      <c r="G559" s="345"/>
      <c r="H559" s="345"/>
      <c r="I559" s="345"/>
      <c r="J559" s="345"/>
      <c r="K559" s="345"/>
    </row>
    <row r="560" spans="1:11" ht="20.25">
      <c r="A560" s="345"/>
      <c r="B560" s="345"/>
      <c r="C560" s="345"/>
      <c r="D560" s="345"/>
      <c r="E560" s="345"/>
      <c r="F560" s="345"/>
      <c r="G560" s="345"/>
      <c r="H560" s="345"/>
      <c r="I560" s="345"/>
      <c r="J560" s="345"/>
      <c r="K560" s="345"/>
    </row>
    <row r="561" spans="1:11" ht="20.25">
      <c r="A561" s="345"/>
      <c r="B561" s="345"/>
      <c r="C561" s="345"/>
      <c r="D561" s="345"/>
      <c r="E561" s="345"/>
      <c r="F561" s="345"/>
      <c r="G561" s="345"/>
      <c r="H561" s="345"/>
      <c r="I561" s="345"/>
      <c r="J561" s="345"/>
      <c r="K561" s="345"/>
    </row>
    <row r="562" spans="1:11" ht="20.25">
      <c r="A562" s="345"/>
      <c r="B562" s="345"/>
      <c r="C562" s="345"/>
      <c r="D562" s="345"/>
      <c r="E562" s="345"/>
      <c r="F562" s="345"/>
      <c r="G562" s="345"/>
      <c r="H562" s="345"/>
      <c r="I562" s="345"/>
      <c r="J562" s="345"/>
      <c r="K562" s="345"/>
    </row>
    <row r="563" spans="1:11" ht="20.25">
      <c r="A563" s="345"/>
      <c r="B563" s="345"/>
      <c r="C563" s="345"/>
      <c r="D563" s="345"/>
      <c r="E563" s="345"/>
      <c r="F563" s="345"/>
      <c r="G563" s="345"/>
      <c r="H563" s="345"/>
      <c r="I563" s="345"/>
      <c r="J563" s="345"/>
      <c r="K563" s="345"/>
    </row>
    <row r="564" spans="1:11" ht="20.25">
      <c r="A564" s="345"/>
      <c r="B564" s="345"/>
      <c r="C564" s="345"/>
      <c r="D564" s="345"/>
      <c r="E564" s="345"/>
      <c r="F564" s="345"/>
      <c r="G564" s="345"/>
      <c r="H564" s="345"/>
      <c r="I564" s="345"/>
      <c r="J564" s="345"/>
      <c r="K564" s="345"/>
    </row>
    <row r="565" spans="1:11" ht="20.25">
      <c r="A565" s="345"/>
      <c r="B565" s="345"/>
      <c r="C565" s="345"/>
      <c r="D565" s="345"/>
      <c r="E565" s="345"/>
      <c r="F565" s="345"/>
      <c r="G565" s="345"/>
      <c r="H565" s="345"/>
      <c r="I565" s="345"/>
      <c r="J565" s="345"/>
      <c r="K565" s="345"/>
    </row>
    <row r="566" spans="1:11" ht="20.25">
      <c r="A566" s="345"/>
      <c r="B566" s="345"/>
      <c r="C566" s="345"/>
      <c r="D566" s="345"/>
      <c r="E566" s="345"/>
      <c r="F566" s="345"/>
      <c r="G566" s="345"/>
      <c r="H566" s="345"/>
      <c r="I566" s="345"/>
      <c r="J566" s="345"/>
      <c r="K566" s="345"/>
    </row>
    <row r="567" spans="1:11" ht="20.25">
      <c r="A567" s="345"/>
      <c r="B567" s="345"/>
      <c r="C567" s="345"/>
      <c r="D567" s="345"/>
      <c r="E567" s="345"/>
      <c r="F567" s="345"/>
      <c r="G567" s="345"/>
      <c r="H567" s="345"/>
      <c r="I567" s="345"/>
      <c r="J567" s="345"/>
      <c r="K567" s="345"/>
    </row>
    <row r="568" spans="1:11" ht="20.25">
      <c r="A568" s="345"/>
      <c r="B568" s="345"/>
      <c r="C568" s="345"/>
      <c r="D568" s="345"/>
      <c r="E568" s="345"/>
      <c r="F568" s="345"/>
      <c r="G568" s="345"/>
      <c r="H568" s="345"/>
      <c r="I568" s="345"/>
      <c r="J568" s="345"/>
      <c r="K568" s="345"/>
    </row>
    <row r="569" spans="1:11" ht="20.25">
      <c r="A569" s="345"/>
      <c r="B569" s="345"/>
      <c r="C569" s="345"/>
      <c r="D569" s="345"/>
      <c r="E569" s="345"/>
      <c r="F569" s="345"/>
      <c r="G569" s="345"/>
      <c r="H569" s="345"/>
      <c r="I569" s="345"/>
      <c r="J569" s="345"/>
      <c r="K569" s="345"/>
    </row>
    <row r="570" spans="1:11" ht="20.25">
      <c r="A570" s="345"/>
      <c r="B570" s="345"/>
      <c r="C570" s="345"/>
      <c r="D570" s="345"/>
      <c r="E570" s="345"/>
      <c r="F570" s="345"/>
      <c r="G570" s="345"/>
      <c r="H570" s="345"/>
      <c r="I570" s="345"/>
      <c r="J570" s="345"/>
      <c r="K570" s="345"/>
    </row>
    <row r="571" spans="1:11" ht="20.25">
      <c r="A571" s="345"/>
      <c r="B571" s="345"/>
      <c r="C571" s="345"/>
      <c r="D571" s="345"/>
      <c r="E571" s="345"/>
      <c r="F571" s="345"/>
      <c r="G571" s="345"/>
      <c r="H571" s="345"/>
      <c r="I571" s="345"/>
      <c r="J571" s="345"/>
      <c r="K571" s="345"/>
    </row>
    <row r="572" spans="1:11" ht="20.25">
      <c r="A572" s="345"/>
      <c r="B572" s="345"/>
      <c r="C572" s="345"/>
      <c r="D572" s="345"/>
      <c r="E572" s="345"/>
      <c r="F572" s="345"/>
      <c r="G572" s="345"/>
      <c r="H572" s="345"/>
      <c r="I572" s="345"/>
      <c r="J572" s="345"/>
      <c r="K572" s="345"/>
    </row>
    <row r="573" spans="1:11" ht="20.25">
      <c r="A573" s="345"/>
      <c r="B573" s="345"/>
      <c r="C573" s="345"/>
      <c r="D573" s="345"/>
      <c r="E573" s="345"/>
      <c r="F573" s="345"/>
      <c r="G573" s="345"/>
      <c r="H573" s="345"/>
      <c r="I573" s="345"/>
      <c r="J573" s="345"/>
      <c r="K573" s="345"/>
    </row>
    <row r="574" spans="1:11" ht="20.25">
      <c r="A574" s="345"/>
      <c r="B574" s="345"/>
      <c r="C574" s="345"/>
      <c r="D574" s="345"/>
      <c r="E574" s="345"/>
      <c r="F574" s="345"/>
      <c r="G574" s="345"/>
      <c r="H574" s="345"/>
      <c r="I574" s="345"/>
      <c r="J574" s="345"/>
      <c r="K574" s="345"/>
    </row>
    <row r="575" spans="1:11" ht="20.25">
      <c r="A575" s="345"/>
      <c r="B575" s="345"/>
      <c r="C575" s="345"/>
      <c r="D575" s="345"/>
      <c r="E575" s="345"/>
      <c r="F575" s="345"/>
      <c r="G575" s="345"/>
      <c r="H575" s="345"/>
      <c r="I575" s="345"/>
      <c r="J575" s="345"/>
      <c r="K575" s="345"/>
    </row>
    <row r="576" spans="1:11" ht="20.25">
      <c r="A576" s="345"/>
      <c r="B576" s="345"/>
      <c r="C576" s="345"/>
      <c r="D576" s="345"/>
      <c r="E576" s="345"/>
      <c r="F576" s="345"/>
      <c r="G576" s="345"/>
      <c r="H576" s="345"/>
      <c r="I576" s="345"/>
      <c r="J576" s="345"/>
      <c r="K576" s="345"/>
    </row>
    <row r="577" spans="1:11" ht="20.25">
      <c r="A577" s="345"/>
      <c r="B577" s="345"/>
      <c r="C577" s="345"/>
      <c r="D577" s="345"/>
      <c r="E577" s="345"/>
      <c r="F577" s="345"/>
      <c r="G577" s="345"/>
      <c r="H577" s="345"/>
      <c r="I577" s="345"/>
      <c r="J577" s="345"/>
      <c r="K577" s="345"/>
    </row>
    <row r="578" spans="1:11" ht="20.25">
      <c r="A578" s="345"/>
      <c r="B578" s="345"/>
      <c r="C578" s="345"/>
      <c r="D578" s="345"/>
      <c r="E578" s="345"/>
      <c r="F578" s="345"/>
      <c r="G578" s="345"/>
      <c r="H578" s="345"/>
      <c r="I578" s="345"/>
      <c r="J578" s="345"/>
      <c r="K578" s="345"/>
    </row>
    <row r="579" spans="1:11" ht="20.25">
      <c r="A579" s="345"/>
      <c r="B579" s="345"/>
      <c r="C579" s="345"/>
      <c r="D579" s="345"/>
      <c r="E579" s="345"/>
      <c r="F579" s="345"/>
      <c r="G579" s="345"/>
      <c r="H579" s="345"/>
      <c r="I579" s="345"/>
      <c r="J579" s="345"/>
      <c r="K579" s="345"/>
    </row>
    <row r="580" spans="1:11" ht="20.25">
      <c r="A580" s="345"/>
      <c r="B580" s="345"/>
      <c r="C580" s="345"/>
      <c r="D580" s="345"/>
      <c r="E580" s="345"/>
      <c r="F580" s="345"/>
      <c r="G580" s="345"/>
      <c r="H580" s="345"/>
      <c r="I580" s="345"/>
      <c r="J580" s="345"/>
      <c r="K580" s="345"/>
    </row>
    <row r="581" spans="1:11" ht="20.25">
      <c r="A581" s="345"/>
      <c r="B581" s="345"/>
      <c r="C581" s="345"/>
      <c r="D581" s="345"/>
      <c r="E581" s="345"/>
      <c r="F581" s="345"/>
      <c r="G581" s="345"/>
      <c r="H581" s="345"/>
      <c r="I581" s="345"/>
      <c r="J581" s="345"/>
      <c r="K581" s="345"/>
    </row>
    <row r="582" spans="1:11" ht="20.25">
      <c r="A582" s="345"/>
      <c r="B582" s="345"/>
      <c r="C582" s="345"/>
      <c r="D582" s="345"/>
      <c r="E582" s="345"/>
      <c r="F582" s="345"/>
      <c r="G582" s="345"/>
      <c r="H582" s="345"/>
      <c r="I582" s="345"/>
      <c r="J582" s="345"/>
      <c r="K582" s="345"/>
    </row>
    <row r="583" spans="1:11" ht="20.25">
      <c r="A583" s="345"/>
      <c r="B583" s="345"/>
      <c r="C583" s="345"/>
      <c r="D583" s="345"/>
      <c r="E583" s="345"/>
      <c r="F583" s="345"/>
      <c r="G583" s="345"/>
      <c r="H583" s="345"/>
      <c r="I583" s="345"/>
      <c r="J583" s="345"/>
      <c r="K583" s="345"/>
    </row>
    <row r="584" spans="1:11" ht="20.25">
      <c r="A584" s="345"/>
      <c r="B584" s="345"/>
      <c r="C584" s="345"/>
      <c r="D584" s="345"/>
      <c r="E584" s="345"/>
      <c r="F584" s="345"/>
      <c r="G584" s="345"/>
      <c r="H584" s="345"/>
      <c r="I584" s="345"/>
      <c r="J584" s="345"/>
      <c r="K584" s="345"/>
    </row>
    <row r="585" spans="1:11" ht="20.25">
      <c r="A585" s="345"/>
      <c r="B585" s="345"/>
      <c r="C585" s="345"/>
      <c r="D585" s="345"/>
      <c r="E585" s="345"/>
      <c r="F585" s="345"/>
      <c r="G585" s="345"/>
      <c r="H585" s="345"/>
      <c r="I585" s="345"/>
      <c r="J585" s="345"/>
      <c r="K585" s="345"/>
    </row>
    <row r="586" spans="1:11" ht="20.25">
      <c r="A586" s="345"/>
      <c r="B586" s="345"/>
      <c r="C586" s="345"/>
      <c r="D586" s="345"/>
      <c r="E586" s="345"/>
      <c r="F586" s="345"/>
      <c r="G586" s="345"/>
      <c r="H586" s="345"/>
      <c r="I586" s="345"/>
      <c r="J586" s="345"/>
      <c r="K586" s="345"/>
    </row>
    <row r="587" spans="1:11" ht="20.25">
      <c r="A587" s="345"/>
      <c r="B587" s="345"/>
      <c r="C587" s="345"/>
      <c r="D587" s="345"/>
      <c r="E587" s="345"/>
      <c r="F587" s="345"/>
      <c r="G587" s="345"/>
      <c r="H587" s="345"/>
      <c r="I587" s="345"/>
      <c r="J587" s="345"/>
      <c r="K587" s="345"/>
    </row>
    <row r="588" spans="1:11" ht="20.25">
      <c r="A588" s="345"/>
      <c r="B588" s="345"/>
      <c r="C588" s="345"/>
      <c r="D588" s="345"/>
      <c r="E588" s="345"/>
      <c r="F588" s="345"/>
      <c r="G588" s="345"/>
      <c r="H588" s="345"/>
      <c r="I588" s="345"/>
      <c r="J588" s="345"/>
      <c r="K588" s="345"/>
    </row>
    <row r="589" spans="1:11" ht="20.25">
      <c r="A589" s="345"/>
      <c r="B589" s="345"/>
      <c r="C589" s="345"/>
      <c r="D589" s="345"/>
      <c r="E589" s="345"/>
      <c r="F589" s="345"/>
      <c r="G589" s="345"/>
      <c r="H589" s="345"/>
      <c r="I589" s="345"/>
      <c r="J589" s="345"/>
      <c r="K589" s="345"/>
    </row>
    <row r="590" spans="1:11" ht="20.25">
      <c r="A590" s="345"/>
      <c r="B590" s="345"/>
      <c r="C590" s="345"/>
      <c r="D590" s="345"/>
      <c r="E590" s="345"/>
      <c r="F590" s="345"/>
      <c r="G590" s="345"/>
      <c r="H590" s="345"/>
      <c r="I590" s="345"/>
      <c r="J590" s="345"/>
      <c r="K590" s="345"/>
    </row>
    <row r="591" spans="1:11" ht="20.25">
      <c r="A591" s="345"/>
      <c r="B591" s="345"/>
      <c r="C591" s="345"/>
      <c r="D591" s="345"/>
      <c r="E591" s="345"/>
      <c r="F591" s="345"/>
      <c r="G591" s="345"/>
      <c r="H591" s="345"/>
      <c r="I591" s="345"/>
      <c r="J591" s="345"/>
      <c r="K591" s="345"/>
    </row>
    <row r="592" spans="1:11" ht="20.25">
      <c r="A592" s="345"/>
      <c r="B592" s="345"/>
      <c r="C592" s="345"/>
      <c r="D592" s="345"/>
      <c r="E592" s="345"/>
      <c r="F592" s="345"/>
      <c r="G592" s="345"/>
      <c r="H592" s="345"/>
      <c r="I592" s="345"/>
      <c r="J592" s="345"/>
      <c r="K592" s="345"/>
    </row>
    <row r="593" spans="1:11" ht="20.25">
      <c r="A593" s="345"/>
      <c r="B593" s="345"/>
      <c r="C593" s="345"/>
      <c r="D593" s="345"/>
      <c r="E593" s="345"/>
      <c r="F593" s="345"/>
      <c r="G593" s="345"/>
      <c r="H593" s="345"/>
      <c r="I593" s="345"/>
      <c r="J593" s="345"/>
      <c r="K593" s="345"/>
    </row>
    <row r="594" spans="1:11" ht="20.25">
      <c r="A594" s="345"/>
      <c r="B594" s="345"/>
      <c r="C594" s="345"/>
      <c r="D594" s="345"/>
      <c r="E594" s="345"/>
      <c r="F594" s="345"/>
      <c r="G594" s="345"/>
      <c r="H594" s="345"/>
      <c r="I594" s="345"/>
      <c r="J594" s="345"/>
      <c r="K594" s="345"/>
    </row>
    <row r="595" spans="1:11" ht="20.25">
      <c r="A595" s="345"/>
      <c r="B595" s="345"/>
      <c r="C595" s="345"/>
      <c r="D595" s="345"/>
      <c r="E595" s="345"/>
      <c r="F595" s="345"/>
      <c r="G595" s="345"/>
      <c r="H595" s="345"/>
      <c r="I595" s="345"/>
      <c r="J595" s="345"/>
      <c r="K595" s="345"/>
    </row>
    <row r="596" spans="1:11" ht="20.25">
      <c r="A596" s="345"/>
      <c r="B596" s="345"/>
      <c r="C596" s="345"/>
      <c r="D596" s="345"/>
      <c r="E596" s="345"/>
      <c r="F596" s="345"/>
      <c r="G596" s="345"/>
      <c r="H596" s="345"/>
      <c r="I596" s="345"/>
      <c r="J596" s="345"/>
      <c r="K596" s="345"/>
    </row>
    <row r="597" spans="1:11" ht="20.25">
      <c r="A597" s="345"/>
      <c r="B597" s="345"/>
      <c r="C597" s="345"/>
      <c r="D597" s="345"/>
      <c r="E597" s="345"/>
      <c r="F597" s="345"/>
      <c r="G597" s="345"/>
      <c r="H597" s="345"/>
      <c r="I597" s="345"/>
      <c r="J597" s="345"/>
      <c r="K597" s="345"/>
    </row>
    <row r="598" spans="1:11" ht="20.25">
      <c r="A598" s="345"/>
      <c r="B598" s="345"/>
      <c r="C598" s="345"/>
      <c r="D598" s="345"/>
      <c r="E598" s="345"/>
      <c r="F598" s="345"/>
      <c r="G598" s="345"/>
      <c r="H598" s="345"/>
      <c r="I598" s="345"/>
      <c r="J598" s="345"/>
      <c r="K598" s="345"/>
    </row>
    <row r="599" spans="1:11" ht="20.25">
      <c r="A599" s="345"/>
      <c r="B599" s="345"/>
      <c r="C599" s="345"/>
      <c r="D599" s="345"/>
      <c r="E599" s="345"/>
      <c r="F599" s="345"/>
      <c r="G599" s="345"/>
      <c r="H599" s="345"/>
      <c r="I599" s="345"/>
      <c r="J599" s="345"/>
      <c r="K599" s="345"/>
    </row>
    <row r="600" spans="1:11" ht="20.25">
      <c r="A600" s="345"/>
      <c r="B600" s="345"/>
      <c r="C600" s="345"/>
      <c r="D600" s="345"/>
      <c r="E600" s="345"/>
      <c r="F600" s="345"/>
      <c r="G600" s="345"/>
      <c r="H600" s="345"/>
      <c r="I600" s="345"/>
      <c r="J600" s="345"/>
      <c r="K600" s="345"/>
    </row>
    <row r="601" spans="1:11" ht="20.25">
      <c r="A601" s="345"/>
      <c r="B601" s="345"/>
      <c r="C601" s="345"/>
      <c r="D601" s="345"/>
      <c r="E601" s="345"/>
      <c r="F601" s="345"/>
      <c r="G601" s="345"/>
      <c r="H601" s="345"/>
      <c r="I601" s="345"/>
      <c r="J601" s="345"/>
      <c r="K601" s="345"/>
    </row>
    <row r="602" spans="1:11" ht="20.25">
      <c r="A602" s="345"/>
      <c r="B602" s="345"/>
      <c r="C602" s="345"/>
      <c r="D602" s="345"/>
      <c r="E602" s="345"/>
      <c r="F602" s="345"/>
      <c r="G602" s="345"/>
      <c r="H602" s="345"/>
      <c r="I602" s="345"/>
      <c r="J602" s="345"/>
      <c r="K602" s="345"/>
    </row>
    <row r="603" spans="1:11" ht="20.25">
      <c r="A603" s="345"/>
      <c r="B603" s="345"/>
      <c r="C603" s="345"/>
      <c r="D603" s="345"/>
      <c r="E603" s="345"/>
      <c r="F603" s="345"/>
      <c r="G603" s="345"/>
      <c r="H603" s="345"/>
      <c r="I603" s="345"/>
      <c r="J603" s="345"/>
      <c r="K603" s="345"/>
    </row>
    <row r="604" spans="1:11" ht="20.25">
      <c r="A604" s="345"/>
      <c r="B604" s="345"/>
      <c r="C604" s="345"/>
      <c r="D604" s="345"/>
      <c r="E604" s="345"/>
      <c r="F604" s="345"/>
      <c r="G604" s="345"/>
      <c r="H604" s="345"/>
      <c r="I604" s="345"/>
      <c r="J604" s="345"/>
      <c r="K604" s="345"/>
    </row>
    <row r="605" spans="1:11" ht="20.25">
      <c r="A605" s="345"/>
      <c r="B605" s="345"/>
      <c r="C605" s="345"/>
      <c r="D605" s="345"/>
      <c r="E605" s="345"/>
      <c r="F605" s="345"/>
      <c r="G605" s="345"/>
      <c r="H605" s="345"/>
      <c r="I605" s="345"/>
      <c r="J605" s="345"/>
      <c r="K605" s="345"/>
    </row>
    <row r="606" spans="1:11" ht="20.25">
      <c r="A606" s="345"/>
      <c r="B606" s="345"/>
      <c r="C606" s="345"/>
      <c r="D606" s="345"/>
      <c r="E606" s="345"/>
      <c r="F606" s="345"/>
      <c r="G606" s="345"/>
      <c r="H606" s="345"/>
      <c r="I606" s="345"/>
      <c r="J606" s="345"/>
      <c r="K606" s="345"/>
    </row>
    <row r="607" spans="1:11" ht="20.25">
      <c r="A607" s="345"/>
      <c r="B607" s="345"/>
      <c r="C607" s="345"/>
      <c r="D607" s="345"/>
      <c r="E607" s="345"/>
      <c r="F607" s="345"/>
      <c r="G607" s="345"/>
      <c r="H607" s="345"/>
      <c r="I607" s="345"/>
      <c r="J607" s="345"/>
      <c r="K607" s="345"/>
    </row>
    <row r="608" spans="1:11" ht="20.25">
      <c r="A608" s="345"/>
      <c r="B608" s="345"/>
      <c r="C608" s="345"/>
      <c r="D608" s="345"/>
      <c r="E608" s="345"/>
      <c r="F608" s="345"/>
      <c r="G608" s="345"/>
      <c r="H608" s="345"/>
      <c r="I608" s="345"/>
      <c r="J608" s="345"/>
      <c r="K608" s="345"/>
    </row>
    <row r="609" spans="1:11" ht="20.25">
      <c r="A609" s="345"/>
      <c r="B609" s="345"/>
      <c r="C609" s="345"/>
      <c r="D609" s="345"/>
      <c r="E609" s="345"/>
      <c r="F609" s="345"/>
      <c r="G609" s="345"/>
      <c r="H609" s="345"/>
      <c r="I609" s="345"/>
      <c r="J609" s="345"/>
      <c r="K609" s="345"/>
    </row>
    <row r="610" spans="1:11" ht="20.25">
      <c r="A610" s="345"/>
      <c r="B610" s="345"/>
      <c r="C610" s="345"/>
      <c r="D610" s="345"/>
      <c r="E610" s="345"/>
      <c r="F610" s="345"/>
      <c r="G610" s="345"/>
      <c r="H610" s="345"/>
      <c r="I610" s="345"/>
      <c r="J610" s="345"/>
      <c r="K610" s="345"/>
    </row>
    <row r="611" spans="1:11" ht="20.25">
      <c r="A611" s="345"/>
      <c r="B611" s="345"/>
      <c r="C611" s="345"/>
      <c r="D611" s="345"/>
      <c r="E611" s="345"/>
      <c r="F611" s="345"/>
      <c r="G611" s="345"/>
      <c r="H611" s="345"/>
      <c r="I611" s="345"/>
      <c r="J611" s="345"/>
      <c r="K611" s="345"/>
    </row>
    <row r="612" spans="1:11" ht="20.25">
      <c r="A612" s="345"/>
      <c r="B612" s="345"/>
      <c r="C612" s="345"/>
      <c r="D612" s="345"/>
      <c r="E612" s="345"/>
      <c r="F612" s="345"/>
      <c r="G612" s="345"/>
      <c r="H612" s="345"/>
      <c r="I612" s="345"/>
      <c r="J612" s="345"/>
      <c r="K612" s="345"/>
    </row>
    <row r="613" spans="1:11" ht="20.25">
      <c r="A613" s="345"/>
      <c r="B613" s="345"/>
      <c r="C613" s="345"/>
      <c r="D613" s="345"/>
      <c r="E613" s="345"/>
      <c r="F613" s="345"/>
      <c r="G613" s="345"/>
      <c r="H613" s="345"/>
      <c r="I613" s="345"/>
      <c r="J613" s="345"/>
      <c r="K613" s="345"/>
    </row>
    <row r="614" spans="1:11" ht="20.25">
      <c r="A614" s="345"/>
      <c r="B614" s="345"/>
      <c r="C614" s="345"/>
      <c r="D614" s="345"/>
      <c r="E614" s="345"/>
      <c r="F614" s="345"/>
      <c r="G614" s="345"/>
      <c r="H614" s="345"/>
      <c r="I614" s="345"/>
      <c r="J614" s="345"/>
      <c r="K614" s="345"/>
    </row>
    <row r="615" spans="1:11" ht="20.25">
      <c r="A615" s="345"/>
      <c r="B615" s="345"/>
      <c r="C615" s="345"/>
      <c r="D615" s="345"/>
      <c r="E615" s="345"/>
      <c r="F615" s="345"/>
      <c r="G615" s="345"/>
      <c r="H615" s="345"/>
      <c r="I615" s="345"/>
      <c r="J615" s="345"/>
      <c r="K615" s="345"/>
    </row>
    <row r="616" spans="1:11" ht="20.25">
      <c r="A616" s="345"/>
      <c r="B616" s="345"/>
      <c r="C616" s="345"/>
      <c r="D616" s="345"/>
      <c r="E616" s="345"/>
      <c r="F616" s="345"/>
      <c r="G616" s="345"/>
      <c r="H616" s="345"/>
      <c r="I616" s="345"/>
      <c r="J616" s="345"/>
      <c r="K616" s="345"/>
    </row>
    <row r="617" spans="1:11" ht="20.25">
      <c r="A617" s="345"/>
      <c r="B617" s="345"/>
      <c r="C617" s="345"/>
      <c r="D617" s="345"/>
      <c r="E617" s="345"/>
      <c r="F617" s="345"/>
      <c r="G617" s="345"/>
      <c r="H617" s="345"/>
      <c r="I617" s="345"/>
      <c r="J617" s="345"/>
      <c r="K617" s="345"/>
    </row>
    <row r="618" spans="1:11" ht="20.25">
      <c r="A618" s="345"/>
      <c r="B618" s="345"/>
      <c r="C618" s="345"/>
      <c r="D618" s="345"/>
      <c r="E618" s="345"/>
      <c r="F618" s="345"/>
      <c r="G618" s="345"/>
      <c r="H618" s="345"/>
      <c r="I618" s="345"/>
      <c r="J618" s="345"/>
      <c r="K618" s="345"/>
    </row>
    <row r="619" spans="1:11" ht="20.25">
      <c r="A619" s="345"/>
      <c r="B619" s="345"/>
      <c r="C619" s="345"/>
      <c r="D619" s="345"/>
      <c r="E619" s="345"/>
      <c r="F619" s="345"/>
      <c r="G619" s="345"/>
      <c r="H619" s="345"/>
      <c r="I619" s="345"/>
      <c r="J619" s="345"/>
      <c r="K619" s="345"/>
    </row>
    <row r="620" spans="1:11" ht="20.25">
      <c r="A620" s="345"/>
      <c r="B620" s="345"/>
      <c r="C620" s="345"/>
      <c r="D620" s="345"/>
      <c r="E620" s="345"/>
      <c r="F620" s="345"/>
      <c r="G620" s="345"/>
      <c r="H620" s="345"/>
      <c r="I620" s="345"/>
      <c r="J620" s="345"/>
      <c r="K620" s="345"/>
    </row>
    <row r="621" spans="1:11" ht="20.25">
      <c r="A621" s="345"/>
      <c r="B621" s="345"/>
      <c r="C621" s="345"/>
      <c r="D621" s="345"/>
      <c r="E621" s="345"/>
      <c r="F621" s="345"/>
      <c r="G621" s="345"/>
      <c r="H621" s="345"/>
      <c r="I621" s="345"/>
      <c r="J621" s="345"/>
      <c r="K621" s="345"/>
    </row>
    <row r="622" spans="1:11" ht="20.25">
      <c r="A622" s="345"/>
      <c r="B622" s="345"/>
      <c r="C622" s="345"/>
      <c r="D622" s="345"/>
      <c r="E622" s="345"/>
      <c r="F622" s="345"/>
      <c r="G622" s="345"/>
      <c r="H622" s="345"/>
      <c r="I622" s="345"/>
      <c r="J622" s="345"/>
      <c r="K622" s="345"/>
    </row>
    <row r="623" spans="1:11" ht="20.25">
      <c r="A623" s="345"/>
      <c r="B623" s="345"/>
      <c r="C623" s="345"/>
      <c r="D623" s="345"/>
      <c r="E623" s="345"/>
      <c r="F623" s="345"/>
      <c r="G623" s="345"/>
      <c r="H623" s="345"/>
      <c r="I623" s="345"/>
      <c r="J623" s="345"/>
      <c r="K623" s="345"/>
    </row>
    <row r="624" spans="1:11" ht="20.25">
      <c r="A624" s="345"/>
      <c r="B624" s="345"/>
      <c r="C624" s="345"/>
      <c r="D624" s="345"/>
      <c r="E624" s="345"/>
      <c r="F624" s="345"/>
      <c r="G624" s="345"/>
      <c r="H624" s="345"/>
      <c r="I624" s="345"/>
      <c r="J624" s="345"/>
      <c r="K624" s="345"/>
    </row>
    <row r="625" spans="1:11" ht="20.25">
      <c r="A625" s="345"/>
      <c r="B625" s="345"/>
      <c r="C625" s="345"/>
      <c r="D625" s="345"/>
      <c r="E625" s="345"/>
      <c r="F625" s="345"/>
      <c r="G625" s="345"/>
      <c r="H625" s="345"/>
      <c r="I625" s="345"/>
      <c r="J625" s="345"/>
      <c r="K625" s="345"/>
    </row>
    <row r="626" spans="1:11" ht="20.25">
      <c r="A626" s="345"/>
      <c r="B626" s="345"/>
      <c r="C626" s="345"/>
      <c r="D626" s="345"/>
      <c r="E626" s="345"/>
      <c r="F626" s="345"/>
      <c r="G626" s="345"/>
      <c r="H626" s="345"/>
      <c r="I626" s="345"/>
      <c r="J626" s="345"/>
      <c r="K626" s="345"/>
    </row>
    <row r="627" spans="1:11" ht="20.25">
      <c r="A627" s="345"/>
      <c r="B627" s="345"/>
      <c r="C627" s="345"/>
      <c r="D627" s="345"/>
      <c r="E627" s="345"/>
      <c r="F627" s="345"/>
      <c r="G627" s="345"/>
      <c r="H627" s="345"/>
      <c r="I627" s="345"/>
      <c r="J627" s="345"/>
      <c r="K627" s="345"/>
    </row>
    <row r="628" spans="1:11" ht="20.25">
      <c r="A628" s="345"/>
      <c r="B628" s="345"/>
      <c r="C628" s="345"/>
      <c r="D628" s="345"/>
      <c r="E628" s="345"/>
      <c r="F628" s="345"/>
      <c r="G628" s="345"/>
      <c r="H628" s="345"/>
      <c r="I628" s="345"/>
      <c r="J628" s="345"/>
      <c r="K628" s="345"/>
    </row>
    <row r="629" spans="1:11" ht="20.25">
      <c r="A629" s="345"/>
      <c r="B629" s="345"/>
      <c r="C629" s="345"/>
      <c r="D629" s="345"/>
      <c r="E629" s="345"/>
      <c r="F629" s="345"/>
      <c r="G629" s="345"/>
      <c r="H629" s="345"/>
      <c r="I629" s="345"/>
      <c r="J629" s="345"/>
      <c r="K629" s="345"/>
    </row>
    <row r="630" spans="1:11" ht="20.25">
      <c r="A630" s="345"/>
      <c r="B630" s="345"/>
      <c r="C630" s="345"/>
      <c r="D630" s="345"/>
      <c r="E630" s="345"/>
      <c r="F630" s="345"/>
      <c r="G630" s="345"/>
      <c r="H630" s="345"/>
      <c r="I630" s="345"/>
      <c r="J630" s="345"/>
      <c r="K630" s="345"/>
    </row>
    <row r="631" spans="1:11" ht="20.25">
      <c r="A631" s="345"/>
      <c r="B631" s="345"/>
      <c r="C631" s="345"/>
      <c r="D631" s="345"/>
      <c r="E631" s="345"/>
      <c r="F631" s="345"/>
      <c r="G631" s="345"/>
      <c r="H631" s="345"/>
      <c r="I631" s="345"/>
      <c r="J631" s="345"/>
      <c r="K631" s="345"/>
    </row>
    <row r="632" spans="1:11" ht="20.25">
      <c r="A632" s="345"/>
      <c r="B632" s="345"/>
      <c r="C632" s="345"/>
      <c r="D632" s="345"/>
      <c r="E632" s="345"/>
      <c r="F632" s="345"/>
      <c r="G632" s="345"/>
      <c r="H632" s="345"/>
      <c r="I632" s="345"/>
      <c r="J632" s="345"/>
      <c r="K632" s="345"/>
    </row>
    <row r="633" spans="1:11" ht="20.25">
      <c r="A633" s="345"/>
      <c r="B633" s="345"/>
      <c r="C633" s="345"/>
      <c r="D633" s="345"/>
      <c r="E633" s="345"/>
      <c r="F633" s="345"/>
      <c r="G633" s="345"/>
      <c r="H633" s="345"/>
      <c r="I633" s="345"/>
      <c r="J633" s="345"/>
      <c r="K633" s="345"/>
    </row>
    <row r="634" spans="1:11" ht="20.25">
      <c r="A634" s="345"/>
      <c r="B634" s="345"/>
      <c r="C634" s="345"/>
      <c r="D634" s="345"/>
      <c r="E634" s="345"/>
      <c r="F634" s="345"/>
      <c r="G634" s="345"/>
      <c r="H634" s="345"/>
      <c r="I634" s="345"/>
      <c r="J634" s="345"/>
      <c r="K634" s="345"/>
    </row>
    <row r="635" spans="1:11" ht="20.25">
      <c r="A635" s="345"/>
      <c r="B635" s="345"/>
      <c r="C635" s="345"/>
      <c r="D635" s="345"/>
      <c r="E635" s="345"/>
      <c r="F635" s="345"/>
      <c r="G635" s="345"/>
      <c r="H635" s="345"/>
      <c r="I635" s="345"/>
      <c r="J635" s="345"/>
      <c r="K635" s="345"/>
    </row>
    <row r="636" spans="1:11" ht="20.25">
      <c r="A636" s="345"/>
      <c r="B636" s="345"/>
      <c r="C636" s="345"/>
      <c r="D636" s="345"/>
      <c r="E636" s="345"/>
      <c r="F636" s="345"/>
      <c r="G636" s="345"/>
      <c r="H636" s="345"/>
      <c r="I636" s="345"/>
      <c r="J636" s="345"/>
      <c r="K636" s="345"/>
    </row>
    <row r="637" spans="1:11" ht="20.25">
      <c r="A637" s="345"/>
      <c r="B637" s="345"/>
      <c r="C637" s="345"/>
      <c r="D637" s="345"/>
      <c r="E637" s="345"/>
      <c r="F637" s="345"/>
      <c r="G637" s="345"/>
      <c r="H637" s="345"/>
      <c r="I637" s="345"/>
      <c r="J637" s="345"/>
      <c r="K637" s="345"/>
    </row>
    <row r="638" spans="1:11" ht="20.25">
      <c r="A638" s="345"/>
      <c r="B638" s="345"/>
      <c r="C638" s="345"/>
      <c r="D638" s="345"/>
      <c r="E638" s="345"/>
      <c r="F638" s="345"/>
      <c r="G638" s="345"/>
      <c r="H638" s="345"/>
      <c r="I638" s="345"/>
      <c r="J638" s="345"/>
      <c r="K638" s="345"/>
    </row>
    <row r="639" spans="1:11" ht="20.25">
      <c r="A639" s="345"/>
      <c r="B639" s="345"/>
      <c r="C639" s="345"/>
      <c r="D639" s="345"/>
      <c r="E639" s="345"/>
      <c r="F639" s="345"/>
      <c r="G639" s="345"/>
      <c r="H639" s="345"/>
      <c r="I639" s="345"/>
      <c r="J639" s="345"/>
      <c r="K639" s="345"/>
    </row>
    <row r="640" spans="1:11" ht="20.25">
      <c r="A640" s="345"/>
      <c r="B640" s="345"/>
      <c r="C640" s="345"/>
      <c r="D640" s="345"/>
      <c r="E640" s="345"/>
      <c r="F640" s="345"/>
      <c r="G640" s="345"/>
      <c r="H640" s="345"/>
      <c r="I640" s="345"/>
      <c r="J640" s="345"/>
      <c r="K640" s="345"/>
    </row>
    <row r="641" spans="1:11" ht="20.25">
      <c r="A641" s="345"/>
      <c r="B641" s="345"/>
      <c r="C641" s="345"/>
      <c r="D641" s="345"/>
      <c r="E641" s="345"/>
      <c r="F641" s="345"/>
      <c r="G641" s="345"/>
      <c r="H641" s="345"/>
      <c r="I641" s="345"/>
      <c r="J641" s="345"/>
      <c r="K641" s="345"/>
    </row>
    <row r="642" spans="1:11" ht="20.25">
      <c r="A642" s="345"/>
      <c r="B642" s="345"/>
      <c r="C642" s="345"/>
      <c r="D642" s="345"/>
      <c r="E642" s="345"/>
      <c r="F642" s="345"/>
      <c r="G642" s="345"/>
      <c r="H642" s="345"/>
      <c r="I642" s="345"/>
      <c r="J642" s="345"/>
      <c r="K642" s="345"/>
    </row>
    <row r="643" spans="1:11" ht="20.25">
      <c r="A643" s="345"/>
      <c r="B643" s="345"/>
      <c r="C643" s="345"/>
      <c r="D643" s="345"/>
      <c r="E643" s="345"/>
      <c r="F643" s="345"/>
      <c r="G643" s="345"/>
      <c r="H643" s="345"/>
      <c r="I643" s="345"/>
      <c r="J643" s="345"/>
      <c r="K643" s="345"/>
    </row>
    <row r="644" spans="1:11" ht="20.25">
      <c r="A644" s="345"/>
      <c r="B644" s="345"/>
      <c r="C644" s="345"/>
      <c r="D644" s="345"/>
      <c r="E644" s="345"/>
      <c r="F644" s="345"/>
      <c r="G644" s="345"/>
      <c r="H644" s="345"/>
      <c r="I644" s="345"/>
      <c r="J644" s="345"/>
      <c r="K644" s="345"/>
    </row>
    <row r="645" spans="1:11" ht="20.25">
      <c r="A645" s="345"/>
      <c r="B645" s="345"/>
      <c r="C645" s="345"/>
      <c r="D645" s="345"/>
      <c r="E645" s="345"/>
      <c r="F645" s="345"/>
      <c r="G645" s="345"/>
      <c r="H645" s="345"/>
      <c r="I645" s="345"/>
      <c r="J645" s="345"/>
      <c r="K645" s="345"/>
    </row>
    <row r="646" spans="1:11" ht="20.25">
      <c r="A646" s="345"/>
      <c r="B646" s="345"/>
      <c r="C646" s="345"/>
      <c r="D646" s="345"/>
      <c r="E646" s="345"/>
      <c r="F646" s="345"/>
      <c r="G646" s="345"/>
      <c r="H646" s="345"/>
      <c r="I646" s="345"/>
      <c r="J646" s="345"/>
      <c r="K646" s="345"/>
    </row>
    <row r="647" spans="1:11" ht="20.25">
      <c r="A647" s="345"/>
      <c r="B647" s="345"/>
      <c r="C647" s="345"/>
      <c r="D647" s="345"/>
      <c r="E647" s="345"/>
      <c r="F647" s="345"/>
      <c r="G647" s="345"/>
      <c r="H647" s="345"/>
      <c r="I647" s="345"/>
      <c r="J647" s="345"/>
      <c r="K647" s="345"/>
    </row>
    <row r="648" spans="1:11" ht="20.25">
      <c r="A648" s="345"/>
      <c r="B648" s="345"/>
      <c r="C648" s="345"/>
      <c r="D648" s="345"/>
      <c r="E648" s="345"/>
      <c r="F648" s="345"/>
      <c r="G648" s="345"/>
      <c r="H648" s="345"/>
      <c r="I648" s="345"/>
      <c r="J648" s="345"/>
      <c r="K648" s="345"/>
    </row>
    <row r="649" spans="1:11" ht="20.25">
      <c r="A649" s="345"/>
      <c r="B649" s="345"/>
      <c r="C649" s="345"/>
      <c r="D649" s="345"/>
      <c r="E649" s="345"/>
      <c r="F649" s="345"/>
      <c r="G649" s="345"/>
      <c r="H649" s="345"/>
      <c r="I649" s="345"/>
      <c r="J649" s="345"/>
      <c r="K649" s="345"/>
    </row>
    <row r="650" spans="1:11" ht="20.25">
      <c r="A650" s="345"/>
      <c r="B650" s="345"/>
      <c r="C650" s="345"/>
      <c r="D650" s="345"/>
      <c r="E650" s="345"/>
      <c r="F650" s="345"/>
      <c r="G650" s="345"/>
      <c r="H650" s="345"/>
      <c r="I650" s="345"/>
      <c r="J650" s="345"/>
      <c r="K650" s="345"/>
    </row>
    <row r="651" spans="1:11" ht="20.25">
      <c r="A651" s="345"/>
      <c r="B651" s="345"/>
      <c r="C651" s="345"/>
      <c r="D651" s="345"/>
      <c r="E651" s="345"/>
      <c r="F651" s="345"/>
      <c r="G651" s="345"/>
      <c r="H651" s="345"/>
      <c r="I651" s="345"/>
      <c r="J651" s="345"/>
      <c r="K651" s="345"/>
    </row>
    <row r="652" spans="1:11" ht="20.25">
      <c r="A652" s="345"/>
      <c r="B652" s="345"/>
      <c r="C652" s="345"/>
      <c r="D652" s="345"/>
      <c r="E652" s="345"/>
      <c r="F652" s="345"/>
      <c r="G652" s="345"/>
      <c r="H652" s="345"/>
      <c r="I652" s="345"/>
      <c r="J652" s="345"/>
      <c r="K652" s="345"/>
    </row>
    <row r="653" spans="1:11" ht="20.25">
      <c r="A653" s="345"/>
      <c r="B653" s="345"/>
      <c r="C653" s="345"/>
      <c r="D653" s="345"/>
      <c r="E653" s="345"/>
      <c r="F653" s="345"/>
      <c r="G653" s="345"/>
      <c r="H653" s="345"/>
      <c r="I653" s="345"/>
      <c r="J653" s="345"/>
      <c r="K653" s="345"/>
    </row>
    <row r="654" spans="1:11" ht="20.25">
      <c r="A654" s="345"/>
      <c r="B654" s="345"/>
      <c r="C654" s="345"/>
      <c r="D654" s="345"/>
      <c r="E654" s="345"/>
      <c r="F654" s="345"/>
      <c r="G654" s="345"/>
      <c r="H654" s="345"/>
      <c r="I654" s="345"/>
      <c r="J654" s="345"/>
      <c r="K654" s="345"/>
    </row>
    <row r="655" spans="1:11" ht="20.25">
      <c r="A655" s="345"/>
      <c r="B655" s="345"/>
      <c r="C655" s="345"/>
      <c r="D655" s="345"/>
      <c r="E655" s="345"/>
      <c r="F655" s="345"/>
      <c r="G655" s="345"/>
      <c r="H655" s="345"/>
      <c r="I655" s="345"/>
      <c r="J655" s="345"/>
      <c r="K655" s="345"/>
    </row>
    <row r="656" spans="1:11" ht="20.25">
      <c r="A656" s="345"/>
      <c r="B656" s="345"/>
      <c r="C656" s="345"/>
      <c r="D656" s="345"/>
      <c r="E656" s="345"/>
      <c r="F656" s="345"/>
      <c r="G656" s="345"/>
      <c r="H656" s="345"/>
      <c r="I656" s="345"/>
      <c r="J656" s="345"/>
      <c r="K656" s="345"/>
    </row>
    <row r="657" spans="1:11" ht="20.25">
      <c r="A657" s="345"/>
      <c r="B657" s="345"/>
      <c r="C657" s="345"/>
      <c r="D657" s="345"/>
      <c r="E657" s="345"/>
      <c r="F657" s="345"/>
      <c r="G657" s="345"/>
      <c r="H657" s="345"/>
      <c r="I657" s="345"/>
      <c r="J657" s="345"/>
      <c r="K657" s="345"/>
    </row>
    <row r="658" spans="1:11" ht="20.25">
      <c r="A658" s="345"/>
      <c r="B658" s="345"/>
      <c r="C658" s="345"/>
      <c r="D658" s="345"/>
      <c r="E658" s="345"/>
      <c r="F658" s="345"/>
      <c r="G658" s="345"/>
      <c r="H658" s="345"/>
      <c r="I658" s="345"/>
      <c r="J658" s="345"/>
      <c r="K658" s="345"/>
    </row>
    <row r="659" spans="1:11" ht="20.25">
      <c r="A659" s="345"/>
      <c r="B659" s="345"/>
      <c r="C659" s="345"/>
      <c r="D659" s="345"/>
      <c r="E659" s="345"/>
      <c r="F659" s="345"/>
      <c r="G659" s="345"/>
      <c r="H659" s="345"/>
      <c r="I659" s="345"/>
      <c r="J659" s="345"/>
      <c r="K659" s="345"/>
    </row>
    <row r="660" spans="1:11" ht="20.25">
      <c r="A660" s="345"/>
      <c r="B660" s="345"/>
      <c r="C660" s="345"/>
      <c r="D660" s="345"/>
      <c r="E660" s="345"/>
      <c r="F660" s="345"/>
      <c r="G660" s="345"/>
      <c r="H660" s="345"/>
      <c r="I660" s="345"/>
      <c r="J660" s="345"/>
      <c r="K660" s="345"/>
    </row>
    <row r="661" spans="1:11" ht="20.25">
      <c r="A661" s="345"/>
      <c r="B661" s="345"/>
      <c r="C661" s="345"/>
      <c r="D661" s="345"/>
      <c r="E661" s="345"/>
      <c r="F661" s="345"/>
      <c r="G661" s="345"/>
      <c r="H661" s="345"/>
      <c r="I661" s="345"/>
      <c r="J661" s="345"/>
      <c r="K661" s="345"/>
    </row>
    <row r="662" spans="1:11" ht="20.25">
      <c r="A662" s="345"/>
      <c r="B662" s="345"/>
      <c r="C662" s="345"/>
      <c r="D662" s="345"/>
      <c r="E662" s="345"/>
      <c r="F662" s="345"/>
      <c r="G662" s="345"/>
      <c r="H662" s="345"/>
      <c r="I662" s="345"/>
      <c r="J662" s="345"/>
      <c r="K662" s="345"/>
    </row>
    <row r="663" spans="1:11" ht="20.25">
      <c r="A663" s="345"/>
      <c r="B663" s="345"/>
      <c r="C663" s="345"/>
      <c r="D663" s="345"/>
      <c r="E663" s="345"/>
      <c r="F663" s="345"/>
      <c r="G663" s="345"/>
      <c r="H663" s="345"/>
      <c r="I663" s="345"/>
      <c r="J663" s="345"/>
      <c r="K663" s="345"/>
    </row>
    <row r="664" spans="1:11" ht="20.25">
      <c r="A664" s="345"/>
      <c r="B664" s="345"/>
      <c r="C664" s="345"/>
      <c r="D664" s="345"/>
      <c r="E664" s="345"/>
      <c r="F664" s="345"/>
      <c r="G664" s="345"/>
      <c r="H664" s="345"/>
      <c r="I664" s="345"/>
      <c r="J664" s="345"/>
      <c r="K664" s="345"/>
    </row>
    <row r="665" spans="1:11" ht="20.25">
      <c r="A665" s="345"/>
      <c r="B665" s="345"/>
      <c r="C665" s="345"/>
      <c r="D665" s="345"/>
      <c r="E665" s="345"/>
      <c r="F665" s="345"/>
      <c r="G665" s="345"/>
      <c r="H665" s="345"/>
      <c r="I665" s="345"/>
      <c r="J665" s="345"/>
      <c r="K665" s="345"/>
    </row>
    <row r="666" spans="1:11" ht="20.25">
      <c r="A666" s="345"/>
      <c r="B666" s="345"/>
      <c r="C666" s="345"/>
      <c r="D666" s="345"/>
      <c r="E666" s="345"/>
      <c r="F666" s="345"/>
      <c r="G666" s="345"/>
      <c r="H666" s="345"/>
      <c r="I666" s="345"/>
      <c r="J666" s="345"/>
      <c r="K666" s="345"/>
    </row>
    <row r="667" spans="1:11" ht="20.25">
      <c r="A667" s="345"/>
      <c r="B667" s="345"/>
      <c r="C667" s="345"/>
      <c r="D667" s="345"/>
      <c r="E667" s="345"/>
      <c r="F667" s="345"/>
      <c r="G667" s="345"/>
      <c r="H667" s="345"/>
      <c r="I667" s="345"/>
      <c r="J667" s="345"/>
      <c r="K667" s="345"/>
    </row>
    <row r="668" spans="1:11" ht="20.25">
      <c r="A668" s="345"/>
      <c r="B668" s="345"/>
      <c r="C668" s="345"/>
      <c r="D668" s="345"/>
      <c r="E668" s="345"/>
      <c r="F668" s="345"/>
      <c r="G668" s="345"/>
      <c r="H668" s="345"/>
      <c r="I668" s="345"/>
      <c r="J668" s="345"/>
      <c r="K668" s="345"/>
    </row>
    <row r="669" spans="1:11" ht="20.25">
      <c r="A669" s="345"/>
      <c r="B669" s="345"/>
      <c r="C669" s="345"/>
      <c r="D669" s="345"/>
      <c r="E669" s="345"/>
      <c r="F669" s="345"/>
      <c r="G669" s="345"/>
      <c r="H669" s="345"/>
      <c r="I669" s="345"/>
      <c r="J669" s="345"/>
      <c r="K669" s="345"/>
    </row>
    <row r="670" spans="1:11" ht="20.25">
      <c r="A670" s="345"/>
      <c r="B670" s="345"/>
      <c r="C670" s="345"/>
      <c r="D670" s="345"/>
      <c r="E670" s="345"/>
      <c r="F670" s="345"/>
      <c r="G670" s="345"/>
      <c r="H670" s="345"/>
      <c r="I670" s="345"/>
      <c r="J670" s="345"/>
      <c r="K670" s="345"/>
    </row>
    <row r="671" spans="1:11" ht="20.25">
      <c r="A671" s="345"/>
      <c r="B671" s="345"/>
      <c r="C671" s="345"/>
      <c r="D671" s="345"/>
      <c r="E671" s="345"/>
      <c r="F671" s="345"/>
      <c r="G671" s="345"/>
      <c r="H671" s="345"/>
      <c r="I671" s="345"/>
      <c r="J671" s="345"/>
      <c r="K671" s="345"/>
    </row>
    <row r="672" spans="1:11" ht="20.25">
      <c r="A672" s="345"/>
      <c r="B672" s="345"/>
      <c r="C672" s="345"/>
      <c r="D672" s="345"/>
      <c r="E672" s="345"/>
      <c r="F672" s="345"/>
      <c r="G672" s="345"/>
      <c r="H672" s="345"/>
      <c r="I672" s="345"/>
      <c r="J672" s="345"/>
      <c r="K672" s="345"/>
    </row>
    <row r="673" spans="1:11" ht="20.25">
      <c r="A673" s="345"/>
      <c r="B673" s="345"/>
      <c r="C673" s="345"/>
      <c r="D673" s="345"/>
      <c r="E673" s="345"/>
      <c r="F673" s="345"/>
      <c r="G673" s="345"/>
      <c r="H673" s="345"/>
      <c r="I673" s="345"/>
      <c r="J673" s="345"/>
      <c r="K673" s="345"/>
    </row>
    <row r="674" spans="1:11" ht="20.25">
      <c r="A674" s="345"/>
      <c r="B674" s="345"/>
      <c r="C674" s="345"/>
      <c r="D674" s="345"/>
      <c r="E674" s="345"/>
      <c r="F674" s="345"/>
      <c r="G674" s="345"/>
      <c r="H674" s="345"/>
      <c r="I674" s="345"/>
      <c r="J674" s="345"/>
      <c r="K674" s="345"/>
    </row>
    <row r="675" spans="1:11" ht="20.25">
      <c r="A675" s="345"/>
      <c r="B675" s="345"/>
      <c r="C675" s="345"/>
      <c r="D675" s="345"/>
      <c r="E675" s="345"/>
      <c r="F675" s="345"/>
      <c r="G675" s="345"/>
      <c r="H675" s="345"/>
      <c r="I675" s="345"/>
      <c r="J675" s="345"/>
      <c r="K675" s="345"/>
    </row>
    <row r="676" spans="1:11" ht="20.25">
      <c r="A676" s="345"/>
      <c r="B676" s="345"/>
      <c r="C676" s="345"/>
      <c r="D676" s="345"/>
      <c r="E676" s="345"/>
      <c r="F676" s="345"/>
      <c r="G676" s="345"/>
      <c r="H676" s="345"/>
      <c r="I676" s="345"/>
      <c r="J676" s="345"/>
      <c r="K676" s="345"/>
    </row>
    <row r="677" spans="1:11" ht="20.25">
      <c r="A677" s="345"/>
      <c r="B677" s="345"/>
      <c r="C677" s="345"/>
      <c r="D677" s="345"/>
      <c r="E677" s="345"/>
      <c r="F677" s="345"/>
      <c r="G677" s="345"/>
      <c r="H677" s="345"/>
      <c r="I677" s="345"/>
      <c r="J677" s="345"/>
      <c r="K677" s="345"/>
    </row>
    <row r="678" spans="1:11" ht="20.25">
      <c r="A678" s="345"/>
      <c r="B678" s="345"/>
      <c r="C678" s="345"/>
      <c r="D678" s="345"/>
      <c r="E678" s="345"/>
      <c r="F678" s="345"/>
      <c r="G678" s="345"/>
      <c r="H678" s="345"/>
      <c r="I678" s="345"/>
      <c r="J678" s="345"/>
      <c r="K678" s="345"/>
    </row>
    <row r="679" spans="1:11" ht="20.25">
      <c r="A679" s="345"/>
      <c r="B679" s="345"/>
      <c r="C679" s="345"/>
      <c r="D679" s="345"/>
      <c r="E679" s="345"/>
      <c r="F679" s="345"/>
      <c r="G679" s="345"/>
      <c r="H679" s="345"/>
      <c r="I679" s="345"/>
      <c r="J679" s="345"/>
      <c r="K679" s="345"/>
    </row>
    <row r="680" spans="1:11" ht="20.25">
      <c r="A680" s="345"/>
      <c r="B680" s="345"/>
      <c r="C680" s="345"/>
      <c r="D680" s="345"/>
      <c r="E680" s="345"/>
      <c r="F680" s="345"/>
      <c r="G680" s="345"/>
      <c r="H680" s="345"/>
      <c r="I680" s="345"/>
      <c r="J680" s="345"/>
      <c r="K680" s="345"/>
    </row>
    <row r="681" spans="1:11" ht="20.25">
      <c r="A681" s="345"/>
      <c r="B681" s="345"/>
      <c r="C681" s="345"/>
      <c r="D681" s="345"/>
      <c r="E681" s="345"/>
      <c r="F681" s="345"/>
      <c r="G681" s="345"/>
      <c r="H681" s="345"/>
      <c r="I681" s="345"/>
      <c r="J681" s="345"/>
      <c r="K681" s="345"/>
    </row>
    <row r="682" spans="1:11" ht="20.25">
      <c r="A682" s="345"/>
      <c r="B682" s="345"/>
      <c r="C682" s="345"/>
      <c r="D682" s="345"/>
      <c r="E682" s="345"/>
      <c r="F682" s="345"/>
      <c r="G682" s="345"/>
      <c r="H682" s="345"/>
      <c r="I682" s="345"/>
      <c r="J682" s="345"/>
      <c r="K682" s="345"/>
    </row>
    <row r="683" spans="1:11" ht="20.25">
      <c r="A683" s="345"/>
      <c r="B683" s="345"/>
      <c r="C683" s="345"/>
      <c r="D683" s="345"/>
      <c r="E683" s="345"/>
      <c r="F683" s="345"/>
      <c r="G683" s="345"/>
      <c r="H683" s="345"/>
      <c r="I683" s="345"/>
      <c r="J683" s="345"/>
      <c r="K683" s="345"/>
    </row>
    <row r="684" spans="1:11" ht="20.25">
      <c r="A684" s="345"/>
      <c r="B684" s="345"/>
      <c r="C684" s="345"/>
      <c r="D684" s="345"/>
      <c r="E684" s="345"/>
      <c r="F684" s="345"/>
      <c r="G684" s="345"/>
      <c r="H684" s="345"/>
      <c r="I684" s="345"/>
      <c r="J684" s="345"/>
      <c r="K684" s="345"/>
    </row>
    <row r="685" spans="1:11" ht="20.25">
      <c r="A685" s="345"/>
      <c r="B685" s="345"/>
      <c r="C685" s="345"/>
      <c r="D685" s="345"/>
      <c r="E685" s="345"/>
      <c r="F685" s="345"/>
      <c r="G685" s="345"/>
      <c r="H685" s="345"/>
      <c r="I685" s="345"/>
      <c r="J685" s="345"/>
      <c r="K685" s="345"/>
    </row>
    <row r="686" spans="1:11" ht="20.25">
      <c r="A686" s="345"/>
      <c r="B686" s="345"/>
      <c r="C686" s="345"/>
      <c r="D686" s="345"/>
      <c r="E686" s="345"/>
      <c r="F686" s="345"/>
      <c r="G686" s="345"/>
      <c r="H686" s="345"/>
      <c r="I686" s="345"/>
      <c r="J686" s="345"/>
      <c r="K686" s="345"/>
    </row>
    <row r="687" spans="1:11" ht="20.25">
      <c r="A687" s="345"/>
      <c r="B687" s="345"/>
      <c r="C687" s="345"/>
      <c r="D687" s="345"/>
      <c r="E687" s="345"/>
      <c r="F687" s="345"/>
      <c r="G687" s="345"/>
      <c r="H687" s="345"/>
      <c r="I687" s="345"/>
      <c r="J687" s="345"/>
      <c r="K687" s="345"/>
    </row>
    <row r="688" spans="1:11" ht="20.25">
      <c r="A688" s="345"/>
      <c r="B688" s="345"/>
      <c r="C688" s="345"/>
      <c r="D688" s="345"/>
      <c r="E688" s="345"/>
      <c r="F688" s="345"/>
      <c r="G688" s="345"/>
      <c r="H688" s="345"/>
      <c r="I688" s="345"/>
      <c r="J688" s="345"/>
      <c r="K688" s="345"/>
    </row>
    <row r="689" spans="1:11" ht="20.25">
      <c r="A689" s="345"/>
      <c r="B689" s="345"/>
      <c r="C689" s="345"/>
      <c r="D689" s="345"/>
      <c r="E689" s="345"/>
      <c r="F689" s="345"/>
      <c r="G689" s="345"/>
      <c r="H689" s="345"/>
      <c r="I689" s="345"/>
      <c r="J689" s="345"/>
      <c r="K689" s="345"/>
    </row>
    <row r="690" spans="1:11" ht="20.25">
      <c r="A690" s="345"/>
      <c r="B690" s="345"/>
      <c r="C690" s="345"/>
      <c r="D690" s="345"/>
      <c r="E690" s="345"/>
      <c r="F690" s="345"/>
      <c r="G690" s="345"/>
      <c r="H690" s="345"/>
      <c r="I690" s="345"/>
      <c r="J690" s="345"/>
      <c r="K690" s="345"/>
    </row>
    <row r="691" spans="1:11" ht="20.25">
      <c r="A691" s="345"/>
      <c r="B691" s="345"/>
      <c r="C691" s="345"/>
      <c r="D691" s="345"/>
      <c r="E691" s="345"/>
      <c r="F691" s="345"/>
      <c r="G691" s="345"/>
      <c r="H691" s="345"/>
      <c r="I691" s="345"/>
      <c r="J691" s="345"/>
      <c r="K691" s="345"/>
    </row>
    <row r="692" spans="1:11" ht="20.25">
      <c r="A692" s="345"/>
      <c r="B692" s="345"/>
      <c r="C692" s="345"/>
      <c r="D692" s="345"/>
      <c r="E692" s="345"/>
      <c r="F692" s="345"/>
      <c r="G692" s="345"/>
      <c r="H692" s="345"/>
      <c r="I692" s="345"/>
      <c r="J692" s="345"/>
      <c r="K692" s="345"/>
    </row>
    <row r="693" spans="1:11" ht="20.25">
      <c r="A693" s="345"/>
      <c r="B693" s="345"/>
      <c r="C693" s="345"/>
      <c r="D693" s="345"/>
      <c r="E693" s="345"/>
      <c r="F693" s="345"/>
      <c r="G693" s="345"/>
      <c r="H693" s="345"/>
      <c r="I693" s="345"/>
      <c r="J693" s="345"/>
      <c r="K693" s="345"/>
    </row>
    <row r="694" spans="1:11" ht="20.25">
      <c r="A694" s="345"/>
      <c r="B694" s="345"/>
      <c r="C694" s="345"/>
      <c r="D694" s="345"/>
      <c r="E694" s="345"/>
      <c r="F694" s="345"/>
      <c r="G694" s="345"/>
      <c r="H694" s="345"/>
      <c r="I694" s="345"/>
      <c r="J694" s="345"/>
      <c r="K694" s="345"/>
    </row>
    <row r="695" spans="1:11" ht="20.25">
      <c r="A695" s="345"/>
      <c r="B695" s="345"/>
      <c r="C695" s="345"/>
      <c r="D695" s="345"/>
      <c r="E695" s="345"/>
      <c r="F695" s="345"/>
      <c r="G695" s="345"/>
      <c r="H695" s="345"/>
      <c r="I695" s="345"/>
      <c r="J695" s="345"/>
      <c r="K695" s="345"/>
    </row>
    <row r="696" spans="1:11" ht="20.25">
      <c r="A696" s="345"/>
      <c r="B696" s="345"/>
      <c r="C696" s="345"/>
      <c r="D696" s="345"/>
      <c r="E696" s="345"/>
      <c r="F696" s="345"/>
      <c r="G696" s="345"/>
      <c r="H696" s="345"/>
      <c r="I696" s="345"/>
      <c r="J696" s="345"/>
      <c r="K696" s="345"/>
    </row>
    <row r="697" spans="1:11" ht="20.25">
      <c r="A697" s="345"/>
      <c r="B697" s="345"/>
      <c r="C697" s="345"/>
      <c r="D697" s="345"/>
      <c r="E697" s="345"/>
      <c r="F697" s="345"/>
      <c r="G697" s="345"/>
      <c r="H697" s="345"/>
      <c r="I697" s="345"/>
      <c r="J697" s="345"/>
      <c r="K697" s="345"/>
    </row>
    <row r="698" spans="1:11" ht="20.25">
      <c r="A698" s="345"/>
      <c r="B698" s="345"/>
      <c r="C698" s="345"/>
      <c r="D698" s="345"/>
      <c r="E698" s="345"/>
      <c r="F698" s="345"/>
      <c r="G698" s="345"/>
      <c r="H698" s="345"/>
      <c r="I698" s="345"/>
      <c r="J698" s="345"/>
      <c r="K698" s="345"/>
    </row>
    <row r="699" spans="1:11" ht="20.25">
      <c r="A699" s="345"/>
      <c r="B699" s="345"/>
      <c r="C699" s="345"/>
      <c r="D699" s="345"/>
      <c r="E699" s="345"/>
      <c r="F699" s="345"/>
      <c r="G699" s="345"/>
      <c r="H699" s="345"/>
      <c r="I699" s="345"/>
      <c r="J699" s="345"/>
      <c r="K699" s="345"/>
    </row>
    <row r="700" spans="1:11" ht="20.25">
      <c r="A700" s="345"/>
      <c r="B700" s="345"/>
      <c r="C700" s="345"/>
      <c r="D700" s="345"/>
      <c r="E700" s="345"/>
      <c r="F700" s="345"/>
      <c r="G700" s="345"/>
      <c r="H700" s="345"/>
      <c r="I700" s="345"/>
      <c r="J700" s="345"/>
      <c r="K700" s="345"/>
    </row>
    <row r="701" spans="1:11" ht="20.25">
      <c r="A701" s="345"/>
      <c r="B701" s="345"/>
      <c r="C701" s="345"/>
      <c r="D701" s="345"/>
      <c r="E701" s="345"/>
      <c r="F701" s="345"/>
      <c r="G701" s="345"/>
      <c r="H701" s="345"/>
      <c r="I701" s="345"/>
      <c r="J701" s="345"/>
      <c r="K701" s="345"/>
    </row>
    <row r="702" spans="1:11" ht="20.25">
      <c r="A702" s="345"/>
      <c r="B702" s="345"/>
      <c r="C702" s="345"/>
      <c r="D702" s="345"/>
      <c r="E702" s="345"/>
      <c r="F702" s="345"/>
      <c r="G702" s="345"/>
      <c r="H702" s="345"/>
      <c r="I702" s="345"/>
      <c r="J702" s="345"/>
      <c r="K702" s="345"/>
    </row>
    <row r="703" spans="1:11" ht="20.25">
      <c r="A703" s="345"/>
      <c r="B703" s="345"/>
      <c r="C703" s="345"/>
      <c r="D703" s="345"/>
      <c r="E703" s="345"/>
      <c r="F703" s="345"/>
      <c r="G703" s="345"/>
      <c r="H703" s="345"/>
      <c r="I703" s="345"/>
      <c r="J703" s="345"/>
      <c r="K703" s="345"/>
    </row>
    <row r="704" spans="1:11" ht="20.25">
      <c r="A704" s="345"/>
      <c r="B704" s="345"/>
      <c r="C704" s="345"/>
      <c r="D704" s="345"/>
      <c r="E704" s="345"/>
      <c r="F704" s="345"/>
      <c r="G704" s="345"/>
      <c r="H704" s="345"/>
      <c r="I704" s="345"/>
      <c r="J704" s="345"/>
      <c r="K704" s="345"/>
    </row>
    <row r="705" spans="1:11" ht="20.25">
      <c r="A705" s="345"/>
      <c r="B705" s="345"/>
      <c r="C705" s="345"/>
      <c r="D705" s="345"/>
      <c r="E705" s="345"/>
      <c r="F705" s="345"/>
      <c r="G705" s="345"/>
      <c r="H705" s="345"/>
      <c r="I705" s="345"/>
      <c r="J705" s="345"/>
      <c r="K705" s="345"/>
    </row>
    <row r="706" spans="1:11" ht="20.25">
      <c r="A706" s="345"/>
      <c r="B706" s="345"/>
      <c r="C706" s="345"/>
      <c r="D706" s="345"/>
      <c r="E706" s="345"/>
      <c r="F706" s="345"/>
      <c r="G706" s="345"/>
      <c r="H706" s="345"/>
      <c r="I706" s="345"/>
      <c r="J706" s="345"/>
      <c r="K706" s="345"/>
    </row>
    <row r="707" spans="1:11" ht="20.25">
      <c r="A707" s="345"/>
      <c r="B707" s="345"/>
      <c r="C707" s="345"/>
      <c r="D707" s="345"/>
      <c r="E707" s="345"/>
      <c r="F707" s="345"/>
      <c r="G707" s="345"/>
      <c r="H707" s="345"/>
      <c r="I707" s="345"/>
      <c r="J707" s="345"/>
      <c r="K707" s="345"/>
    </row>
    <row r="708" spans="1:11" ht="20.25">
      <c r="A708" s="345"/>
      <c r="B708" s="345"/>
      <c r="C708" s="345"/>
      <c r="D708" s="345"/>
      <c r="E708" s="345"/>
      <c r="F708" s="345"/>
      <c r="G708" s="345"/>
      <c r="H708" s="345"/>
      <c r="I708" s="345"/>
      <c r="J708" s="345"/>
      <c r="K708" s="345"/>
    </row>
    <row r="709" spans="1:11" ht="20.25">
      <c r="A709" s="345"/>
      <c r="B709" s="345"/>
      <c r="C709" s="345"/>
      <c r="D709" s="345"/>
      <c r="E709" s="345"/>
      <c r="F709" s="345"/>
      <c r="G709" s="345"/>
      <c r="H709" s="345"/>
      <c r="I709" s="345"/>
      <c r="J709" s="345"/>
      <c r="K709" s="345"/>
    </row>
    <row r="710" spans="1:11" ht="20.25">
      <c r="A710" s="345"/>
      <c r="B710" s="345"/>
      <c r="C710" s="345"/>
      <c r="D710" s="345"/>
      <c r="E710" s="345"/>
      <c r="F710" s="345"/>
      <c r="G710" s="345"/>
      <c r="H710" s="345"/>
      <c r="I710" s="345"/>
      <c r="J710" s="345"/>
      <c r="K710" s="345"/>
    </row>
    <row r="711" spans="1:11" ht="20.25">
      <c r="A711" s="345"/>
      <c r="B711" s="345"/>
      <c r="C711" s="345"/>
      <c r="D711" s="345"/>
      <c r="E711" s="345"/>
      <c r="F711" s="345"/>
      <c r="G711" s="345"/>
      <c r="H711" s="345"/>
      <c r="I711" s="345"/>
      <c r="J711" s="345"/>
      <c r="K711" s="345"/>
    </row>
    <row r="712" spans="1:11" ht="20.25">
      <c r="A712" s="345"/>
      <c r="B712" s="345"/>
      <c r="C712" s="345"/>
      <c r="D712" s="345"/>
      <c r="E712" s="345"/>
      <c r="F712" s="345"/>
      <c r="G712" s="345"/>
      <c r="H712" s="345"/>
      <c r="I712" s="345"/>
      <c r="J712" s="345"/>
      <c r="K712" s="345"/>
    </row>
    <row r="713" spans="1:11" ht="20.25">
      <c r="A713" s="345"/>
      <c r="B713" s="345"/>
      <c r="C713" s="345"/>
      <c r="D713" s="345"/>
      <c r="E713" s="345"/>
      <c r="F713" s="345"/>
      <c r="G713" s="345"/>
      <c r="H713" s="345"/>
      <c r="I713" s="345"/>
      <c r="J713" s="345"/>
      <c r="K713" s="345"/>
    </row>
    <row r="714" spans="1:11" ht="20.25">
      <c r="A714" s="345"/>
      <c r="B714" s="345"/>
      <c r="C714" s="345"/>
      <c r="D714" s="345"/>
      <c r="E714" s="345"/>
      <c r="F714" s="345"/>
      <c r="G714" s="345"/>
      <c r="H714" s="345"/>
      <c r="I714" s="345"/>
      <c r="J714" s="345"/>
      <c r="K714" s="345"/>
    </row>
    <row r="715" spans="1:11" ht="20.25">
      <c r="A715" s="345"/>
      <c r="B715" s="345"/>
      <c r="C715" s="345"/>
      <c r="D715" s="345"/>
      <c r="E715" s="345"/>
      <c r="F715" s="345"/>
      <c r="G715" s="345"/>
      <c r="H715" s="345"/>
      <c r="I715" s="345"/>
      <c r="J715" s="345"/>
      <c r="K715" s="345"/>
    </row>
    <row r="716" spans="1:11" ht="20.25">
      <c r="A716" s="345"/>
      <c r="B716" s="345"/>
      <c r="C716" s="345"/>
      <c r="D716" s="345"/>
      <c r="E716" s="345"/>
      <c r="F716" s="345"/>
      <c r="G716" s="345"/>
      <c r="H716" s="345"/>
      <c r="I716" s="345"/>
      <c r="J716" s="345"/>
      <c r="K716" s="345"/>
    </row>
    <row r="717" spans="1:11" ht="20.25">
      <c r="A717" s="345"/>
      <c r="B717" s="345"/>
      <c r="C717" s="345"/>
      <c r="D717" s="345"/>
      <c r="E717" s="345"/>
      <c r="F717" s="345"/>
      <c r="G717" s="345"/>
      <c r="H717" s="345"/>
      <c r="I717" s="345"/>
      <c r="J717" s="345"/>
      <c r="K717" s="345"/>
    </row>
    <row r="718" spans="1:11" ht="20.25">
      <c r="A718" s="345"/>
      <c r="B718" s="345"/>
      <c r="C718" s="345"/>
      <c r="D718" s="345"/>
      <c r="E718" s="345"/>
      <c r="F718" s="345"/>
      <c r="G718" s="345"/>
      <c r="H718" s="345"/>
      <c r="I718" s="345"/>
      <c r="J718" s="345"/>
      <c r="K718" s="345"/>
    </row>
    <row r="719" spans="1:11" ht="20.25">
      <c r="A719" s="345"/>
      <c r="B719" s="345"/>
      <c r="C719" s="345"/>
      <c r="D719" s="345"/>
      <c r="E719" s="345"/>
      <c r="F719" s="345"/>
      <c r="G719" s="345"/>
      <c r="H719" s="345"/>
      <c r="I719" s="345"/>
      <c r="J719" s="345"/>
      <c r="K719" s="345"/>
    </row>
    <row r="720" spans="1:11" ht="20.25">
      <c r="A720" s="345"/>
      <c r="B720" s="345"/>
      <c r="C720" s="345"/>
      <c r="D720" s="345"/>
      <c r="E720" s="345"/>
      <c r="F720" s="345"/>
      <c r="G720" s="345"/>
      <c r="H720" s="345"/>
      <c r="I720" s="345"/>
      <c r="J720" s="345"/>
      <c r="K720" s="345"/>
    </row>
    <row r="721" spans="1:11" ht="20.25">
      <c r="A721" s="345"/>
      <c r="B721" s="345"/>
      <c r="C721" s="345"/>
      <c r="D721" s="345"/>
      <c r="E721" s="345"/>
      <c r="F721" s="345"/>
      <c r="G721" s="345"/>
      <c r="H721" s="345"/>
      <c r="I721" s="345"/>
      <c r="J721" s="345"/>
      <c r="K721" s="345"/>
    </row>
    <row r="722" spans="1:11" ht="20.25">
      <c r="A722" s="345"/>
      <c r="B722" s="345"/>
      <c r="C722" s="345"/>
      <c r="D722" s="345"/>
      <c r="E722" s="345"/>
      <c r="F722" s="345"/>
      <c r="G722" s="345"/>
      <c r="H722" s="345"/>
      <c r="I722" s="345"/>
      <c r="J722" s="345"/>
      <c r="K722" s="345"/>
    </row>
    <row r="723" spans="1:11" ht="20.25">
      <c r="A723" s="345"/>
      <c r="B723" s="345"/>
      <c r="C723" s="345"/>
      <c r="D723" s="345"/>
      <c r="E723" s="345"/>
      <c r="F723" s="345"/>
      <c r="G723" s="345"/>
      <c r="H723" s="345"/>
      <c r="I723" s="345"/>
      <c r="J723" s="345"/>
      <c r="K723" s="345"/>
    </row>
    <row r="724" spans="1:11" ht="20.25">
      <c r="A724" s="345"/>
      <c r="B724" s="345"/>
      <c r="C724" s="345"/>
      <c r="D724" s="345"/>
      <c r="E724" s="345"/>
      <c r="F724" s="345"/>
      <c r="G724" s="345"/>
      <c r="H724" s="345"/>
      <c r="I724" s="345"/>
      <c r="J724" s="345"/>
      <c r="K724" s="345"/>
    </row>
    <row r="725" spans="1:11" ht="20.25">
      <c r="A725" s="345"/>
      <c r="B725" s="345"/>
      <c r="C725" s="345"/>
      <c r="D725" s="345"/>
      <c r="E725" s="345"/>
      <c r="F725" s="345"/>
      <c r="G725" s="345"/>
      <c r="H725" s="345"/>
      <c r="I725" s="345"/>
      <c r="J725" s="345"/>
      <c r="K725" s="345"/>
    </row>
    <row r="726" spans="1:11" ht="20.25">
      <c r="A726" s="345"/>
      <c r="B726" s="345"/>
      <c r="C726" s="345"/>
      <c r="D726" s="345"/>
      <c r="E726" s="345"/>
      <c r="F726" s="345"/>
      <c r="G726" s="345"/>
      <c r="H726" s="345"/>
      <c r="I726" s="345"/>
      <c r="J726" s="345"/>
      <c r="K726" s="345"/>
    </row>
    <row r="727" spans="1:11" ht="20.25">
      <c r="A727" s="345"/>
      <c r="B727" s="345"/>
      <c r="C727" s="345"/>
      <c r="D727" s="345"/>
      <c r="E727" s="345"/>
      <c r="F727" s="345"/>
      <c r="G727" s="345"/>
      <c r="H727" s="345"/>
      <c r="I727" s="345"/>
      <c r="J727" s="345"/>
      <c r="K727" s="345"/>
    </row>
    <row r="728" spans="1:11" ht="20.25">
      <c r="A728" s="345"/>
      <c r="B728" s="345"/>
      <c r="C728" s="345"/>
      <c r="D728" s="345"/>
      <c r="E728" s="345"/>
      <c r="F728" s="345"/>
      <c r="G728" s="345"/>
      <c r="H728" s="345"/>
      <c r="I728" s="345"/>
      <c r="J728" s="345"/>
      <c r="K728" s="345"/>
    </row>
    <row r="729" spans="1:11" ht="20.25">
      <c r="A729" s="345"/>
      <c r="B729" s="345"/>
      <c r="C729" s="345"/>
      <c r="D729" s="345"/>
      <c r="E729" s="345"/>
      <c r="F729" s="345"/>
      <c r="G729" s="345"/>
      <c r="H729" s="345"/>
      <c r="I729" s="345"/>
      <c r="J729" s="345"/>
      <c r="K729" s="345"/>
    </row>
    <row r="730" spans="1:11" ht="20.25">
      <c r="A730" s="345"/>
      <c r="B730" s="345"/>
      <c r="C730" s="345"/>
      <c r="D730" s="345"/>
      <c r="E730" s="345"/>
      <c r="F730" s="345"/>
      <c r="G730" s="345"/>
      <c r="H730" s="345"/>
      <c r="I730" s="345"/>
      <c r="J730" s="345"/>
      <c r="K730" s="345"/>
    </row>
    <row r="731" spans="1:11" ht="20.25">
      <c r="A731" s="345"/>
      <c r="B731" s="345"/>
      <c r="C731" s="345"/>
      <c r="D731" s="345"/>
      <c r="E731" s="345"/>
      <c r="F731" s="345"/>
      <c r="G731" s="345"/>
      <c r="H731" s="345"/>
      <c r="I731" s="345"/>
      <c r="J731" s="345"/>
      <c r="K731" s="345"/>
    </row>
    <row r="732" spans="1:11" ht="20.25">
      <c r="A732" s="345"/>
      <c r="B732" s="345"/>
      <c r="C732" s="345"/>
      <c r="D732" s="345"/>
      <c r="E732" s="345"/>
      <c r="F732" s="345"/>
      <c r="G732" s="345"/>
      <c r="H732" s="345"/>
      <c r="I732" s="345"/>
      <c r="J732" s="345"/>
      <c r="K732" s="345"/>
    </row>
    <row r="733" spans="1:11" ht="20.25">
      <c r="A733" s="345"/>
      <c r="B733" s="345"/>
      <c r="C733" s="345"/>
      <c r="D733" s="345"/>
      <c r="E733" s="345"/>
      <c r="F733" s="345"/>
      <c r="G733" s="345"/>
      <c r="H733" s="345"/>
      <c r="I733" s="345"/>
      <c r="J733" s="345"/>
      <c r="K733" s="345"/>
    </row>
    <row r="734" spans="1:11" ht="20.25">
      <c r="A734" s="345"/>
      <c r="B734" s="345"/>
      <c r="C734" s="345"/>
      <c r="D734" s="345"/>
      <c r="E734" s="345"/>
      <c r="F734" s="345"/>
      <c r="G734" s="345"/>
      <c r="H734" s="345"/>
      <c r="I734" s="345"/>
      <c r="J734" s="345"/>
      <c r="K734" s="345"/>
    </row>
    <row r="735" spans="1:11" ht="20.25">
      <c r="A735" s="345"/>
      <c r="B735" s="345"/>
      <c r="C735" s="345"/>
      <c r="D735" s="345"/>
      <c r="E735" s="345"/>
      <c r="F735" s="345"/>
      <c r="G735" s="345"/>
      <c r="H735" s="345"/>
      <c r="I735" s="345"/>
      <c r="J735" s="345"/>
      <c r="K735" s="345"/>
    </row>
    <row r="736" spans="1:11" ht="20.25">
      <c r="A736" s="345"/>
      <c r="B736" s="345"/>
      <c r="C736" s="345"/>
      <c r="D736" s="345"/>
      <c r="E736" s="345"/>
      <c r="F736" s="345"/>
      <c r="G736" s="345"/>
      <c r="H736" s="345"/>
      <c r="I736" s="345"/>
      <c r="J736" s="345"/>
      <c r="K736" s="345"/>
    </row>
    <row r="737" spans="1:11" ht="20.25">
      <c r="A737" s="345"/>
      <c r="B737" s="345"/>
      <c r="C737" s="345"/>
      <c r="D737" s="345"/>
      <c r="E737" s="345"/>
      <c r="F737" s="345"/>
      <c r="G737" s="345"/>
      <c r="H737" s="345"/>
      <c r="I737" s="345"/>
      <c r="J737" s="345"/>
      <c r="K737" s="345"/>
    </row>
    <row r="738" spans="1:11" ht="20.25">
      <c r="A738" s="345"/>
      <c r="B738" s="345"/>
      <c r="C738" s="345"/>
      <c r="D738" s="345"/>
      <c r="E738" s="345"/>
      <c r="F738" s="345"/>
      <c r="G738" s="345"/>
      <c r="H738" s="345"/>
      <c r="I738" s="345"/>
      <c r="J738" s="345"/>
      <c r="K738" s="345"/>
    </row>
    <row r="739" spans="1:11" ht="20.25">
      <c r="A739" s="345"/>
      <c r="B739" s="345"/>
      <c r="C739" s="345"/>
      <c r="D739" s="345"/>
      <c r="E739" s="345"/>
      <c r="F739" s="345"/>
      <c r="G739" s="345"/>
      <c r="H739" s="345"/>
      <c r="I739" s="345"/>
      <c r="J739" s="345"/>
      <c r="K739" s="345"/>
    </row>
    <row r="740" spans="1:11" ht="20.25">
      <c r="A740" s="345"/>
      <c r="B740" s="345"/>
      <c r="C740" s="345"/>
      <c r="D740" s="345"/>
      <c r="E740" s="345"/>
      <c r="F740" s="345"/>
      <c r="G740" s="345"/>
      <c r="H740" s="345"/>
      <c r="I740" s="345"/>
      <c r="J740" s="345"/>
      <c r="K740" s="345"/>
    </row>
    <row r="741" spans="1:11" ht="20.25">
      <c r="A741" s="345"/>
      <c r="B741" s="345"/>
      <c r="C741" s="345"/>
      <c r="D741" s="345"/>
      <c r="E741" s="345"/>
      <c r="F741" s="345"/>
      <c r="G741" s="345"/>
      <c r="H741" s="345"/>
      <c r="I741" s="345"/>
      <c r="J741" s="345"/>
      <c r="K741" s="345"/>
    </row>
    <row r="742" spans="1:11" ht="20.25">
      <c r="A742" s="345"/>
      <c r="B742" s="345"/>
      <c r="C742" s="345"/>
      <c r="D742" s="345"/>
      <c r="E742" s="345"/>
      <c r="F742" s="345"/>
      <c r="G742" s="345"/>
      <c r="H742" s="345"/>
      <c r="I742" s="345"/>
      <c r="J742" s="345"/>
      <c r="K742" s="345"/>
    </row>
    <row r="743" spans="1:11" ht="20.25">
      <c r="A743" s="345"/>
      <c r="B743" s="345"/>
      <c r="C743" s="345"/>
      <c r="D743" s="345"/>
      <c r="E743" s="345"/>
      <c r="F743" s="345"/>
      <c r="G743" s="345"/>
      <c r="H743" s="345"/>
      <c r="I743" s="345"/>
      <c r="J743" s="345"/>
      <c r="K743" s="345"/>
    </row>
    <row r="744" spans="1:11" ht="20.25">
      <c r="A744" s="345"/>
      <c r="B744" s="345"/>
      <c r="C744" s="345"/>
      <c r="D744" s="345"/>
      <c r="E744" s="345"/>
      <c r="F744" s="345"/>
      <c r="G744" s="345"/>
      <c r="H744" s="345"/>
      <c r="I744" s="345"/>
      <c r="J744" s="345"/>
      <c r="K744" s="345"/>
    </row>
    <row r="745" spans="1:11" ht="20.25">
      <c r="A745" s="345"/>
      <c r="B745" s="345"/>
      <c r="C745" s="345"/>
      <c r="D745" s="345"/>
      <c r="E745" s="345"/>
      <c r="F745" s="345"/>
      <c r="G745" s="345"/>
      <c r="H745" s="345"/>
      <c r="I745" s="345"/>
      <c r="J745" s="345"/>
      <c r="K745" s="345"/>
    </row>
    <row r="746" spans="1:11" ht="20.25">
      <c r="A746" s="345"/>
      <c r="B746" s="345"/>
      <c r="C746" s="345"/>
      <c r="D746" s="345"/>
      <c r="E746" s="345"/>
      <c r="F746" s="345"/>
      <c r="G746" s="345"/>
      <c r="H746" s="345"/>
      <c r="I746" s="345"/>
      <c r="J746" s="345"/>
      <c r="K746" s="345"/>
    </row>
    <row r="747" spans="1:11" ht="20.25">
      <c r="A747" s="345"/>
      <c r="B747" s="345"/>
      <c r="C747" s="345"/>
      <c r="D747" s="345"/>
      <c r="E747" s="345"/>
      <c r="F747" s="345"/>
      <c r="G747" s="345"/>
      <c r="H747" s="345"/>
      <c r="I747" s="345"/>
      <c r="J747" s="345"/>
      <c r="K747" s="345"/>
    </row>
    <row r="748" spans="1:11" ht="20.25">
      <c r="A748" s="345"/>
      <c r="B748" s="345"/>
      <c r="C748" s="345"/>
      <c r="D748" s="345"/>
      <c r="E748" s="345"/>
      <c r="F748" s="345"/>
      <c r="G748" s="345"/>
      <c r="H748" s="345"/>
      <c r="I748" s="345"/>
      <c r="J748" s="345"/>
      <c r="K748" s="345"/>
    </row>
    <row r="749" spans="1:11" ht="20.25">
      <c r="A749" s="345"/>
      <c r="B749" s="345"/>
      <c r="C749" s="345"/>
      <c r="D749" s="345"/>
      <c r="E749" s="345"/>
      <c r="F749" s="345"/>
      <c r="G749" s="345"/>
      <c r="H749" s="345"/>
      <c r="I749" s="345"/>
      <c r="J749" s="345"/>
      <c r="K749" s="345"/>
    </row>
    <row r="750" spans="1:11" ht="20.25">
      <c r="A750" s="345"/>
      <c r="B750" s="345"/>
      <c r="C750" s="345"/>
      <c r="D750" s="345"/>
      <c r="E750" s="345"/>
      <c r="F750" s="345"/>
      <c r="G750" s="345"/>
      <c r="H750" s="345"/>
      <c r="I750" s="345"/>
      <c r="J750" s="345"/>
      <c r="K750" s="345"/>
    </row>
    <row r="751" spans="1:11" ht="20.25">
      <c r="A751" s="345"/>
      <c r="B751" s="345"/>
      <c r="C751" s="345"/>
      <c r="D751" s="345"/>
      <c r="E751" s="345"/>
      <c r="F751" s="345"/>
      <c r="G751" s="345"/>
      <c r="H751" s="345"/>
      <c r="I751" s="345"/>
      <c r="J751" s="345"/>
      <c r="K751" s="345"/>
    </row>
    <row r="752" spans="1:11" ht="20.25">
      <c r="A752" s="345"/>
      <c r="B752" s="345"/>
      <c r="C752" s="345"/>
      <c r="D752" s="345"/>
      <c r="E752" s="345"/>
      <c r="F752" s="345"/>
      <c r="G752" s="345"/>
      <c r="H752" s="345"/>
      <c r="I752" s="345"/>
      <c r="J752" s="345"/>
      <c r="K752" s="345"/>
    </row>
    <row r="753" spans="1:11" ht="20.25">
      <c r="A753" s="345"/>
      <c r="B753" s="345"/>
      <c r="C753" s="345"/>
      <c r="D753" s="345"/>
      <c r="E753" s="345"/>
      <c r="F753" s="345"/>
      <c r="G753" s="345"/>
      <c r="H753" s="345"/>
      <c r="I753" s="345"/>
      <c r="J753" s="345"/>
      <c r="K753" s="345"/>
    </row>
    <row r="754" spans="1:11" ht="20.25">
      <c r="A754" s="345"/>
      <c r="B754" s="345"/>
      <c r="C754" s="345"/>
      <c r="D754" s="345"/>
      <c r="E754" s="345"/>
      <c r="F754" s="345"/>
      <c r="G754" s="345"/>
      <c r="H754" s="345"/>
      <c r="I754" s="345"/>
      <c r="J754" s="345"/>
      <c r="K754" s="345"/>
    </row>
  </sheetData>
  <mergeCells count="79">
    <mergeCell ref="A5:B5"/>
    <mergeCell ref="C5:E5"/>
    <mergeCell ref="F5:G5"/>
    <mergeCell ref="H5:I5"/>
    <mergeCell ref="A6:B6"/>
    <mergeCell ref="C6:E6"/>
    <mergeCell ref="F6:I6"/>
    <mergeCell ref="F2:K2"/>
    <mergeCell ref="A3:K3"/>
    <mergeCell ref="A4:B4"/>
    <mergeCell ref="C4:E4"/>
    <mergeCell ref="F4:G4"/>
    <mergeCell ref="H4:I4"/>
    <mergeCell ref="L8:N8"/>
    <mergeCell ref="H10:I10"/>
    <mergeCell ref="J10:K10"/>
    <mergeCell ref="H11:I11"/>
    <mergeCell ref="J11:K11"/>
    <mergeCell ref="H9:I9"/>
    <mergeCell ref="J9:K9"/>
    <mergeCell ref="A7:K7"/>
    <mergeCell ref="B8:D8"/>
    <mergeCell ref="E8:G8"/>
    <mergeCell ref="I8:K8"/>
    <mergeCell ref="H12:I12"/>
    <mergeCell ref="J12:K12"/>
    <mergeCell ref="H13:I13"/>
    <mergeCell ref="J13:K13"/>
    <mergeCell ref="H14:I14"/>
    <mergeCell ref="J14:K14"/>
    <mergeCell ref="H15:I15"/>
    <mergeCell ref="J15:K15"/>
    <mergeCell ref="H16:I16"/>
    <mergeCell ref="J16:K16"/>
    <mergeCell ref="H17:I17"/>
    <mergeCell ref="J17:K17"/>
    <mergeCell ref="H18:I18"/>
    <mergeCell ref="J18:K18"/>
    <mergeCell ref="H19:I19"/>
    <mergeCell ref="J19:K19"/>
    <mergeCell ref="H20:I20"/>
    <mergeCell ref="J20:K20"/>
    <mergeCell ref="H21:I21"/>
    <mergeCell ref="J21:K21"/>
    <mergeCell ref="H22:I22"/>
    <mergeCell ref="J22:K22"/>
    <mergeCell ref="H23:I23"/>
    <mergeCell ref="J23:K23"/>
    <mergeCell ref="H24:I24"/>
    <mergeCell ref="J24:K24"/>
    <mergeCell ref="H25:I25"/>
    <mergeCell ref="J25:K25"/>
    <mergeCell ref="H26:I26"/>
    <mergeCell ref="J26:K26"/>
    <mergeCell ref="H27:I27"/>
    <mergeCell ref="J27:K27"/>
    <mergeCell ref="H28:I28"/>
    <mergeCell ref="J28:K28"/>
    <mergeCell ref="H29:I29"/>
    <mergeCell ref="J29:K29"/>
    <mergeCell ref="H30:I30"/>
    <mergeCell ref="J30:K30"/>
    <mergeCell ref="A37:K37"/>
    <mergeCell ref="H31:I31"/>
    <mergeCell ref="J31:K31"/>
    <mergeCell ref="H32:I32"/>
    <mergeCell ref="J32:K32"/>
    <mergeCell ref="H33:I33"/>
    <mergeCell ref="J33:K33"/>
    <mergeCell ref="H34:I34"/>
    <mergeCell ref="J34:K34"/>
    <mergeCell ref="H35:I35"/>
    <mergeCell ref="J35:K35"/>
    <mergeCell ref="H36:J36"/>
    <mergeCell ref="B38:I38"/>
    <mergeCell ref="A39:K39"/>
    <mergeCell ref="B41:C41"/>
    <mergeCell ref="F41:G41"/>
    <mergeCell ref="B42:C42"/>
  </mergeCells>
  <phoneticPr fontId="83" type="noConversion"/>
  <dataValidations count="1">
    <dataValidation type="list" allowBlank="1" showInputMessage="1" showErrorMessage="1" sqref="F6:I6 JB6:JE6 SX6:TA6 ACT6:ACW6 AMP6:AMS6 AWL6:AWO6 BGH6:BGK6 BQD6:BQG6 BZZ6:CAC6 CJV6:CJY6 CTR6:CTU6 DDN6:DDQ6 DNJ6:DNM6 DXF6:DXI6 EHB6:EHE6 EQX6:ERA6 FAT6:FAW6 FKP6:FKS6 FUL6:FUO6 GEH6:GEK6 GOD6:GOG6 GXZ6:GYC6 HHV6:HHY6 HRR6:HRU6 IBN6:IBQ6 ILJ6:ILM6 IVF6:IVI6 JFB6:JFE6 JOX6:JPA6 JYT6:JYW6 KIP6:KIS6 KSL6:KSO6 LCH6:LCK6 LMD6:LMG6 LVZ6:LWC6 MFV6:MFY6 MPR6:MPU6 MZN6:MZQ6 NJJ6:NJM6 NTF6:NTI6 ODB6:ODE6 OMX6:ONA6 OWT6:OWW6 PGP6:PGS6 PQL6:PQO6 QAH6:QAK6 QKD6:QKG6 QTZ6:QUC6 RDV6:RDY6 RNR6:RNU6 RXN6:RXQ6 SHJ6:SHM6 SRF6:SRI6 TBB6:TBE6 TKX6:TLA6 TUT6:TUW6 UEP6:UES6 UOL6:UOO6 UYH6:UYK6 VID6:VIG6 VRZ6:VSC6 WBV6:WBY6 WLR6:WLU6 WVN6:WVQ6 F65542:I65542 JB65542:JE65542 SX65542:TA65542 ACT65542:ACW65542 AMP65542:AMS65542 AWL65542:AWO65542 BGH65542:BGK65542 BQD65542:BQG65542 BZZ65542:CAC65542 CJV65542:CJY65542 CTR65542:CTU65542 DDN65542:DDQ65542 DNJ65542:DNM65542 DXF65542:DXI65542 EHB65542:EHE65542 EQX65542:ERA65542 FAT65542:FAW65542 FKP65542:FKS65542 FUL65542:FUO65542 GEH65542:GEK65542 GOD65542:GOG65542 GXZ65542:GYC65542 HHV65542:HHY65542 HRR65542:HRU65542 IBN65542:IBQ65542 ILJ65542:ILM65542 IVF65542:IVI65542 JFB65542:JFE65542 JOX65542:JPA65542 JYT65542:JYW65542 KIP65542:KIS65542 KSL65542:KSO65542 LCH65542:LCK65542 LMD65542:LMG65542 LVZ65542:LWC65542 MFV65542:MFY65542 MPR65542:MPU65542 MZN65542:MZQ65542 NJJ65542:NJM65542 NTF65542:NTI65542 ODB65542:ODE65542 OMX65542:ONA65542 OWT65542:OWW65542 PGP65542:PGS65542 PQL65542:PQO65542 QAH65542:QAK65542 QKD65542:QKG65542 QTZ65542:QUC65542 RDV65542:RDY65542 RNR65542:RNU65542 RXN65542:RXQ65542 SHJ65542:SHM65542 SRF65542:SRI65542 TBB65542:TBE65542 TKX65542:TLA65542 TUT65542:TUW65542 UEP65542:UES65542 UOL65542:UOO65542 UYH65542:UYK65542 VID65542:VIG65542 VRZ65542:VSC65542 WBV65542:WBY65542 WLR65542:WLU65542 WVN65542:WVQ65542 F131078:I131078 JB131078:JE131078 SX131078:TA131078 ACT131078:ACW131078 AMP131078:AMS131078 AWL131078:AWO131078 BGH131078:BGK131078 BQD131078:BQG131078 BZZ131078:CAC131078 CJV131078:CJY131078 CTR131078:CTU131078 DDN131078:DDQ131078 DNJ131078:DNM131078 DXF131078:DXI131078 EHB131078:EHE131078 EQX131078:ERA131078 FAT131078:FAW131078 FKP131078:FKS131078 FUL131078:FUO131078 GEH131078:GEK131078 GOD131078:GOG131078 GXZ131078:GYC131078 HHV131078:HHY131078 HRR131078:HRU131078 IBN131078:IBQ131078 ILJ131078:ILM131078 IVF131078:IVI131078 JFB131078:JFE131078 JOX131078:JPA131078 JYT131078:JYW131078 KIP131078:KIS131078 KSL131078:KSO131078 LCH131078:LCK131078 LMD131078:LMG131078 LVZ131078:LWC131078 MFV131078:MFY131078 MPR131078:MPU131078 MZN131078:MZQ131078 NJJ131078:NJM131078 NTF131078:NTI131078 ODB131078:ODE131078 OMX131078:ONA131078 OWT131078:OWW131078 PGP131078:PGS131078 PQL131078:PQO131078 QAH131078:QAK131078 QKD131078:QKG131078 QTZ131078:QUC131078 RDV131078:RDY131078 RNR131078:RNU131078 RXN131078:RXQ131078 SHJ131078:SHM131078 SRF131078:SRI131078 TBB131078:TBE131078 TKX131078:TLA131078 TUT131078:TUW131078 UEP131078:UES131078 UOL131078:UOO131078 UYH131078:UYK131078 VID131078:VIG131078 VRZ131078:VSC131078 WBV131078:WBY131078 WLR131078:WLU131078 WVN131078:WVQ131078 F196614:I196614 JB196614:JE196614 SX196614:TA196614 ACT196614:ACW196614 AMP196614:AMS196614 AWL196614:AWO196614 BGH196614:BGK196614 BQD196614:BQG196614 BZZ196614:CAC196614 CJV196614:CJY196614 CTR196614:CTU196614 DDN196614:DDQ196614 DNJ196614:DNM196614 DXF196614:DXI196614 EHB196614:EHE196614 EQX196614:ERA196614 FAT196614:FAW196614 FKP196614:FKS196614 FUL196614:FUO196614 GEH196614:GEK196614 GOD196614:GOG196614 GXZ196614:GYC196614 HHV196614:HHY196614 HRR196614:HRU196614 IBN196614:IBQ196614 ILJ196614:ILM196614 IVF196614:IVI196614 JFB196614:JFE196614 JOX196614:JPA196614 JYT196614:JYW196614 KIP196614:KIS196614 KSL196614:KSO196614 LCH196614:LCK196614 LMD196614:LMG196614 LVZ196614:LWC196614 MFV196614:MFY196614 MPR196614:MPU196614 MZN196614:MZQ196614 NJJ196614:NJM196614 NTF196614:NTI196614 ODB196614:ODE196614 OMX196614:ONA196614 OWT196614:OWW196614 PGP196614:PGS196614 PQL196614:PQO196614 QAH196614:QAK196614 QKD196614:QKG196614 QTZ196614:QUC196614 RDV196614:RDY196614 RNR196614:RNU196614 RXN196614:RXQ196614 SHJ196614:SHM196614 SRF196614:SRI196614 TBB196614:TBE196614 TKX196614:TLA196614 TUT196614:TUW196614 UEP196614:UES196614 UOL196614:UOO196614 UYH196614:UYK196614 VID196614:VIG196614 VRZ196614:VSC196614 WBV196614:WBY196614 WLR196614:WLU196614 WVN196614:WVQ196614 F262150:I262150 JB262150:JE262150 SX262150:TA262150 ACT262150:ACW262150 AMP262150:AMS262150 AWL262150:AWO262150 BGH262150:BGK262150 BQD262150:BQG262150 BZZ262150:CAC262150 CJV262150:CJY262150 CTR262150:CTU262150 DDN262150:DDQ262150 DNJ262150:DNM262150 DXF262150:DXI262150 EHB262150:EHE262150 EQX262150:ERA262150 FAT262150:FAW262150 FKP262150:FKS262150 FUL262150:FUO262150 GEH262150:GEK262150 GOD262150:GOG262150 GXZ262150:GYC262150 HHV262150:HHY262150 HRR262150:HRU262150 IBN262150:IBQ262150 ILJ262150:ILM262150 IVF262150:IVI262150 JFB262150:JFE262150 JOX262150:JPA262150 JYT262150:JYW262150 KIP262150:KIS262150 KSL262150:KSO262150 LCH262150:LCK262150 LMD262150:LMG262150 LVZ262150:LWC262150 MFV262150:MFY262150 MPR262150:MPU262150 MZN262150:MZQ262150 NJJ262150:NJM262150 NTF262150:NTI262150 ODB262150:ODE262150 OMX262150:ONA262150 OWT262150:OWW262150 PGP262150:PGS262150 PQL262150:PQO262150 QAH262150:QAK262150 QKD262150:QKG262150 QTZ262150:QUC262150 RDV262150:RDY262150 RNR262150:RNU262150 RXN262150:RXQ262150 SHJ262150:SHM262150 SRF262150:SRI262150 TBB262150:TBE262150 TKX262150:TLA262150 TUT262150:TUW262150 UEP262150:UES262150 UOL262150:UOO262150 UYH262150:UYK262150 VID262150:VIG262150 VRZ262150:VSC262150 WBV262150:WBY262150 WLR262150:WLU262150 WVN262150:WVQ262150 F327686:I327686 JB327686:JE327686 SX327686:TA327686 ACT327686:ACW327686 AMP327686:AMS327686 AWL327686:AWO327686 BGH327686:BGK327686 BQD327686:BQG327686 BZZ327686:CAC327686 CJV327686:CJY327686 CTR327686:CTU327686 DDN327686:DDQ327686 DNJ327686:DNM327686 DXF327686:DXI327686 EHB327686:EHE327686 EQX327686:ERA327686 FAT327686:FAW327686 FKP327686:FKS327686 FUL327686:FUO327686 GEH327686:GEK327686 GOD327686:GOG327686 GXZ327686:GYC327686 HHV327686:HHY327686 HRR327686:HRU327686 IBN327686:IBQ327686 ILJ327686:ILM327686 IVF327686:IVI327686 JFB327686:JFE327686 JOX327686:JPA327686 JYT327686:JYW327686 KIP327686:KIS327686 KSL327686:KSO327686 LCH327686:LCK327686 LMD327686:LMG327686 LVZ327686:LWC327686 MFV327686:MFY327686 MPR327686:MPU327686 MZN327686:MZQ327686 NJJ327686:NJM327686 NTF327686:NTI327686 ODB327686:ODE327686 OMX327686:ONA327686 OWT327686:OWW327686 PGP327686:PGS327686 PQL327686:PQO327686 QAH327686:QAK327686 QKD327686:QKG327686 QTZ327686:QUC327686 RDV327686:RDY327686 RNR327686:RNU327686 RXN327686:RXQ327686 SHJ327686:SHM327686 SRF327686:SRI327686 TBB327686:TBE327686 TKX327686:TLA327686 TUT327686:TUW327686 UEP327686:UES327686 UOL327686:UOO327686 UYH327686:UYK327686 VID327686:VIG327686 VRZ327686:VSC327686 WBV327686:WBY327686 WLR327686:WLU327686 WVN327686:WVQ327686 F393222:I393222 JB393222:JE393222 SX393222:TA393222 ACT393222:ACW393222 AMP393222:AMS393222 AWL393222:AWO393222 BGH393222:BGK393222 BQD393222:BQG393222 BZZ393222:CAC393222 CJV393222:CJY393222 CTR393222:CTU393222 DDN393222:DDQ393222 DNJ393222:DNM393222 DXF393222:DXI393222 EHB393222:EHE393222 EQX393222:ERA393222 FAT393222:FAW393222 FKP393222:FKS393222 FUL393222:FUO393222 GEH393222:GEK393222 GOD393222:GOG393222 GXZ393222:GYC393222 HHV393222:HHY393222 HRR393222:HRU393222 IBN393222:IBQ393222 ILJ393222:ILM393222 IVF393222:IVI393222 JFB393222:JFE393222 JOX393222:JPA393222 JYT393222:JYW393222 KIP393222:KIS393222 KSL393222:KSO393222 LCH393222:LCK393222 LMD393222:LMG393222 LVZ393222:LWC393222 MFV393222:MFY393222 MPR393222:MPU393222 MZN393222:MZQ393222 NJJ393222:NJM393222 NTF393222:NTI393222 ODB393222:ODE393222 OMX393222:ONA393222 OWT393222:OWW393222 PGP393222:PGS393222 PQL393222:PQO393222 QAH393222:QAK393222 QKD393222:QKG393222 QTZ393222:QUC393222 RDV393222:RDY393222 RNR393222:RNU393222 RXN393222:RXQ393222 SHJ393222:SHM393222 SRF393222:SRI393222 TBB393222:TBE393222 TKX393222:TLA393222 TUT393222:TUW393222 UEP393222:UES393222 UOL393222:UOO393222 UYH393222:UYK393222 VID393222:VIG393222 VRZ393222:VSC393222 WBV393222:WBY393222 WLR393222:WLU393222 WVN393222:WVQ393222 F458758:I458758 JB458758:JE458758 SX458758:TA458758 ACT458758:ACW458758 AMP458758:AMS458758 AWL458758:AWO458758 BGH458758:BGK458758 BQD458758:BQG458758 BZZ458758:CAC458758 CJV458758:CJY458758 CTR458758:CTU458758 DDN458758:DDQ458758 DNJ458758:DNM458758 DXF458758:DXI458758 EHB458758:EHE458758 EQX458758:ERA458758 FAT458758:FAW458758 FKP458758:FKS458758 FUL458758:FUO458758 GEH458758:GEK458758 GOD458758:GOG458758 GXZ458758:GYC458758 HHV458758:HHY458758 HRR458758:HRU458758 IBN458758:IBQ458758 ILJ458758:ILM458758 IVF458758:IVI458758 JFB458758:JFE458758 JOX458758:JPA458758 JYT458758:JYW458758 KIP458758:KIS458758 KSL458758:KSO458758 LCH458758:LCK458758 LMD458758:LMG458758 LVZ458758:LWC458758 MFV458758:MFY458758 MPR458758:MPU458758 MZN458758:MZQ458758 NJJ458758:NJM458758 NTF458758:NTI458758 ODB458758:ODE458758 OMX458758:ONA458758 OWT458758:OWW458758 PGP458758:PGS458758 PQL458758:PQO458758 QAH458758:QAK458758 QKD458758:QKG458758 QTZ458758:QUC458758 RDV458758:RDY458758 RNR458758:RNU458758 RXN458758:RXQ458758 SHJ458758:SHM458758 SRF458758:SRI458758 TBB458758:TBE458758 TKX458758:TLA458758 TUT458758:TUW458758 UEP458758:UES458758 UOL458758:UOO458758 UYH458758:UYK458758 VID458758:VIG458758 VRZ458758:VSC458758 WBV458758:WBY458758 WLR458758:WLU458758 WVN458758:WVQ458758 F524294:I524294 JB524294:JE524294 SX524294:TA524294 ACT524294:ACW524294 AMP524294:AMS524294 AWL524294:AWO524294 BGH524294:BGK524294 BQD524294:BQG524294 BZZ524294:CAC524294 CJV524294:CJY524294 CTR524294:CTU524294 DDN524294:DDQ524294 DNJ524294:DNM524294 DXF524294:DXI524294 EHB524294:EHE524294 EQX524294:ERA524294 FAT524294:FAW524294 FKP524294:FKS524294 FUL524294:FUO524294 GEH524294:GEK524294 GOD524294:GOG524294 GXZ524294:GYC524294 HHV524294:HHY524294 HRR524294:HRU524294 IBN524294:IBQ524294 ILJ524294:ILM524294 IVF524294:IVI524294 JFB524294:JFE524294 JOX524294:JPA524294 JYT524294:JYW524294 KIP524294:KIS524294 KSL524294:KSO524294 LCH524294:LCK524294 LMD524294:LMG524294 LVZ524294:LWC524294 MFV524294:MFY524294 MPR524294:MPU524294 MZN524294:MZQ524294 NJJ524294:NJM524294 NTF524294:NTI524294 ODB524294:ODE524294 OMX524294:ONA524294 OWT524294:OWW524294 PGP524294:PGS524294 PQL524294:PQO524294 QAH524294:QAK524294 QKD524294:QKG524294 QTZ524294:QUC524294 RDV524294:RDY524294 RNR524294:RNU524294 RXN524294:RXQ524294 SHJ524294:SHM524294 SRF524294:SRI524294 TBB524294:TBE524294 TKX524294:TLA524294 TUT524294:TUW524294 UEP524294:UES524294 UOL524294:UOO524294 UYH524294:UYK524294 VID524294:VIG524294 VRZ524294:VSC524294 WBV524294:WBY524294 WLR524294:WLU524294 WVN524294:WVQ524294 F589830:I589830 JB589830:JE589830 SX589830:TA589830 ACT589830:ACW589830 AMP589830:AMS589830 AWL589830:AWO589830 BGH589830:BGK589830 BQD589830:BQG589830 BZZ589830:CAC589830 CJV589830:CJY589830 CTR589830:CTU589830 DDN589830:DDQ589830 DNJ589830:DNM589830 DXF589830:DXI589830 EHB589830:EHE589830 EQX589830:ERA589830 FAT589830:FAW589830 FKP589830:FKS589830 FUL589830:FUO589830 GEH589830:GEK589830 GOD589830:GOG589830 GXZ589830:GYC589830 HHV589830:HHY589830 HRR589830:HRU589830 IBN589830:IBQ589830 ILJ589830:ILM589830 IVF589830:IVI589830 JFB589830:JFE589830 JOX589830:JPA589830 JYT589830:JYW589830 KIP589830:KIS589830 KSL589830:KSO589830 LCH589830:LCK589830 LMD589830:LMG589830 LVZ589830:LWC589830 MFV589830:MFY589830 MPR589830:MPU589830 MZN589830:MZQ589830 NJJ589830:NJM589830 NTF589830:NTI589830 ODB589830:ODE589830 OMX589830:ONA589830 OWT589830:OWW589830 PGP589830:PGS589830 PQL589830:PQO589830 QAH589830:QAK589830 QKD589830:QKG589830 QTZ589830:QUC589830 RDV589830:RDY589830 RNR589830:RNU589830 RXN589830:RXQ589830 SHJ589830:SHM589830 SRF589830:SRI589830 TBB589830:TBE589830 TKX589830:TLA589830 TUT589830:TUW589830 UEP589830:UES589830 UOL589830:UOO589830 UYH589830:UYK589830 VID589830:VIG589830 VRZ589830:VSC589830 WBV589830:WBY589830 WLR589830:WLU589830 WVN589830:WVQ589830 F655366:I655366 JB655366:JE655366 SX655366:TA655366 ACT655366:ACW655366 AMP655366:AMS655366 AWL655366:AWO655366 BGH655366:BGK655366 BQD655366:BQG655366 BZZ655366:CAC655366 CJV655366:CJY655366 CTR655366:CTU655366 DDN655366:DDQ655366 DNJ655366:DNM655366 DXF655366:DXI655366 EHB655366:EHE655366 EQX655366:ERA655366 FAT655366:FAW655366 FKP655366:FKS655366 FUL655366:FUO655366 GEH655366:GEK655366 GOD655366:GOG655366 GXZ655366:GYC655366 HHV655366:HHY655366 HRR655366:HRU655366 IBN655366:IBQ655366 ILJ655366:ILM655366 IVF655366:IVI655366 JFB655366:JFE655366 JOX655366:JPA655366 JYT655366:JYW655366 KIP655366:KIS655366 KSL655366:KSO655366 LCH655366:LCK655366 LMD655366:LMG655366 LVZ655366:LWC655366 MFV655366:MFY655366 MPR655366:MPU655366 MZN655366:MZQ655366 NJJ655366:NJM655366 NTF655366:NTI655366 ODB655366:ODE655366 OMX655366:ONA655366 OWT655366:OWW655366 PGP655366:PGS655366 PQL655366:PQO655366 QAH655366:QAK655366 QKD655366:QKG655366 QTZ655366:QUC655366 RDV655366:RDY655366 RNR655366:RNU655366 RXN655366:RXQ655366 SHJ655366:SHM655366 SRF655366:SRI655366 TBB655366:TBE655366 TKX655366:TLA655366 TUT655366:TUW655366 UEP655366:UES655366 UOL655366:UOO655366 UYH655366:UYK655366 VID655366:VIG655366 VRZ655366:VSC655366 WBV655366:WBY655366 WLR655366:WLU655366 WVN655366:WVQ655366 F720902:I720902 JB720902:JE720902 SX720902:TA720902 ACT720902:ACW720902 AMP720902:AMS720902 AWL720902:AWO720902 BGH720902:BGK720902 BQD720902:BQG720902 BZZ720902:CAC720902 CJV720902:CJY720902 CTR720902:CTU720902 DDN720902:DDQ720902 DNJ720902:DNM720902 DXF720902:DXI720902 EHB720902:EHE720902 EQX720902:ERA720902 FAT720902:FAW720902 FKP720902:FKS720902 FUL720902:FUO720902 GEH720902:GEK720902 GOD720902:GOG720902 GXZ720902:GYC720902 HHV720902:HHY720902 HRR720902:HRU720902 IBN720902:IBQ720902 ILJ720902:ILM720902 IVF720902:IVI720902 JFB720902:JFE720902 JOX720902:JPA720902 JYT720902:JYW720902 KIP720902:KIS720902 KSL720902:KSO720902 LCH720902:LCK720902 LMD720902:LMG720902 LVZ720902:LWC720902 MFV720902:MFY720902 MPR720902:MPU720902 MZN720902:MZQ720902 NJJ720902:NJM720902 NTF720902:NTI720902 ODB720902:ODE720902 OMX720902:ONA720902 OWT720902:OWW720902 PGP720902:PGS720902 PQL720902:PQO720902 QAH720902:QAK720902 QKD720902:QKG720902 QTZ720902:QUC720902 RDV720902:RDY720902 RNR720902:RNU720902 RXN720902:RXQ720902 SHJ720902:SHM720902 SRF720902:SRI720902 TBB720902:TBE720902 TKX720902:TLA720902 TUT720902:TUW720902 UEP720902:UES720902 UOL720902:UOO720902 UYH720902:UYK720902 VID720902:VIG720902 VRZ720902:VSC720902 WBV720902:WBY720902 WLR720902:WLU720902 WVN720902:WVQ720902 F786438:I786438 JB786438:JE786438 SX786438:TA786438 ACT786438:ACW786438 AMP786438:AMS786438 AWL786438:AWO786438 BGH786438:BGK786438 BQD786438:BQG786438 BZZ786438:CAC786438 CJV786438:CJY786438 CTR786438:CTU786438 DDN786438:DDQ786438 DNJ786438:DNM786438 DXF786438:DXI786438 EHB786438:EHE786438 EQX786438:ERA786438 FAT786438:FAW786438 FKP786438:FKS786438 FUL786438:FUO786438 GEH786438:GEK786438 GOD786438:GOG786438 GXZ786438:GYC786438 HHV786438:HHY786438 HRR786438:HRU786438 IBN786438:IBQ786438 ILJ786438:ILM786438 IVF786438:IVI786438 JFB786438:JFE786438 JOX786438:JPA786438 JYT786438:JYW786438 KIP786438:KIS786438 KSL786438:KSO786438 LCH786438:LCK786438 LMD786438:LMG786438 LVZ786438:LWC786438 MFV786438:MFY786438 MPR786438:MPU786438 MZN786438:MZQ786438 NJJ786438:NJM786438 NTF786438:NTI786438 ODB786438:ODE786438 OMX786438:ONA786438 OWT786438:OWW786438 PGP786438:PGS786438 PQL786438:PQO786438 QAH786438:QAK786438 QKD786438:QKG786438 QTZ786438:QUC786438 RDV786438:RDY786438 RNR786438:RNU786438 RXN786438:RXQ786438 SHJ786438:SHM786438 SRF786438:SRI786438 TBB786438:TBE786438 TKX786438:TLA786438 TUT786438:TUW786438 UEP786438:UES786438 UOL786438:UOO786438 UYH786438:UYK786438 VID786438:VIG786438 VRZ786438:VSC786438 WBV786438:WBY786438 WLR786438:WLU786438 WVN786438:WVQ786438 F851974:I851974 JB851974:JE851974 SX851974:TA851974 ACT851974:ACW851974 AMP851974:AMS851974 AWL851974:AWO851974 BGH851974:BGK851974 BQD851974:BQG851974 BZZ851974:CAC851974 CJV851974:CJY851974 CTR851974:CTU851974 DDN851974:DDQ851974 DNJ851974:DNM851974 DXF851974:DXI851974 EHB851974:EHE851974 EQX851974:ERA851974 FAT851974:FAW851974 FKP851974:FKS851974 FUL851974:FUO851974 GEH851974:GEK851974 GOD851974:GOG851974 GXZ851974:GYC851974 HHV851974:HHY851974 HRR851974:HRU851974 IBN851974:IBQ851974 ILJ851974:ILM851974 IVF851974:IVI851974 JFB851974:JFE851974 JOX851974:JPA851974 JYT851974:JYW851974 KIP851974:KIS851974 KSL851974:KSO851974 LCH851974:LCK851974 LMD851974:LMG851974 LVZ851974:LWC851974 MFV851974:MFY851974 MPR851974:MPU851974 MZN851974:MZQ851974 NJJ851974:NJM851974 NTF851974:NTI851974 ODB851974:ODE851974 OMX851974:ONA851974 OWT851974:OWW851974 PGP851974:PGS851974 PQL851974:PQO851974 QAH851974:QAK851974 QKD851974:QKG851974 QTZ851974:QUC851974 RDV851974:RDY851974 RNR851974:RNU851974 RXN851974:RXQ851974 SHJ851974:SHM851974 SRF851974:SRI851974 TBB851974:TBE851974 TKX851974:TLA851974 TUT851974:TUW851974 UEP851974:UES851974 UOL851974:UOO851974 UYH851974:UYK851974 VID851974:VIG851974 VRZ851974:VSC851974 WBV851974:WBY851974 WLR851974:WLU851974 WVN851974:WVQ851974 F917510:I917510 JB917510:JE917510 SX917510:TA917510 ACT917510:ACW917510 AMP917510:AMS917510 AWL917510:AWO917510 BGH917510:BGK917510 BQD917510:BQG917510 BZZ917510:CAC917510 CJV917510:CJY917510 CTR917510:CTU917510 DDN917510:DDQ917510 DNJ917510:DNM917510 DXF917510:DXI917510 EHB917510:EHE917510 EQX917510:ERA917510 FAT917510:FAW917510 FKP917510:FKS917510 FUL917510:FUO917510 GEH917510:GEK917510 GOD917510:GOG917510 GXZ917510:GYC917510 HHV917510:HHY917510 HRR917510:HRU917510 IBN917510:IBQ917510 ILJ917510:ILM917510 IVF917510:IVI917510 JFB917510:JFE917510 JOX917510:JPA917510 JYT917510:JYW917510 KIP917510:KIS917510 KSL917510:KSO917510 LCH917510:LCK917510 LMD917510:LMG917510 LVZ917510:LWC917510 MFV917510:MFY917510 MPR917510:MPU917510 MZN917510:MZQ917510 NJJ917510:NJM917510 NTF917510:NTI917510 ODB917510:ODE917510 OMX917510:ONA917510 OWT917510:OWW917510 PGP917510:PGS917510 PQL917510:PQO917510 QAH917510:QAK917510 QKD917510:QKG917510 QTZ917510:QUC917510 RDV917510:RDY917510 RNR917510:RNU917510 RXN917510:RXQ917510 SHJ917510:SHM917510 SRF917510:SRI917510 TBB917510:TBE917510 TKX917510:TLA917510 TUT917510:TUW917510 UEP917510:UES917510 UOL917510:UOO917510 UYH917510:UYK917510 VID917510:VIG917510 VRZ917510:VSC917510 WBV917510:WBY917510 WLR917510:WLU917510 WVN917510:WVQ917510 F983046:I983046 JB983046:JE983046 SX983046:TA983046 ACT983046:ACW983046 AMP983046:AMS983046 AWL983046:AWO983046 BGH983046:BGK983046 BQD983046:BQG983046 BZZ983046:CAC983046 CJV983046:CJY983046 CTR983046:CTU983046 DDN983046:DDQ983046 DNJ983046:DNM983046 DXF983046:DXI983046 EHB983046:EHE983046 EQX983046:ERA983046 FAT983046:FAW983046 FKP983046:FKS983046 FUL983046:FUO983046 GEH983046:GEK983046 GOD983046:GOG983046 GXZ983046:GYC983046 HHV983046:HHY983046 HRR983046:HRU983046 IBN983046:IBQ983046 ILJ983046:ILM983046 IVF983046:IVI983046 JFB983046:JFE983046 JOX983046:JPA983046 JYT983046:JYW983046 KIP983046:KIS983046 KSL983046:KSO983046 LCH983046:LCK983046 LMD983046:LMG983046 LVZ983046:LWC983046 MFV983046:MFY983046 MPR983046:MPU983046 MZN983046:MZQ983046 NJJ983046:NJM983046 NTF983046:NTI983046 ODB983046:ODE983046 OMX983046:ONA983046 OWT983046:OWW983046 PGP983046:PGS983046 PQL983046:PQO983046 QAH983046:QAK983046 QKD983046:QKG983046 QTZ983046:QUC983046 RDV983046:RDY983046 RNR983046:RNU983046 RXN983046:RXQ983046 SHJ983046:SHM983046 SRF983046:SRI983046 TBB983046:TBE983046 TKX983046:TLA983046 TUT983046:TUW983046 UEP983046:UES983046 UOL983046:UOO983046 UYH983046:UYK983046 VID983046:VIG983046 VRZ983046:VSC983046 WBV983046:WBY983046 WLR983046:WLU983046 WVN983046:WVQ983046">
      <formula1>$A$48:$A$67</formula1>
    </dataValidation>
  </dataValidations>
  <printOptions horizontalCentered="1"/>
  <pageMargins left="0.39370078740157483" right="0.39370078740157483" top="0.43307086614173229" bottom="0.59055118110236227" header="0.51181102362204722" footer="0.39370078740157483"/>
  <pageSetup paperSize="9" scale="99" orientation="portrait" r:id="rId1"/>
  <headerFooter alignWithMargins="0"/>
</worksheet>
</file>

<file path=xl/worksheets/sheet15.xml><?xml version="1.0" encoding="utf-8"?>
<worksheet xmlns="http://schemas.openxmlformats.org/spreadsheetml/2006/main" xmlns:r="http://schemas.openxmlformats.org/officeDocument/2006/relationships">
  <dimension ref="A1:AE33"/>
  <sheetViews>
    <sheetView zoomScaleSheetLayoutView="85" workbookViewId="0">
      <selection activeCell="F18" sqref="F18:H18"/>
    </sheetView>
  </sheetViews>
  <sheetFormatPr defaultRowHeight="14.25"/>
  <cols>
    <col min="1" max="1" width="4.75" style="300" customWidth="1"/>
    <col min="2" max="2" width="6.875" style="300" customWidth="1"/>
    <col min="3" max="3" width="18.5" style="300" customWidth="1"/>
    <col min="4" max="4" width="10.875" style="300" customWidth="1"/>
    <col min="5" max="5" width="6.75" style="300" customWidth="1"/>
    <col min="6" max="6" width="9.375" style="407" customWidth="1"/>
    <col min="7" max="7" width="8.875" style="300" customWidth="1"/>
    <col min="8" max="8" width="14" style="300" customWidth="1"/>
    <col min="9" max="9" width="9.375" style="300" customWidth="1"/>
    <col min="10" max="10" width="8.625" style="300" customWidth="1"/>
    <col min="11" max="11" width="12.875" style="353" customWidth="1"/>
    <col min="12" max="12" width="13.375" style="353" bestFit="1" customWidth="1"/>
    <col min="13" max="13" width="7.625" style="353" customWidth="1"/>
    <col min="14" max="14" width="7.625" style="353" bestFit="1" customWidth="1"/>
    <col min="15" max="15" width="4.625" style="353" bestFit="1" customWidth="1"/>
    <col min="16" max="16" width="7.625" style="354" customWidth="1"/>
    <col min="17" max="17" width="7.625" style="353" customWidth="1"/>
    <col min="18" max="18" width="7.625" style="300" bestFit="1" customWidth="1"/>
    <col min="19" max="19" width="4.625" style="300" bestFit="1" customWidth="1"/>
    <col min="20" max="20" width="9.625" style="300" bestFit="1" customWidth="1"/>
    <col min="21" max="21" width="8.75" style="300" bestFit="1" customWidth="1"/>
    <col min="22" max="22" width="11.5" style="300" bestFit="1" customWidth="1"/>
    <col min="23" max="23" width="6.125" style="300" bestFit="1" customWidth="1"/>
    <col min="24" max="24" width="4.625" style="300" bestFit="1" customWidth="1"/>
    <col min="25" max="27" width="6.125" style="300" bestFit="1" customWidth="1"/>
    <col min="28" max="28" width="9" style="300"/>
    <col min="29" max="29" width="9.125" style="355" customWidth="1"/>
    <col min="30" max="31" width="9" style="355"/>
    <col min="32" max="256" width="9" style="300"/>
    <col min="257" max="257" width="4.75" style="300" customWidth="1"/>
    <col min="258" max="258" width="6.875" style="300" customWidth="1"/>
    <col min="259" max="259" width="18.5" style="300" customWidth="1"/>
    <col min="260" max="260" width="10.875" style="300" customWidth="1"/>
    <col min="261" max="261" width="6.75" style="300" customWidth="1"/>
    <col min="262" max="262" width="9.375" style="300" customWidth="1"/>
    <col min="263" max="263" width="8.875" style="300" customWidth="1"/>
    <col min="264" max="264" width="14" style="300" customWidth="1"/>
    <col min="265" max="265" width="9.375" style="300" customWidth="1"/>
    <col min="266" max="266" width="8.625" style="300" customWidth="1"/>
    <col min="267" max="267" width="12.875" style="300" customWidth="1"/>
    <col min="268" max="268" width="13.375" style="300" bestFit="1" customWidth="1"/>
    <col min="269" max="269" width="7.625" style="300" customWidth="1"/>
    <col min="270" max="270" width="7.625" style="300" bestFit="1" customWidth="1"/>
    <col min="271" max="271" width="4.625" style="300" bestFit="1" customWidth="1"/>
    <col min="272" max="273" width="7.625" style="300" customWidth="1"/>
    <col min="274" max="274" width="7.625" style="300" bestFit="1" customWidth="1"/>
    <col min="275" max="275" width="4.625" style="300" bestFit="1" customWidth="1"/>
    <col min="276" max="276" width="9.625" style="300" bestFit="1" customWidth="1"/>
    <col min="277" max="277" width="8.75" style="300" bestFit="1" customWidth="1"/>
    <col min="278" max="278" width="11.5" style="300" bestFit="1" customWidth="1"/>
    <col min="279" max="279" width="6.125" style="300" bestFit="1" customWidth="1"/>
    <col min="280" max="280" width="4.625" style="300" bestFit="1" customWidth="1"/>
    <col min="281" max="283" width="6.125" style="300" bestFit="1" customWidth="1"/>
    <col min="284" max="284" width="9" style="300"/>
    <col min="285" max="285" width="9.125" style="300" customWidth="1"/>
    <col min="286" max="512" width="9" style="300"/>
    <col min="513" max="513" width="4.75" style="300" customWidth="1"/>
    <col min="514" max="514" width="6.875" style="300" customWidth="1"/>
    <col min="515" max="515" width="18.5" style="300" customWidth="1"/>
    <col min="516" max="516" width="10.875" style="300" customWidth="1"/>
    <col min="517" max="517" width="6.75" style="300" customWidth="1"/>
    <col min="518" max="518" width="9.375" style="300" customWidth="1"/>
    <col min="519" max="519" width="8.875" style="300" customWidth="1"/>
    <col min="520" max="520" width="14" style="300" customWidth="1"/>
    <col min="521" max="521" width="9.375" style="300" customWidth="1"/>
    <col min="522" max="522" width="8.625" style="300" customWidth="1"/>
    <col min="523" max="523" width="12.875" style="300" customWidth="1"/>
    <col min="524" max="524" width="13.375" style="300" bestFit="1" customWidth="1"/>
    <col min="525" max="525" width="7.625" style="300" customWidth="1"/>
    <col min="526" max="526" width="7.625" style="300" bestFit="1" customWidth="1"/>
    <col min="527" max="527" width="4.625" style="300" bestFit="1" customWidth="1"/>
    <col min="528" max="529" width="7.625" style="300" customWidth="1"/>
    <col min="530" max="530" width="7.625" style="300" bestFit="1" customWidth="1"/>
    <col min="531" max="531" width="4.625" style="300" bestFit="1" customWidth="1"/>
    <col min="532" max="532" width="9.625" style="300" bestFit="1" customWidth="1"/>
    <col min="533" max="533" width="8.75" style="300" bestFit="1" customWidth="1"/>
    <col min="534" max="534" width="11.5" style="300" bestFit="1" customWidth="1"/>
    <col min="535" max="535" width="6.125" style="300" bestFit="1" customWidth="1"/>
    <col min="536" max="536" width="4.625" style="300" bestFit="1" customWidth="1"/>
    <col min="537" max="539" width="6.125" style="300" bestFit="1" customWidth="1"/>
    <col min="540" max="540" width="9" style="300"/>
    <col min="541" max="541" width="9.125" style="300" customWidth="1"/>
    <col min="542" max="768" width="9" style="300"/>
    <col min="769" max="769" width="4.75" style="300" customWidth="1"/>
    <col min="770" max="770" width="6.875" style="300" customWidth="1"/>
    <col min="771" max="771" width="18.5" style="300" customWidth="1"/>
    <col min="772" max="772" width="10.875" style="300" customWidth="1"/>
    <col min="773" max="773" width="6.75" style="300" customWidth="1"/>
    <col min="774" max="774" width="9.375" style="300" customWidth="1"/>
    <col min="775" max="775" width="8.875" style="300" customWidth="1"/>
    <col min="776" max="776" width="14" style="300" customWidth="1"/>
    <col min="777" max="777" width="9.375" style="300" customWidth="1"/>
    <col min="778" max="778" width="8.625" style="300" customWidth="1"/>
    <col min="779" max="779" width="12.875" style="300" customWidth="1"/>
    <col min="780" max="780" width="13.375" style="300" bestFit="1" customWidth="1"/>
    <col min="781" max="781" width="7.625" style="300" customWidth="1"/>
    <col min="782" max="782" width="7.625" style="300" bestFit="1" customWidth="1"/>
    <col min="783" max="783" width="4.625" style="300" bestFit="1" customWidth="1"/>
    <col min="784" max="785" width="7.625" style="300" customWidth="1"/>
    <col min="786" max="786" width="7.625" style="300" bestFit="1" customWidth="1"/>
    <col min="787" max="787" width="4.625" style="300" bestFit="1" customWidth="1"/>
    <col min="788" max="788" width="9.625" style="300" bestFit="1" customWidth="1"/>
    <col min="789" max="789" width="8.75" style="300" bestFit="1" customWidth="1"/>
    <col min="790" max="790" width="11.5" style="300" bestFit="1" customWidth="1"/>
    <col min="791" max="791" width="6.125" style="300" bestFit="1" customWidth="1"/>
    <col min="792" max="792" width="4.625" style="300" bestFit="1" customWidth="1"/>
    <col min="793" max="795" width="6.125" style="300" bestFit="1" customWidth="1"/>
    <col min="796" max="796" width="9" style="300"/>
    <col min="797" max="797" width="9.125" style="300" customWidth="1"/>
    <col min="798" max="1024" width="9" style="300"/>
    <col min="1025" max="1025" width="4.75" style="300" customWidth="1"/>
    <col min="1026" max="1026" width="6.875" style="300" customWidth="1"/>
    <col min="1027" max="1027" width="18.5" style="300" customWidth="1"/>
    <col min="1028" max="1028" width="10.875" style="300" customWidth="1"/>
    <col min="1029" max="1029" width="6.75" style="300" customWidth="1"/>
    <col min="1030" max="1030" width="9.375" style="300" customWidth="1"/>
    <col min="1031" max="1031" width="8.875" style="300" customWidth="1"/>
    <col min="1032" max="1032" width="14" style="300" customWidth="1"/>
    <col min="1033" max="1033" width="9.375" style="300" customWidth="1"/>
    <col min="1034" max="1034" width="8.625" style="300" customWidth="1"/>
    <col min="1035" max="1035" width="12.875" style="300" customWidth="1"/>
    <col min="1036" max="1036" width="13.375" style="300" bestFit="1" customWidth="1"/>
    <col min="1037" max="1037" width="7.625" style="300" customWidth="1"/>
    <col min="1038" max="1038" width="7.625" style="300" bestFit="1" customWidth="1"/>
    <col min="1039" max="1039" width="4.625" style="300" bestFit="1" customWidth="1"/>
    <col min="1040" max="1041" width="7.625" style="300" customWidth="1"/>
    <col min="1042" max="1042" width="7.625" style="300" bestFit="1" customWidth="1"/>
    <col min="1043" max="1043" width="4.625" style="300" bestFit="1" customWidth="1"/>
    <col min="1044" max="1044" width="9.625" style="300" bestFit="1" customWidth="1"/>
    <col min="1045" max="1045" width="8.75" style="300" bestFit="1" customWidth="1"/>
    <col min="1046" max="1046" width="11.5" style="300" bestFit="1" customWidth="1"/>
    <col min="1047" max="1047" width="6.125" style="300" bestFit="1" customWidth="1"/>
    <col min="1048" max="1048" width="4.625" style="300" bestFit="1" customWidth="1"/>
    <col min="1049" max="1051" width="6.125" style="300" bestFit="1" customWidth="1"/>
    <col min="1052" max="1052" width="9" style="300"/>
    <col min="1053" max="1053" width="9.125" style="300" customWidth="1"/>
    <col min="1054" max="1280" width="9" style="300"/>
    <col min="1281" max="1281" width="4.75" style="300" customWidth="1"/>
    <col min="1282" max="1282" width="6.875" style="300" customWidth="1"/>
    <col min="1283" max="1283" width="18.5" style="300" customWidth="1"/>
    <col min="1284" max="1284" width="10.875" style="300" customWidth="1"/>
    <col min="1285" max="1285" width="6.75" style="300" customWidth="1"/>
    <col min="1286" max="1286" width="9.375" style="300" customWidth="1"/>
    <col min="1287" max="1287" width="8.875" style="300" customWidth="1"/>
    <col min="1288" max="1288" width="14" style="300" customWidth="1"/>
    <col min="1289" max="1289" width="9.375" style="300" customWidth="1"/>
    <col min="1290" max="1290" width="8.625" style="300" customWidth="1"/>
    <col min="1291" max="1291" width="12.875" style="300" customWidth="1"/>
    <col min="1292" max="1292" width="13.375" style="300" bestFit="1" customWidth="1"/>
    <col min="1293" max="1293" width="7.625" style="300" customWidth="1"/>
    <col min="1294" max="1294" width="7.625" style="300" bestFit="1" customWidth="1"/>
    <col min="1295" max="1295" width="4.625" style="300" bestFit="1" customWidth="1"/>
    <col min="1296" max="1297" width="7.625" style="300" customWidth="1"/>
    <col min="1298" max="1298" width="7.625" style="300" bestFit="1" customWidth="1"/>
    <col min="1299" max="1299" width="4.625" style="300" bestFit="1" customWidth="1"/>
    <col min="1300" max="1300" width="9.625" style="300" bestFit="1" customWidth="1"/>
    <col min="1301" max="1301" width="8.75" style="300" bestFit="1" customWidth="1"/>
    <col min="1302" max="1302" width="11.5" style="300" bestFit="1" customWidth="1"/>
    <col min="1303" max="1303" width="6.125" style="300" bestFit="1" customWidth="1"/>
    <col min="1304" max="1304" width="4.625" style="300" bestFit="1" customWidth="1"/>
    <col min="1305" max="1307" width="6.125" style="300" bestFit="1" customWidth="1"/>
    <col min="1308" max="1308" width="9" style="300"/>
    <col min="1309" max="1309" width="9.125" style="300" customWidth="1"/>
    <col min="1310" max="1536" width="9" style="300"/>
    <col min="1537" max="1537" width="4.75" style="300" customWidth="1"/>
    <col min="1538" max="1538" width="6.875" style="300" customWidth="1"/>
    <col min="1539" max="1539" width="18.5" style="300" customWidth="1"/>
    <col min="1540" max="1540" width="10.875" style="300" customWidth="1"/>
    <col min="1541" max="1541" width="6.75" style="300" customWidth="1"/>
    <col min="1542" max="1542" width="9.375" style="300" customWidth="1"/>
    <col min="1543" max="1543" width="8.875" style="300" customWidth="1"/>
    <col min="1544" max="1544" width="14" style="300" customWidth="1"/>
    <col min="1545" max="1545" width="9.375" style="300" customWidth="1"/>
    <col min="1546" max="1546" width="8.625" style="300" customWidth="1"/>
    <col min="1547" max="1547" width="12.875" style="300" customWidth="1"/>
    <col min="1548" max="1548" width="13.375" style="300" bestFit="1" customWidth="1"/>
    <col min="1549" max="1549" width="7.625" style="300" customWidth="1"/>
    <col min="1550" max="1550" width="7.625" style="300" bestFit="1" customWidth="1"/>
    <col min="1551" max="1551" width="4.625" style="300" bestFit="1" customWidth="1"/>
    <col min="1552" max="1553" width="7.625" style="300" customWidth="1"/>
    <col min="1554" max="1554" width="7.625" style="300" bestFit="1" customWidth="1"/>
    <col min="1555" max="1555" width="4.625" style="300" bestFit="1" customWidth="1"/>
    <col min="1556" max="1556" width="9.625" style="300" bestFit="1" customWidth="1"/>
    <col min="1557" max="1557" width="8.75" style="300" bestFit="1" customWidth="1"/>
    <col min="1558" max="1558" width="11.5" style="300" bestFit="1" customWidth="1"/>
    <col min="1559" max="1559" width="6.125" style="300" bestFit="1" customWidth="1"/>
    <col min="1560" max="1560" width="4.625" style="300" bestFit="1" customWidth="1"/>
    <col min="1561" max="1563" width="6.125" style="300" bestFit="1" customWidth="1"/>
    <col min="1564" max="1564" width="9" style="300"/>
    <col min="1565" max="1565" width="9.125" style="300" customWidth="1"/>
    <col min="1566" max="1792" width="9" style="300"/>
    <col min="1793" max="1793" width="4.75" style="300" customWidth="1"/>
    <col min="1794" max="1794" width="6.875" style="300" customWidth="1"/>
    <col min="1795" max="1795" width="18.5" style="300" customWidth="1"/>
    <col min="1796" max="1796" width="10.875" style="300" customWidth="1"/>
    <col min="1797" max="1797" width="6.75" style="300" customWidth="1"/>
    <col min="1798" max="1798" width="9.375" style="300" customWidth="1"/>
    <col min="1799" max="1799" width="8.875" style="300" customWidth="1"/>
    <col min="1800" max="1800" width="14" style="300" customWidth="1"/>
    <col min="1801" max="1801" width="9.375" style="300" customWidth="1"/>
    <col min="1802" max="1802" width="8.625" style="300" customWidth="1"/>
    <col min="1803" max="1803" width="12.875" style="300" customWidth="1"/>
    <col min="1804" max="1804" width="13.375" style="300" bestFit="1" customWidth="1"/>
    <col min="1805" max="1805" width="7.625" style="300" customWidth="1"/>
    <col min="1806" max="1806" width="7.625" style="300" bestFit="1" customWidth="1"/>
    <col min="1807" max="1807" width="4.625" style="300" bestFit="1" customWidth="1"/>
    <col min="1808" max="1809" width="7.625" style="300" customWidth="1"/>
    <col min="1810" max="1810" width="7.625" style="300" bestFit="1" customWidth="1"/>
    <col min="1811" max="1811" width="4.625" style="300" bestFit="1" customWidth="1"/>
    <col min="1812" max="1812" width="9.625" style="300" bestFit="1" customWidth="1"/>
    <col min="1813" max="1813" width="8.75" style="300" bestFit="1" customWidth="1"/>
    <col min="1814" max="1814" width="11.5" style="300" bestFit="1" customWidth="1"/>
    <col min="1815" max="1815" width="6.125" style="300" bestFit="1" customWidth="1"/>
    <col min="1816" max="1816" width="4.625" style="300" bestFit="1" customWidth="1"/>
    <col min="1817" max="1819" width="6.125" style="300" bestFit="1" customWidth="1"/>
    <col min="1820" max="1820" width="9" style="300"/>
    <col min="1821" max="1821" width="9.125" style="300" customWidth="1"/>
    <col min="1822" max="2048" width="9" style="300"/>
    <col min="2049" max="2049" width="4.75" style="300" customWidth="1"/>
    <col min="2050" max="2050" width="6.875" style="300" customWidth="1"/>
    <col min="2051" max="2051" width="18.5" style="300" customWidth="1"/>
    <col min="2052" max="2052" width="10.875" style="300" customWidth="1"/>
    <col min="2053" max="2053" width="6.75" style="300" customWidth="1"/>
    <col min="2054" max="2054" width="9.375" style="300" customWidth="1"/>
    <col min="2055" max="2055" width="8.875" style="300" customWidth="1"/>
    <col min="2056" max="2056" width="14" style="300" customWidth="1"/>
    <col min="2057" max="2057" width="9.375" style="300" customWidth="1"/>
    <col min="2058" max="2058" width="8.625" style="300" customWidth="1"/>
    <col min="2059" max="2059" width="12.875" style="300" customWidth="1"/>
    <col min="2060" max="2060" width="13.375" style="300" bestFit="1" customWidth="1"/>
    <col min="2061" max="2061" width="7.625" style="300" customWidth="1"/>
    <col min="2062" max="2062" width="7.625" style="300" bestFit="1" customWidth="1"/>
    <col min="2063" max="2063" width="4.625" style="300" bestFit="1" customWidth="1"/>
    <col min="2064" max="2065" width="7.625" style="300" customWidth="1"/>
    <col min="2066" max="2066" width="7.625" style="300" bestFit="1" customWidth="1"/>
    <col min="2067" max="2067" width="4.625" style="300" bestFit="1" customWidth="1"/>
    <col min="2068" max="2068" width="9.625" style="300" bestFit="1" customWidth="1"/>
    <col min="2069" max="2069" width="8.75" style="300" bestFit="1" customWidth="1"/>
    <col min="2070" max="2070" width="11.5" style="300" bestFit="1" customWidth="1"/>
    <col min="2071" max="2071" width="6.125" style="300" bestFit="1" customWidth="1"/>
    <col min="2072" max="2072" width="4.625" style="300" bestFit="1" customWidth="1"/>
    <col min="2073" max="2075" width="6.125" style="300" bestFit="1" customWidth="1"/>
    <col min="2076" max="2076" width="9" style="300"/>
    <col min="2077" max="2077" width="9.125" style="300" customWidth="1"/>
    <col min="2078" max="2304" width="9" style="300"/>
    <col min="2305" max="2305" width="4.75" style="300" customWidth="1"/>
    <col min="2306" max="2306" width="6.875" style="300" customWidth="1"/>
    <col min="2307" max="2307" width="18.5" style="300" customWidth="1"/>
    <col min="2308" max="2308" width="10.875" style="300" customWidth="1"/>
    <col min="2309" max="2309" width="6.75" style="300" customWidth="1"/>
    <col min="2310" max="2310" width="9.375" style="300" customWidth="1"/>
    <col min="2311" max="2311" width="8.875" style="300" customWidth="1"/>
    <col min="2312" max="2312" width="14" style="300" customWidth="1"/>
    <col min="2313" max="2313" width="9.375" style="300" customWidth="1"/>
    <col min="2314" max="2314" width="8.625" style="300" customWidth="1"/>
    <col min="2315" max="2315" width="12.875" style="300" customWidth="1"/>
    <col min="2316" max="2316" width="13.375" style="300" bestFit="1" customWidth="1"/>
    <col min="2317" max="2317" width="7.625" style="300" customWidth="1"/>
    <col min="2318" max="2318" width="7.625" style="300" bestFit="1" customWidth="1"/>
    <col min="2319" max="2319" width="4.625" style="300" bestFit="1" customWidth="1"/>
    <col min="2320" max="2321" width="7.625" style="300" customWidth="1"/>
    <col min="2322" max="2322" width="7.625" style="300" bestFit="1" customWidth="1"/>
    <col min="2323" max="2323" width="4.625" style="300" bestFit="1" customWidth="1"/>
    <col min="2324" max="2324" width="9.625" style="300" bestFit="1" customWidth="1"/>
    <col min="2325" max="2325" width="8.75" style="300" bestFit="1" customWidth="1"/>
    <col min="2326" max="2326" width="11.5" style="300" bestFit="1" customWidth="1"/>
    <col min="2327" max="2327" width="6.125" style="300" bestFit="1" customWidth="1"/>
    <col min="2328" max="2328" width="4.625" style="300" bestFit="1" customWidth="1"/>
    <col min="2329" max="2331" width="6.125" style="300" bestFit="1" customWidth="1"/>
    <col min="2332" max="2332" width="9" style="300"/>
    <col min="2333" max="2333" width="9.125" style="300" customWidth="1"/>
    <col min="2334" max="2560" width="9" style="300"/>
    <col min="2561" max="2561" width="4.75" style="300" customWidth="1"/>
    <col min="2562" max="2562" width="6.875" style="300" customWidth="1"/>
    <col min="2563" max="2563" width="18.5" style="300" customWidth="1"/>
    <col min="2564" max="2564" width="10.875" style="300" customWidth="1"/>
    <col min="2565" max="2565" width="6.75" style="300" customWidth="1"/>
    <col min="2566" max="2566" width="9.375" style="300" customWidth="1"/>
    <col min="2567" max="2567" width="8.875" style="300" customWidth="1"/>
    <col min="2568" max="2568" width="14" style="300" customWidth="1"/>
    <col min="2569" max="2569" width="9.375" style="300" customWidth="1"/>
    <col min="2570" max="2570" width="8.625" style="300" customWidth="1"/>
    <col min="2571" max="2571" width="12.875" style="300" customWidth="1"/>
    <col min="2572" max="2572" width="13.375" style="300" bestFit="1" customWidth="1"/>
    <col min="2573" max="2573" width="7.625" style="300" customWidth="1"/>
    <col min="2574" max="2574" width="7.625" style="300" bestFit="1" customWidth="1"/>
    <col min="2575" max="2575" width="4.625" style="300" bestFit="1" customWidth="1"/>
    <col min="2576" max="2577" width="7.625" style="300" customWidth="1"/>
    <col min="2578" max="2578" width="7.625" style="300" bestFit="1" customWidth="1"/>
    <col min="2579" max="2579" width="4.625" style="300" bestFit="1" customWidth="1"/>
    <col min="2580" max="2580" width="9.625" style="300" bestFit="1" customWidth="1"/>
    <col min="2581" max="2581" width="8.75" style="300" bestFit="1" customWidth="1"/>
    <col min="2582" max="2582" width="11.5" style="300" bestFit="1" customWidth="1"/>
    <col min="2583" max="2583" width="6.125" style="300" bestFit="1" customWidth="1"/>
    <col min="2584" max="2584" width="4.625" style="300" bestFit="1" customWidth="1"/>
    <col min="2585" max="2587" width="6.125" style="300" bestFit="1" customWidth="1"/>
    <col min="2588" max="2588" width="9" style="300"/>
    <col min="2589" max="2589" width="9.125" style="300" customWidth="1"/>
    <col min="2590" max="2816" width="9" style="300"/>
    <col min="2817" max="2817" width="4.75" style="300" customWidth="1"/>
    <col min="2818" max="2818" width="6.875" style="300" customWidth="1"/>
    <col min="2819" max="2819" width="18.5" style="300" customWidth="1"/>
    <col min="2820" max="2820" width="10.875" style="300" customWidth="1"/>
    <col min="2821" max="2821" width="6.75" style="300" customWidth="1"/>
    <col min="2822" max="2822" width="9.375" style="300" customWidth="1"/>
    <col min="2823" max="2823" width="8.875" style="300" customWidth="1"/>
    <col min="2824" max="2824" width="14" style="300" customWidth="1"/>
    <col min="2825" max="2825" width="9.375" style="300" customWidth="1"/>
    <col min="2826" max="2826" width="8.625" style="300" customWidth="1"/>
    <col min="2827" max="2827" width="12.875" style="300" customWidth="1"/>
    <col min="2828" max="2828" width="13.375" style="300" bestFit="1" customWidth="1"/>
    <col min="2829" max="2829" width="7.625" style="300" customWidth="1"/>
    <col min="2830" max="2830" width="7.625" style="300" bestFit="1" customWidth="1"/>
    <col min="2831" max="2831" width="4.625" style="300" bestFit="1" customWidth="1"/>
    <col min="2832" max="2833" width="7.625" style="300" customWidth="1"/>
    <col min="2834" max="2834" width="7.625" style="300" bestFit="1" customWidth="1"/>
    <col min="2835" max="2835" width="4.625" style="300" bestFit="1" customWidth="1"/>
    <col min="2836" max="2836" width="9.625" style="300" bestFit="1" customWidth="1"/>
    <col min="2837" max="2837" width="8.75" style="300" bestFit="1" customWidth="1"/>
    <col min="2838" max="2838" width="11.5" style="300" bestFit="1" customWidth="1"/>
    <col min="2839" max="2839" width="6.125" style="300" bestFit="1" customWidth="1"/>
    <col min="2840" max="2840" width="4.625" style="300" bestFit="1" customWidth="1"/>
    <col min="2841" max="2843" width="6.125" style="300" bestFit="1" customWidth="1"/>
    <col min="2844" max="2844" width="9" style="300"/>
    <col min="2845" max="2845" width="9.125" style="300" customWidth="1"/>
    <col min="2846" max="3072" width="9" style="300"/>
    <col min="3073" max="3073" width="4.75" style="300" customWidth="1"/>
    <col min="3074" max="3074" width="6.875" style="300" customWidth="1"/>
    <col min="3075" max="3075" width="18.5" style="300" customWidth="1"/>
    <col min="3076" max="3076" width="10.875" style="300" customWidth="1"/>
    <col min="3077" max="3077" width="6.75" style="300" customWidth="1"/>
    <col min="3078" max="3078" width="9.375" style="300" customWidth="1"/>
    <col min="3079" max="3079" width="8.875" style="300" customWidth="1"/>
    <col min="3080" max="3080" width="14" style="300" customWidth="1"/>
    <col min="3081" max="3081" width="9.375" style="300" customWidth="1"/>
    <col min="3082" max="3082" width="8.625" style="300" customWidth="1"/>
    <col min="3083" max="3083" width="12.875" style="300" customWidth="1"/>
    <col min="3084" max="3084" width="13.375" style="300" bestFit="1" customWidth="1"/>
    <col min="3085" max="3085" width="7.625" style="300" customWidth="1"/>
    <col min="3086" max="3086" width="7.625" style="300" bestFit="1" customWidth="1"/>
    <col min="3087" max="3087" width="4.625" style="300" bestFit="1" customWidth="1"/>
    <col min="3088" max="3089" width="7.625" style="300" customWidth="1"/>
    <col min="3090" max="3090" width="7.625" style="300" bestFit="1" customWidth="1"/>
    <col min="3091" max="3091" width="4.625" style="300" bestFit="1" customWidth="1"/>
    <col min="3092" max="3092" width="9.625" style="300" bestFit="1" customWidth="1"/>
    <col min="3093" max="3093" width="8.75" style="300" bestFit="1" customWidth="1"/>
    <col min="3094" max="3094" width="11.5" style="300" bestFit="1" customWidth="1"/>
    <col min="3095" max="3095" width="6.125" style="300" bestFit="1" customWidth="1"/>
    <col min="3096" max="3096" width="4.625" style="300" bestFit="1" customWidth="1"/>
    <col min="3097" max="3099" width="6.125" style="300" bestFit="1" customWidth="1"/>
    <col min="3100" max="3100" width="9" style="300"/>
    <col min="3101" max="3101" width="9.125" style="300" customWidth="1"/>
    <col min="3102" max="3328" width="9" style="300"/>
    <col min="3329" max="3329" width="4.75" style="300" customWidth="1"/>
    <col min="3330" max="3330" width="6.875" style="300" customWidth="1"/>
    <col min="3331" max="3331" width="18.5" style="300" customWidth="1"/>
    <col min="3332" max="3332" width="10.875" style="300" customWidth="1"/>
    <col min="3333" max="3333" width="6.75" style="300" customWidth="1"/>
    <col min="3334" max="3334" width="9.375" style="300" customWidth="1"/>
    <col min="3335" max="3335" width="8.875" style="300" customWidth="1"/>
    <col min="3336" max="3336" width="14" style="300" customWidth="1"/>
    <col min="3337" max="3337" width="9.375" style="300" customWidth="1"/>
    <col min="3338" max="3338" width="8.625" style="300" customWidth="1"/>
    <col min="3339" max="3339" width="12.875" style="300" customWidth="1"/>
    <col min="3340" max="3340" width="13.375" style="300" bestFit="1" customWidth="1"/>
    <col min="3341" max="3341" width="7.625" style="300" customWidth="1"/>
    <col min="3342" max="3342" width="7.625" style="300" bestFit="1" customWidth="1"/>
    <col min="3343" max="3343" width="4.625" style="300" bestFit="1" customWidth="1"/>
    <col min="3344" max="3345" width="7.625" style="300" customWidth="1"/>
    <col min="3346" max="3346" width="7.625" style="300" bestFit="1" customWidth="1"/>
    <col min="3347" max="3347" width="4.625" style="300" bestFit="1" customWidth="1"/>
    <col min="3348" max="3348" width="9.625" style="300" bestFit="1" customWidth="1"/>
    <col min="3349" max="3349" width="8.75" style="300" bestFit="1" customWidth="1"/>
    <col min="3350" max="3350" width="11.5" style="300" bestFit="1" customWidth="1"/>
    <col min="3351" max="3351" width="6.125" style="300" bestFit="1" customWidth="1"/>
    <col min="3352" max="3352" width="4.625" style="300" bestFit="1" customWidth="1"/>
    <col min="3353" max="3355" width="6.125" style="300" bestFit="1" customWidth="1"/>
    <col min="3356" max="3356" width="9" style="300"/>
    <col min="3357" max="3357" width="9.125" style="300" customWidth="1"/>
    <col min="3358" max="3584" width="9" style="300"/>
    <col min="3585" max="3585" width="4.75" style="300" customWidth="1"/>
    <col min="3586" max="3586" width="6.875" style="300" customWidth="1"/>
    <col min="3587" max="3587" width="18.5" style="300" customWidth="1"/>
    <col min="3588" max="3588" width="10.875" style="300" customWidth="1"/>
    <col min="3589" max="3589" width="6.75" style="300" customWidth="1"/>
    <col min="3590" max="3590" width="9.375" style="300" customWidth="1"/>
    <col min="3591" max="3591" width="8.875" style="300" customWidth="1"/>
    <col min="3592" max="3592" width="14" style="300" customWidth="1"/>
    <col min="3593" max="3593" width="9.375" style="300" customWidth="1"/>
    <col min="3594" max="3594" width="8.625" style="300" customWidth="1"/>
    <col min="3595" max="3595" width="12.875" style="300" customWidth="1"/>
    <col min="3596" max="3596" width="13.375" style="300" bestFit="1" customWidth="1"/>
    <col min="3597" max="3597" width="7.625" style="300" customWidth="1"/>
    <col min="3598" max="3598" width="7.625" style="300" bestFit="1" customWidth="1"/>
    <col min="3599" max="3599" width="4.625" style="300" bestFit="1" customWidth="1"/>
    <col min="3600" max="3601" width="7.625" style="300" customWidth="1"/>
    <col min="3602" max="3602" width="7.625" style="300" bestFit="1" customWidth="1"/>
    <col min="3603" max="3603" width="4.625" style="300" bestFit="1" customWidth="1"/>
    <col min="3604" max="3604" width="9.625" style="300" bestFit="1" customWidth="1"/>
    <col min="3605" max="3605" width="8.75" style="300" bestFit="1" customWidth="1"/>
    <col min="3606" max="3606" width="11.5" style="300" bestFit="1" customWidth="1"/>
    <col min="3607" max="3607" width="6.125" style="300" bestFit="1" customWidth="1"/>
    <col min="3608" max="3608" width="4.625" style="300" bestFit="1" customWidth="1"/>
    <col min="3609" max="3611" width="6.125" style="300" bestFit="1" customWidth="1"/>
    <col min="3612" max="3612" width="9" style="300"/>
    <col min="3613" max="3613" width="9.125" style="300" customWidth="1"/>
    <col min="3614" max="3840" width="9" style="300"/>
    <col min="3841" max="3841" width="4.75" style="300" customWidth="1"/>
    <col min="3842" max="3842" width="6.875" style="300" customWidth="1"/>
    <col min="3843" max="3843" width="18.5" style="300" customWidth="1"/>
    <col min="3844" max="3844" width="10.875" style="300" customWidth="1"/>
    <col min="3845" max="3845" width="6.75" style="300" customWidth="1"/>
    <col min="3846" max="3846" width="9.375" style="300" customWidth="1"/>
    <col min="3847" max="3847" width="8.875" style="300" customWidth="1"/>
    <col min="3848" max="3848" width="14" style="300" customWidth="1"/>
    <col min="3849" max="3849" width="9.375" style="300" customWidth="1"/>
    <col min="3850" max="3850" width="8.625" style="300" customWidth="1"/>
    <col min="3851" max="3851" width="12.875" style="300" customWidth="1"/>
    <col min="3852" max="3852" width="13.375" style="300" bestFit="1" customWidth="1"/>
    <col min="3853" max="3853" width="7.625" style="300" customWidth="1"/>
    <col min="3854" max="3854" width="7.625" style="300" bestFit="1" customWidth="1"/>
    <col min="3855" max="3855" width="4.625" style="300" bestFit="1" customWidth="1"/>
    <col min="3856" max="3857" width="7.625" style="300" customWidth="1"/>
    <col min="3858" max="3858" width="7.625" style="300" bestFit="1" customWidth="1"/>
    <col min="3859" max="3859" width="4.625" style="300" bestFit="1" customWidth="1"/>
    <col min="3860" max="3860" width="9.625" style="300" bestFit="1" customWidth="1"/>
    <col min="3861" max="3861" width="8.75" style="300" bestFit="1" customWidth="1"/>
    <col min="3862" max="3862" width="11.5" style="300" bestFit="1" customWidth="1"/>
    <col min="3863" max="3863" width="6.125" style="300" bestFit="1" customWidth="1"/>
    <col min="3864" max="3864" width="4.625" style="300" bestFit="1" customWidth="1"/>
    <col min="3865" max="3867" width="6.125" style="300" bestFit="1" customWidth="1"/>
    <col min="3868" max="3868" width="9" style="300"/>
    <col min="3869" max="3869" width="9.125" style="300" customWidth="1"/>
    <col min="3870" max="4096" width="9" style="300"/>
    <col min="4097" max="4097" width="4.75" style="300" customWidth="1"/>
    <col min="4098" max="4098" width="6.875" style="300" customWidth="1"/>
    <col min="4099" max="4099" width="18.5" style="300" customWidth="1"/>
    <col min="4100" max="4100" width="10.875" style="300" customWidth="1"/>
    <col min="4101" max="4101" width="6.75" style="300" customWidth="1"/>
    <col min="4102" max="4102" width="9.375" style="300" customWidth="1"/>
    <col min="4103" max="4103" width="8.875" style="300" customWidth="1"/>
    <col min="4104" max="4104" width="14" style="300" customWidth="1"/>
    <col min="4105" max="4105" width="9.375" style="300" customWidth="1"/>
    <col min="4106" max="4106" width="8.625" style="300" customWidth="1"/>
    <col min="4107" max="4107" width="12.875" style="300" customWidth="1"/>
    <col min="4108" max="4108" width="13.375" style="300" bestFit="1" customWidth="1"/>
    <col min="4109" max="4109" width="7.625" style="300" customWidth="1"/>
    <col min="4110" max="4110" width="7.625" style="300" bestFit="1" customWidth="1"/>
    <col min="4111" max="4111" width="4.625" style="300" bestFit="1" customWidth="1"/>
    <col min="4112" max="4113" width="7.625" style="300" customWidth="1"/>
    <col min="4114" max="4114" width="7.625" style="300" bestFit="1" customWidth="1"/>
    <col min="4115" max="4115" width="4.625" style="300" bestFit="1" customWidth="1"/>
    <col min="4116" max="4116" width="9.625" style="300" bestFit="1" customWidth="1"/>
    <col min="4117" max="4117" width="8.75" style="300" bestFit="1" customWidth="1"/>
    <col min="4118" max="4118" width="11.5" style="300" bestFit="1" customWidth="1"/>
    <col min="4119" max="4119" width="6.125" style="300" bestFit="1" customWidth="1"/>
    <col min="4120" max="4120" width="4.625" style="300" bestFit="1" customWidth="1"/>
    <col min="4121" max="4123" width="6.125" style="300" bestFit="1" customWidth="1"/>
    <col min="4124" max="4124" width="9" style="300"/>
    <col min="4125" max="4125" width="9.125" style="300" customWidth="1"/>
    <col min="4126" max="4352" width="9" style="300"/>
    <col min="4353" max="4353" width="4.75" style="300" customWidth="1"/>
    <col min="4354" max="4354" width="6.875" style="300" customWidth="1"/>
    <col min="4355" max="4355" width="18.5" style="300" customWidth="1"/>
    <col min="4356" max="4356" width="10.875" style="300" customWidth="1"/>
    <col min="4357" max="4357" width="6.75" style="300" customWidth="1"/>
    <col min="4358" max="4358" width="9.375" style="300" customWidth="1"/>
    <col min="4359" max="4359" width="8.875" style="300" customWidth="1"/>
    <col min="4360" max="4360" width="14" style="300" customWidth="1"/>
    <col min="4361" max="4361" width="9.375" style="300" customWidth="1"/>
    <col min="4362" max="4362" width="8.625" style="300" customWidth="1"/>
    <col min="4363" max="4363" width="12.875" style="300" customWidth="1"/>
    <col min="4364" max="4364" width="13.375" style="300" bestFit="1" customWidth="1"/>
    <col min="4365" max="4365" width="7.625" style="300" customWidth="1"/>
    <col min="4366" max="4366" width="7.625" style="300" bestFit="1" customWidth="1"/>
    <col min="4367" max="4367" width="4.625" style="300" bestFit="1" customWidth="1"/>
    <col min="4368" max="4369" width="7.625" style="300" customWidth="1"/>
    <col min="4370" max="4370" width="7.625" style="300" bestFit="1" customWidth="1"/>
    <col min="4371" max="4371" width="4.625" style="300" bestFit="1" customWidth="1"/>
    <col min="4372" max="4372" width="9.625" style="300" bestFit="1" customWidth="1"/>
    <col min="4373" max="4373" width="8.75" style="300" bestFit="1" customWidth="1"/>
    <col min="4374" max="4374" width="11.5" style="300" bestFit="1" customWidth="1"/>
    <col min="4375" max="4375" width="6.125" style="300" bestFit="1" customWidth="1"/>
    <col min="4376" max="4376" width="4.625" style="300" bestFit="1" customWidth="1"/>
    <col min="4377" max="4379" width="6.125" style="300" bestFit="1" customWidth="1"/>
    <col min="4380" max="4380" width="9" style="300"/>
    <col min="4381" max="4381" width="9.125" style="300" customWidth="1"/>
    <col min="4382" max="4608" width="9" style="300"/>
    <col min="4609" max="4609" width="4.75" style="300" customWidth="1"/>
    <col min="4610" max="4610" width="6.875" style="300" customWidth="1"/>
    <col min="4611" max="4611" width="18.5" style="300" customWidth="1"/>
    <col min="4612" max="4612" width="10.875" style="300" customWidth="1"/>
    <col min="4613" max="4613" width="6.75" style="300" customWidth="1"/>
    <col min="4614" max="4614" width="9.375" style="300" customWidth="1"/>
    <col min="4615" max="4615" width="8.875" style="300" customWidth="1"/>
    <col min="4616" max="4616" width="14" style="300" customWidth="1"/>
    <col min="4617" max="4617" width="9.375" style="300" customWidth="1"/>
    <col min="4618" max="4618" width="8.625" style="300" customWidth="1"/>
    <col min="4619" max="4619" width="12.875" style="300" customWidth="1"/>
    <col min="4620" max="4620" width="13.375" style="300" bestFit="1" customWidth="1"/>
    <col min="4621" max="4621" width="7.625" style="300" customWidth="1"/>
    <col min="4622" max="4622" width="7.625" style="300" bestFit="1" customWidth="1"/>
    <col min="4623" max="4623" width="4.625" style="300" bestFit="1" customWidth="1"/>
    <col min="4624" max="4625" width="7.625" style="300" customWidth="1"/>
    <col min="4626" max="4626" width="7.625" style="300" bestFit="1" customWidth="1"/>
    <col min="4627" max="4627" width="4.625" style="300" bestFit="1" customWidth="1"/>
    <col min="4628" max="4628" width="9.625" style="300" bestFit="1" customWidth="1"/>
    <col min="4629" max="4629" width="8.75" style="300" bestFit="1" customWidth="1"/>
    <col min="4630" max="4630" width="11.5" style="300" bestFit="1" customWidth="1"/>
    <col min="4631" max="4631" width="6.125" style="300" bestFit="1" customWidth="1"/>
    <col min="4632" max="4632" width="4.625" style="300" bestFit="1" customWidth="1"/>
    <col min="4633" max="4635" width="6.125" style="300" bestFit="1" customWidth="1"/>
    <col min="4636" max="4636" width="9" style="300"/>
    <col min="4637" max="4637" width="9.125" style="300" customWidth="1"/>
    <col min="4638" max="4864" width="9" style="300"/>
    <col min="4865" max="4865" width="4.75" style="300" customWidth="1"/>
    <col min="4866" max="4866" width="6.875" style="300" customWidth="1"/>
    <col min="4867" max="4867" width="18.5" style="300" customWidth="1"/>
    <col min="4868" max="4868" width="10.875" style="300" customWidth="1"/>
    <col min="4869" max="4869" width="6.75" style="300" customWidth="1"/>
    <col min="4870" max="4870" width="9.375" style="300" customWidth="1"/>
    <col min="4871" max="4871" width="8.875" style="300" customWidth="1"/>
    <col min="4872" max="4872" width="14" style="300" customWidth="1"/>
    <col min="4873" max="4873" width="9.375" style="300" customWidth="1"/>
    <col min="4874" max="4874" width="8.625" style="300" customWidth="1"/>
    <col min="4875" max="4875" width="12.875" style="300" customWidth="1"/>
    <col min="4876" max="4876" width="13.375" style="300" bestFit="1" customWidth="1"/>
    <col min="4877" max="4877" width="7.625" style="300" customWidth="1"/>
    <col min="4878" max="4878" width="7.625" style="300" bestFit="1" customWidth="1"/>
    <col min="4879" max="4879" width="4.625" style="300" bestFit="1" customWidth="1"/>
    <col min="4880" max="4881" width="7.625" style="300" customWidth="1"/>
    <col min="4882" max="4882" width="7.625" style="300" bestFit="1" customWidth="1"/>
    <col min="4883" max="4883" width="4.625" style="300" bestFit="1" customWidth="1"/>
    <col min="4884" max="4884" width="9.625" style="300" bestFit="1" customWidth="1"/>
    <col min="4885" max="4885" width="8.75" style="300" bestFit="1" customWidth="1"/>
    <col min="4886" max="4886" width="11.5" style="300" bestFit="1" customWidth="1"/>
    <col min="4887" max="4887" width="6.125" style="300" bestFit="1" customWidth="1"/>
    <col min="4888" max="4888" width="4.625" style="300" bestFit="1" customWidth="1"/>
    <col min="4889" max="4891" width="6.125" style="300" bestFit="1" customWidth="1"/>
    <col min="4892" max="4892" width="9" style="300"/>
    <col min="4893" max="4893" width="9.125" style="300" customWidth="1"/>
    <col min="4894" max="5120" width="9" style="300"/>
    <col min="5121" max="5121" width="4.75" style="300" customWidth="1"/>
    <col min="5122" max="5122" width="6.875" style="300" customWidth="1"/>
    <col min="5123" max="5123" width="18.5" style="300" customWidth="1"/>
    <col min="5124" max="5124" width="10.875" style="300" customWidth="1"/>
    <col min="5125" max="5125" width="6.75" style="300" customWidth="1"/>
    <col min="5126" max="5126" width="9.375" style="300" customWidth="1"/>
    <col min="5127" max="5127" width="8.875" style="300" customWidth="1"/>
    <col min="5128" max="5128" width="14" style="300" customWidth="1"/>
    <col min="5129" max="5129" width="9.375" style="300" customWidth="1"/>
    <col min="5130" max="5130" width="8.625" style="300" customWidth="1"/>
    <col min="5131" max="5131" width="12.875" style="300" customWidth="1"/>
    <col min="5132" max="5132" width="13.375" style="300" bestFit="1" customWidth="1"/>
    <col min="5133" max="5133" width="7.625" style="300" customWidth="1"/>
    <col min="5134" max="5134" width="7.625" style="300" bestFit="1" customWidth="1"/>
    <col min="5135" max="5135" width="4.625" style="300" bestFit="1" customWidth="1"/>
    <col min="5136" max="5137" width="7.625" style="300" customWidth="1"/>
    <col min="5138" max="5138" width="7.625" style="300" bestFit="1" customWidth="1"/>
    <col min="5139" max="5139" width="4.625" style="300" bestFit="1" customWidth="1"/>
    <col min="5140" max="5140" width="9.625" style="300" bestFit="1" customWidth="1"/>
    <col min="5141" max="5141" width="8.75" style="300" bestFit="1" customWidth="1"/>
    <col min="5142" max="5142" width="11.5" style="300" bestFit="1" customWidth="1"/>
    <col min="5143" max="5143" width="6.125" style="300" bestFit="1" customWidth="1"/>
    <col min="5144" max="5144" width="4.625" style="300" bestFit="1" customWidth="1"/>
    <col min="5145" max="5147" width="6.125" style="300" bestFit="1" customWidth="1"/>
    <col min="5148" max="5148" width="9" style="300"/>
    <col min="5149" max="5149" width="9.125" style="300" customWidth="1"/>
    <col min="5150" max="5376" width="9" style="300"/>
    <col min="5377" max="5377" width="4.75" style="300" customWidth="1"/>
    <col min="5378" max="5378" width="6.875" style="300" customWidth="1"/>
    <col min="5379" max="5379" width="18.5" style="300" customWidth="1"/>
    <col min="5380" max="5380" width="10.875" style="300" customWidth="1"/>
    <col min="5381" max="5381" width="6.75" style="300" customWidth="1"/>
    <col min="5382" max="5382" width="9.375" style="300" customWidth="1"/>
    <col min="5383" max="5383" width="8.875" style="300" customWidth="1"/>
    <col min="5384" max="5384" width="14" style="300" customWidth="1"/>
    <col min="5385" max="5385" width="9.375" style="300" customWidth="1"/>
    <col min="5386" max="5386" width="8.625" style="300" customWidth="1"/>
    <col min="5387" max="5387" width="12.875" style="300" customWidth="1"/>
    <col min="5388" max="5388" width="13.375" style="300" bestFit="1" customWidth="1"/>
    <col min="5389" max="5389" width="7.625" style="300" customWidth="1"/>
    <col min="5390" max="5390" width="7.625" style="300" bestFit="1" customWidth="1"/>
    <col min="5391" max="5391" width="4.625" style="300" bestFit="1" customWidth="1"/>
    <col min="5392" max="5393" width="7.625" style="300" customWidth="1"/>
    <col min="5394" max="5394" width="7.625" style="300" bestFit="1" customWidth="1"/>
    <col min="5395" max="5395" width="4.625" style="300" bestFit="1" customWidth="1"/>
    <col min="5396" max="5396" width="9.625" style="300" bestFit="1" customWidth="1"/>
    <col min="5397" max="5397" width="8.75" style="300" bestFit="1" customWidth="1"/>
    <col min="5398" max="5398" width="11.5" style="300" bestFit="1" customWidth="1"/>
    <col min="5399" max="5399" width="6.125" style="300" bestFit="1" customWidth="1"/>
    <col min="5400" max="5400" width="4.625" style="300" bestFit="1" customWidth="1"/>
    <col min="5401" max="5403" width="6.125" style="300" bestFit="1" customWidth="1"/>
    <col min="5404" max="5404" width="9" style="300"/>
    <col min="5405" max="5405" width="9.125" style="300" customWidth="1"/>
    <col min="5406" max="5632" width="9" style="300"/>
    <col min="5633" max="5633" width="4.75" style="300" customWidth="1"/>
    <col min="5634" max="5634" width="6.875" style="300" customWidth="1"/>
    <col min="5635" max="5635" width="18.5" style="300" customWidth="1"/>
    <col min="5636" max="5636" width="10.875" style="300" customWidth="1"/>
    <col min="5637" max="5637" width="6.75" style="300" customWidth="1"/>
    <col min="5638" max="5638" width="9.375" style="300" customWidth="1"/>
    <col min="5639" max="5639" width="8.875" style="300" customWidth="1"/>
    <col min="5640" max="5640" width="14" style="300" customWidth="1"/>
    <col min="5641" max="5641" width="9.375" style="300" customWidth="1"/>
    <col min="5642" max="5642" width="8.625" style="300" customWidth="1"/>
    <col min="5643" max="5643" width="12.875" style="300" customWidth="1"/>
    <col min="5644" max="5644" width="13.375" style="300" bestFit="1" customWidth="1"/>
    <col min="5645" max="5645" width="7.625" style="300" customWidth="1"/>
    <col min="5646" max="5646" width="7.625" style="300" bestFit="1" customWidth="1"/>
    <col min="5647" max="5647" width="4.625" style="300" bestFit="1" customWidth="1"/>
    <col min="5648" max="5649" width="7.625" style="300" customWidth="1"/>
    <col min="5650" max="5650" width="7.625" style="300" bestFit="1" customWidth="1"/>
    <col min="5651" max="5651" width="4.625" style="300" bestFit="1" customWidth="1"/>
    <col min="5652" max="5652" width="9.625" style="300" bestFit="1" customWidth="1"/>
    <col min="5653" max="5653" width="8.75" style="300" bestFit="1" customWidth="1"/>
    <col min="5654" max="5654" width="11.5" style="300" bestFit="1" customWidth="1"/>
    <col min="5655" max="5655" width="6.125" style="300" bestFit="1" customWidth="1"/>
    <col min="5656" max="5656" width="4.625" style="300" bestFit="1" customWidth="1"/>
    <col min="5657" max="5659" width="6.125" style="300" bestFit="1" customWidth="1"/>
    <col min="5660" max="5660" width="9" style="300"/>
    <col min="5661" max="5661" width="9.125" style="300" customWidth="1"/>
    <col min="5662" max="5888" width="9" style="300"/>
    <col min="5889" max="5889" width="4.75" style="300" customWidth="1"/>
    <col min="5890" max="5890" width="6.875" style="300" customWidth="1"/>
    <col min="5891" max="5891" width="18.5" style="300" customWidth="1"/>
    <col min="5892" max="5892" width="10.875" style="300" customWidth="1"/>
    <col min="5893" max="5893" width="6.75" style="300" customWidth="1"/>
    <col min="5894" max="5894" width="9.375" style="300" customWidth="1"/>
    <col min="5895" max="5895" width="8.875" style="300" customWidth="1"/>
    <col min="5896" max="5896" width="14" style="300" customWidth="1"/>
    <col min="5897" max="5897" width="9.375" style="300" customWidth="1"/>
    <col min="5898" max="5898" width="8.625" style="300" customWidth="1"/>
    <col min="5899" max="5899" width="12.875" style="300" customWidth="1"/>
    <col min="5900" max="5900" width="13.375" style="300" bestFit="1" customWidth="1"/>
    <col min="5901" max="5901" width="7.625" style="300" customWidth="1"/>
    <col min="5902" max="5902" width="7.625" style="300" bestFit="1" customWidth="1"/>
    <col min="5903" max="5903" width="4.625" style="300" bestFit="1" customWidth="1"/>
    <col min="5904" max="5905" width="7.625" style="300" customWidth="1"/>
    <col min="5906" max="5906" width="7.625" style="300" bestFit="1" customWidth="1"/>
    <col min="5907" max="5907" width="4.625" style="300" bestFit="1" customWidth="1"/>
    <col min="5908" max="5908" width="9.625" style="300" bestFit="1" customWidth="1"/>
    <col min="5909" max="5909" width="8.75" style="300" bestFit="1" customWidth="1"/>
    <col min="5910" max="5910" width="11.5" style="300" bestFit="1" customWidth="1"/>
    <col min="5911" max="5911" width="6.125" style="300" bestFit="1" customWidth="1"/>
    <col min="5912" max="5912" width="4.625" style="300" bestFit="1" customWidth="1"/>
    <col min="5913" max="5915" width="6.125" style="300" bestFit="1" customWidth="1"/>
    <col min="5916" max="5916" width="9" style="300"/>
    <col min="5917" max="5917" width="9.125" style="300" customWidth="1"/>
    <col min="5918" max="6144" width="9" style="300"/>
    <col min="6145" max="6145" width="4.75" style="300" customWidth="1"/>
    <col min="6146" max="6146" width="6.875" style="300" customWidth="1"/>
    <col min="6147" max="6147" width="18.5" style="300" customWidth="1"/>
    <col min="6148" max="6148" width="10.875" style="300" customWidth="1"/>
    <col min="6149" max="6149" width="6.75" style="300" customWidth="1"/>
    <col min="6150" max="6150" width="9.375" style="300" customWidth="1"/>
    <col min="6151" max="6151" width="8.875" style="300" customWidth="1"/>
    <col min="6152" max="6152" width="14" style="300" customWidth="1"/>
    <col min="6153" max="6153" width="9.375" style="300" customWidth="1"/>
    <col min="6154" max="6154" width="8.625" style="300" customWidth="1"/>
    <col min="6155" max="6155" width="12.875" style="300" customWidth="1"/>
    <col min="6156" max="6156" width="13.375" style="300" bestFit="1" customWidth="1"/>
    <col min="6157" max="6157" width="7.625" style="300" customWidth="1"/>
    <col min="6158" max="6158" width="7.625" style="300" bestFit="1" customWidth="1"/>
    <col min="6159" max="6159" width="4.625" style="300" bestFit="1" customWidth="1"/>
    <col min="6160" max="6161" width="7.625" style="300" customWidth="1"/>
    <col min="6162" max="6162" width="7.625" style="300" bestFit="1" customWidth="1"/>
    <col min="6163" max="6163" width="4.625" style="300" bestFit="1" customWidth="1"/>
    <col min="6164" max="6164" width="9.625" style="300" bestFit="1" customWidth="1"/>
    <col min="6165" max="6165" width="8.75" style="300" bestFit="1" customWidth="1"/>
    <col min="6166" max="6166" width="11.5" style="300" bestFit="1" customWidth="1"/>
    <col min="6167" max="6167" width="6.125" style="300" bestFit="1" customWidth="1"/>
    <col min="6168" max="6168" width="4.625" style="300" bestFit="1" customWidth="1"/>
    <col min="6169" max="6171" width="6.125" style="300" bestFit="1" customWidth="1"/>
    <col min="6172" max="6172" width="9" style="300"/>
    <col min="6173" max="6173" width="9.125" style="300" customWidth="1"/>
    <col min="6174" max="6400" width="9" style="300"/>
    <col min="6401" max="6401" width="4.75" style="300" customWidth="1"/>
    <col min="6402" max="6402" width="6.875" style="300" customWidth="1"/>
    <col min="6403" max="6403" width="18.5" style="300" customWidth="1"/>
    <col min="6404" max="6404" width="10.875" style="300" customWidth="1"/>
    <col min="6405" max="6405" width="6.75" style="300" customWidth="1"/>
    <col min="6406" max="6406" width="9.375" style="300" customWidth="1"/>
    <col min="6407" max="6407" width="8.875" style="300" customWidth="1"/>
    <col min="6408" max="6408" width="14" style="300" customWidth="1"/>
    <col min="6409" max="6409" width="9.375" style="300" customWidth="1"/>
    <col min="6410" max="6410" width="8.625" style="300" customWidth="1"/>
    <col min="6411" max="6411" width="12.875" style="300" customWidth="1"/>
    <col min="6412" max="6412" width="13.375" style="300" bestFit="1" customWidth="1"/>
    <col min="6413" max="6413" width="7.625" style="300" customWidth="1"/>
    <col min="6414" max="6414" width="7.625" style="300" bestFit="1" customWidth="1"/>
    <col min="6415" max="6415" width="4.625" style="300" bestFit="1" customWidth="1"/>
    <col min="6416" max="6417" width="7.625" style="300" customWidth="1"/>
    <col min="6418" max="6418" width="7.625" style="300" bestFit="1" customWidth="1"/>
    <col min="6419" max="6419" width="4.625" style="300" bestFit="1" customWidth="1"/>
    <col min="6420" max="6420" width="9.625" style="300" bestFit="1" customWidth="1"/>
    <col min="6421" max="6421" width="8.75" style="300" bestFit="1" customWidth="1"/>
    <col min="6422" max="6422" width="11.5" style="300" bestFit="1" customWidth="1"/>
    <col min="6423" max="6423" width="6.125" style="300" bestFit="1" customWidth="1"/>
    <col min="6424" max="6424" width="4.625" style="300" bestFit="1" customWidth="1"/>
    <col min="6425" max="6427" width="6.125" style="300" bestFit="1" customWidth="1"/>
    <col min="6428" max="6428" width="9" style="300"/>
    <col min="6429" max="6429" width="9.125" style="300" customWidth="1"/>
    <col min="6430" max="6656" width="9" style="300"/>
    <col min="6657" max="6657" width="4.75" style="300" customWidth="1"/>
    <col min="6658" max="6658" width="6.875" style="300" customWidth="1"/>
    <col min="6659" max="6659" width="18.5" style="300" customWidth="1"/>
    <col min="6660" max="6660" width="10.875" style="300" customWidth="1"/>
    <col min="6661" max="6661" width="6.75" style="300" customWidth="1"/>
    <col min="6662" max="6662" width="9.375" style="300" customWidth="1"/>
    <col min="6663" max="6663" width="8.875" style="300" customWidth="1"/>
    <col min="6664" max="6664" width="14" style="300" customWidth="1"/>
    <col min="6665" max="6665" width="9.375" style="300" customWidth="1"/>
    <col min="6666" max="6666" width="8.625" style="300" customWidth="1"/>
    <col min="6667" max="6667" width="12.875" style="300" customWidth="1"/>
    <col min="6668" max="6668" width="13.375" style="300" bestFit="1" customWidth="1"/>
    <col min="6669" max="6669" width="7.625" style="300" customWidth="1"/>
    <col min="6670" max="6670" width="7.625" style="300" bestFit="1" customWidth="1"/>
    <col min="6671" max="6671" width="4.625" style="300" bestFit="1" customWidth="1"/>
    <col min="6672" max="6673" width="7.625" style="300" customWidth="1"/>
    <col min="6674" max="6674" width="7.625" style="300" bestFit="1" customWidth="1"/>
    <col min="6675" max="6675" width="4.625" style="300" bestFit="1" customWidth="1"/>
    <col min="6676" max="6676" width="9.625" style="300" bestFit="1" customWidth="1"/>
    <col min="6677" max="6677" width="8.75" style="300" bestFit="1" customWidth="1"/>
    <col min="6678" max="6678" width="11.5" style="300" bestFit="1" customWidth="1"/>
    <col min="6679" max="6679" width="6.125" style="300" bestFit="1" customWidth="1"/>
    <col min="6680" max="6680" width="4.625" style="300" bestFit="1" customWidth="1"/>
    <col min="6681" max="6683" width="6.125" style="300" bestFit="1" customWidth="1"/>
    <col min="6684" max="6684" width="9" style="300"/>
    <col min="6685" max="6685" width="9.125" style="300" customWidth="1"/>
    <col min="6686" max="6912" width="9" style="300"/>
    <col min="6913" max="6913" width="4.75" style="300" customWidth="1"/>
    <col min="6914" max="6914" width="6.875" style="300" customWidth="1"/>
    <col min="6915" max="6915" width="18.5" style="300" customWidth="1"/>
    <col min="6916" max="6916" width="10.875" style="300" customWidth="1"/>
    <col min="6917" max="6917" width="6.75" style="300" customWidth="1"/>
    <col min="6918" max="6918" width="9.375" style="300" customWidth="1"/>
    <col min="6919" max="6919" width="8.875" style="300" customWidth="1"/>
    <col min="6920" max="6920" width="14" style="300" customWidth="1"/>
    <col min="6921" max="6921" width="9.375" style="300" customWidth="1"/>
    <col min="6922" max="6922" width="8.625" style="300" customWidth="1"/>
    <col min="6923" max="6923" width="12.875" style="300" customWidth="1"/>
    <col min="6924" max="6924" width="13.375" style="300" bestFit="1" customWidth="1"/>
    <col min="6925" max="6925" width="7.625" style="300" customWidth="1"/>
    <col min="6926" max="6926" width="7.625" style="300" bestFit="1" customWidth="1"/>
    <col min="6927" max="6927" width="4.625" style="300" bestFit="1" customWidth="1"/>
    <col min="6928" max="6929" width="7.625" style="300" customWidth="1"/>
    <col min="6930" max="6930" width="7.625" style="300" bestFit="1" customWidth="1"/>
    <col min="6931" max="6931" width="4.625" style="300" bestFit="1" customWidth="1"/>
    <col min="6932" max="6932" width="9.625" style="300" bestFit="1" customWidth="1"/>
    <col min="6933" max="6933" width="8.75" style="300" bestFit="1" customWidth="1"/>
    <col min="6934" max="6934" width="11.5" style="300" bestFit="1" customWidth="1"/>
    <col min="6935" max="6935" width="6.125" style="300" bestFit="1" customWidth="1"/>
    <col min="6936" max="6936" width="4.625" style="300" bestFit="1" customWidth="1"/>
    <col min="6937" max="6939" width="6.125" style="300" bestFit="1" customWidth="1"/>
    <col min="6940" max="6940" width="9" style="300"/>
    <col min="6941" max="6941" width="9.125" style="300" customWidth="1"/>
    <col min="6942" max="7168" width="9" style="300"/>
    <col min="7169" max="7169" width="4.75" style="300" customWidth="1"/>
    <col min="7170" max="7170" width="6.875" style="300" customWidth="1"/>
    <col min="7171" max="7171" width="18.5" style="300" customWidth="1"/>
    <col min="7172" max="7172" width="10.875" style="300" customWidth="1"/>
    <col min="7173" max="7173" width="6.75" style="300" customWidth="1"/>
    <col min="7174" max="7174" width="9.375" style="300" customWidth="1"/>
    <col min="7175" max="7175" width="8.875" style="300" customWidth="1"/>
    <col min="7176" max="7176" width="14" style="300" customWidth="1"/>
    <col min="7177" max="7177" width="9.375" style="300" customWidth="1"/>
    <col min="7178" max="7178" width="8.625" style="300" customWidth="1"/>
    <col min="7179" max="7179" width="12.875" style="300" customWidth="1"/>
    <col min="7180" max="7180" width="13.375" style="300" bestFit="1" customWidth="1"/>
    <col min="7181" max="7181" width="7.625" style="300" customWidth="1"/>
    <col min="7182" max="7182" width="7.625" style="300" bestFit="1" customWidth="1"/>
    <col min="7183" max="7183" width="4.625" style="300" bestFit="1" customWidth="1"/>
    <col min="7184" max="7185" width="7.625" style="300" customWidth="1"/>
    <col min="7186" max="7186" width="7.625" style="300" bestFit="1" customWidth="1"/>
    <col min="7187" max="7187" width="4.625" style="300" bestFit="1" customWidth="1"/>
    <col min="7188" max="7188" width="9.625" style="300" bestFit="1" customWidth="1"/>
    <col min="7189" max="7189" width="8.75" style="300" bestFit="1" customWidth="1"/>
    <col min="7190" max="7190" width="11.5" style="300" bestFit="1" customWidth="1"/>
    <col min="7191" max="7191" width="6.125" style="300" bestFit="1" customWidth="1"/>
    <col min="7192" max="7192" width="4.625" style="300" bestFit="1" customWidth="1"/>
    <col min="7193" max="7195" width="6.125" style="300" bestFit="1" customWidth="1"/>
    <col min="7196" max="7196" width="9" style="300"/>
    <col min="7197" max="7197" width="9.125" style="300" customWidth="1"/>
    <col min="7198" max="7424" width="9" style="300"/>
    <col min="7425" max="7425" width="4.75" style="300" customWidth="1"/>
    <col min="7426" max="7426" width="6.875" style="300" customWidth="1"/>
    <col min="7427" max="7427" width="18.5" style="300" customWidth="1"/>
    <col min="7428" max="7428" width="10.875" style="300" customWidth="1"/>
    <col min="7429" max="7429" width="6.75" style="300" customWidth="1"/>
    <col min="7430" max="7430" width="9.375" style="300" customWidth="1"/>
    <col min="7431" max="7431" width="8.875" style="300" customWidth="1"/>
    <col min="7432" max="7432" width="14" style="300" customWidth="1"/>
    <col min="7433" max="7433" width="9.375" style="300" customWidth="1"/>
    <col min="7434" max="7434" width="8.625" style="300" customWidth="1"/>
    <col min="7435" max="7435" width="12.875" style="300" customWidth="1"/>
    <col min="7436" max="7436" width="13.375" style="300" bestFit="1" customWidth="1"/>
    <col min="7437" max="7437" width="7.625" style="300" customWidth="1"/>
    <col min="7438" max="7438" width="7.625" style="300" bestFit="1" customWidth="1"/>
    <col min="7439" max="7439" width="4.625" style="300" bestFit="1" customWidth="1"/>
    <col min="7440" max="7441" width="7.625" style="300" customWidth="1"/>
    <col min="7442" max="7442" width="7.625" style="300" bestFit="1" customWidth="1"/>
    <col min="7443" max="7443" width="4.625" style="300" bestFit="1" customWidth="1"/>
    <col min="7444" max="7444" width="9.625" style="300" bestFit="1" customWidth="1"/>
    <col min="7445" max="7445" width="8.75" style="300" bestFit="1" customWidth="1"/>
    <col min="7446" max="7446" width="11.5" style="300" bestFit="1" customWidth="1"/>
    <col min="7447" max="7447" width="6.125" style="300" bestFit="1" customWidth="1"/>
    <col min="7448" max="7448" width="4.625" style="300" bestFit="1" customWidth="1"/>
    <col min="7449" max="7451" width="6.125" style="300" bestFit="1" customWidth="1"/>
    <col min="7452" max="7452" width="9" style="300"/>
    <col min="7453" max="7453" width="9.125" style="300" customWidth="1"/>
    <col min="7454" max="7680" width="9" style="300"/>
    <col min="7681" max="7681" width="4.75" style="300" customWidth="1"/>
    <col min="7682" max="7682" width="6.875" style="300" customWidth="1"/>
    <col min="7683" max="7683" width="18.5" style="300" customWidth="1"/>
    <col min="7684" max="7684" width="10.875" style="300" customWidth="1"/>
    <col min="7685" max="7685" width="6.75" style="300" customWidth="1"/>
    <col min="7686" max="7686" width="9.375" style="300" customWidth="1"/>
    <col min="7687" max="7687" width="8.875" style="300" customWidth="1"/>
    <col min="7688" max="7688" width="14" style="300" customWidth="1"/>
    <col min="7689" max="7689" width="9.375" style="300" customWidth="1"/>
    <col min="7690" max="7690" width="8.625" style="300" customWidth="1"/>
    <col min="7691" max="7691" width="12.875" style="300" customWidth="1"/>
    <col min="7692" max="7692" width="13.375" style="300" bestFit="1" customWidth="1"/>
    <col min="7693" max="7693" width="7.625" style="300" customWidth="1"/>
    <col min="7694" max="7694" width="7.625" style="300" bestFit="1" customWidth="1"/>
    <col min="7695" max="7695" width="4.625" style="300" bestFit="1" customWidth="1"/>
    <col min="7696" max="7697" width="7.625" style="300" customWidth="1"/>
    <col min="7698" max="7698" width="7.625" style="300" bestFit="1" customWidth="1"/>
    <col min="7699" max="7699" width="4.625" style="300" bestFit="1" customWidth="1"/>
    <col min="7700" max="7700" width="9.625" style="300" bestFit="1" customWidth="1"/>
    <col min="7701" max="7701" width="8.75" style="300" bestFit="1" customWidth="1"/>
    <col min="7702" max="7702" width="11.5" style="300" bestFit="1" customWidth="1"/>
    <col min="7703" max="7703" width="6.125" style="300" bestFit="1" customWidth="1"/>
    <col min="7704" max="7704" width="4.625" style="300" bestFit="1" customWidth="1"/>
    <col min="7705" max="7707" width="6.125" style="300" bestFit="1" customWidth="1"/>
    <col min="7708" max="7708" width="9" style="300"/>
    <col min="7709" max="7709" width="9.125" style="300" customWidth="1"/>
    <col min="7710" max="7936" width="9" style="300"/>
    <col min="7937" max="7937" width="4.75" style="300" customWidth="1"/>
    <col min="7938" max="7938" width="6.875" style="300" customWidth="1"/>
    <col min="7939" max="7939" width="18.5" style="300" customWidth="1"/>
    <col min="7940" max="7940" width="10.875" style="300" customWidth="1"/>
    <col min="7941" max="7941" width="6.75" style="300" customWidth="1"/>
    <col min="7942" max="7942" width="9.375" style="300" customWidth="1"/>
    <col min="7943" max="7943" width="8.875" style="300" customWidth="1"/>
    <col min="7944" max="7944" width="14" style="300" customWidth="1"/>
    <col min="7945" max="7945" width="9.375" style="300" customWidth="1"/>
    <col min="7946" max="7946" width="8.625" style="300" customWidth="1"/>
    <col min="7947" max="7947" width="12.875" style="300" customWidth="1"/>
    <col min="7948" max="7948" width="13.375" style="300" bestFit="1" customWidth="1"/>
    <col min="7949" max="7949" width="7.625" style="300" customWidth="1"/>
    <col min="7950" max="7950" width="7.625" style="300" bestFit="1" customWidth="1"/>
    <col min="7951" max="7951" width="4.625" style="300" bestFit="1" customWidth="1"/>
    <col min="7952" max="7953" width="7.625" style="300" customWidth="1"/>
    <col min="7954" max="7954" width="7.625" style="300" bestFit="1" customWidth="1"/>
    <col min="7955" max="7955" width="4.625" style="300" bestFit="1" customWidth="1"/>
    <col min="7956" max="7956" width="9.625" style="300" bestFit="1" customWidth="1"/>
    <col min="7957" max="7957" width="8.75" style="300" bestFit="1" customWidth="1"/>
    <col min="7958" max="7958" width="11.5" style="300" bestFit="1" customWidth="1"/>
    <col min="7959" max="7959" width="6.125" style="300" bestFit="1" customWidth="1"/>
    <col min="7960" max="7960" width="4.625" style="300" bestFit="1" customWidth="1"/>
    <col min="7961" max="7963" width="6.125" style="300" bestFit="1" customWidth="1"/>
    <col min="7964" max="7964" width="9" style="300"/>
    <col min="7965" max="7965" width="9.125" style="300" customWidth="1"/>
    <col min="7966" max="8192" width="9" style="300"/>
    <col min="8193" max="8193" width="4.75" style="300" customWidth="1"/>
    <col min="8194" max="8194" width="6.875" style="300" customWidth="1"/>
    <col min="8195" max="8195" width="18.5" style="300" customWidth="1"/>
    <col min="8196" max="8196" width="10.875" style="300" customWidth="1"/>
    <col min="8197" max="8197" width="6.75" style="300" customWidth="1"/>
    <col min="8198" max="8198" width="9.375" style="300" customWidth="1"/>
    <col min="8199" max="8199" width="8.875" style="300" customWidth="1"/>
    <col min="8200" max="8200" width="14" style="300" customWidth="1"/>
    <col min="8201" max="8201" width="9.375" style="300" customWidth="1"/>
    <col min="8202" max="8202" width="8.625" style="300" customWidth="1"/>
    <col min="8203" max="8203" width="12.875" style="300" customWidth="1"/>
    <col min="8204" max="8204" width="13.375" style="300" bestFit="1" customWidth="1"/>
    <col min="8205" max="8205" width="7.625" style="300" customWidth="1"/>
    <col min="8206" max="8206" width="7.625" style="300" bestFit="1" customWidth="1"/>
    <col min="8207" max="8207" width="4.625" style="300" bestFit="1" customWidth="1"/>
    <col min="8208" max="8209" width="7.625" style="300" customWidth="1"/>
    <col min="8210" max="8210" width="7.625" style="300" bestFit="1" customWidth="1"/>
    <col min="8211" max="8211" width="4.625" style="300" bestFit="1" customWidth="1"/>
    <col min="8212" max="8212" width="9.625" style="300" bestFit="1" customWidth="1"/>
    <col min="8213" max="8213" width="8.75" style="300" bestFit="1" customWidth="1"/>
    <col min="8214" max="8214" width="11.5" style="300" bestFit="1" customWidth="1"/>
    <col min="8215" max="8215" width="6.125" style="300" bestFit="1" customWidth="1"/>
    <col min="8216" max="8216" width="4.625" style="300" bestFit="1" customWidth="1"/>
    <col min="8217" max="8219" width="6.125" style="300" bestFit="1" customWidth="1"/>
    <col min="8220" max="8220" width="9" style="300"/>
    <col min="8221" max="8221" width="9.125" style="300" customWidth="1"/>
    <col min="8222" max="8448" width="9" style="300"/>
    <col min="8449" max="8449" width="4.75" style="300" customWidth="1"/>
    <col min="8450" max="8450" width="6.875" style="300" customWidth="1"/>
    <col min="8451" max="8451" width="18.5" style="300" customWidth="1"/>
    <col min="8452" max="8452" width="10.875" style="300" customWidth="1"/>
    <col min="8453" max="8453" width="6.75" style="300" customWidth="1"/>
    <col min="8454" max="8454" width="9.375" style="300" customWidth="1"/>
    <col min="8455" max="8455" width="8.875" style="300" customWidth="1"/>
    <col min="8456" max="8456" width="14" style="300" customWidth="1"/>
    <col min="8457" max="8457" width="9.375" style="300" customWidth="1"/>
    <col min="8458" max="8458" width="8.625" style="300" customWidth="1"/>
    <col min="8459" max="8459" width="12.875" style="300" customWidth="1"/>
    <col min="8460" max="8460" width="13.375" style="300" bestFit="1" customWidth="1"/>
    <col min="8461" max="8461" width="7.625" style="300" customWidth="1"/>
    <col min="8462" max="8462" width="7.625" style="300" bestFit="1" customWidth="1"/>
    <col min="8463" max="8463" width="4.625" style="300" bestFit="1" customWidth="1"/>
    <col min="8464" max="8465" width="7.625" style="300" customWidth="1"/>
    <col min="8466" max="8466" width="7.625" style="300" bestFit="1" customWidth="1"/>
    <col min="8467" max="8467" width="4.625" style="300" bestFit="1" customWidth="1"/>
    <col min="8468" max="8468" width="9.625" style="300" bestFit="1" customWidth="1"/>
    <col min="8469" max="8469" width="8.75" style="300" bestFit="1" customWidth="1"/>
    <col min="8470" max="8470" width="11.5" style="300" bestFit="1" customWidth="1"/>
    <col min="8471" max="8471" width="6.125" style="300" bestFit="1" customWidth="1"/>
    <col min="8472" max="8472" width="4.625" style="300" bestFit="1" customWidth="1"/>
    <col min="8473" max="8475" width="6.125" style="300" bestFit="1" customWidth="1"/>
    <col min="8476" max="8476" width="9" style="300"/>
    <col min="8477" max="8477" width="9.125" style="300" customWidth="1"/>
    <col min="8478" max="8704" width="9" style="300"/>
    <col min="8705" max="8705" width="4.75" style="300" customWidth="1"/>
    <col min="8706" max="8706" width="6.875" style="300" customWidth="1"/>
    <col min="8707" max="8707" width="18.5" style="300" customWidth="1"/>
    <col min="8708" max="8708" width="10.875" style="300" customWidth="1"/>
    <col min="8709" max="8709" width="6.75" style="300" customWidth="1"/>
    <col min="8710" max="8710" width="9.375" style="300" customWidth="1"/>
    <col min="8711" max="8711" width="8.875" style="300" customWidth="1"/>
    <col min="8712" max="8712" width="14" style="300" customWidth="1"/>
    <col min="8713" max="8713" width="9.375" style="300" customWidth="1"/>
    <col min="8714" max="8714" width="8.625" style="300" customWidth="1"/>
    <col min="8715" max="8715" width="12.875" style="300" customWidth="1"/>
    <col min="8716" max="8716" width="13.375" style="300" bestFit="1" customWidth="1"/>
    <col min="8717" max="8717" width="7.625" style="300" customWidth="1"/>
    <col min="8718" max="8718" width="7.625" style="300" bestFit="1" customWidth="1"/>
    <col min="8719" max="8719" width="4.625" style="300" bestFit="1" customWidth="1"/>
    <col min="8720" max="8721" width="7.625" style="300" customWidth="1"/>
    <col min="8722" max="8722" width="7.625" style="300" bestFit="1" customWidth="1"/>
    <col min="8723" max="8723" width="4.625" style="300" bestFit="1" customWidth="1"/>
    <col min="8724" max="8724" width="9.625" style="300" bestFit="1" customWidth="1"/>
    <col min="8725" max="8725" width="8.75" style="300" bestFit="1" customWidth="1"/>
    <col min="8726" max="8726" width="11.5" style="300" bestFit="1" customWidth="1"/>
    <col min="8727" max="8727" width="6.125" style="300" bestFit="1" customWidth="1"/>
    <col min="8728" max="8728" width="4.625" style="300" bestFit="1" customWidth="1"/>
    <col min="8729" max="8731" width="6.125" style="300" bestFit="1" customWidth="1"/>
    <col min="8732" max="8732" width="9" style="300"/>
    <col min="8733" max="8733" width="9.125" style="300" customWidth="1"/>
    <col min="8734" max="8960" width="9" style="300"/>
    <col min="8961" max="8961" width="4.75" style="300" customWidth="1"/>
    <col min="8962" max="8962" width="6.875" style="300" customWidth="1"/>
    <col min="8963" max="8963" width="18.5" style="300" customWidth="1"/>
    <col min="8964" max="8964" width="10.875" style="300" customWidth="1"/>
    <col min="8965" max="8965" width="6.75" style="300" customWidth="1"/>
    <col min="8966" max="8966" width="9.375" style="300" customWidth="1"/>
    <col min="8967" max="8967" width="8.875" style="300" customWidth="1"/>
    <col min="8968" max="8968" width="14" style="300" customWidth="1"/>
    <col min="8969" max="8969" width="9.375" style="300" customWidth="1"/>
    <col min="8970" max="8970" width="8.625" style="300" customWidth="1"/>
    <col min="8971" max="8971" width="12.875" style="300" customWidth="1"/>
    <col min="8972" max="8972" width="13.375" style="300" bestFit="1" customWidth="1"/>
    <col min="8973" max="8973" width="7.625" style="300" customWidth="1"/>
    <col min="8974" max="8974" width="7.625" style="300" bestFit="1" customWidth="1"/>
    <col min="8975" max="8975" width="4.625" style="300" bestFit="1" customWidth="1"/>
    <col min="8976" max="8977" width="7.625" style="300" customWidth="1"/>
    <col min="8978" max="8978" width="7.625" style="300" bestFit="1" customWidth="1"/>
    <col min="8979" max="8979" width="4.625" style="300" bestFit="1" customWidth="1"/>
    <col min="8980" max="8980" width="9.625" style="300" bestFit="1" customWidth="1"/>
    <col min="8981" max="8981" width="8.75" style="300" bestFit="1" customWidth="1"/>
    <col min="8982" max="8982" width="11.5" style="300" bestFit="1" customWidth="1"/>
    <col min="8983" max="8983" width="6.125" style="300" bestFit="1" customWidth="1"/>
    <col min="8984" max="8984" width="4.625" style="300" bestFit="1" customWidth="1"/>
    <col min="8985" max="8987" width="6.125" style="300" bestFit="1" customWidth="1"/>
    <col min="8988" max="8988" width="9" style="300"/>
    <col min="8989" max="8989" width="9.125" style="300" customWidth="1"/>
    <col min="8990" max="9216" width="9" style="300"/>
    <col min="9217" max="9217" width="4.75" style="300" customWidth="1"/>
    <col min="9218" max="9218" width="6.875" style="300" customWidth="1"/>
    <col min="9219" max="9219" width="18.5" style="300" customWidth="1"/>
    <col min="9220" max="9220" width="10.875" style="300" customWidth="1"/>
    <col min="9221" max="9221" width="6.75" style="300" customWidth="1"/>
    <col min="9222" max="9222" width="9.375" style="300" customWidth="1"/>
    <col min="9223" max="9223" width="8.875" style="300" customWidth="1"/>
    <col min="9224" max="9224" width="14" style="300" customWidth="1"/>
    <col min="9225" max="9225" width="9.375" style="300" customWidth="1"/>
    <col min="9226" max="9226" width="8.625" style="300" customWidth="1"/>
    <col min="9227" max="9227" width="12.875" style="300" customWidth="1"/>
    <col min="9228" max="9228" width="13.375" style="300" bestFit="1" customWidth="1"/>
    <col min="9229" max="9229" width="7.625" style="300" customWidth="1"/>
    <col min="9230" max="9230" width="7.625" style="300" bestFit="1" customWidth="1"/>
    <col min="9231" max="9231" width="4.625" style="300" bestFit="1" customWidth="1"/>
    <col min="9232" max="9233" width="7.625" style="300" customWidth="1"/>
    <col min="9234" max="9234" width="7.625" style="300" bestFit="1" customWidth="1"/>
    <col min="9235" max="9235" width="4.625" style="300" bestFit="1" customWidth="1"/>
    <col min="9236" max="9236" width="9.625" style="300" bestFit="1" customWidth="1"/>
    <col min="9237" max="9237" width="8.75" style="300" bestFit="1" customWidth="1"/>
    <col min="9238" max="9238" width="11.5" style="300" bestFit="1" customWidth="1"/>
    <col min="9239" max="9239" width="6.125" style="300" bestFit="1" customWidth="1"/>
    <col min="9240" max="9240" width="4.625" style="300" bestFit="1" customWidth="1"/>
    <col min="9241" max="9243" width="6.125" style="300" bestFit="1" customWidth="1"/>
    <col min="9244" max="9244" width="9" style="300"/>
    <col min="9245" max="9245" width="9.125" style="300" customWidth="1"/>
    <col min="9246" max="9472" width="9" style="300"/>
    <col min="9473" max="9473" width="4.75" style="300" customWidth="1"/>
    <col min="9474" max="9474" width="6.875" style="300" customWidth="1"/>
    <col min="9475" max="9475" width="18.5" style="300" customWidth="1"/>
    <col min="9476" max="9476" width="10.875" style="300" customWidth="1"/>
    <col min="9477" max="9477" width="6.75" style="300" customWidth="1"/>
    <col min="9478" max="9478" width="9.375" style="300" customWidth="1"/>
    <col min="9479" max="9479" width="8.875" style="300" customWidth="1"/>
    <col min="9480" max="9480" width="14" style="300" customWidth="1"/>
    <col min="9481" max="9481" width="9.375" style="300" customWidth="1"/>
    <col min="9482" max="9482" width="8.625" style="300" customWidth="1"/>
    <col min="9483" max="9483" width="12.875" style="300" customWidth="1"/>
    <col min="9484" max="9484" width="13.375" style="300" bestFit="1" customWidth="1"/>
    <col min="9485" max="9485" width="7.625" style="300" customWidth="1"/>
    <col min="9486" max="9486" width="7.625" style="300" bestFit="1" customWidth="1"/>
    <col min="9487" max="9487" width="4.625" style="300" bestFit="1" customWidth="1"/>
    <col min="9488" max="9489" width="7.625" style="300" customWidth="1"/>
    <col min="9490" max="9490" width="7.625" style="300" bestFit="1" customWidth="1"/>
    <col min="9491" max="9491" width="4.625" style="300" bestFit="1" customWidth="1"/>
    <col min="9492" max="9492" width="9.625" style="300" bestFit="1" customWidth="1"/>
    <col min="9493" max="9493" width="8.75" style="300" bestFit="1" customWidth="1"/>
    <col min="9494" max="9494" width="11.5" style="300" bestFit="1" customWidth="1"/>
    <col min="9495" max="9495" width="6.125" style="300" bestFit="1" customWidth="1"/>
    <col min="9496" max="9496" width="4.625" style="300" bestFit="1" customWidth="1"/>
    <col min="9497" max="9499" width="6.125" style="300" bestFit="1" customWidth="1"/>
    <col min="9500" max="9500" width="9" style="300"/>
    <col min="9501" max="9501" width="9.125" style="300" customWidth="1"/>
    <col min="9502" max="9728" width="9" style="300"/>
    <col min="9729" max="9729" width="4.75" style="300" customWidth="1"/>
    <col min="9730" max="9730" width="6.875" style="300" customWidth="1"/>
    <col min="9731" max="9731" width="18.5" style="300" customWidth="1"/>
    <col min="9732" max="9732" width="10.875" style="300" customWidth="1"/>
    <col min="9733" max="9733" width="6.75" style="300" customWidth="1"/>
    <col min="9734" max="9734" width="9.375" style="300" customWidth="1"/>
    <col min="9735" max="9735" width="8.875" style="300" customWidth="1"/>
    <col min="9736" max="9736" width="14" style="300" customWidth="1"/>
    <col min="9737" max="9737" width="9.375" style="300" customWidth="1"/>
    <col min="9738" max="9738" width="8.625" style="300" customWidth="1"/>
    <col min="9739" max="9739" width="12.875" style="300" customWidth="1"/>
    <col min="9740" max="9740" width="13.375" style="300" bestFit="1" customWidth="1"/>
    <col min="9741" max="9741" width="7.625" style="300" customWidth="1"/>
    <col min="9742" max="9742" width="7.625" style="300" bestFit="1" customWidth="1"/>
    <col min="9743" max="9743" width="4.625" style="300" bestFit="1" customWidth="1"/>
    <col min="9744" max="9745" width="7.625" style="300" customWidth="1"/>
    <col min="9746" max="9746" width="7.625" style="300" bestFit="1" customWidth="1"/>
    <col min="9747" max="9747" width="4.625" style="300" bestFit="1" customWidth="1"/>
    <col min="9748" max="9748" width="9.625" style="300" bestFit="1" customWidth="1"/>
    <col min="9749" max="9749" width="8.75" style="300" bestFit="1" customWidth="1"/>
    <col min="9750" max="9750" width="11.5" style="300" bestFit="1" customWidth="1"/>
    <col min="9751" max="9751" width="6.125" style="300" bestFit="1" customWidth="1"/>
    <col min="9752" max="9752" width="4.625" style="300" bestFit="1" customWidth="1"/>
    <col min="9753" max="9755" width="6.125" style="300" bestFit="1" customWidth="1"/>
    <col min="9756" max="9756" width="9" style="300"/>
    <col min="9757" max="9757" width="9.125" style="300" customWidth="1"/>
    <col min="9758" max="9984" width="9" style="300"/>
    <col min="9985" max="9985" width="4.75" style="300" customWidth="1"/>
    <col min="9986" max="9986" width="6.875" style="300" customWidth="1"/>
    <col min="9987" max="9987" width="18.5" style="300" customWidth="1"/>
    <col min="9988" max="9988" width="10.875" style="300" customWidth="1"/>
    <col min="9989" max="9989" width="6.75" style="300" customWidth="1"/>
    <col min="9990" max="9990" width="9.375" style="300" customWidth="1"/>
    <col min="9991" max="9991" width="8.875" style="300" customWidth="1"/>
    <col min="9992" max="9992" width="14" style="300" customWidth="1"/>
    <col min="9993" max="9993" width="9.375" style="300" customWidth="1"/>
    <col min="9994" max="9994" width="8.625" style="300" customWidth="1"/>
    <col min="9995" max="9995" width="12.875" style="300" customWidth="1"/>
    <col min="9996" max="9996" width="13.375" style="300" bestFit="1" customWidth="1"/>
    <col min="9997" max="9997" width="7.625" style="300" customWidth="1"/>
    <col min="9998" max="9998" width="7.625" style="300" bestFit="1" customWidth="1"/>
    <col min="9999" max="9999" width="4.625" style="300" bestFit="1" customWidth="1"/>
    <col min="10000" max="10001" width="7.625" style="300" customWidth="1"/>
    <col min="10002" max="10002" width="7.625" style="300" bestFit="1" customWidth="1"/>
    <col min="10003" max="10003" width="4.625" style="300" bestFit="1" customWidth="1"/>
    <col min="10004" max="10004" width="9.625" style="300" bestFit="1" customWidth="1"/>
    <col min="10005" max="10005" width="8.75" style="300" bestFit="1" customWidth="1"/>
    <col min="10006" max="10006" width="11.5" style="300" bestFit="1" customWidth="1"/>
    <col min="10007" max="10007" width="6.125" style="300" bestFit="1" customWidth="1"/>
    <col min="10008" max="10008" width="4.625" style="300" bestFit="1" customWidth="1"/>
    <col min="10009" max="10011" width="6.125" style="300" bestFit="1" customWidth="1"/>
    <col min="10012" max="10012" width="9" style="300"/>
    <col min="10013" max="10013" width="9.125" style="300" customWidth="1"/>
    <col min="10014" max="10240" width="9" style="300"/>
    <col min="10241" max="10241" width="4.75" style="300" customWidth="1"/>
    <col min="10242" max="10242" width="6.875" style="300" customWidth="1"/>
    <col min="10243" max="10243" width="18.5" style="300" customWidth="1"/>
    <col min="10244" max="10244" width="10.875" style="300" customWidth="1"/>
    <col min="10245" max="10245" width="6.75" style="300" customWidth="1"/>
    <col min="10246" max="10246" width="9.375" style="300" customWidth="1"/>
    <col min="10247" max="10247" width="8.875" style="300" customWidth="1"/>
    <col min="10248" max="10248" width="14" style="300" customWidth="1"/>
    <col min="10249" max="10249" width="9.375" style="300" customWidth="1"/>
    <col min="10250" max="10250" width="8.625" style="300" customWidth="1"/>
    <col min="10251" max="10251" width="12.875" style="300" customWidth="1"/>
    <col min="10252" max="10252" width="13.375" style="300" bestFit="1" customWidth="1"/>
    <col min="10253" max="10253" width="7.625" style="300" customWidth="1"/>
    <col min="10254" max="10254" width="7.625" style="300" bestFit="1" customWidth="1"/>
    <col min="10255" max="10255" width="4.625" style="300" bestFit="1" customWidth="1"/>
    <col min="10256" max="10257" width="7.625" style="300" customWidth="1"/>
    <col min="10258" max="10258" width="7.625" style="300" bestFit="1" customWidth="1"/>
    <col min="10259" max="10259" width="4.625" style="300" bestFit="1" customWidth="1"/>
    <col min="10260" max="10260" width="9.625" style="300" bestFit="1" customWidth="1"/>
    <col min="10261" max="10261" width="8.75" style="300" bestFit="1" customWidth="1"/>
    <col min="10262" max="10262" width="11.5" style="300" bestFit="1" customWidth="1"/>
    <col min="10263" max="10263" width="6.125" style="300" bestFit="1" customWidth="1"/>
    <col min="10264" max="10264" width="4.625" style="300" bestFit="1" customWidth="1"/>
    <col min="10265" max="10267" width="6.125" style="300" bestFit="1" customWidth="1"/>
    <col min="10268" max="10268" width="9" style="300"/>
    <col min="10269" max="10269" width="9.125" style="300" customWidth="1"/>
    <col min="10270" max="10496" width="9" style="300"/>
    <col min="10497" max="10497" width="4.75" style="300" customWidth="1"/>
    <col min="10498" max="10498" width="6.875" style="300" customWidth="1"/>
    <col min="10499" max="10499" width="18.5" style="300" customWidth="1"/>
    <col min="10500" max="10500" width="10.875" style="300" customWidth="1"/>
    <col min="10501" max="10501" width="6.75" style="300" customWidth="1"/>
    <col min="10502" max="10502" width="9.375" style="300" customWidth="1"/>
    <col min="10503" max="10503" width="8.875" style="300" customWidth="1"/>
    <col min="10504" max="10504" width="14" style="300" customWidth="1"/>
    <col min="10505" max="10505" width="9.375" style="300" customWidth="1"/>
    <col min="10506" max="10506" width="8.625" style="300" customWidth="1"/>
    <col min="10507" max="10507" width="12.875" style="300" customWidth="1"/>
    <col min="10508" max="10508" width="13.375" style="300" bestFit="1" customWidth="1"/>
    <col min="10509" max="10509" width="7.625" style="300" customWidth="1"/>
    <col min="10510" max="10510" width="7.625" style="300" bestFit="1" customWidth="1"/>
    <col min="10511" max="10511" width="4.625" style="300" bestFit="1" customWidth="1"/>
    <col min="10512" max="10513" width="7.625" style="300" customWidth="1"/>
    <col min="10514" max="10514" width="7.625" style="300" bestFit="1" customWidth="1"/>
    <col min="10515" max="10515" width="4.625" style="300" bestFit="1" customWidth="1"/>
    <col min="10516" max="10516" width="9.625" style="300" bestFit="1" customWidth="1"/>
    <col min="10517" max="10517" width="8.75" style="300" bestFit="1" customWidth="1"/>
    <col min="10518" max="10518" width="11.5" style="300" bestFit="1" customWidth="1"/>
    <col min="10519" max="10519" width="6.125" style="300" bestFit="1" customWidth="1"/>
    <col min="10520" max="10520" width="4.625" style="300" bestFit="1" customWidth="1"/>
    <col min="10521" max="10523" width="6.125" style="300" bestFit="1" customWidth="1"/>
    <col min="10524" max="10524" width="9" style="300"/>
    <col min="10525" max="10525" width="9.125" style="300" customWidth="1"/>
    <col min="10526" max="10752" width="9" style="300"/>
    <col min="10753" max="10753" width="4.75" style="300" customWidth="1"/>
    <col min="10754" max="10754" width="6.875" style="300" customWidth="1"/>
    <col min="10755" max="10755" width="18.5" style="300" customWidth="1"/>
    <col min="10756" max="10756" width="10.875" style="300" customWidth="1"/>
    <col min="10757" max="10757" width="6.75" style="300" customWidth="1"/>
    <col min="10758" max="10758" width="9.375" style="300" customWidth="1"/>
    <col min="10759" max="10759" width="8.875" style="300" customWidth="1"/>
    <col min="10760" max="10760" width="14" style="300" customWidth="1"/>
    <col min="10761" max="10761" width="9.375" style="300" customWidth="1"/>
    <col min="10762" max="10762" width="8.625" style="300" customWidth="1"/>
    <col min="10763" max="10763" width="12.875" style="300" customWidth="1"/>
    <col min="10764" max="10764" width="13.375" style="300" bestFit="1" customWidth="1"/>
    <col min="10765" max="10765" width="7.625" style="300" customWidth="1"/>
    <col min="10766" max="10766" width="7.625" style="300" bestFit="1" customWidth="1"/>
    <col min="10767" max="10767" width="4.625" style="300" bestFit="1" customWidth="1"/>
    <col min="10768" max="10769" width="7.625" style="300" customWidth="1"/>
    <col min="10770" max="10770" width="7.625" style="300" bestFit="1" customWidth="1"/>
    <col min="10771" max="10771" width="4.625" style="300" bestFit="1" customWidth="1"/>
    <col min="10772" max="10772" width="9.625" style="300" bestFit="1" customWidth="1"/>
    <col min="10773" max="10773" width="8.75" style="300" bestFit="1" customWidth="1"/>
    <col min="10774" max="10774" width="11.5" style="300" bestFit="1" customWidth="1"/>
    <col min="10775" max="10775" width="6.125" style="300" bestFit="1" customWidth="1"/>
    <col min="10776" max="10776" width="4.625" style="300" bestFit="1" customWidth="1"/>
    <col min="10777" max="10779" width="6.125" style="300" bestFit="1" customWidth="1"/>
    <col min="10780" max="10780" width="9" style="300"/>
    <col min="10781" max="10781" width="9.125" style="300" customWidth="1"/>
    <col min="10782" max="11008" width="9" style="300"/>
    <col min="11009" max="11009" width="4.75" style="300" customWidth="1"/>
    <col min="11010" max="11010" width="6.875" style="300" customWidth="1"/>
    <col min="11011" max="11011" width="18.5" style="300" customWidth="1"/>
    <col min="11012" max="11012" width="10.875" style="300" customWidth="1"/>
    <col min="11013" max="11013" width="6.75" style="300" customWidth="1"/>
    <col min="11014" max="11014" width="9.375" style="300" customWidth="1"/>
    <col min="11015" max="11015" width="8.875" style="300" customWidth="1"/>
    <col min="11016" max="11016" width="14" style="300" customWidth="1"/>
    <col min="11017" max="11017" width="9.375" style="300" customWidth="1"/>
    <col min="11018" max="11018" width="8.625" style="300" customWidth="1"/>
    <col min="11019" max="11019" width="12.875" style="300" customWidth="1"/>
    <col min="11020" max="11020" width="13.375" style="300" bestFit="1" customWidth="1"/>
    <col min="11021" max="11021" width="7.625" style="300" customWidth="1"/>
    <col min="11022" max="11022" width="7.625" style="300" bestFit="1" customWidth="1"/>
    <col min="11023" max="11023" width="4.625" style="300" bestFit="1" customWidth="1"/>
    <col min="11024" max="11025" width="7.625" style="300" customWidth="1"/>
    <col min="11026" max="11026" width="7.625" style="300" bestFit="1" customWidth="1"/>
    <col min="11027" max="11027" width="4.625" style="300" bestFit="1" customWidth="1"/>
    <col min="11028" max="11028" width="9.625" style="300" bestFit="1" customWidth="1"/>
    <col min="11029" max="11029" width="8.75" style="300" bestFit="1" customWidth="1"/>
    <col min="11030" max="11030" width="11.5" style="300" bestFit="1" customWidth="1"/>
    <col min="11031" max="11031" width="6.125" style="300" bestFit="1" customWidth="1"/>
    <col min="11032" max="11032" width="4.625" style="300" bestFit="1" customWidth="1"/>
    <col min="11033" max="11035" width="6.125" style="300" bestFit="1" customWidth="1"/>
    <col min="11036" max="11036" width="9" style="300"/>
    <col min="11037" max="11037" width="9.125" style="300" customWidth="1"/>
    <col min="11038" max="11264" width="9" style="300"/>
    <col min="11265" max="11265" width="4.75" style="300" customWidth="1"/>
    <col min="11266" max="11266" width="6.875" style="300" customWidth="1"/>
    <col min="11267" max="11267" width="18.5" style="300" customWidth="1"/>
    <col min="11268" max="11268" width="10.875" style="300" customWidth="1"/>
    <col min="11269" max="11269" width="6.75" style="300" customWidth="1"/>
    <col min="11270" max="11270" width="9.375" style="300" customWidth="1"/>
    <col min="11271" max="11271" width="8.875" style="300" customWidth="1"/>
    <col min="11272" max="11272" width="14" style="300" customWidth="1"/>
    <col min="11273" max="11273" width="9.375" style="300" customWidth="1"/>
    <col min="11274" max="11274" width="8.625" style="300" customWidth="1"/>
    <col min="11275" max="11275" width="12.875" style="300" customWidth="1"/>
    <col min="11276" max="11276" width="13.375" style="300" bestFit="1" customWidth="1"/>
    <col min="11277" max="11277" width="7.625" style="300" customWidth="1"/>
    <col min="11278" max="11278" width="7.625" style="300" bestFit="1" customWidth="1"/>
    <col min="11279" max="11279" width="4.625" style="300" bestFit="1" customWidth="1"/>
    <col min="11280" max="11281" width="7.625" style="300" customWidth="1"/>
    <col min="11282" max="11282" width="7.625" style="300" bestFit="1" customWidth="1"/>
    <col min="11283" max="11283" width="4.625" style="300" bestFit="1" customWidth="1"/>
    <col min="11284" max="11284" width="9.625" style="300" bestFit="1" customWidth="1"/>
    <col min="11285" max="11285" width="8.75" style="300" bestFit="1" customWidth="1"/>
    <col min="11286" max="11286" width="11.5" style="300" bestFit="1" customWidth="1"/>
    <col min="11287" max="11287" width="6.125" style="300" bestFit="1" customWidth="1"/>
    <col min="11288" max="11288" width="4.625" style="300" bestFit="1" customWidth="1"/>
    <col min="11289" max="11291" width="6.125" style="300" bestFit="1" customWidth="1"/>
    <col min="11292" max="11292" width="9" style="300"/>
    <col min="11293" max="11293" width="9.125" style="300" customWidth="1"/>
    <col min="11294" max="11520" width="9" style="300"/>
    <col min="11521" max="11521" width="4.75" style="300" customWidth="1"/>
    <col min="11522" max="11522" width="6.875" style="300" customWidth="1"/>
    <col min="11523" max="11523" width="18.5" style="300" customWidth="1"/>
    <col min="11524" max="11524" width="10.875" style="300" customWidth="1"/>
    <col min="11525" max="11525" width="6.75" style="300" customWidth="1"/>
    <col min="11526" max="11526" width="9.375" style="300" customWidth="1"/>
    <col min="11527" max="11527" width="8.875" style="300" customWidth="1"/>
    <col min="11528" max="11528" width="14" style="300" customWidth="1"/>
    <col min="11529" max="11529" width="9.375" style="300" customWidth="1"/>
    <col min="11530" max="11530" width="8.625" style="300" customWidth="1"/>
    <col min="11531" max="11531" width="12.875" style="300" customWidth="1"/>
    <col min="11532" max="11532" width="13.375" style="300" bestFit="1" customWidth="1"/>
    <col min="11533" max="11533" width="7.625" style="300" customWidth="1"/>
    <col min="11534" max="11534" width="7.625" style="300" bestFit="1" customWidth="1"/>
    <col min="11535" max="11535" width="4.625" style="300" bestFit="1" customWidth="1"/>
    <col min="11536" max="11537" width="7.625" style="300" customWidth="1"/>
    <col min="11538" max="11538" width="7.625" style="300" bestFit="1" customWidth="1"/>
    <col min="11539" max="11539" width="4.625" style="300" bestFit="1" customWidth="1"/>
    <col min="11540" max="11540" width="9.625" style="300" bestFit="1" customWidth="1"/>
    <col min="11541" max="11541" width="8.75" style="300" bestFit="1" customWidth="1"/>
    <col min="11542" max="11542" width="11.5" style="300" bestFit="1" customWidth="1"/>
    <col min="11543" max="11543" width="6.125" style="300" bestFit="1" customWidth="1"/>
    <col min="11544" max="11544" width="4.625" style="300" bestFit="1" customWidth="1"/>
    <col min="11545" max="11547" width="6.125" style="300" bestFit="1" customWidth="1"/>
    <col min="11548" max="11548" width="9" style="300"/>
    <col min="11549" max="11549" width="9.125" style="300" customWidth="1"/>
    <col min="11550" max="11776" width="9" style="300"/>
    <col min="11777" max="11777" width="4.75" style="300" customWidth="1"/>
    <col min="11778" max="11778" width="6.875" style="300" customWidth="1"/>
    <col min="11779" max="11779" width="18.5" style="300" customWidth="1"/>
    <col min="11780" max="11780" width="10.875" style="300" customWidth="1"/>
    <col min="11781" max="11781" width="6.75" style="300" customWidth="1"/>
    <col min="11782" max="11782" width="9.375" style="300" customWidth="1"/>
    <col min="11783" max="11783" width="8.875" style="300" customWidth="1"/>
    <col min="11784" max="11784" width="14" style="300" customWidth="1"/>
    <col min="11785" max="11785" width="9.375" style="300" customWidth="1"/>
    <col min="11786" max="11786" width="8.625" style="300" customWidth="1"/>
    <col min="11787" max="11787" width="12.875" style="300" customWidth="1"/>
    <col min="11788" max="11788" width="13.375" style="300" bestFit="1" customWidth="1"/>
    <col min="11789" max="11789" width="7.625" style="300" customWidth="1"/>
    <col min="11790" max="11790" width="7.625" style="300" bestFit="1" customWidth="1"/>
    <col min="11791" max="11791" width="4.625" style="300" bestFit="1" customWidth="1"/>
    <col min="11792" max="11793" width="7.625" style="300" customWidth="1"/>
    <col min="11794" max="11794" width="7.625" style="300" bestFit="1" customWidth="1"/>
    <col min="11795" max="11795" width="4.625" style="300" bestFit="1" customWidth="1"/>
    <col min="11796" max="11796" width="9.625" style="300" bestFit="1" customWidth="1"/>
    <col min="11797" max="11797" width="8.75" style="300" bestFit="1" customWidth="1"/>
    <col min="11798" max="11798" width="11.5" style="300" bestFit="1" customWidth="1"/>
    <col min="11799" max="11799" width="6.125" style="300" bestFit="1" customWidth="1"/>
    <col min="11800" max="11800" width="4.625" style="300" bestFit="1" customWidth="1"/>
    <col min="11801" max="11803" width="6.125" style="300" bestFit="1" customWidth="1"/>
    <col min="11804" max="11804" width="9" style="300"/>
    <col min="11805" max="11805" width="9.125" style="300" customWidth="1"/>
    <col min="11806" max="12032" width="9" style="300"/>
    <col min="12033" max="12033" width="4.75" style="300" customWidth="1"/>
    <col min="12034" max="12034" width="6.875" style="300" customWidth="1"/>
    <col min="12035" max="12035" width="18.5" style="300" customWidth="1"/>
    <col min="12036" max="12036" width="10.875" style="300" customWidth="1"/>
    <col min="12037" max="12037" width="6.75" style="300" customWidth="1"/>
    <col min="12038" max="12038" width="9.375" style="300" customWidth="1"/>
    <col min="12039" max="12039" width="8.875" style="300" customWidth="1"/>
    <col min="12040" max="12040" width="14" style="300" customWidth="1"/>
    <col min="12041" max="12041" width="9.375" style="300" customWidth="1"/>
    <col min="12042" max="12042" width="8.625" style="300" customWidth="1"/>
    <col min="12043" max="12043" width="12.875" style="300" customWidth="1"/>
    <col min="12044" max="12044" width="13.375" style="300" bestFit="1" customWidth="1"/>
    <col min="12045" max="12045" width="7.625" style="300" customWidth="1"/>
    <col min="12046" max="12046" width="7.625" style="300" bestFit="1" customWidth="1"/>
    <col min="12047" max="12047" width="4.625" style="300" bestFit="1" customWidth="1"/>
    <col min="12048" max="12049" width="7.625" style="300" customWidth="1"/>
    <col min="12050" max="12050" width="7.625" style="300" bestFit="1" customWidth="1"/>
    <col min="12051" max="12051" width="4.625" style="300" bestFit="1" customWidth="1"/>
    <col min="12052" max="12052" width="9.625" style="300" bestFit="1" customWidth="1"/>
    <col min="12053" max="12053" width="8.75" style="300" bestFit="1" customWidth="1"/>
    <col min="12054" max="12054" width="11.5" style="300" bestFit="1" customWidth="1"/>
    <col min="12055" max="12055" width="6.125" style="300" bestFit="1" customWidth="1"/>
    <col min="12056" max="12056" width="4.625" style="300" bestFit="1" customWidth="1"/>
    <col min="12057" max="12059" width="6.125" style="300" bestFit="1" customWidth="1"/>
    <col min="12060" max="12060" width="9" style="300"/>
    <col min="12061" max="12061" width="9.125" style="300" customWidth="1"/>
    <col min="12062" max="12288" width="9" style="300"/>
    <col min="12289" max="12289" width="4.75" style="300" customWidth="1"/>
    <col min="12290" max="12290" width="6.875" style="300" customWidth="1"/>
    <col min="12291" max="12291" width="18.5" style="300" customWidth="1"/>
    <col min="12292" max="12292" width="10.875" style="300" customWidth="1"/>
    <col min="12293" max="12293" width="6.75" style="300" customWidth="1"/>
    <col min="12294" max="12294" width="9.375" style="300" customWidth="1"/>
    <col min="12295" max="12295" width="8.875" style="300" customWidth="1"/>
    <col min="12296" max="12296" width="14" style="300" customWidth="1"/>
    <col min="12297" max="12297" width="9.375" style="300" customWidth="1"/>
    <col min="12298" max="12298" width="8.625" style="300" customWidth="1"/>
    <col min="12299" max="12299" width="12.875" style="300" customWidth="1"/>
    <col min="12300" max="12300" width="13.375" style="300" bestFit="1" customWidth="1"/>
    <col min="12301" max="12301" width="7.625" style="300" customWidth="1"/>
    <col min="12302" max="12302" width="7.625" style="300" bestFit="1" customWidth="1"/>
    <col min="12303" max="12303" width="4.625" style="300" bestFit="1" customWidth="1"/>
    <col min="12304" max="12305" width="7.625" style="300" customWidth="1"/>
    <col min="12306" max="12306" width="7.625" style="300" bestFit="1" customWidth="1"/>
    <col min="12307" max="12307" width="4.625" style="300" bestFit="1" customWidth="1"/>
    <col min="12308" max="12308" width="9.625" style="300" bestFit="1" customWidth="1"/>
    <col min="12309" max="12309" width="8.75" style="300" bestFit="1" customWidth="1"/>
    <col min="12310" max="12310" width="11.5" style="300" bestFit="1" customWidth="1"/>
    <col min="12311" max="12311" width="6.125" style="300" bestFit="1" customWidth="1"/>
    <col min="12312" max="12312" width="4.625" style="300" bestFit="1" customWidth="1"/>
    <col min="12313" max="12315" width="6.125" style="300" bestFit="1" customWidth="1"/>
    <col min="12316" max="12316" width="9" style="300"/>
    <col min="12317" max="12317" width="9.125" style="300" customWidth="1"/>
    <col min="12318" max="12544" width="9" style="300"/>
    <col min="12545" max="12545" width="4.75" style="300" customWidth="1"/>
    <col min="12546" max="12546" width="6.875" style="300" customWidth="1"/>
    <col min="12547" max="12547" width="18.5" style="300" customWidth="1"/>
    <col min="12548" max="12548" width="10.875" style="300" customWidth="1"/>
    <col min="12549" max="12549" width="6.75" style="300" customWidth="1"/>
    <col min="12550" max="12550" width="9.375" style="300" customWidth="1"/>
    <col min="12551" max="12551" width="8.875" style="300" customWidth="1"/>
    <col min="12552" max="12552" width="14" style="300" customWidth="1"/>
    <col min="12553" max="12553" width="9.375" style="300" customWidth="1"/>
    <col min="12554" max="12554" width="8.625" style="300" customWidth="1"/>
    <col min="12555" max="12555" width="12.875" style="300" customWidth="1"/>
    <col min="12556" max="12556" width="13.375" style="300" bestFit="1" customWidth="1"/>
    <col min="12557" max="12557" width="7.625" style="300" customWidth="1"/>
    <col min="12558" max="12558" width="7.625" style="300" bestFit="1" customWidth="1"/>
    <col min="12559" max="12559" width="4.625" style="300" bestFit="1" customWidth="1"/>
    <col min="12560" max="12561" width="7.625" style="300" customWidth="1"/>
    <col min="12562" max="12562" width="7.625" style="300" bestFit="1" customWidth="1"/>
    <col min="12563" max="12563" width="4.625" style="300" bestFit="1" customWidth="1"/>
    <col min="12564" max="12564" width="9.625" style="300" bestFit="1" customWidth="1"/>
    <col min="12565" max="12565" width="8.75" style="300" bestFit="1" customWidth="1"/>
    <col min="12566" max="12566" width="11.5" style="300" bestFit="1" customWidth="1"/>
    <col min="12567" max="12567" width="6.125" style="300" bestFit="1" customWidth="1"/>
    <col min="12568" max="12568" width="4.625" style="300" bestFit="1" customWidth="1"/>
    <col min="12569" max="12571" width="6.125" style="300" bestFit="1" customWidth="1"/>
    <col min="12572" max="12572" width="9" style="300"/>
    <col min="12573" max="12573" width="9.125" style="300" customWidth="1"/>
    <col min="12574" max="12800" width="9" style="300"/>
    <col min="12801" max="12801" width="4.75" style="300" customWidth="1"/>
    <col min="12802" max="12802" width="6.875" style="300" customWidth="1"/>
    <col min="12803" max="12803" width="18.5" style="300" customWidth="1"/>
    <col min="12804" max="12804" width="10.875" style="300" customWidth="1"/>
    <col min="12805" max="12805" width="6.75" style="300" customWidth="1"/>
    <col min="12806" max="12806" width="9.375" style="300" customWidth="1"/>
    <col min="12807" max="12807" width="8.875" style="300" customWidth="1"/>
    <col min="12808" max="12808" width="14" style="300" customWidth="1"/>
    <col min="12809" max="12809" width="9.375" style="300" customWidth="1"/>
    <col min="12810" max="12810" width="8.625" style="300" customWidth="1"/>
    <col min="12811" max="12811" width="12.875" style="300" customWidth="1"/>
    <col min="12812" max="12812" width="13.375" style="300" bestFit="1" customWidth="1"/>
    <col min="12813" max="12813" width="7.625" style="300" customWidth="1"/>
    <col min="12814" max="12814" width="7.625" style="300" bestFit="1" customWidth="1"/>
    <col min="12815" max="12815" width="4.625" style="300" bestFit="1" customWidth="1"/>
    <col min="12816" max="12817" width="7.625" style="300" customWidth="1"/>
    <col min="12818" max="12818" width="7.625" style="300" bestFit="1" customWidth="1"/>
    <col min="12819" max="12819" width="4.625" style="300" bestFit="1" customWidth="1"/>
    <col min="12820" max="12820" width="9.625" style="300" bestFit="1" customWidth="1"/>
    <col min="12821" max="12821" width="8.75" style="300" bestFit="1" customWidth="1"/>
    <col min="12822" max="12822" width="11.5" style="300" bestFit="1" customWidth="1"/>
    <col min="12823" max="12823" width="6.125" style="300" bestFit="1" customWidth="1"/>
    <col min="12824" max="12824" width="4.625" style="300" bestFit="1" customWidth="1"/>
    <col min="12825" max="12827" width="6.125" style="300" bestFit="1" customWidth="1"/>
    <col min="12828" max="12828" width="9" style="300"/>
    <col min="12829" max="12829" width="9.125" style="300" customWidth="1"/>
    <col min="12830" max="13056" width="9" style="300"/>
    <col min="13057" max="13057" width="4.75" style="300" customWidth="1"/>
    <col min="13058" max="13058" width="6.875" style="300" customWidth="1"/>
    <col min="13059" max="13059" width="18.5" style="300" customWidth="1"/>
    <col min="13060" max="13060" width="10.875" style="300" customWidth="1"/>
    <col min="13061" max="13061" width="6.75" style="300" customWidth="1"/>
    <col min="13062" max="13062" width="9.375" style="300" customWidth="1"/>
    <col min="13063" max="13063" width="8.875" style="300" customWidth="1"/>
    <col min="13064" max="13064" width="14" style="300" customWidth="1"/>
    <col min="13065" max="13065" width="9.375" style="300" customWidth="1"/>
    <col min="13066" max="13066" width="8.625" style="300" customWidth="1"/>
    <col min="13067" max="13067" width="12.875" style="300" customWidth="1"/>
    <col min="13068" max="13068" width="13.375" style="300" bestFit="1" customWidth="1"/>
    <col min="13069" max="13069" width="7.625" style="300" customWidth="1"/>
    <col min="13070" max="13070" width="7.625" style="300" bestFit="1" customWidth="1"/>
    <col min="13071" max="13071" width="4.625" style="300" bestFit="1" customWidth="1"/>
    <col min="13072" max="13073" width="7.625" style="300" customWidth="1"/>
    <col min="13074" max="13074" width="7.625" style="300" bestFit="1" customWidth="1"/>
    <col min="13075" max="13075" width="4.625" style="300" bestFit="1" customWidth="1"/>
    <col min="13076" max="13076" width="9.625" style="300" bestFit="1" customWidth="1"/>
    <col min="13077" max="13077" width="8.75" style="300" bestFit="1" customWidth="1"/>
    <col min="13078" max="13078" width="11.5" style="300" bestFit="1" customWidth="1"/>
    <col min="13079" max="13079" width="6.125" style="300" bestFit="1" customWidth="1"/>
    <col min="13080" max="13080" width="4.625" style="300" bestFit="1" customWidth="1"/>
    <col min="13081" max="13083" width="6.125" style="300" bestFit="1" customWidth="1"/>
    <col min="13084" max="13084" width="9" style="300"/>
    <col min="13085" max="13085" width="9.125" style="300" customWidth="1"/>
    <col min="13086" max="13312" width="9" style="300"/>
    <col min="13313" max="13313" width="4.75" style="300" customWidth="1"/>
    <col min="13314" max="13314" width="6.875" style="300" customWidth="1"/>
    <col min="13315" max="13315" width="18.5" style="300" customWidth="1"/>
    <col min="13316" max="13316" width="10.875" style="300" customWidth="1"/>
    <col min="13317" max="13317" width="6.75" style="300" customWidth="1"/>
    <col min="13318" max="13318" width="9.375" style="300" customWidth="1"/>
    <col min="13319" max="13319" width="8.875" style="300" customWidth="1"/>
    <col min="13320" max="13320" width="14" style="300" customWidth="1"/>
    <col min="13321" max="13321" width="9.375" style="300" customWidth="1"/>
    <col min="13322" max="13322" width="8.625" style="300" customWidth="1"/>
    <col min="13323" max="13323" width="12.875" style="300" customWidth="1"/>
    <col min="13324" max="13324" width="13.375" style="300" bestFit="1" customWidth="1"/>
    <col min="13325" max="13325" width="7.625" style="300" customWidth="1"/>
    <col min="13326" max="13326" width="7.625" style="300" bestFit="1" customWidth="1"/>
    <col min="13327" max="13327" width="4.625" style="300" bestFit="1" customWidth="1"/>
    <col min="13328" max="13329" width="7.625" style="300" customWidth="1"/>
    <col min="13330" max="13330" width="7.625" style="300" bestFit="1" customWidth="1"/>
    <col min="13331" max="13331" width="4.625" style="300" bestFit="1" customWidth="1"/>
    <col min="13332" max="13332" width="9.625" style="300" bestFit="1" customWidth="1"/>
    <col min="13333" max="13333" width="8.75" style="300" bestFit="1" customWidth="1"/>
    <col min="13334" max="13334" width="11.5" style="300" bestFit="1" customWidth="1"/>
    <col min="13335" max="13335" width="6.125" style="300" bestFit="1" customWidth="1"/>
    <col min="13336" max="13336" width="4.625" style="300" bestFit="1" customWidth="1"/>
    <col min="13337" max="13339" width="6.125" style="300" bestFit="1" customWidth="1"/>
    <col min="13340" max="13340" width="9" style="300"/>
    <col min="13341" max="13341" width="9.125" style="300" customWidth="1"/>
    <col min="13342" max="13568" width="9" style="300"/>
    <col min="13569" max="13569" width="4.75" style="300" customWidth="1"/>
    <col min="13570" max="13570" width="6.875" style="300" customWidth="1"/>
    <col min="13571" max="13571" width="18.5" style="300" customWidth="1"/>
    <col min="13572" max="13572" width="10.875" style="300" customWidth="1"/>
    <col min="13573" max="13573" width="6.75" style="300" customWidth="1"/>
    <col min="13574" max="13574" width="9.375" style="300" customWidth="1"/>
    <col min="13575" max="13575" width="8.875" style="300" customWidth="1"/>
    <col min="13576" max="13576" width="14" style="300" customWidth="1"/>
    <col min="13577" max="13577" width="9.375" style="300" customWidth="1"/>
    <col min="13578" max="13578" width="8.625" style="300" customWidth="1"/>
    <col min="13579" max="13579" width="12.875" style="300" customWidth="1"/>
    <col min="13580" max="13580" width="13.375" style="300" bestFit="1" customWidth="1"/>
    <col min="13581" max="13581" width="7.625" style="300" customWidth="1"/>
    <col min="13582" max="13582" width="7.625" style="300" bestFit="1" customWidth="1"/>
    <col min="13583" max="13583" width="4.625" style="300" bestFit="1" customWidth="1"/>
    <col min="13584" max="13585" width="7.625" style="300" customWidth="1"/>
    <col min="13586" max="13586" width="7.625" style="300" bestFit="1" customWidth="1"/>
    <col min="13587" max="13587" width="4.625" style="300" bestFit="1" customWidth="1"/>
    <col min="13588" max="13588" width="9.625" style="300" bestFit="1" customWidth="1"/>
    <col min="13589" max="13589" width="8.75" style="300" bestFit="1" customWidth="1"/>
    <col min="13590" max="13590" width="11.5" style="300" bestFit="1" customWidth="1"/>
    <col min="13591" max="13591" width="6.125" style="300" bestFit="1" customWidth="1"/>
    <col min="13592" max="13592" width="4.625" style="300" bestFit="1" customWidth="1"/>
    <col min="13593" max="13595" width="6.125" style="300" bestFit="1" customWidth="1"/>
    <col min="13596" max="13596" width="9" style="300"/>
    <col min="13597" max="13597" width="9.125" style="300" customWidth="1"/>
    <col min="13598" max="13824" width="9" style="300"/>
    <col min="13825" max="13825" width="4.75" style="300" customWidth="1"/>
    <col min="13826" max="13826" width="6.875" style="300" customWidth="1"/>
    <col min="13827" max="13827" width="18.5" style="300" customWidth="1"/>
    <col min="13828" max="13828" width="10.875" style="300" customWidth="1"/>
    <col min="13829" max="13829" width="6.75" style="300" customWidth="1"/>
    <col min="13830" max="13830" width="9.375" style="300" customWidth="1"/>
    <col min="13831" max="13831" width="8.875" style="300" customWidth="1"/>
    <col min="13832" max="13832" width="14" style="300" customWidth="1"/>
    <col min="13833" max="13833" width="9.375" style="300" customWidth="1"/>
    <col min="13834" max="13834" width="8.625" style="300" customWidth="1"/>
    <col min="13835" max="13835" width="12.875" style="300" customWidth="1"/>
    <col min="13836" max="13836" width="13.375" style="300" bestFit="1" customWidth="1"/>
    <col min="13837" max="13837" width="7.625" style="300" customWidth="1"/>
    <col min="13838" max="13838" width="7.625" style="300" bestFit="1" customWidth="1"/>
    <col min="13839" max="13839" width="4.625" style="300" bestFit="1" customWidth="1"/>
    <col min="13840" max="13841" width="7.625" style="300" customWidth="1"/>
    <col min="13842" max="13842" width="7.625" style="300" bestFit="1" customWidth="1"/>
    <col min="13843" max="13843" width="4.625" style="300" bestFit="1" customWidth="1"/>
    <col min="13844" max="13844" width="9.625" style="300" bestFit="1" customWidth="1"/>
    <col min="13845" max="13845" width="8.75" style="300" bestFit="1" customWidth="1"/>
    <col min="13846" max="13846" width="11.5" style="300" bestFit="1" customWidth="1"/>
    <col min="13847" max="13847" width="6.125" style="300" bestFit="1" customWidth="1"/>
    <col min="13848" max="13848" width="4.625" style="300" bestFit="1" customWidth="1"/>
    <col min="13849" max="13851" width="6.125" style="300" bestFit="1" customWidth="1"/>
    <col min="13852" max="13852" width="9" style="300"/>
    <col min="13853" max="13853" width="9.125" style="300" customWidth="1"/>
    <col min="13854" max="14080" width="9" style="300"/>
    <col min="14081" max="14081" width="4.75" style="300" customWidth="1"/>
    <col min="14082" max="14082" width="6.875" style="300" customWidth="1"/>
    <col min="14083" max="14083" width="18.5" style="300" customWidth="1"/>
    <col min="14084" max="14084" width="10.875" style="300" customWidth="1"/>
    <col min="14085" max="14085" width="6.75" style="300" customWidth="1"/>
    <col min="14086" max="14086" width="9.375" style="300" customWidth="1"/>
    <col min="14087" max="14087" width="8.875" style="300" customWidth="1"/>
    <col min="14088" max="14088" width="14" style="300" customWidth="1"/>
    <col min="14089" max="14089" width="9.375" style="300" customWidth="1"/>
    <col min="14090" max="14090" width="8.625" style="300" customWidth="1"/>
    <col min="14091" max="14091" width="12.875" style="300" customWidth="1"/>
    <col min="14092" max="14092" width="13.375" style="300" bestFit="1" customWidth="1"/>
    <col min="14093" max="14093" width="7.625" style="300" customWidth="1"/>
    <col min="14094" max="14094" width="7.625" style="300" bestFit="1" customWidth="1"/>
    <col min="14095" max="14095" width="4.625" style="300" bestFit="1" customWidth="1"/>
    <col min="14096" max="14097" width="7.625" style="300" customWidth="1"/>
    <col min="14098" max="14098" width="7.625" style="300" bestFit="1" customWidth="1"/>
    <col min="14099" max="14099" width="4.625" style="300" bestFit="1" customWidth="1"/>
    <col min="14100" max="14100" width="9.625" style="300" bestFit="1" customWidth="1"/>
    <col min="14101" max="14101" width="8.75" style="300" bestFit="1" customWidth="1"/>
    <col min="14102" max="14102" width="11.5" style="300" bestFit="1" customWidth="1"/>
    <col min="14103" max="14103" width="6.125" style="300" bestFit="1" customWidth="1"/>
    <col min="14104" max="14104" width="4.625" style="300" bestFit="1" customWidth="1"/>
    <col min="14105" max="14107" width="6.125" style="300" bestFit="1" customWidth="1"/>
    <col min="14108" max="14108" width="9" style="300"/>
    <col min="14109" max="14109" width="9.125" style="300" customWidth="1"/>
    <col min="14110" max="14336" width="9" style="300"/>
    <col min="14337" max="14337" width="4.75" style="300" customWidth="1"/>
    <col min="14338" max="14338" width="6.875" style="300" customWidth="1"/>
    <col min="14339" max="14339" width="18.5" style="300" customWidth="1"/>
    <col min="14340" max="14340" width="10.875" style="300" customWidth="1"/>
    <col min="14341" max="14341" width="6.75" style="300" customWidth="1"/>
    <col min="14342" max="14342" width="9.375" style="300" customWidth="1"/>
    <col min="14343" max="14343" width="8.875" style="300" customWidth="1"/>
    <col min="14344" max="14344" width="14" style="300" customWidth="1"/>
    <col min="14345" max="14345" width="9.375" style="300" customWidth="1"/>
    <col min="14346" max="14346" width="8.625" style="300" customWidth="1"/>
    <col min="14347" max="14347" width="12.875" style="300" customWidth="1"/>
    <col min="14348" max="14348" width="13.375" style="300" bestFit="1" customWidth="1"/>
    <col min="14349" max="14349" width="7.625" style="300" customWidth="1"/>
    <col min="14350" max="14350" width="7.625" style="300" bestFit="1" customWidth="1"/>
    <col min="14351" max="14351" width="4.625" style="300" bestFit="1" customWidth="1"/>
    <col min="14352" max="14353" width="7.625" style="300" customWidth="1"/>
    <col min="14354" max="14354" width="7.625" style="300" bestFit="1" customWidth="1"/>
    <col min="14355" max="14355" width="4.625" style="300" bestFit="1" customWidth="1"/>
    <col min="14356" max="14356" width="9.625" style="300" bestFit="1" customWidth="1"/>
    <col min="14357" max="14357" width="8.75" style="300" bestFit="1" customWidth="1"/>
    <col min="14358" max="14358" width="11.5" style="300" bestFit="1" customWidth="1"/>
    <col min="14359" max="14359" width="6.125" style="300" bestFit="1" customWidth="1"/>
    <col min="14360" max="14360" width="4.625" style="300" bestFit="1" customWidth="1"/>
    <col min="14361" max="14363" width="6.125" style="300" bestFit="1" customWidth="1"/>
    <col min="14364" max="14364" width="9" style="300"/>
    <col min="14365" max="14365" width="9.125" style="300" customWidth="1"/>
    <col min="14366" max="14592" width="9" style="300"/>
    <col min="14593" max="14593" width="4.75" style="300" customWidth="1"/>
    <col min="14594" max="14594" width="6.875" style="300" customWidth="1"/>
    <col min="14595" max="14595" width="18.5" style="300" customWidth="1"/>
    <col min="14596" max="14596" width="10.875" style="300" customWidth="1"/>
    <col min="14597" max="14597" width="6.75" style="300" customWidth="1"/>
    <col min="14598" max="14598" width="9.375" style="300" customWidth="1"/>
    <col min="14599" max="14599" width="8.875" style="300" customWidth="1"/>
    <col min="14600" max="14600" width="14" style="300" customWidth="1"/>
    <col min="14601" max="14601" width="9.375" style="300" customWidth="1"/>
    <col min="14602" max="14602" width="8.625" style="300" customWidth="1"/>
    <col min="14603" max="14603" width="12.875" style="300" customWidth="1"/>
    <col min="14604" max="14604" width="13.375" style="300" bestFit="1" customWidth="1"/>
    <col min="14605" max="14605" width="7.625" style="300" customWidth="1"/>
    <col min="14606" max="14606" width="7.625" style="300" bestFit="1" customWidth="1"/>
    <col min="14607" max="14607" width="4.625" style="300" bestFit="1" customWidth="1"/>
    <col min="14608" max="14609" width="7.625" style="300" customWidth="1"/>
    <col min="14610" max="14610" width="7.625" style="300" bestFit="1" customWidth="1"/>
    <col min="14611" max="14611" width="4.625" style="300" bestFit="1" customWidth="1"/>
    <col min="14612" max="14612" width="9.625" style="300" bestFit="1" customWidth="1"/>
    <col min="14613" max="14613" width="8.75" style="300" bestFit="1" customWidth="1"/>
    <col min="14614" max="14614" width="11.5" style="300" bestFit="1" customWidth="1"/>
    <col min="14615" max="14615" width="6.125" style="300" bestFit="1" customWidth="1"/>
    <col min="14616" max="14616" width="4.625" style="300" bestFit="1" customWidth="1"/>
    <col min="14617" max="14619" width="6.125" style="300" bestFit="1" customWidth="1"/>
    <col min="14620" max="14620" width="9" style="300"/>
    <col min="14621" max="14621" width="9.125" style="300" customWidth="1"/>
    <col min="14622" max="14848" width="9" style="300"/>
    <col min="14849" max="14849" width="4.75" style="300" customWidth="1"/>
    <col min="14850" max="14850" width="6.875" style="300" customWidth="1"/>
    <col min="14851" max="14851" width="18.5" style="300" customWidth="1"/>
    <col min="14852" max="14852" width="10.875" style="300" customWidth="1"/>
    <col min="14853" max="14853" width="6.75" style="300" customWidth="1"/>
    <col min="14854" max="14854" width="9.375" style="300" customWidth="1"/>
    <col min="14855" max="14855" width="8.875" style="300" customWidth="1"/>
    <col min="14856" max="14856" width="14" style="300" customWidth="1"/>
    <col min="14857" max="14857" width="9.375" style="300" customWidth="1"/>
    <col min="14858" max="14858" width="8.625" style="300" customWidth="1"/>
    <col min="14859" max="14859" width="12.875" style="300" customWidth="1"/>
    <col min="14860" max="14860" width="13.375" style="300" bestFit="1" customWidth="1"/>
    <col min="14861" max="14861" width="7.625" style="300" customWidth="1"/>
    <col min="14862" max="14862" width="7.625" style="300" bestFit="1" customWidth="1"/>
    <col min="14863" max="14863" width="4.625" style="300" bestFit="1" customWidth="1"/>
    <col min="14864" max="14865" width="7.625" style="300" customWidth="1"/>
    <col min="14866" max="14866" width="7.625" style="300" bestFit="1" customWidth="1"/>
    <col min="14867" max="14867" width="4.625" style="300" bestFit="1" customWidth="1"/>
    <col min="14868" max="14868" width="9.625" style="300" bestFit="1" customWidth="1"/>
    <col min="14869" max="14869" width="8.75" style="300" bestFit="1" customWidth="1"/>
    <col min="14870" max="14870" width="11.5" style="300" bestFit="1" customWidth="1"/>
    <col min="14871" max="14871" width="6.125" style="300" bestFit="1" customWidth="1"/>
    <col min="14872" max="14872" width="4.625" style="300" bestFit="1" customWidth="1"/>
    <col min="14873" max="14875" width="6.125" style="300" bestFit="1" customWidth="1"/>
    <col min="14876" max="14876" width="9" style="300"/>
    <col min="14877" max="14877" width="9.125" style="300" customWidth="1"/>
    <col min="14878" max="15104" width="9" style="300"/>
    <col min="15105" max="15105" width="4.75" style="300" customWidth="1"/>
    <col min="15106" max="15106" width="6.875" style="300" customWidth="1"/>
    <col min="15107" max="15107" width="18.5" style="300" customWidth="1"/>
    <col min="15108" max="15108" width="10.875" style="300" customWidth="1"/>
    <col min="15109" max="15109" width="6.75" style="300" customWidth="1"/>
    <col min="15110" max="15110" width="9.375" style="300" customWidth="1"/>
    <col min="15111" max="15111" width="8.875" style="300" customWidth="1"/>
    <col min="15112" max="15112" width="14" style="300" customWidth="1"/>
    <col min="15113" max="15113" width="9.375" style="300" customWidth="1"/>
    <col min="15114" max="15114" width="8.625" style="300" customWidth="1"/>
    <col min="15115" max="15115" width="12.875" style="300" customWidth="1"/>
    <col min="15116" max="15116" width="13.375" style="300" bestFit="1" customWidth="1"/>
    <col min="15117" max="15117" width="7.625" style="300" customWidth="1"/>
    <col min="15118" max="15118" width="7.625" style="300" bestFit="1" customWidth="1"/>
    <col min="15119" max="15119" width="4.625" style="300" bestFit="1" customWidth="1"/>
    <col min="15120" max="15121" width="7.625" style="300" customWidth="1"/>
    <col min="15122" max="15122" width="7.625" style="300" bestFit="1" customWidth="1"/>
    <col min="15123" max="15123" width="4.625" style="300" bestFit="1" customWidth="1"/>
    <col min="15124" max="15124" width="9.625" style="300" bestFit="1" customWidth="1"/>
    <col min="15125" max="15125" width="8.75" style="300" bestFit="1" customWidth="1"/>
    <col min="15126" max="15126" width="11.5" style="300" bestFit="1" customWidth="1"/>
    <col min="15127" max="15127" width="6.125" style="300" bestFit="1" customWidth="1"/>
    <col min="15128" max="15128" width="4.625" style="300" bestFit="1" customWidth="1"/>
    <col min="15129" max="15131" width="6.125" style="300" bestFit="1" customWidth="1"/>
    <col min="15132" max="15132" width="9" style="300"/>
    <col min="15133" max="15133" width="9.125" style="300" customWidth="1"/>
    <col min="15134" max="15360" width="9" style="300"/>
    <col min="15361" max="15361" width="4.75" style="300" customWidth="1"/>
    <col min="15362" max="15362" width="6.875" style="300" customWidth="1"/>
    <col min="15363" max="15363" width="18.5" style="300" customWidth="1"/>
    <col min="15364" max="15364" width="10.875" style="300" customWidth="1"/>
    <col min="15365" max="15365" width="6.75" style="300" customWidth="1"/>
    <col min="15366" max="15366" width="9.375" style="300" customWidth="1"/>
    <col min="15367" max="15367" width="8.875" style="300" customWidth="1"/>
    <col min="15368" max="15368" width="14" style="300" customWidth="1"/>
    <col min="15369" max="15369" width="9.375" style="300" customWidth="1"/>
    <col min="15370" max="15370" width="8.625" style="300" customWidth="1"/>
    <col min="15371" max="15371" width="12.875" style="300" customWidth="1"/>
    <col min="15372" max="15372" width="13.375" style="300" bestFit="1" customWidth="1"/>
    <col min="15373" max="15373" width="7.625" style="300" customWidth="1"/>
    <col min="15374" max="15374" width="7.625" style="300" bestFit="1" customWidth="1"/>
    <col min="15375" max="15375" width="4.625" style="300" bestFit="1" customWidth="1"/>
    <col min="15376" max="15377" width="7.625" style="300" customWidth="1"/>
    <col min="15378" max="15378" width="7.625" style="300" bestFit="1" customWidth="1"/>
    <col min="15379" max="15379" width="4.625" style="300" bestFit="1" customWidth="1"/>
    <col min="15380" max="15380" width="9.625" style="300" bestFit="1" customWidth="1"/>
    <col min="15381" max="15381" width="8.75" style="300" bestFit="1" customWidth="1"/>
    <col min="15382" max="15382" width="11.5" style="300" bestFit="1" customWidth="1"/>
    <col min="15383" max="15383" width="6.125" style="300" bestFit="1" customWidth="1"/>
    <col min="15384" max="15384" width="4.625" style="300" bestFit="1" customWidth="1"/>
    <col min="15385" max="15387" width="6.125" style="300" bestFit="1" customWidth="1"/>
    <col min="15388" max="15388" width="9" style="300"/>
    <col min="15389" max="15389" width="9.125" style="300" customWidth="1"/>
    <col min="15390" max="15616" width="9" style="300"/>
    <col min="15617" max="15617" width="4.75" style="300" customWidth="1"/>
    <col min="15618" max="15618" width="6.875" style="300" customWidth="1"/>
    <col min="15619" max="15619" width="18.5" style="300" customWidth="1"/>
    <col min="15620" max="15620" width="10.875" style="300" customWidth="1"/>
    <col min="15621" max="15621" width="6.75" style="300" customWidth="1"/>
    <col min="15622" max="15622" width="9.375" style="300" customWidth="1"/>
    <col min="15623" max="15623" width="8.875" style="300" customWidth="1"/>
    <col min="15624" max="15624" width="14" style="300" customWidth="1"/>
    <col min="15625" max="15625" width="9.375" style="300" customWidth="1"/>
    <col min="15626" max="15626" width="8.625" style="300" customWidth="1"/>
    <col min="15627" max="15627" width="12.875" style="300" customWidth="1"/>
    <col min="15628" max="15628" width="13.375" style="300" bestFit="1" customWidth="1"/>
    <col min="15629" max="15629" width="7.625" style="300" customWidth="1"/>
    <col min="15630" max="15630" width="7.625" style="300" bestFit="1" customWidth="1"/>
    <col min="15631" max="15631" width="4.625" style="300" bestFit="1" customWidth="1"/>
    <col min="15632" max="15633" width="7.625" style="300" customWidth="1"/>
    <col min="15634" max="15634" width="7.625" style="300" bestFit="1" customWidth="1"/>
    <col min="15635" max="15635" width="4.625" style="300" bestFit="1" customWidth="1"/>
    <col min="15636" max="15636" width="9.625" style="300" bestFit="1" customWidth="1"/>
    <col min="15637" max="15637" width="8.75" style="300" bestFit="1" customWidth="1"/>
    <col min="15638" max="15638" width="11.5" style="300" bestFit="1" customWidth="1"/>
    <col min="15639" max="15639" width="6.125" style="300" bestFit="1" customWidth="1"/>
    <col min="15640" max="15640" width="4.625" style="300" bestFit="1" customWidth="1"/>
    <col min="15641" max="15643" width="6.125" style="300" bestFit="1" customWidth="1"/>
    <col min="15644" max="15644" width="9" style="300"/>
    <col min="15645" max="15645" width="9.125" style="300" customWidth="1"/>
    <col min="15646" max="15872" width="9" style="300"/>
    <col min="15873" max="15873" width="4.75" style="300" customWidth="1"/>
    <col min="15874" max="15874" width="6.875" style="300" customWidth="1"/>
    <col min="15875" max="15875" width="18.5" style="300" customWidth="1"/>
    <col min="15876" max="15876" width="10.875" style="300" customWidth="1"/>
    <col min="15877" max="15877" width="6.75" style="300" customWidth="1"/>
    <col min="15878" max="15878" width="9.375" style="300" customWidth="1"/>
    <col min="15879" max="15879" width="8.875" style="300" customWidth="1"/>
    <col min="15880" max="15880" width="14" style="300" customWidth="1"/>
    <col min="15881" max="15881" width="9.375" style="300" customWidth="1"/>
    <col min="15882" max="15882" width="8.625" style="300" customWidth="1"/>
    <col min="15883" max="15883" width="12.875" style="300" customWidth="1"/>
    <col min="15884" max="15884" width="13.375" style="300" bestFit="1" customWidth="1"/>
    <col min="15885" max="15885" width="7.625" style="300" customWidth="1"/>
    <col min="15886" max="15886" width="7.625" style="300" bestFit="1" customWidth="1"/>
    <col min="15887" max="15887" width="4.625" style="300" bestFit="1" customWidth="1"/>
    <col min="15888" max="15889" width="7.625" style="300" customWidth="1"/>
    <col min="15890" max="15890" width="7.625" style="300" bestFit="1" customWidth="1"/>
    <col min="15891" max="15891" width="4.625" style="300" bestFit="1" customWidth="1"/>
    <col min="15892" max="15892" width="9.625" style="300" bestFit="1" customWidth="1"/>
    <col min="15893" max="15893" width="8.75" style="300" bestFit="1" customWidth="1"/>
    <col min="15894" max="15894" width="11.5" style="300" bestFit="1" customWidth="1"/>
    <col min="15895" max="15895" width="6.125" style="300" bestFit="1" customWidth="1"/>
    <col min="15896" max="15896" width="4.625" style="300" bestFit="1" customWidth="1"/>
    <col min="15897" max="15899" width="6.125" style="300" bestFit="1" customWidth="1"/>
    <col min="15900" max="15900" width="9" style="300"/>
    <col min="15901" max="15901" width="9.125" style="300" customWidth="1"/>
    <col min="15902" max="16128" width="9" style="300"/>
    <col min="16129" max="16129" width="4.75" style="300" customWidth="1"/>
    <col min="16130" max="16130" width="6.875" style="300" customWidth="1"/>
    <col min="16131" max="16131" width="18.5" style="300" customWidth="1"/>
    <col min="16132" max="16132" width="10.875" style="300" customWidth="1"/>
    <col min="16133" max="16133" width="6.75" style="300" customWidth="1"/>
    <col min="16134" max="16134" width="9.375" style="300" customWidth="1"/>
    <col min="16135" max="16135" width="8.875" style="300" customWidth="1"/>
    <col min="16136" max="16136" width="14" style="300" customWidth="1"/>
    <col min="16137" max="16137" width="9.375" style="300" customWidth="1"/>
    <col min="16138" max="16138" width="8.625" style="300" customWidth="1"/>
    <col min="16139" max="16139" width="12.875" style="300" customWidth="1"/>
    <col min="16140" max="16140" width="13.375" style="300" bestFit="1" customWidth="1"/>
    <col min="16141" max="16141" width="7.625" style="300" customWidth="1"/>
    <col min="16142" max="16142" width="7.625" style="300" bestFit="1" customWidth="1"/>
    <col min="16143" max="16143" width="4.625" style="300" bestFit="1" customWidth="1"/>
    <col min="16144" max="16145" width="7.625" style="300" customWidth="1"/>
    <col min="16146" max="16146" width="7.625" style="300" bestFit="1" customWidth="1"/>
    <col min="16147" max="16147" width="4.625" style="300" bestFit="1" customWidth="1"/>
    <col min="16148" max="16148" width="9.625" style="300" bestFit="1" customWidth="1"/>
    <col min="16149" max="16149" width="8.75" style="300" bestFit="1" customWidth="1"/>
    <col min="16150" max="16150" width="11.5" style="300" bestFit="1" customWidth="1"/>
    <col min="16151" max="16151" width="6.125" style="300" bestFit="1" customWidth="1"/>
    <col min="16152" max="16152" width="4.625" style="300" bestFit="1" customWidth="1"/>
    <col min="16153" max="16155" width="6.125" style="300" bestFit="1" customWidth="1"/>
    <col min="16156" max="16156" width="9" style="300"/>
    <col min="16157" max="16157" width="9.125" style="300" customWidth="1"/>
    <col min="16158" max="16384" width="9" style="300"/>
  </cols>
  <sheetData>
    <row r="1" spans="1:31" ht="20.25">
      <c r="A1" s="1448" t="s">
        <v>1211</v>
      </c>
      <c r="B1" s="1449"/>
      <c r="C1" s="1449"/>
      <c r="D1" s="1449"/>
      <c r="E1" s="1449"/>
      <c r="F1" s="1449"/>
      <c r="G1" s="1449"/>
      <c r="H1" s="1449"/>
      <c r="I1" s="1449"/>
      <c r="J1" s="1449"/>
      <c r="K1" s="352" t="s">
        <v>1018</v>
      </c>
    </row>
    <row r="2" spans="1:31" ht="20.100000000000001" customHeight="1" thickBot="1">
      <c r="A2" s="1450" t="str">
        <f>'作(4)'!F4</f>
        <v>版本型录号</v>
      </c>
      <c r="B2" s="1450"/>
      <c r="C2" s="1450">
        <f>'作(4)'!H4</f>
        <v>0</v>
      </c>
      <c r="D2" s="1450"/>
      <c r="E2" s="1450"/>
      <c r="F2" s="1450"/>
      <c r="G2" s="356"/>
      <c r="H2" s="1450" t="s">
        <v>1019</v>
      </c>
      <c r="I2" s="1450"/>
      <c r="J2" s="356">
        <f>+'作(4)'!O38</f>
        <v>0</v>
      </c>
    </row>
    <row r="3" spans="1:31" ht="23.25" customHeight="1">
      <c r="A3" s="1442" t="str">
        <f>'作(4)'!A4</f>
        <v>客户姓名：</v>
      </c>
      <c r="B3" s="1443"/>
      <c r="C3" s="357" t="str">
        <f>'作(4)'!C4</f>
        <v>杜鹃</v>
      </c>
      <c r="D3" s="1443"/>
      <c r="E3" s="1443"/>
      <c r="F3" s="1444"/>
      <c r="G3" s="357" t="str">
        <f>'作(4)'!F5</f>
        <v>下单日期：</v>
      </c>
      <c r="H3" s="358" t="str">
        <f>'作(4)'!H5</f>
        <v xml:space="preserve">  </v>
      </c>
      <c r="I3" s="1443" t="s">
        <v>1020</v>
      </c>
      <c r="J3" s="1436" t="s">
        <v>1021</v>
      </c>
      <c r="K3" s="354"/>
      <c r="L3" s="359" t="s">
        <v>1022</v>
      </c>
      <c r="M3" s="360" t="s">
        <v>1023</v>
      </c>
      <c r="N3" s="360" t="s">
        <v>1024</v>
      </c>
      <c r="O3" s="360" t="s">
        <v>1025</v>
      </c>
      <c r="P3" s="360" t="s">
        <v>1026</v>
      </c>
      <c r="Q3" s="360" t="s">
        <v>1027</v>
      </c>
      <c r="R3" s="361" t="s">
        <v>1028</v>
      </c>
      <c r="S3" s="361" t="s">
        <v>1029</v>
      </c>
      <c r="T3" s="360" t="s">
        <v>1030</v>
      </c>
      <c r="U3" s="360"/>
      <c r="V3" s="360"/>
      <c r="W3" s="360"/>
      <c r="X3" s="360" t="s">
        <v>1031</v>
      </c>
      <c r="Y3" s="360"/>
      <c r="Z3" s="360"/>
      <c r="AA3" s="360"/>
      <c r="AB3" s="362"/>
      <c r="AC3" s="1438" t="s">
        <v>1032</v>
      </c>
      <c r="AD3" s="1438"/>
      <c r="AE3" s="1439"/>
    </row>
    <row r="4" spans="1:31" ht="23.25" customHeight="1">
      <c r="A4" s="1440" t="str">
        <f>'作(4)'!A5</f>
        <v>图纸编号：</v>
      </c>
      <c r="B4" s="1441"/>
      <c r="C4" s="363" t="str">
        <f>'作(4)'!C5</f>
        <v>S400383705</v>
      </c>
      <c r="D4" s="1441"/>
      <c r="E4" s="1441"/>
      <c r="F4" s="1445"/>
      <c r="G4" s="363" t="str">
        <f>'作(4)'!J5</f>
        <v>城市</v>
      </c>
      <c r="H4" s="364" t="str">
        <f>'作(4)'!K5</f>
        <v>西安</v>
      </c>
      <c r="I4" s="1441"/>
      <c r="J4" s="1437"/>
      <c r="K4" s="365"/>
      <c r="L4" s="366"/>
      <c r="M4" s="367"/>
      <c r="N4" s="367"/>
      <c r="O4" s="367"/>
      <c r="P4" s="367"/>
      <c r="Q4" s="367"/>
      <c r="R4" s="368"/>
      <c r="S4" s="368"/>
      <c r="T4" s="369" t="s">
        <v>1033</v>
      </c>
      <c r="U4" s="369" t="s">
        <v>1034</v>
      </c>
      <c r="V4" s="369" t="s">
        <v>1035</v>
      </c>
      <c r="W4" s="369" t="s">
        <v>1036</v>
      </c>
      <c r="X4" s="369" t="s">
        <v>1033</v>
      </c>
      <c r="Y4" s="369" t="s">
        <v>1034</v>
      </c>
      <c r="Z4" s="369" t="s">
        <v>1037</v>
      </c>
      <c r="AA4" s="369" t="s">
        <v>1036</v>
      </c>
      <c r="AB4" s="370"/>
      <c r="AC4" s="369" t="s">
        <v>1033</v>
      </c>
      <c r="AD4" s="369" t="s">
        <v>1034</v>
      </c>
      <c r="AE4" s="371" t="s">
        <v>1037</v>
      </c>
    </row>
    <row r="5" spans="1:31" ht="23.25" customHeight="1">
      <c r="A5" s="372" t="s">
        <v>1038</v>
      </c>
      <c r="B5" s="363" t="s">
        <v>1039</v>
      </c>
      <c r="C5" s="373" t="s">
        <v>1040</v>
      </c>
      <c r="D5" s="1441" t="s">
        <v>1041</v>
      </c>
      <c r="E5" s="1441"/>
      <c r="F5" s="374" t="s">
        <v>1042</v>
      </c>
      <c r="G5" s="363" t="s">
        <v>1043</v>
      </c>
      <c r="H5" s="1441" t="s">
        <v>1044</v>
      </c>
      <c r="I5" s="1441"/>
      <c r="J5" s="1437"/>
      <c r="K5" s="375" t="s">
        <v>1212</v>
      </c>
      <c r="L5" s="376" t="str">
        <f>O5&amp;N5</f>
        <v>L02象牙白</v>
      </c>
      <c r="M5" s="377" t="s">
        <v>1045</v>
      </c>
      <c r="N5" s="378" t="s">
        <v>1046</v>
      </c>
      <c r="O5" s="378" t="s">
        <v>1047</v>
      </c>
      <c r="P5" s="377" t="s">
        <v>1048</v>
      </c>
      <c r="Q5" s="378" t="s">
        <v>1049</v>
      </c>
      <c r="R5" s="378">
        <v>370</v>
      </c>
      <c r="S5" s="378">
        <v>1</v>
      </c>
      <c r="T5" s="378" t="s">
        <v>1050</v>
      </c>
      <c r="U5" s="378" t="s">
        <v>1051</v>
      </c>
      <c r="V5" s="378" t="s">
        <v>1052</v>
      </c>
      <c r="W5" s="377" t="s">
        <v>1053</v>
      </c>
      <c r="X5" s="378">
        <v>1</v>
      </c>
      <c r="Y5" s="378">
        <v>0.5</v>
      </c>
      <c r="Z5" s="379">
        <v>0.6</v>
      </c>
      <c r="AA5" s="377" t="s">
        <v>1053</v>
      </c>
      <c r="AB5" s="370"/>
      <c r="AC5" s="380">
        <f t="shared" ref="AC5:AC14" si="0">+X5/(X5+Y5+Z5)*R5*S5/1000*$J$2</f>
        <v>0</v>
      </c>
      <c r="AD5" s="380">
        <f t="shared" ref="AD5:AD14" si="1">+Y5/(X5+Y5+Z5)*R5*S5/1000*$J$2</f>
        <v>0</v>
      </c>
      <c r="AE5" s="381">
        <f t="shared" ref="AE5:AE14" si="2">+Z5/(X5+Y5+Z5)*R5*S5/1000*$J$2</f>
        <v>0</v>
      </c>
    </row>
    <row r="6" spans="1:31" ht="23.25" customHeight="1">
      <c r="A6" s="1434" t="s">
        <v>1054</v>
      </c>
      <c r="B6" s="382">
        <v>1</v>
      </c>
      <c r="C6" s="383" t="str">
        <f>'作(4)'!I8</f>
        <v>18A暖白双贴三聚氰胺刨花板</v>
      </c>
      <c r="D6" s="1427" t="s">
        <v>1055</v>
      </c>
      <c r="E6" s="1427"/>
      <c r="F6" s="384">
        <f>+ROUNDUP('作(4)'!N38,1)</f>
        <v>0</v>
      </c>
      <c r="G6" s="382" t="s">
        <v>1056</v>
      </c>
      <c r="H6" s="1446">
        <f>'作(4)'!$F$6</f>
        <v>0</v>
      </c>
      <c r="I6" s="1446"/>
      <c r="J6" s="1447"/>
      <c r="K6" s="365" t="s">
        <v>1057</v>
      </c>
      <c r="L6" s="376" t="str">
        <f t="shared" ref="L6:L23" si="3">O6&amp;N6</f>
        <v>L12纯白</v>
      </c>
      <c r="M6" s="377"/>
      <c r="N6" s="378" t="s">
        <v>1058</v>
      </c>
      <c r="O6" s="378" t="s">
        <v>1059</v>
      </c>
      <c r="P6" s="377" t="s">
        <v>1060</v>
      </c>
      <c r="Q6" s="378" t="s">
        <v>1061</v>
      </c>
      <c r="R6" s="378">
        <v>370</v>
      </c>
      <c r="S6" s="378">
        <v>1</v>
      </c>
      <c r="T6" s="378" t="s">
        <v>1062</v>
      </c>
      <c r="U6" s="378" t="s">
        <v>1063</v>
      </c>
      <c r="V6" s="378" t="s">
        <v>1064</v>
      </c>
      <c r="W6" s="377"/>
      <c r="X6" s="378">
        <v>1</v>
      </c>
      <c r="Y6" s="378">
        <v>0.5</v>
      </c>
      <c r="Z6" s="379">
        <v>0.5</v>
      </c>
      <c r="AA6" s="377"/>
      <c r="AB6" s="370"/>
      <c r="AC6" s="380">
        <f t="shared" si="0"/>
        <v>0</v>
      </c>
      <c r="AD6" s="380">
        <f t="shared" si="1"/>
        <v>0</v>
      </c>
      <c r="AE6" s="381">
        <f t="shared" si="2"/>
        <v>0</v>
      </c>
    </row>
    <row r="7" spans="1:31" ht="23.25" customHeight="1">
      <c r="A7" s="1434"/>
      <c r="B7" s="382">
        <v>2</v>
      </c>
      <c r="C7" s="382" t="s">
        <v>1007</v>
      </c>
      <c r="D7" s="1433" t="s">
        <v>1065</v>
      </c>
      <c r="E7" s="1433"/>
      <c r="F7" s="385">
        <f>+'作(4)'!M38</f>
        <v>0</v>
      </c>
      <c r="G7" s="382" t="s">
        <v>1066</v>
      </c>
      <c r="H7" s="1446"/>
      <c r="I7" s="1446"/>
      <c r="J7" s="1447"/>
      <c r="K7" s="365" t="s">
        <v>1067</v>
      </c>
      <c r="L7" s="376" t="str">
        <f t="shared" si="3"/>
        <v>L01珍珠白</v>
      </c>
      <c r="M7" s="377"/>
      <c r="N7" s="378" t="s">
        <v>1068</v>
      </c>
      <c r="O7" s="378" t="s">
        <v>1069</v>
      </c>
      <c r="P7" s="377" t="s">
        <v>1060</v>
      </c>
      <c r="Q7" s="378" t="s">
        <v>1061</v>
      </c>
      <c r="R7" s="378">
        <v>310</v>
      </c>
      <c r="S7" s="378">
        <v>1</v>
      </c>
      <c r="T7" s="378" t="s">
        <v>1070</v>
      </c>
      <c r="U7" s="378" t="s">
        <v>1051</v>
      </c>
      <c r="V7" s="378" t="s">
        <v>1052</v>
      </c>
      <c r="W7" s="377" t="s">
        <v>1071</v>
      </c>
      <c r="X7" s="378">
        <v>1</v>
      </c>
      <c r="Y7" s="378">
        <v>0.5</v>
      </c>
      <c r="Z7" s="379">
        <v>0.6</v>
      </c>
      <c r="AA7" s="377" t="s">
        <v>1071</v>
      </c>
      <c r="AB7" s="370"/>
      <c r="AC7" s="380">
        <f t="shared" si="0"/>
        <v>0</v>
      </c>
      <c r="AD7" s="380">
        <f t="shared" si="1"/>
        <v>0</v>
      </c>
      <c r="AE7" s="381">
        <f t="shared" si="2"/>
        <v>0</v>
      </c>
    </row>
    <row r="8" spans="1:31" ht="23.25" customHeight="1">
      <c r="A8" s="1434"/>
      <c r="B8" s="382">
        <v>3</v>
      </c>
      <c r="C8" s="382" t="s">
        <v>1072</v>
      </c>
      <c r="D8" s="1427" t="s">
        <v>838</v>
      </c>
      <c r="E8" s="1427"/>
      <c r="F8" s="385">
        <f>F7*4.1</f>
        <v>0</v>
      </c>
      <c r="G8" s="382" t="s">
        <v>1073</v>
      </c>
      <c r="H8" s="1446"/>
      <c r="I8" s="1446"/>
      <c r="J8" s="1447"/>
      <c r="K8" s="354"/>
      <c r="L8" s="376" t="str">
        <f t="shared" si="3"/>
        <v>L02象牙白</v>
      </c>
      <c r="M8" s="377"/>
      <c r="N8" s="378" t="s">
        <v>1046</v>
      </c>
      <c r="O8" s="378" t="s">
        <v>1047</v>
      </c>
      <c r="P8" s="377" t="s">
        <v>1060</v>
      </c>
      <c r="Q8" s="378" t="s">
        <v>1061</v>
      </c>
      <c r="R8" s="378">
        <v>310</v>
      </c>
      <c r="S8" s="378">
        <v>1</v>
      </c>
      <c r="T8" s="378" t="s">
        <v>1050</v>
      </c>
      <c r="U8" s="378" t="s">
        <v>1051</v>
      </c>
      <c r="V8" s="378" t="s">
        <v>1052</v>
      </c>
      <c r="W8" s="377"/>
      <c r="X8" s="378">
        <v>1</v>
      </c>
      <c r="Y8" s="378">
        <v>0.5</v>
      </c>
      <c r="Z8" s="379">
        <v>0.6</v>
      </c>
      <c r="AA8" s="377"/>
      <c r="AB8" s="370"/>
      <c r="AC8" s="380">
        <f t="shared" si="0"/>
        <v>0</v>
      </c>
      <c r="AD8" s="380">
        <f t="shared" si="1"/>
        <v>0</v>
      </c>
      <c r="AE8" s="381">
        <f t="shared" si="2"/>
        <v>0</v>
      </c>
    </row>
    <row r="9" spans="1:31" ht="23.25" customHeight="1">
      <c r="A9" s="1434" t="s">
        <v>1074</v>
      </c>
      <c r="B9" s="382">
        <v>1</v>
      </c>
      <c r="C9" s="429" t="s">
        <v>1214</v>
      </c>
      <c r="D9" s="1435" t="s">
        <v>1215</v>
      </c>
      <c r="E9" s="1435"/>
      <c r="F9" s="385">
        <f>+AC28</f>
        <v>0</v>
      </c>
      <c r="G9" s="382" t="s">
        <v>1075</v>
      </c>
      <c r="H9" s="1427"/>
      <c r="I9" s="1427"/>
      <c r="J9" s="1428"/>
      <c r="K9" s="354"/>
      <c r="L9" s="376" t="str">
        <f t="shared" si="3"/>
        <v>L05浅灰</v>
      </c>
      <c r="M9" s="377"/>
      <c r="N9" s="378" t="s">
        <v>1076</v>
      </c>
      <c r="O9" s="378" t="s">
        <v>1077</v>
      </c>
      <c r="P9" s="377" t="s">
        <v>1078</v>
      </c>
      <c r="Q9" s="378" t="s">
        <v>1079</v>
      </c>
      <c r="R9" s="378">
        <v>310</v>
      </c>
      <c r="S9" s="378">
        <v>1</v>
      </c>
      <c r="T9" s="378" t="s">
        <v>1080</v>
      </c>
      <c r="U9" s="378" t="s">
        <v>1081</v>
      </c>
      <c r="V9" s="378" t="s">
        <v>1052</v>
      </c>
      <c r="W9" s="377"/>
      <c r="X9" s="378">
        <v>1</v>
      </c>
      <c r="Y9" s="378">
        <v>0.5</v>
      </c>
      <c r="Z9" s="379">
        <v>0.6</v>
      </c>
      <c r="AA9" s="377"/>
      <c r="AB9" s="370"/>
      <c r="AC9" s="380">
        <f t="shared" si="0"/>
        <v>0</v>
      </c>
      <c r="AD9" s="380">
        <f t="shared" si="1"/>
        <v>0</v>
      </c>
      <c r="AE9" s="381">
        <f t="shared" si="2"/>
        <v>0</v>
      </c>
    </row>
    <row r="10" spans="1:31" ht="23.25" customHeight="1">
      <c r="A10" s="1434"/>
      <c r="B10" s="382">
        <v>2</v>
      </c>
      <c r="C10" s="429" t="s">
        <v>1214</v>
      </c>
      <c r="D10" s="1435" t="s">
        <v>1216</v>
      </c>
      <c r="E10" s="1435"/>
      <c r="F10" s="385">
        <f>+AC29</f>
        <v>0</v>
      </c>
      <c r="G10" s="382" t="s">
        <v>1075</v>
      </c>
      <c r="H10" s="1427"/>
      <c r="I10" s="1427"/>
      <c r="J10" s="1428"/>
      <c r="K10" s="354"/>
      <c r="L10" s="376" t="str">
        <f t="shared" si="3"/>
        <v>L06卡布奇诺</v>
      </c>
      <c r="M10" s="377" t="s">
        <v>1082</v>
      </c>
      <c r="N10" s="378" t="s">
        <v>1083</v>
      </c>
      <c r="O10" s="378" t="s">
        <v>1084</v>
      </c>
      <c r="P10" s="377" t="s">
        <v>1085</v>
      </c>
      <c r="Q10" s="378" t="s">
        <v>1086</v>
      </c>
      <c r="R10" s="378">
        <v>310</v>
      </c>
      <c r="S10" s="378">
        <v>1</v>
      </c>
      <c r="T10" s="378" t="s">
        <v>1087</v>
      </c>
      <c r="U10" s="378" t="s">
        <v>1081</v>
      </c>
      <c r="V10" s="378" t="s">
        <v>1052</v>
      </c>
      <c r="W10" s="377"/>
      <c r="X10" s="378">
        <v>1</v>
      </c>
      <c r="Y10" s="378">
        <v>0.5</v>
      </c>
      <c r="Z10" s="379">
        <v>0.6</v>
      </c>
      <c r="AA10" s="377"/>
      <c r="AB10" s="370"/>
      <c r="AC10" s="380">
        <f t="shared" si="0"/>
        <v>0</v>
      </c>
      <c r="AD10" s="380">
        <f t="shared" si="1"/>
        <v>0</v>
      </c>
      <c r="AE10" s="381">
        <f t="shared" si="2"/>
        <v>0</v>
      </c>
    </row>
    <row r="11" spans="1:31" ht="23.25" customHeight="1">
      <c r="A11" s="1434"/>
      <c r="B11" s="382">
        <v>6</v>
      </c>
      <c r="C11" s="1433" t="s">
        <v>1088</v>
      </c>
      <c r="D11" s="1427" t="str">
        <f>T30</f>
        <v>T20975</v>
      </c>
      <c r="E11" s="1427"/>
      <c r="F11" s="385">
        <f>AC30</f>
        <v>0</v>
      </c>
      <c r="G11" s="382" t="s">
        <v>1089</v>
      </c>
      <c r="H11" s="1427"/>
      <c r="I11" s="1427"/>
      <c r="J11" s="1428"/>
      <c r="K11" s="354"/>
      <c r="L11" s="376" t="str">
        <f t="shared" si="3"/>
        <v>L11纯黑</v>
      </c>
      <c r="M11" s="377"/>
      <c r="N11" s="378" t="s">
        <v>1090</v>
      </c>
      <c r="O11" s="378" t="s">
        <v>1091</v>
      </c>
      <c r="P11" s="377" t="s">
        <v>1060</v>
      </c>
      <c r="Q11" s="378" t="s">
        <v>1061</v>
      </c>
      <c r="R11" s="378">
        <v>310</v>
      </c>
      <c r="S11" s="378">
        <v>1</v>
      </c>
      <c r="T11" s="378" t="s">
        <v>1092</v>
      </c>
      <c r="U11" s="378" t="s">
        <v>1081</v>
      </c>
      <c r="V11" s="378" t="s">
        <v>1052</v>
      </c>
      <c r="W11" s="377"/>
      <c r="X11" s="378">
        <v>1</v>
      </c>
      <c r="Y11" s="378">
        <v>0.5</v>
      </c>
      <c r="Z11" s="379">
        <v>0.6</v>
      </c>
      <c r="AA11" s="377"/>
      <c r="AB11" s="370"/>
      <c r="AC11" s="380">
        <f t="shared" si="0"/>
        <v>0</v>
      </c>
      <c r="AD11" s="380">
        <f t="shared" si="1"/>
        <v>0</v>
      </c>
      <c r="AE11" s="381">
        <f t="shared" si="2"/>
        <v>0</v>
      </c>
    </row>
    <row r="12" spans="1:31" ht="23.25" customHeight="1">
      <c r="A12" s="1434"/>
      <c r="B12" s="382">
        <v>7</v>
      </c>
      <c r="C12" s="1433"/>
      <c r="D12" s="1427" t="str">
        <f>U30</f>
        <v>PR66</v>
      </c>
      <c r="E12" s="1427"/>
      <c r="F12" s="385">
        <f>AD30</f>
        <v>0</v>
      </c>
      <c r="G12" s="382" t="s">
        <v>1093</v>
      </c>
      <c r="H12" s="1427"/>
      <c r="I12" s="1427"/>
      <c r="J12" s="1428"/>
      <c r="K12" s="354"/>
      <c r="L12" s="376" t="str">
        <f t="shared" si="3"/>
        <v>L12纯白</v>
      </c>
      <c r="M12" s="377"/>
      <c r="N12" s="378" t="s">
        <v>1058</v>
      </c>
      <c r="O12" s="378" t="s">
        <v>1059</v>
      </c>
      <c r="P12" s="377" t="s">
        <v>1094</v>
      </c>
      <c r="Q12" s="378" t="s">
        <v>1095</v>
      </c>
      <c r="R12" s="378">
        <v>310</v>
      </c>
      <c r="S12" s="378">
        <v>1</v>
      </c>
      <c r="T12" s="378" t="s">
        <v>1062</v>
      </c>
      <c r="U12" s="378" t="s">
        <v>1096</v>
      </c>
      <c r="V12" s="378" t="s">
        <v>1097</v>
      </c>
      <c r="W12" s="377"/>
      <c r="X12" s="378">
        <v>1</v>
      </c>
      <c r="Y12" s="378">
        <v>0.5</v>
      </c>
      <c r="Z12" s="379">
        <v>0.5</v>
      </c>
      <c r="AA12" s="377"/>
      <c r="AB12" s="370"/>
      <c r="AC12" s="380">
        <f t="shared" si="0"/>
        <v>0</v>
      </c>
      <c r="AD12" s="380">
        <f t="shared" si="1"/>
        <v>0</v>
      </c>
      <c r="AE12" s="381">
        <f t="shared" si="2"/>
        <v>0</v>
      </c>
    </row>
    <row r="13" spans="1:31" ht="23.25" customHeight="1">
      <c r="A13" s="1434"/>
      <c r="B13" s="382">
        <v>8</v>
      </c>
      <c r="C13" s="1433"/>
      <c r="D13" s="1427" t="str">
        <f>V30</f>
        <v>PX705/PX707</v>
      </c>
      <c r="E13" s="1427"/>
      <c r="F13" s="385">
        <f>AE30</f>
        <v>0</v>
      </c>
      <c r="G13" s="382" t="s">
        <v>1098</v>
      </c>
      <c r="H13" s="1427"/>
      <c r="I13" s="1427"/>
      <c r="J13" s="1428"/>
      <c r="K13" s="354"/>
      <c r="L13" s="376" t="str">
        <f t="shared" si="3"/>
        <v>G01珍珠白</v>
      </c>
      <c r="M13" s="377"/>
      <c r="N13" s="378" t="s">
        <v>1068</v>
      </c>
      <c r="O13" s="378" t="s">
        <v>1099</v>
      </c>
      <c r="P13" s="377" t="s">
        <v>1100</v>
      </c>
      <c r="Q13" s="378" t="s">
        <v>1095</v>
      </c>
      <c r="R13" s="378">
        <v>325</v>
      </c>
      <c r="S13" s="378">
        <v>2</v>
      </c>
      <c r="T13" s="378" t="s">
        <v>1070</v>
      </c>
      <c r="U13" s="378" t="s">
        <v>1051</v>
      </c>
      <c r="V13" s="378" t="s">
        <v>1052</v>
      </c>
      <c r="W13" s="377" t="s">
        <v>1071</v>
      </c>
      <c r="X13" s="378">
        <v>1</v>
      </c>
      <c r="Y13" s="378">
        <v>0.5</v>
      </c>
      <c r="Z13" s="379">
        <v>0.6</v>
      </c>
      <c r="AA13" s="377" t="s">
        <v>1071</v>
      </c>
      <c r="AB13" s="370"/>
      <c r="AC13" s="380">
        <f t="shared" si="0"/>
        <v>0</v>
      </c>
      <c r="AD13" s="380">
        <f t="shared" si="1"/>
        <v>0</v>
      </c>
      <c r="AE13" s="381">
        <f t="shared" si="2"/>
        <v>0</v>
      </c>
    </row>
    <row r="14" spans="1:31" ht="23.25" customHeight="1">
      <c r="A14" s="1434"/>
      <c r="B14" s="382"/>
      <c r="C14" s="1433"/>
      <c r="D14" s="1427" t="str">
        <f>+IF($K$5=$K$6,"","慢干水")</f>
        <v>慢干水</v>
      </c>
      <c r="E14" s="1427"/>
      <c r="F14" s="385">
        <f>IF(D14="","",F13*0.34)</f>
        <v>0</v>
      </c>
      <c r="G14" s="382" t="s">
        <v>1098</v>
      </c>
      <c r="H14" s="1427"/>
      <c r="I14" s="1427"/>
      <c r="J14" s="1428"/>
      <c r="K14" s="354"/>
      <c r="L14" s="376" t="str">
        <f t="shared" si="3"/>
        <v>G02象牙白</v>
      </c>
      <c r="M14" s="377"/>
      <c r="N14" s="378" t="s">
        <v>1046</v>
      </c>
      <c r="O14" s="378" t="s">
        <v>1101</v>
      </c>
      <c r="P14" s="377"/>
      <c r="Q14" s="378" t="s">
        <v>1095</v>
      </c>
      <c r="R14" s="378">
        <v>325</v>
      </c>
      <c r="S14" s="378">
        <v>2</v>
      </c>
      <c r="T14" s="378" t="s">
        <v>1050</v>
      </c>
      <c r="U14" s="378" t="s">
        <v>1051</v>
      </c>
      <c r="V14" s="378" t="s">
        <v>1052</v>
      </c>
      <c r="W14" s="377"/>
      <c r="X14" s="378">
        <v>1</v>
      </c>
      <c r="Y14" s="378">
        <v>0.5</v>
      </c>
      <c r="Z14" s="379">
        <v>0.6</v>
      </c>
      <c r="AA14" s="377"/>
      <c r="AB14" s="370"/>
      <c r="AC14" s="380">
        <f t="shared" si="0"/>
        <v>0</v>
      </c>
      <c r="AD14" s="380">
        <f t="shared" si="1"/>
        <v>0</v>
      </c>
      <c r="AE14" s="381">
        <f t="shared" si="2"/>
        <v>0</v>
      </c>
    </row>
    <row r="15" spans="1:31" ht="23.25" customHeight="1">
      <c r="A15" s="1434"/>
      <c r="B15" s="382">
        <v>9</v>
      </c>
      <c r="C15" s="1433" t="s">
        <v>1102</v>
      </c>
      <c r="D15" s="1427" t="e">
        <f>VLOOKUP($H$6,$L$1:$AE$26,9,0)</f>
        <v>#N/A</v>
      </c>
      <c r="E15" s="1427"/>
      <c r="F15" s="385" t="e">
        <f>VLOOKUP($H$6,$L$1:$AE$26,18,0)</f>
        <v>#N/A</v>
      </c>
      <c r="G15" s="382" t="s">
        <v>1098</v>
      </c>
      <c r="H15" s="1427"/>
      <c r="I15" s="1427"/>
      <c r="J15" s="1428"/>
      <c r="K15" s="354"/>
      <c r="L15" s="376" t="str">
        <f t="shared" si="3"/>
        <v>G06卡布奇诺</v>
      </c>
      <c r="M15" s="377"/>
      <c r="N15" s="378" t="s">
        <v>1083</v>
      </c>
      <c r="O15" s="378" t="s">
        <v>1103</v>
      </c>
      <c r="P15" s="377"/>
      <c r="Q15" s="378" t="s">
        <v>1095</v>
      </c>
      <c r="R15" s="378">
        <v>325</v>
      </c>
      <c r="S15" s="378">
        <v>2</v>
      </c>
      <c r="T15" s="378" t="s">
        <v>1087</v>
      </c>
      <c r="U15" s="378" t="s">
        <v>1081</v>
      </c>
      <c r="V15" s="378" t="s">
        <v>1052</v>
      </c>
      <c r="W15" s="377"/>
      <c r="X15" s="378">
        <v>1</v>
      </c>
      <c r="Y15" s="378">
        <v>0.5</v>
      </c>
      <c r="Z15" s="379">
        <v>0.8</v>
      </c>
      <c r="AA15" s="377"/>
      <c r="AB15" s="370"/>
      <c r="AC15" s="380">
        <f>+X15/(X15+Y15+Z15)*R15*S15/1000*$J$2</f>
        <v>0</v>
      </c>
      <c r="AD15" s="380">
        <f>+Y15/(X15+Y15+Z15)*R15*S15/1000*$J$2</f>
        <v>0</v>
      </c>
      <c r="AE15" s="381">
        <f>+Z15/(X15+Y15+Z15)*R15*S15/1000*$J$2</f>
        <v>0</v>
      </c>
    </row>
    <row r="16" spans="1:31" ht="23.25" customHeight="1">
      <c r="A16" s="1434"/>
      <c r="B16" s="382">
        <v>10</v>
      </c>
      <c r="C16" s="1433"/>
      <c r="D16" s="1427" t="e">
        <f>VLOOKUP($H$6,$L$1:$AE$26,10,0)</f>
        <v>#N/A</v>
      </c>
      <c r="E16" s="1427"/>
      <c r="F16" s="385" t="e">
        <f>VLOOKUP($H$6,$L$1:$AE$25,19,0)</f>
        <v>#N/A</v>
      </c>
      <c r="G16" s="382" t="s">
        <v>1098</v>
      </c>
      <c r="H16" s="1427"/>
      <c r="I16" s="1427"/>
      <c r="J16" s="1428"/>
      <c r="K16" s="354"/>
      <c r="L16" s="376" t="str">
        <f t="shared" si="3"/>
        <v>G07深灰</v>
      </c>
      <c r="M16" s="377"/>
      <c r="N16" s="378" t="s">
        <v>1104</v>
      </c>
      <c r="O16" s="378" t="s">
        <v>1105</v>
      </c>
      <c r="P16" s="377"/>
      <c r="Q16" s="378" t="s">
        <v>1095</v>
      </c>
      <c r="R16" s="378">
        <v>325</v>
      </c>
      <c r="S16" s="378">
        <v>2</v>
      </c>
      <c r="T16" s="378" t="s">
        <v>1106</v>
      </c>
      <c r="U16" s="378" t="s">
        <v>1081</v>
      </c>
      <c r="V16" s="378" t="s">
        <v>1052</v>
      </c>
      <c r="W16" s="377"/>
      <c r="X16" s="378">
        <v>1</v>
      </c>
      <c r="Y16" s="378">
        <v>0.5</v>
      </c>
      <c r="Z16" s="379">
        <v>0.8</v>
      </c>
      <c r="AA16" s="377"/>
      <c r="AB16" s="370"/>
      <c r="AC16" s="380">
        <f>+X16/(X16+Y16+Z16)*R16*S16/1000*$J$2</f>
        <v>0</v>
      </c>
      <c r="AD16" s="380">
        <f>+Y16/(X16+Y16+Z16)*R16*S16/1000*$J$2</f>
        <v>0</v>
      </c>
      <c r="AE16" s="381">
        <f>+Z16/(X16+Y16+Z16)*R16*S16/1000*$J$2</f>
        <v>0</v>
      </c>
    </row>
    <row r="17" spans="1:31" ht="23.25" customHeight="1">
      <c r="A17" s="1434"/>
      <c r="B17" s="382">
        <v>11</v>
      </c>
      <c r="C17" s="1433"/>
      <c r="D17" s="1427" t="e">
        <f>VLOOKUP($H$6,$L$1:$AE$26,11,0)</f>
        <v>#N/A</v>
      </c>
      <c r="E17" s="1427"/>
      <c r="F17" s="385" t="e">
        <f>VLOOKUP($H$6,$L$1:$AE$26,20,0)</f>
        <v>#N/A</v>
      </c>
      <c r="G17" s="382" t="s">
        <v>1098</v>
      </c>
      <c r="H17" s="1427"/>
      <c r="I17" s="1427"/>
      <c r="J17" s="1428"/>
      <c r="K17" s="354"/>
      <c r="L17" s="376" t="str">
        <f t="shared" si="3"/>
        <v>G08柠檬绿</v>
      </c>
      <c r="M17" s="377"/>
      <c r="N17" s="378" t="s">
        <v>1107</v>
      </c>
      <c r="O17" s="378" t="s">
        <v>1108</v>
      </c>
      <c r="P17" s="377"/>
      <c r="Q17" s="378" t="s">
        <v>1095</v>
      </c>
      <c r="R17" s="378">
        <v>325</v>
      </c>
      <c r="S17" s="378">
        <v>2</v>
      </c>
      <c r="T17" s="378" t="s">
        <v>1109</v>
      </c>
      <c r="U17" s="378" t="s">
        <v>1110</v>
      </c>
      <c r="V17" s="378" t="s">
        <v>1052</v>
      </c>
      <c r="W17" s="377"/>
      <c r="X17" s="378">
        <v>1</v>
      </c>
      <c r="Y17" s="378">
        <v>0.5</v>
      </c>
      <c r="Z17" s="379">
        <v>0.7</v>
      </c>
      <c r="AA17" s="377"/>
      <c r="AB17" s="370"/>
      <c r="AC17" s="380">
        <f>+X17/(X17+Y17+Z17)*R17*S17/1000*$J$2</f>
        <v>0</v>
      </c>
      <c r="AD17" s="380">
        <f>+Y17/(X17+Y17+Z17)*R17*S17/1000*$J$2</f>
        <v>0</v>
      </c>
      <c r="AE17" s="381">
        <f>+Z17/(X17+Y17+Z17)*R17*S17/1000*$J$2</f>
        <v>0</v>
      </c>
    </row>
    <row r="18" spans="1:31" ht="23.25" customHeight="1">
      <c r="A18" s="1434"/>
      <c r="B18" s="382">
        <v>11</v>
      </c>
      <c r="C18" s="1433"/>
      <c r="D18" s="1427" t="e">
        <f>+IF(D17="RTS-10SL","",IF($K$5=$K$6,"","慢干水"))</f>
        <v>#N/A</v>
      </c>
      <c r="E18" s="1427"/>
      <c r="F18" s="385" t="e">
        <f>IF(D18="","",F17*0.34)</f>
        <v>#N/A</v>
      </c>
      <c r="G18" s="382" t="e">
        <f>IF(D18="","","千克")</f>
        <v>#N/A</v>
      </c>
      <c r="H18" s="1427"/>
      <c r="I18" s="1427"/>
      <c r="J18" s="1428"/>
      <c r="K18" s="354"/>
      <c r="L18" s="376" t="str">
        <f t="shared" si="3"/>
        <v>G09法拉利红</v>
      </c>
      <c r="M18" s="377"/>
      <c r="N18" s="378" t="s">
        <v>1111</v>
      </c>
      <c r="O18" s="378" t="s">
        <v>1112</v>
      </c>
      <c r="P18" s="377"/>
      <c r="Q18" s="378" t="s">
        <v>1095</v>
      </c>
      <c r="R18" s="378">
        <v>325</v>
      </c>
      <c r="S18" s="378">
        <v>2</v>
      </c>
      <c r="T18" s="378" t="s">
        <v>1113</v>
      </c>
      <c r="U18" s="378" t="s">
        <v>1081</v>
      </c>
      <c r="V18" s="378" t="s">
        <v>1052</v>
      </c>
      <c r="W18" s="377"/>
      <c r="X18" s="378">
        <v>1</v>
      </c>
      <c r="Y18" s="378">
        <v>0.5</v>
      </c>
      <c r="Z18" s="379">
        <v>0.8</v>
      </c>
      <c r="AA18" s="377"/>
      <c r="AB18" s="370"/>
      <c r="AC18" s="380">
        <f t="shared" ref="AC18:AC23" si="4">+X18/(X18+Y18+Z18)*R18*S18/1000*$J$2</f>
        <v>0</v>
      </c>
      <c r="AD18" s="380">
        <f t="shared" ref="AD18:AD23" si="5">+Y18/(X18+Y18+Z18)*R18*S18/1000*$J$2</f>
        <v>0</v>
      </c>
      <c r="AE18" s="381">
        <f t="shared" ref="AE18:AE23" si="6">+Z18/(X18+Y18+Z18)*R18*S18/1000*$J$2</f>
        <v>0</v>
      </c>
    </row>
    <row r="19" spans="1:31" ht="23.25" customHeight="1">
      <c r="A19" s="1434"/>
      <c r="B19" s="386"/>
      <c r="C19" s="383" t="str">
        <f>+IF(MIDB(H6,1,1)="G","抛光液","")</f>
        <v/>
      </c>
      <c r="D19" s="1427"/>
      <c r="E19" s="1427"/>
      <c r="F19" s="387" t="str">
        <f>+IF(MIDB(H6,1,1)="G",J2*0.05,"")</f>
        <v/>
      </c>
      <c r="G19" s="382" t="str">
        <f>+IF(MIDB(H6,1,1)="G","千克","")</f>
        <v/>
      </c>
      <c r="H19" s="386"/>
      <c r="I19" s="386"/>
      <c r="J19" s="388"/>
      <c r="K19" s="354"/>
      <c r="L19" s="376" t="str">
        <f>O19&amp;N19</f>
        <v>G10酒红</v>
      </c>
      <c r="M19" s="377"/>
      <c r="N19" s="378" t="s">
        <v>1114</v>
      </c>
      <c r="O19" s="378" t="s">
        <v>1115</v>
      </c>
      <c r="P19" s="377"/>
      <c r="Q19" s="378" t="s">
        <v>1095</v>
      </c>
      <c r="R19" s="378">
        <v>325</v>
      </c>
      <c r="S19" s="378">
        <v>2</v>
      </c>
      <c r="T19" s="378" t="s">
        <v>1116</v>
      </c>
      <c r="U19" s="378" t="s">
        <v>1081</v>
      </c>
      <c r="V19" s="378" t="s">
        <v>1052</v>
      </c>
      <c r="W19" s="377"/>
      <c r="X19" s="378">
        <v>1</v>
      </c>
      <c r="Y19" s="378">
        <v>0.5</v>
      </c>
      <c r="Z19" s="379">
        <v>0.8</v>
      </c>
      <c r="AA19" s="377"/>
      <c r="AB19" s="370"/>
      <c r="AC19" s="380">
        <f t="shared" si="4"/>
        <v>0</v>
      </c>
      <c r="AD19" s="380">
        <f t="shared" si="5"/>
        <v>0</v>
      </c>
      <c r="AE19" s="381">
        <f t="shared" si="6"/>
        <v>0</v>
      </c>
    </row>
    <row r="20" spans="1:31" ht="23.25" customHeight="1">
      <c r="A20" s="1434"/>
      <c r="B20" s="386"/>
      <c r="C20" s="383" t="str">
        <f>+IF(MIDB(H6,1,1)="G","白细腊","")</f>
        <v/>
      </c>
      <c r="D20" s="1427"/>
      <c r="E20" s="1427"/>
      <c r="F20" s="387" t="str">
        <f>+IF(MIDB(H6,1,1)="G",J2*0.07,"")</f>
        <v/>
      </c>
      <c r="G20" s="382" t="str">
        <f>+IF(MIDB(H6,1,1)="G","千克","")</f>
        <v/>
      </c>
      <c r="H20" s="386"/>
      <c r="I20" s="386"/>
      <c r="J20" s="388"/>
      <c r="K20" s="354"/>
      <c r="L20" s="376" t="str">
        <f>O20&amp;N20</f>
        <v>G11纯黑</v>
      </c>
      <c r="M20" s="377"/>
      <c r="N20" s="378" t="s">
        <v>1117</v>
      </c>
      <c r="O20" s="378" t="s">
        <v>1118</v>
      </c>
      <c r="P20" s="377"/>
      <c r="Q20" s="378" t="s">
        <v>1095</v>
      </c>
      <c r="R20" s="378">
        <v>325</v>
      </c>
      <c r="S20" s="378">
        <v>2</v>
      </c>
      <c r="T20" s="378" t="s">
        <v>1119</v>
      </c>
      <c r="U20" s="378" t="s">
        <v>1081</v>
      </c>
      <c r="V20" s="378" t="s">
        <v>1052</v>
      </c>
      <c r="W20" s="377"/>
      <c r="X20" s="378">
        <v>1</v>
      </c>
      <c r="Y20" s="378">
        <v>1</v>
      </c>
      <c r="Z20" s="379">
        <v>0.8</v>
      </c>
      <c r="AA20" s="377"/>
      <c r="AB20" s="370"/>
      <c r="AC20" s="380">
        <f t="shared" si="4"/>
        <v>0</v>
      </c>
      <c r="AD20" s="380">
        <f t="shared" si="5"/>
        <v>0</v>
      </c>
      <c r="AE20" s="381">
        <f t="shared" si="6"/>
        <v>0</v>
      </c>
    </row>
    <row r="21" spans="1:31" ht="23.25" customHeight="1">
      <c r="A21" s="1429" t="s">
        <v>1120</v>
      </c>
      <c r="B21" s="386"/>
      <c r="C21" s="386" t="str">
        <f>+IF('作(4)'!Q38&gt;0,"拉手","")</f>
        <v/>
      </c>
      <c r="D21" s="1431" t="str">
        <f>+IF('作(4)'!Q38&gt;0,"LC-003","")</f>
        <v/>
      </c>
      <c r="E21" s="1431"/>
      <c r="F21" s="384" t="str">
        <f>+IF('作(4)'!Q38&gt;0,'作(4)'!Q38,"")</f>
        <v/>
      </c>
      <c r="G21" s="386" t="str">
        <f>+IF('作(4)'!Q38&gt;0,"米","")</f>
        <v/>
      </c>
      <c r="H21" s="386"/>
      <c r="I21" s="386"/>
      <c r="J21" s="388"/>
      <c r="K21" s="354"/>
      <c r="L21" s="376" t="str">
        <f t="shared" si="3"/>
        <v>G10酒红</v>
      </c>
      <c r="M21" s="377"/>
      <c r="N21" s="378" t="s">
        <v>1114</v>
      </c>
      <c r="O21" s="378" t="s">
        <v>1115</v>
      </c>
      <c r="P21" s="377"/>
      <c r="Q21" s="378" t="s">
        <v>1095</v>
      </c>
      <c r="R21" s="378">
        <v>325</v>
      </c>
      <c r="S21" s="378">
        <v>2</v>
      </c>
      <c r="T21" s="378" t="s">
        <v>1116</v>
      </c>
      <c r="U21" s="378" t="s">
        <v>1081</v>
      </c>
      <c r="V21" s="378" t="s">
        <v>1052</v>
      </c>
      <c r="W21" s="377"/>
      <c r="X21" s="378">
        <v>1</v>
      </c>
      <c r="Y21" s="378">
        <v>0.5</v>
      </c>
      <c r="Z21" s="379">
        <v>0.8</v>
      </c>
      <c r="AA21" s="377"/>
      <c r="AB21" s="370"/>
      <c r="AC21" s="380">
        <f t="shared" si="4"/>
        <v>0</v>
      </c>
      <c r="AD21" s="380">
        <f t="shared" si="5"/>
        <v>0</v>
      </c>
      <c r="AE21" s="381">
        <f t="shared" si="6"/>
        <v>0</v>
      </c>
    </row>
    <row r="22" spans="1:31" ht="23.25" customHeight="1" thickBot="1">
      <c r="A22" s="1430"/>
      <c r="B22" s="389"/>
      <c r="C22" s="389"/>
      <c r="D22" s="1432" t="str">
        <f>+IF('作(4)'!Q38&gt;0,"普施宝免钉胶","")</f>
        <v/>
      </c>
      <c r="E22" s="1432"/>
      <c r="F22" s="390"/>
      <c r="G22" s="389" t="str">
        <f>+IF('作(4)'!Q38&gt;0,"支","")</f>
        <v/>
      </c>
      <c r="H22" s="389"/>
      <c r="I22" s="389"/>
      <c r="J22" s="391"/>
      <c r="K22" s="354"/>
      <c r="L22" s="376" t="str">
        <f t="shared" si="3"/>
        <v>G11纯黑</v>
      </c>
      <c r="M22" s="377"/>
      <c r="N22" s="378" t="s">
        <v>1117</v>
      </c>
      <c r="O22" s="378" t="s">
        <v>1118</v>
      </c>
      <c r="P22" s="377"/>
      <c r="Q22" s="378" t="s">
        <v>1095</v>
      </c>
      <c r="R22" s="378">
        <v>325</v>
      </c>
      <c r="S22" s="378">
        <v>2</v>
      </c>
      <c r="T22" s="378" t="s">
        <v>1119</v>
      </c>
      <c r="U22" s="378" t="s">
        <v>1081</v>
      </c>
      <c r="V22" s="378" t="s">
        <v>1052</v>
      </c>
      <c r="W22" s="377"/>
      <c r="X22" s="378">
        <v>1</v>
      </c>
      <c r="Y22" s="378">
        <v>1</v>
      </c>
      <c r="Z22" s="379">
        <v>0.8</v>
      </c>
      <c r="AA22" s="377"/>
      <c r="AB22" s="370"/>
      <c r="AC22" s="380">
        <f t="shared" si="4"/>
        <v>0</v>
      </c>
      <c r="AD22" s="380">
        <f t="shared" si="5"/>
        <v>0</v>
      </c>
      <c r="AE22" s="381">
        <f t="shared" si="6"/>
        <v>0</v>
      </c>
    </row>
    <row r="23" spans="1:31" ht="24" customHeight="1">
      <c r="A23" s="1423"/>
      <c r="B23" s="1423"/>
      <c r="C23" s="392" t="s">
        <v>1121</v>
      </c>
      <c r="D23" s="1424" t="s">
        <v>1481</v>
      </c>
      <c r="E23" s="1425"/>
      <c r="F23" s="393"/>
      <c r="G23" s="392"/>
      <c r="H23" s="1425"/>
      <c r="I23" s="1425"/>
      <c r="J23" s="394"/>
      <c r="K23" s="354"/>
      <c r="L23" s="376" t="str">
        <f t="shared" si="3"/>
        <v>G12纯白</v>
      </c>
      <c r="M23" s="377"/>
      <c r="N23" s="378" t="s">
        <v>1058</v>
      </c>
      <c r="O23" s="378" t="s">
        <v>1122</v>
      </c>
      <c r="P23" s="377"/>
      <c r="Q23" s="378" t="s">
        <v>1095</v>
      </c>
      <c r="R23" s="378">
        <v>325</v>
      </c>
      <c r="S23" s="378">
        <v>2</v>
      </c>
      <c r="T23" s="378" t="s">
        <v>1123</v>
      </c>
      <c r="U23" s="378" t="s">
        <v>1124</v>
      </c>
      <c r="V23" s="378" t="s">
        <v>1125</v>
      </c>
      <c r="W23" s="377"/>
      <c r="X23" s="378">
        <v>1</v>
      </c>
      <c r="Y23" s="378">
        <v>0.5</v>
      </c>
      <c r="Z23" s="379">
        <v>0.6</v>
      </c>
      <c r="AA23" s="377"/>
      <c r="AB23" s="370"/>
      <c r="AC23" s="380">
        <f t="shared" si="4"/>
        <v>0</v>
      </c>
      <c r="AD23" s="380">
        <f t="shared" si="5"/>
        <v>0</v>
      </c>
      <c r="AE23" s="381">
        <f t="shared" si="6"/>
        <v>0</v>
      </c>
    </row>
    <row r="24" spans="1:31" ht="15" customHeight="1">
      <c r="A24" s="395"/>
      <c r="B24" s="395"/>
      <c r="C24" s="392"/>
      <c r="D24" s="392"/>
      <c r="E24" s="396"/>
      <c r="F24" s="393"/>
      <c r="G24" s="392"/>
      <c r="H24" s="356"/>
      <c r="I24" s="356"/>
      <c r="J24" s="394"/>
      <c r="K24" s="354"/>
      <c r="L24" s="376"/>
      <c r="M24" s="377"/>
      <c r="N24" s="378"/>
      <c r="O24" s="378"/>
      <c r="P24" s="377"/>
      <c r="Q24" s="378"/>
      <c r="R24" s="378"/>
      <c r="S24" s="378"/>
      <c r="T24" s="378"/>
      <c r="U24" s="378"/>
      <c r="V24" s="378"/>
      <c r="W24" s="377"/>
      <c r="X24" s="378"/>
      <c r="Y24" s="378"/>
      <c r="Z24" s="379"/>
      <c r="AA24" s="377"/>
      <c r="AB24" s="370"/>
      <c r="AC24" s="380"/>
      <c r="AD24" s="380"/>
      <c r="AE24" s="381"/>
    </row>
    <row r="25" spans="1:31" ht="15" customHeight="1">
      <c r="A25" s="395"/>
      <c r="B25" s="395"/>
      <c r="C25" s="392" t="s">
        <v>1126</v>
      </c>
      <c r="D25" s="1426"/>
      <c r="E25" s="1426"/>
      <c r="F25" s="393"/>
      <c r="G25" s="397"/>
      <c r="H25" s="1425"/>
      <c r="I25" s="1425"/>
      <c r="J25" s="394"/>
      <c r="K25" s="365"/>
      <c r="L25" s="376"/>
      <c r="M25" s="377"/>
      <c r="N25" s="378"/>
      <c r="O25" s="378"/>
      <c r="P25" s="377"/>
      <c r="Q25" s="378"/>
      <c r="R25" s="378"/>
      <c r="S25" s="378"/>
      <c r="T25" s="378"/>
      <c r="U25" s="378"/>
      <c r="V25" s="378"/>
      <c r="W25" s="377"/>
      <c r="X25" s="378"/>
      <c r="Y25" s="378"/>
      <c r="Z25" s="379"/>
      <c r="AA25" s="377"/>
      <c r="AB25" s="370"/>
      <c r="AC25" s="380"/>
      <c r="AD25" s="380"/>
      <c r="AE25" s="381"/>
    </row>
    <row r="26" spans="1:31" ht="15" thickBot="1">
      <c r="A26" s="398"/>
      <c r="B26" s="398"/>
      <c r="C26" s="398"/>
      <c r="D26" s="398"/>
      <c r="E26" s="398"/>
      <c r="F26" s="399"/>
      <c r="G26" s="398"/>
      <c r="H26" s="398"/>
      <c r="I26" s="398"/>
      <c r="J26" s="398"/>
      <c r="L26" s="400"/>
      <c r="M26" s="401"/>
      <c r="N26" s="402"/>
      <c r="O26" s="402"/>
      <c r="P26" s="401"/>
      <c r="Q26" s="402"/>
      <c r="R26" s="402"/>
      <c r="S26" s="402"/>
      <c r="T26" s="402"/>
      <c r="U26" s="402"/>
      <c r="V26" s="402"/>
      <c r="W26" s="401"/>
      <c r="X26" s="402"/>
      <c r="Y26" s="402"/>
      <c r="Z26" s="403"/>
      <c r="AA26" s="401"/>
      <c r="AB26" s="404"/>
      <c r="AC26" s="405"/>
      <c r="AD26" s="405"/>
      <c r="AE26" s="406"/>
    </row>
    <row r="27" spans="1:31" ht="15" thickBot="1"/>
    <row r="28" spans="1:31" ht="54">
      <c r="L28" s="408"/>
      <c r="M28" s="409" t="s">
        <v>1127</v>
      </c>
      <c r="N28" s="409" t="s">
        <v>1128</v>
      </c>
      <c r="O28" s="410" t="s">
        <v>1129</v>
      </c>
      <c r="P28" s="410" t="s">
        <v>1130</v>
      </c>
      <c r="Q28" s="410" t="s">
        <v>1131</v>
      </c>
      <c r="R28" s="410">
        <v>35</v>
      </c>
      <c r="S28" s="410">
        <v>1</v>
      </c>
      <c r="T28" s="410" t="s">
        <v>1132</v>
      </c>
      <c r="U28" s="410"/>
      <c r="V28" s="411"/>
      <c r="W28" s="410"/>
      <c r="X28" s="410"/>
      <c r="Y28" s="410"/>
      <c r="Z28" s="410"/>
      <c r="AA28" s="410"/>
      <c r="AB28" s="362"/>
      <c r="AC28" s="412">
        <f>+R28*S28/1000*$J$2</f>
        <v>0</v>
      </c>
      <c r="AD28" s="412"/>
      <c r="AE28" s="413"/>
    </row>
    <row r="29" spans="1:31" ht="27">
      <c r="L29" s="376"/>
      <c r="M29" s="414"/>
      <c r="N29" s="414"/>
      <c r="O29" s="415" t="s">
        <v>1133</v>
      </c>
      <c r="P29" s="415" t="s">
        <v>1130</v>
      </c>
      <c r="Q29" s="415" t="s">
        <v>1131</v>
      </c>
      <c r="R29" s="415">
        <v>35</v>
      </c>
      <c r="S29" s="415">
        <v>1</v>
      </c>
      <c r="T29" s="415" t="s">
        <v>1134</v>
      </c>
      <c r="U29" s="415"/>
      <c r="V29" s="416"/>
      <c r="W29" s="415"/>
      <c r="X29" s="415"/>
      <c r="Y29" s="415"/>
      <c r="Z29" s="415"/>
      <c r="AA29" s="415"/>
      <c r="AB29" s="370"/>
      <c r="AC29" s="380">
        <f>+R29*S29/1000*$J$2</f>
        <v>0</v>
      </c>
      <c r="AD29" s="380"/>
      <c r="AE29" s="381"/>
    </row>
    <row r="30" spans="1:31" ht="27">
      <c r="L30" s="376"/>
      <c r="M30" s="414"/>
      <c r="N30" s="414"/>
      <c r="O30" s="415" t="s">
        <v>1135</v>
      </c>
      <c r="P30" s="415" t="s">
        <v>1136</v>
      </c>
      <c r="Q30" s="415" t="s">
        <v>1137</v>
      </c>
      <c r="R30" s="415">
        <v>323</v>
      </c>
      <c r="S30" s="415">
        <v>1</v>
      </c>
      <c r="T30" s="415" t="s">
        <v>1138</v>
      </c>
      <c r="U30" s="415" t="s">
        <v>1139</v>
      </c>
      <c r="V30" s="416" t="s">
        <v>1140</v>
      </c>
      <c r="W30" s="415"/>
      <c r="X30" s="415">
        <v>1</v>
      </c>
      <c r="Y30" s="415">
        <v>0.4</v>
      </c>
      <c r="Z30" s="415">
        <v>0.35</v>
      </c>
      <c r="AA30" s="415"/>
      <c r="AB30" s="370"/>
      <c r="AC30" s="380">
        <f>+X30/(X30+Y30+Z30)*R30*S30/1000*$J$2</f>
        <v>0</v>
      </c>
      <c r="AD30" s="380">
        <f>+Y30/(X30+Y30+Z30)*R30*S30/1000*$J$2</f>
        <v>0</v>
      </c>
      <c r="AE30" s="381">
        <f>+Z30/(X30+Y30+Z30)*R30*S30/1000*$J$2</f>
        <v>0</v>
      </c>
    </row>
    <row r="31" spans="1:31" ht="40.5">
      <c r="L31" s="376"/>
      <c r="M31" s="414" t="s">
        <v>1127</v>
      </c>
      <c r="N31" s="414" t="s">
        <v>1141</v>
      </c>
      <c r="O31" s="415" t="s">
        <v>1129</v>
      </c>
      <c r="P31" s="415" t="s">
        <v>1130</v>
      </c>
      <c r="Q31" s="415" t="s">
        <v>1131</v>
      </c>
      <c r="R31" s="415">
        <v>35</v>
      </c>
      <c r="S31" s="415">
        <v>1</v>
      </c>
      <c r="T31" s="415" t="s">
        <v>1132</v>
      </c>
      <c r="U31" s="415"/>
      <c r="V31" s="416"/>
      <c r="W31" s="415"/>
      <c r="X31" s="415"/>
      <c r="Y31" s="415"/>
      <c r="Z31" s="415"/>
      <c r="AA31" s="415"/>
      <c r="AB31" s="370"/>
      <c r="AC31" s="380">
        <f>+R31*S31/1000*$J$2</f>
        <v>0</v>
      </c>
      <c r="AD31" s="380"/>
      <c r="AE31" s="381"/>
    </row>
    <row r="32" spans="1:31" ht="27">
      <c r="L32" s="376"/>
      <c r="M32" s="414"/>
      <c r="N32" s="414"/>
      <c r="O32" s="415" t="s">
        <v>1133</v>
      </c>
      <c r="P32" s="415" t="s">
        <v>1130</v>
      </c>
      <c r="Q32" s="415" t="s">
        <v>1131</v>
      </c>
      <c r="R32" s="415">
        <v>35</v>
      </c>
      <c r="S32" s="415">
        <v>1</v>
      </c>
      <c r="T32" s="415" t="s">
        <v>1134</v>
      </c>
      <c r="U32" s="415"/>
      <c r="V32" s="416"/>
      <c r="W32" s="415"/>
      <c r="X32" s="415"/>
      <c r="Y32" s="415"/>
      <c r="Z32" s="415"/>
      <c r="AA32" s="415"/>
      <c r="AB32" s="370"/>
      <c r="AC32" s="380">
        <f>+R32*S32/1000*$J$2</f>
        <v>0</v>
      </c>
      <c r="AD32" s="380"/>
      <c r="AE32" s="381"/>
    </row>
    <row r="33" spans="12:31" ht="27.75" thickBot="1">
      <c r="L33" s="400"/>
      <c r="M33" s="417"/>
      <c r="N33" s="417"/>
      <c r="O33" s="418" t="s">
        <v>1135</v>
      </c>
      <c r="P33" s="418" t="s">
        <v>1136</v>
      </c>
      <c r="Q33" s="418" t="s">
        <v>1137</v>
      </c>
      <c r="R33" s="418">
        <v>323</v>
      </c>
      <c r="S33" s="418">
        <v>1</v>
      </c>
      <c r="T33" s="418" t="s">
        <v>1138</v>
      </c>
      <c r="U33" s="418" t="s">
        <v>1139</v>
      </c>
      <c r="V33" s="419" t="s">
        <v>1140</v>
      </c>
      <c r="W33" s="418"/>
      <c r="X33" s="418">
        <v>1</v>
      </c>
      <c r="Y33" s="418">
        <v>0.4</v>
      </c>
      <c r="Z33" s="418">
        <v>0.35</v>
      </c>
      <c r="AA33" s="418"/>
      <c r="AB33" s="404"/>
      <c r="AC33" s="405">
        <f>+X33/(X33+Y33+Z33)*R33*S33/1000*$J$2</f>
        <v>0</v>
      </c>
      <c r="AD33" s="405">
        <f>+Y33/(X33+Y33+Z33)*R33*S33/1000*$J$2</f>
        <v>0</v>
      </c>
      <c r="AE33" s="406">
        <f>+Z33/(X33+Y33+Z33)*R33*S33/1000*$J$2</f>
        <v>0</v>
      </c>
    </row>
  </sheetData>
  <mergeCells count="53">
    <mergeCell ref="A1:J1"/>
    <mergeCell ref="A2:B2"/>
    <mergeCell ref="C2:D2"/>
    <mergeCell ref="E2:F2"/>
    <mergeCell ref="H2:I2"/>
    <mergeCell ref="A6:A8"/>
    <mergeCell ref="D6:E6"/>
    <mergeCell ref="H6:J8"/>
    <mergeCell ref="D7:E7"/>
    <mergeCell ref="D8:E8"/>
    <mergeCell ref="J3:J4"/>
    <mergeCell ref="AC3:AE3"/>
    <mergeCell ref="A4:B4"/>
    <mergeCell ref="D5:E5"/>
    <mergeCell ref="H5:J5"/>
    <mergeCell ref="A3:B3"/>
    <mergeCell ref="D3:D4"/>
    <mergeCell ref="E3:E4"/>
    <mergeCell ref="F3:F4"/>
    <mergeCell ref="I3:I4"/>
    <mergeCell ref="D10:E10"/>
    <mergeCell ref="H10:J10"/>
    <mergeCell ref="C11:C14"/>
    <mergeCell ref="D11:E11"/>
    <mergeCell ref="H11:J11"/>
    <mergeCell ref="D12:E12"/>
    <mergeCell ref="H12:J12"/>
    <mergeCell ref="A21:A22"/>
    <mergeCell ref="D21:E21"/>
    <mergeCell ref="D22:E22"/>
    <mergeCell ref="D13:E13"/>
    <mergeCell ref="H13:J13"/>
    <mergeCell ref="D14:E14"/>
    <mergeCell ref="H14:J14"/>
    <mergeCell ref="C15:C18"/>
    <mergeCell ref="D15:E15"/>
    <mergeCell ref="H15:J15"/>
    <mergeCell ref="D16:E16"/>
    <mergeCell ref="H16:J16"/>
    <mergeCell ref="D17:E17"/>
    <mergeCell ref="A9:A20"/>
    <mergeCell ref="D9:E9"/>
    <mergeCell ref="H9:J9"/>
    <mergeCell ref="H17:J17"/>
    <mergeCell ref="D18:E18"/>
    <mergeCell ref="H18:J18"/>
    <mergeCell ref="D19:E19"/>
    <mergeCell ref="D20:E20"/>
    <mergeCell ref="A23:B23"/>
    <mergeCell ref="D23:E23"/>
    <mergeCell ref="H23:I23"/>
    <mergeCell ref="D25:E25"/>
    <mergeCell ref="H25:I25"/>
  </mergeCells>
  <phoneticPr fontId="83" type="noConversion"/>
  <dataValidations count="1">
    <dataValidation type="list" allowBlank="1" showInputMessage="1" showErrorMessage="1" sqref="K5 JG5 TC5 ACY5 AMU5 AWQ5 BGM5 BQI5 CAE5 CKA5 CTW5 DDS5 DNO5 DXK5 EHG5 ERC5 FAY5 FKU5 FUQ5 GEM5 GOI5 GYE5 HIA5 HRW5 IBS5 ILO5 IVK5 JFG5 JPC5 JYY5 KIU5 KSQ5 LCM5 LMI5 LWE5 MGA5 MPW5 MZS5 NJO5 NTK5 ODG5 ONC5 OWY5 PGU5 PQQ5 QAM5 QKI5 QUE5 REA5 RNW5 RXS5 SHO5 SRK5 TBG5 TLC5 TUY5 UEU5 UOQ5 UYM5 VII5 VSE5 WCA5 WLW5 WVS5 K65541 JG65541 TC65541 ACY65541 AMU65541 AWQ65541 BGM65541 BQI65541 CAE65541 CKA65541 CTW65541 DDS65541 DNO65541 DXK65541 EHG65541 ERC65541 FAY65541 FKU65541 FUQ65541 GEM65541 GOI65541 GYE65541 HIA65541 HRW65541 IBS65541 ILO65541 IVK65541 JFG65541 JPC65541 JYY65541 KIU65541 KSQ65541 LCM65541 LMI65541 LWE65541 MGA65541 MPW65541 MZS65541 NJO65541 NTK65541 ODG65541 ONC65541 OWY65541 PGU65541 PQQ65541 QAM65541 QKI65541 QUE65541 REA65541 RNW65541 RXS65541 SHO65541 SRK65541 TBG65541 TLC65541 TUY65541 UEU65541 UOQ65541 UYM65541 VII65541 VSE65541 WCA65541 WLW65541 WVS65541 K131077 JG131077 TC131077 ACY131077 AMU131077 AWQ131077 BGM131077 BQI131077 CAE131077 CKA131077 CTW131077 DDS131077 DNO131077 DXK131077 EHG131077 ERC131077 FAY131077 FKU131077 FUQ131077 GEM131077 GOI131077 GYE131077 HIA131077 HRW131077 IBS131077 ILO131077 IVK131077 JFG131077 JPC131077 JYY131077 KIU131077 KSQ131077 LCM131077 LMI131077 LWE131077 MGA131077 MPW131077 MZS131077 NJO131077 NTK131077 ODG131077 ONC131077 OWY131077 PGU131077 PQQ131077 QAM131077 QKI131077 QUE131077 REA131077 RNW131077 RXS131077 SHO131077 SRK131077 TBG131077 TLC131077 TUY131077 UEU131077 UOQ131077 UYM131077 VII131077 VSE131077 WCA131077 WLW131077 WVS131077 K196613 JG196613 TC196613 ACY196613 AMU196613 AWQ196613 BGM196613 BQI196613 CAE196613 CKA196613 CTW196613 DDS196613 DNO196613 DXK196613 EHG196613 ERC196613 FAY196613 FKU196613 FUQ196613 GEM196613 GOI196613 GYE196613 HIA196613 HRW196613 IBS196613 ILO196613 IVK196613 JFG196613 JPC196613 JYY196613 KIU196613 KSQ196613 LCM196613 LMI196613 LWE196613 MGA196613 MPW196613 MZS196613 NJO196613 NTK196613 ODG196613 ONC196613 OWY196613 PGU196613 PQQ196613 QAM196613 QKI196613 QUE196613 REA196613 RNW196613 RXS196613 SHO196613 SRK196613 TBG196613 TLC196613 TUY196613 UEU196613 UOQ196613 UYM196613 VII196613 VSE196613 WCA196613 WLW196613 WVS196613 K262149 JG262149 TC262149 ACY262149 AMU262149 AWQ262149 BGM262149 BQI262149 CAE262149 CKA262149 CTW262149 DDS262149 DNO262149 DXK262149 EHG262149 ERC262149 FAY262149 FKU262149 FUQ262149 GEM262149 GOI262149 GYE262149 HIA262149 HRW262149 IBS262149 ILO262149 IVK262149 JFG262149 JPC262149 JYY262149 KIU262149 KSQ262149 LCM262149 LMI262149 LWE262149 MGA262149 MPW262149 MZS262149 NJO262149 NTK262149 ODG262149 ONC262149 OWY262149 PGU262149 PQQ262149 QAM262149 QKI262149 QUE262149 REA262149 RNW262149 RXS262149 SHO262149 SRK262149 TBG262149 TLC262149 TUY262149 UEU262149 UOQ262149 UYM262149 VII262149 VSE262149 WCA262149 WLW262149 WVS262149 K327685 JG327685 TC327685 ACY327685 AMU327685 AWQ327685 BGM327685 BQI327685 CAE327685 CKA327685 CTW327685 DDS327685 DNO327685 DXK327685 EHG327685 ERC327685 FAY327685 FKU327685 FUQ327685 GEM327685 GOI327685 GYE327685 HIA327685 HRW327685 IBS327685 ILO327685 IVK327685 JFG327685 JPC327685 JYY327685 KIU327685 KSQ327685 LCM327685 LMI327685 LWE327685 MGA327685 MPW327685 MZS327685 NJO327685 NTK327685 ODG327685 ONC327685 OWY327685 PGU327685 PQQ327685 QAM327685 QKI327685 QUE327685 REA327685 RNW327685 RXS327685 SHO327685 SRK327685 TBG327685 TLC327685 TUY327685 UEU327685 UOQ327685 UYM327685 VII327685 VSE327685 WCA327685 WLW327685 WVS327685 K393221 JG393221 TC393221 ACY393221 AMU393221 AWQ393221 BGM393221 BQI393221 CAE393221 CKA393221 CTW393221 DDS393221 DNO393221 DXK393221 EHG393221 ERC393221 FAY393221 FKU393221 FUQ393221 GEM393221 GOI393221 GYE393221 HIA393221 HRW393221 IBS393221 ILO393221 IVK393221 JFG393221 JPC393221 JYY393221 KIU393221 KSQ393221 LCM393221 LMI393221 LWE393221 MGA393221 MPW393221 MZS393221 NJO393221 NTK393221 ODG393221 ONC393221 OWY393221 PGU393221 PQQ393221 QAM393221 QKI393221 QUE393221 REA393221 RNW393221 RXS393221 SHO393221 SRK393221 TBG393221 TLC393221 TUY393221 UEU393221 UOQ393221 UYM393221 VII393221 VSE393221 WCA393221 WLW393221 WVS393221 K458757 JG458757 TC458757 ACY458757 AMU458757 AWQ458757 BGM458757 BQI458757 CAE458757 CKA458757 CTW458757 DDS458757 DNO458757 DXK458757 EHG458757 ERC458757 FAY458757 FKU458757 FUQ458757 GEM458757 GOI458757 GYE458757 HIA458757 HRW458757 IBS458757 ILO458757 IVK458757 JFG458757 JPC458757 JYY458757 KIU458757 KSQ458757 LCM458757 LMI458757 LWE458757 MGA458757 MPW458757 MZS458757 NJO458757 NTK458757 ODG458757 ONC458757 OWY458757 PGU458757 PQQ458757 QAM458757 QKI458757 QUE458757 REA458757 RNW458757 RXS458757 SHO458757 SRK458757 TBG458757 TLC458757 TUY458757 UEU458757 UOQ458757 UYM458757 VII458757 VSE458757 WCA458757 WLW458757 WVS458757 K524293 JG524293 TC524293 ACY524293 AMU524293 AWQ524293 BGM524293 BQI524293 CAE524293 CKA524293 CTW524293 DDS524293 DNO524293 DXK524293 EHG524293 ERC524293 FAY524293 FKU524293 FUQ524293 GEM524293 GOI524293 GYE524293 HIA524293 HRW524293 IBS524293 ILO524293 IVK524293 JFG524293 JPC524293 JYY524293 KIU524293 KSQ524293 LCM524293 LMI524293 LWE524293 MGA524293 MPW524293 MZS524293 NJO524293 NTK524293 ODG524293 ONC524293 OWY524293 PGU524293 PQQ524293 QAM524293 QKI524293 QUE524293 REA524293 RNW524293 RXS524293 SHO524293 SRK524293 TBG524293 TLC524293 TUY524293 UEU524293 UOQ524293 UYM524293 VII524293 VSE524293 WCA524293 WLW524293 WVS524293 K589829 JG589829 TC589829 ACY589829 AMU589829 AWQ589829 BGM589829 BQI589829 CAE589829 CKA589829 CTW589829 DDS589829 DNO589829 DXK589829 EHG589829 ERC589829 FAY589829 FKU589829 FUQ589829 GEM589829 GOI589829 GYE589829 HIA589829 HRW589829 IBS589829 ILO589829 IVK589829 JFG589829 JPC589829 JYY589829 KIU589829 KSQ589829 LCM589829 LMI589829 LWE589829 MGA589829 MPW589829 MZS589829 NJO589829 NTK589829 ODG589829 ONC589829 OWY589829 PGU589829 PQQ589829 QAM589829 QKI589829 QUE589829 REA589829 RNW589829 RXS589829 SHO589829 SRK589829 TBG589829 TLC589829 TUY589829 UEU589829 UOQ589829 UYM589829 VII589829 VSE589829 WCA589829 WLW589829 WVS589829 K655365 JG655365 TC655365 ACY655365 AMU655365 AWQ655365 BGM655365 BQI655365 CAE655365 CKA655365 CTW655365 DDS655365 DNO655365 DXK655365 EHG655365 ERC655365 FAY655365 FKU655365 FUQ655365 GEM655365 GOI655365 GYE655365 HIA655365 HRW655365 IBS655365 ILO655365 IVK655365 JFG655365 JPC655365 JYY655365 KIU655365 KSQ655365 LCM655365 LMI655365 LWE655365 MGA655365 MPW655365 MZS655365 NJO655365 NTK655365 ODG655365 ONC655365 OWY655365 PGU655365 PQQ655365 QAM655365 QKI655365 QUE655365 REA655365 RNW655365 RXS655365 SHO655365 SRK655365 TBG655365 TLC655365 TUY655365 UEU655365 UOQ655365 UYM655365 VII655365 VSE655365 WCA655365 WLW655365 WVS655365 K720901 JG720901 TC720901 ACY720901 AMU720901 AWQ720901 BGM720901 BQI720901 CAE720901 CKA720901 CTW720901 DDS720901 DNO720901 DXK720901 EHG720901 ERC720901 FAY720901 FKU720901 FUQ720901 GEM720901 GOI720901 GYE720901 HIA720901 HRW720901 IBS720901 ILO720901 IVK720901 JFG720901 JPC720901 JYY720901 KIU720901 KSQ720901 LCM720901 LMI720901 LWE720901 MGA720901 MPW720901 MZS720901 NJO720901 NTK720901 ODG720901 ONC720901 OWY720901 PGU720901 PQQ720901 QAM720901 QKI720901 QUE720901 REA720901 RNW720901 RXS720901 SHO720901 SRK720901 TBG720901 TLC720901 TUY720901 UEU720901 UOQ720901 UYM720901 VII720901 VSE720901 WCA720901 WLW720901 WVS720901 K786437 JG786437 TC786437 ACY786437 AMU786437 AWQ786437 BGM786437 BQI786437 CAE786437 CKA786437 CTW786437 DDS786437 DNO786437 DXK786437 EHG786437 ERC786437 FAY786437 FKU786437 FUQ786437 GEM786437 GOI786437 GYE786437 HIA786437 HRW786437 IBS786437 ILO786437 IVK786437 JFG786437 JPC786437 JYY786437 KIU786437 KSQ786437 LCM786437 LMI786437 LWE786437 MGA786437 MPW786437 MZS786437 NJO786437 NTK786437 ODG786437 ONC786437 OWY786437 PGU786437 PQQ786437 QAM786437 QKI786437 QUE786437 REA786437 RNW786437 RXS786437 SHO786437 SRK786437 TBG786437 TLC786437 TUY786437 UEU786437 UOQ786437 UYM786437 VII786437 VSE786437 WCA786437 WLW786437 WVS786437 K851973 JG851973 TC851973 ACY851973 AMU851973 AWQ851973 BGM851973 BQI851973 CAE851973 CKA851973 CTW851973 DDS851973 DNO851973 DXK851973 EHG851973 ERC851973 FAY851973 FKU851973 FUQ851973 GEM851973 GOI851973 GYE851973 HIA851973 HRW851973 IBS851973 ILO851973 IVK851973 JFG851973 JPC851973 JYY851973 KIU851973 KSQ851973 LCM851973 LMI851973 LWE851973 MGA851973 MPW851973 MZS851973 NJO851973 NTK851973 ODG851973 ONC851973 OWY851973 PGU851973 PQQ851973 QAM851973 QKI851973 QUE851973 REA851973 RNW851973 RXS851973 SHO851973 SRK851973 TBG851973 TLC851973 TUY851973 UEU851973 UOQ851973 UYM851973 VII851973 VSE851973 WCA851973 WLW851973 WVS851973 K917509 JG917509 TC917509 ACY917509 AMU917509 AWQ917509 BGM917509 BQI917509 CAE917509 CKA917509 CTW917509 DDS917509 DNO917509 DXK917509 EHG917509 ERC917509 FAY917509 FKU917509 FUQ917509 GEM917509 GOI917509 GYE917509 HIA917509 HRW917509 IBS917509 ILO917509 IVK917509 JFG917509 JPC917509 JYY917509 KIU917509 KSQ917509 LCM917509 LMI917509 LWE917509 MGA917509 MPW917509 MZS917509 NJO917509 NTK917509 ODG917509 ONC917509 OWY917509 PGU917509 PQQ917509 QAM917509 QKI917509 QUE917509 REA917509 RNW917509 RXS917509 SHO917509 SRK917509 TBG917509 TLC917509 TUY917509 UEU917509 UOQ917509 UYM917509 VII917509 VSE917509 WCA917509 WLW917509 WVS917509 K983045 JG983045 TC983045 ACY983045 AMU983045 AWQ983045 BGM983045 BQI983045 CAE983045 CKA983045 CTW983045 DDS983045 DNO983045 DXK983045 EHG983045 ERC983045 FAY983045 FKU983045 FUQ983045 GEM983045 GOI983045 GYE983045 HIA983045 HRW983045 IBS983045 ILO983045 IVK983045 JFG983045 JPC983045 JYY983045 KIU983045 KSQ983045 LCM983045 LMI983045 LWE983045 MGA983045 MPW983045 MZS983045 NJO983045 NTK983045 ODG983045 ONC983045 OWY983045 PGU983045 PQQ983045 QAM983045 QKI983045 QUE983045 REA983045 RNW983045 RXS983045 SHO983045 SRK983045 TBG983045 TLC983045 TUY983045 UEU983045 UOQ983045 UYM983045 VII983045 VSE983045 WCA983045 WLW983045 WVS983045">
      <formula1>$K$6:$K$7</formula1>
    </dataValidation>
  </dataValidations>
  <printOptions horizontalCentered="1"/>
  <pageMargins left="0.19685039370078741" right="0.19685039370078741" top="0.39370078740157483" bottom="0.98425196850393704" header="0.51181102362204722" footer="0.51181102362204722"/>
  <pageSetup paperSize="9" scale="95" orientation="portrait" r:id="rId1"/>
  <headerFooter alignWithMargins="0"/>
</worksheet>
</file>

<file path=xl/worksheets/sheet16.xml><?xml version="1.0" encoding="utf-8"?>
<worksheet xmlns="http://schemas.openxmlformats.org/spreadsheetml/2006/main" xmlns:r="http://schemas.openxmlformats.org/officeDocument/2006/relationships">
  <sheetPr>
    <tabColor rgb="FFFF0000"/>
  </sheetPr>
  <dimension ref="A1:I47"/>
  <sheetViews>
    <sheetView zoomScaleSheetLayoutView="85" workbookViewId="0">
      <selection activeCell="F18" sqref="F18:H18"/>
    </sheetView>
  </sheetViews>
  <sheetFormatPr defaultRowHeight="17.100000000000001" customHeight="1"/>
  <cols>
    <col min="1" max="1" width="9.625" style="292" customWidth="1"/>
    <col min="2" max="2" width="12.625" style="292" bestFit="1" customWidth="1"/>
    <col min="3" max="9" width="9.625" style="292" customWidth="1"/>
    <col min="10" max="16384" width="9" style="292"/>
  </cols>
  <sheetData>
    <row r="1" spans="1:9" ht="18" customHeight="1">
      <c r="A1" s="1451" t="s">
        <v>1359</v>
      </c>
      <c r="B1" s="1451"/>
      <c r="C1" s="1451"/>
      <c r="D1" s="1451"/>
      <c r="E1" s="1451"/>
      <c r="F1" s="1451"/>
      <c r="G1" s="1451"/>
      <c r="H1" s="1451"/>
      <c r="I1" s="1451"/>
    </row>
    <row r="2" spans="1:9" ht="17.100000000000001" customHeight="1">
      <c r="G2" s="293" t="s">
        <v>1360</v>
      </c>
      <c r="H2" s="545">
        <v>1</v>
      </c>
      <c r="I2" s="292" t="s">
        <v>1361</v>
      </c>
    </row>
    <row r="3" spans="1:9" ht="17.100000000000001" customHeight="1">
      <c r="A3" s="298" t="s">
        <v>1362</v>
      </c>
      <c r="B3" s="1326" t="str">
        <f>'作(5)'!C4</f>
        <v>杜鹃</v>
      </c>
      <c r="C3" s="1326"/>
      <c r="D3" s="298" t="s">
        <v>1363</v>
      </c>
      <c r="E3" s="1326" t="str">
        <f>'作(5)'!C5</f>
        <v>S400383705</v>
      </c>
      <c r="F3" s="1326"/>
      <c r="G3" s="298" t="s">
        <v>1364</v>
      </c>
      <c r="H3" s="1326"/>
      <c r="I3" s="1326"/>
    </row>
    <row r="4" spans="1:9" ht="17.100000000000001" customHeight="1">
      <c r="A4" s="298" t="s">
        <v>1365</v>
      </c>
      <c r="B4" s="1326" t="str">
        <f>'作(5)'!K6</f>
        <v>左岸都市I</v>
      </c>
      <c r="C4" s="1326"/>
      <c r="D4" s="298" t="s">
        <v>1366</v>
      </c>
      <c r="E4" s="1326" t="str">
        <f>'作(5)'!F6</f>
        <v>樱桃山纹N03-V</v>
      </c>
      <c r="F4" s="1326"/>
      <c r="G4" s="298" t="s">
        <v>1367</v>
      </c>
      <c r="H4" s="1452">
        <f>'作(5)'!H5</f>
        <v>0</v>
      </c>
      <c r="I4" s="1326"/>
    </row>
    <row r="5" spans="1:9" ht="17.100000000000001" customHeight="1">
      <c r="A5" s="298" t="s">
        <v>1368</v>
      </c>
      <c r="B5" s="1326" t="str">
        <f>下料单!S2</f>
        <v>西安</v>
      </c>
      <c r="C5" s="1326"/>
      <c r="D5" s="298" t="s">
        <v>1369</v>
      </c>
      <c r="E5" s="1326">
        <f>'料单 (5)'!D4</f>
        <v>0</v>
      </c>
      <c r="F5" s="1326"/>
      <c r="G5" s="298" t="s">
        <v>1370</v>
      </c>
      <c r="H5" s="1326">
        <f>'料单 (5)'!L4</f>
        <v>0</v>
      </c>
      <c r="I5" s="1326"/>
    </row>
    <row r="6" spans="1:9" ht="17.100000000000001" customHeight="1">
      <c r="A6" s="299" t="s">
        <v>1371</v>
      </c>
      <c r="B6" s="298" t="s">
        <v>1372</v>
      </c>
      <c r="C6" s="298" t="s">
        <v>1373</v>
      </c>
      <c r="D6" s="298" t="s">
        <v>1374</v>
      </c>
      <c r="E6" s="298" t="s">
        <v>1375</v>
      </c>
      <c r="F6" s="298" t="s">
        <v>1376</v>
      </c>
      <c r="G6" s="298" t="s">
        <v>1377</v>
      </c>
      <c r="H6" s="1326"/>
      <c r="I6" s="1326"/>
    </row>
    <row r="7" spans="1:9" ht="17.100000000000001" customHeight="1">
      <c r="A7" s="299" t="s">
        <v>1378</v>
      </c>
      <c r="B7" s="299" t="s">
        <v>1379</v>
      </c>
      <c r="C7" s="299" t="s">
        <v>1380</v>
      </c>
      <c r="D7" s="298" t="s">
        <v>1364</v>
      </c>
      <c r="E7" s="298" t="s">
        <v>1381</v>
      </c>
      <c r="F7" s="299" t="s">
        <v>1382</v>
      </c>
      <c r="G7" s="299" t="s">
        <v>1383</v>
      </c>
      <c r="H7" s="1329" t="s">
        <v>1384</v>
      </c>
      <c r="I7" s="1329"/>
    </row>
    <row r="8" spans="1:9" ht="17.100000000000001" customHeight="1">
      <c r="A8" s="299">
        <v>1</v>
      </c>
      <c r="B8" s="299" t="s">
        <v>1385</v>
      </c>
      <c r="C8" s="294" t="str">
        <f>'作(5)'!K4</f>
        <v>0块</v>
      </c>
      <c r="D8" s="299"/>
      <c r="E8" s="299"/>
      <c r="F8" s="299"/>
      <c r="G8" s="299"/>
      <c r="H8" s="1326"/>
      <c r="I8" s="1326"/>
    </row>
    <row r="9" spans="1:9" ht="17.100000000000001" customHeight="1">
      <c r="A9" s="299">
        <v>2</v>
      </c>
      <c r="B9" s="299" t="s">
        <v>1386</v>
      </c>
      <c r="C9" s="294"/>
      <c r="D9" s="299"/>
      <c r="E9" s="299"/>
      <c r="F9" s="299"/>
      <c r="G9" s="299"/>
      <c r="H9" s="1326"/>
      <c r="I9" s="1326"/>
    </row>
    <row r="10" spans="1:9" ht="17.100000000000001" customHeight="1">
      <c r="A10" s="299">
        <v>3</v>
      </c>
      <c r="B10" s="299" t="s">
        <v>1387</v>
      </c>
      <c r="C10" s="294"/>
      <c r="D10" s="299"/>
      <c r="E10" s="299"/>
      <c r="F10" s="299"/>
      <c r="G10" s="299"/>
      <c r="H10" s="1326"/>
      <c r="I10" s="1326"/>
    </row>
    <row r="11" spans="1:9" ht="17.100000000000001" customHeight="1">
      <c r="A11" s="299">
        <v>4</v>
      </c>
      <c r="B11" s="299" t="s">
        <v>1388</v>
      </c>
      <c r="C11" s="294"/>
      <c r="D11" s="299"/>
      <c r="E11" s="299"/>
      <c r="F11" s="299"/>
      <c r="G11" s="299"/>
      <c r="H11" s="1326"/>
      <c r="I11" s="1326"/>
    </row>
    <row r="12" spans="1:9" ht="17.100000000000001" customHeight="1">
      <c r="A12" s="299">
        <v>5</v>
      </c>
      <c r="B12" s="299" t="s">
        <v>1389</v>
      </c>
      <c r="C12" s="294"/>
      <c r="D12" s="299"/>
      <c r="E12" s="299"/>
      <c r="F12" s="299"/>
      <c r="G12" s="299"/>
      <c r="H12" s="1326"/>
      <c r="I12" s="1326"/>
    </row>
    <row r="13" spans="1:9" ht="17.100000000000001" customHeight="1">
      <c r="A13" s="299">
        <v>6</v>
      </c>
      <c r="B13" s="299" t="s">
        <v>1390</v>
      </c>
      <c r="C13" s="294" t="str">
        <f>C8</f>
        <v>0块</v>
      </c>
      <c r="D13" s="299"/>
      <c r="E13" s="299"/>
      <c r="F13" s="299"/>
      <c r="G13" s="299"/>
      <c r="H13" s="1326"/>
      <c r="I13" s="1326"/>
    </row>
    <row r="14" spans="1:9" ht="17.100000000000001" customHeight="1">
      <c r="A14" s="299">
        <v>7</v>
      </c>
      <c r="B14" s="299" t="s">
        <v>1391</v>
      </c>
      <c r="C14" s="294" t="str">
        <f>C13</f>
        <v>0块</v>
      </c>
      <c r="D14" s="299"/>
      <c r="E14" s="299"/>
      <c r="F14" s="299"/>
      <c r="G14" s="299"/>
      <c r="H14" s="1326"/>
      <c r="I14" s="1326"/>
    </row>
    <row r="15" spans="1:9" ht="17.100000000000001" customHeight="1">
      <c r="A15" s="299">
        <v>8</v>
      </c>
      <c r="B15" s="299" t="s">
        <v>1392</v>
      </c>
      <c r="C15" s="294" t="str">
        <f>C14</f>
        <v>0块</v>
      </c>
      <c r="D15" s="299"/>
      <c r="E15" s="299"/>
      <c r="F15" s="299"/>
      <c r="G15" s="299"/>
      <c r="H15" s="1326"/>
      <c r="I15" s="1326"/>
    </row>
    <row r="16" spans="1:9" ht="17.100000000000001" customHeight="1">
      <c r="A16" s="299">
        <v>9</v>
      </c>
      <c r="B16" s="299" t="s">
        <v>1393</v>
      </c>
      <c r="C16" s="294" t="str">
        <f>C15</f>
        <v>0块</v>
      </c>
      <c r="D16" s="299"/>
      <c r="E16" s="294"/>
      <c r="F16" s="299"/>
      <c r="G16" s="299"/>
      <c r="H16" s="1326"/>
      <c r="I16" s="1326"/>
    </row>
    <row r="17" spans="1:9" ht="17.100000000000001" customHeight="1">
      <c r="A17" s="299">
        <v>10</v>
      </c>
      <c r="B17" s="299" t="s">
        <v>1394</v>
      </c>
      <c r="C17" s="294" t="str">
        <f>C16</f>
        <v>0块</v>
      </c>
      <c r="D17" s="299"/>
      <c r="E17" s="299"/>
      <c r="F17" s="299"/>
      <c r="G17" s="299"/>
      <c r="H17" s="1326"/>
      <c r="I17" s="1326"/>
    </row>
    <row r="18" spans="1:9" ht="17.100000000000001" customHeight="1">
      <c r="A18" s="299">
        <v>11</v>
      </c>
      <c r="B18" s="299" t="s">
        <v>1395</v>
      </c>
      <c r="C18" s="294"/>
      <c r="D18" s="299"/>
      <c r="E18" s="299"/>
      <c r="F18" s="299"/>
      <c r="G18" s="299"/>
      <c r="H18" s="1326"/>
      <c r="I18" s="1326"/>
    </row>
    <row r="19" spans="1:9" ht="17.100000000000001" customHeight="1">
      <c r="A19" s="299">
        <v>12</v>
      </c>
      <c r="B19" s="299" t="s">
        <v>1396</v>
      </c>
      <c r="C19" s="294"/>
      <c r="D19" s="299"/>
      <c r="E19" s="299"/>
      <c r="F19" s="299"/>
      <c r="G19" s="299"/>
      <c r="H19" s="1326"/>
      <c r="I19" s="1326"/>
    </row>
    <row r="20" spans="1:9" ht="17.100000000000001" customHeight="1">
      <c r="A20" s="299">
        <v>13</v>
      </c>
      <c r="B20" s="299" t="s">
        <v>1397</v>
      </c>
      <c r="C20" s="294"/>
      <c r="D20" s="299"/>
      <c r="E20" s="299"/>
      <c r="F20" s="299"/>
      <c r="G20" s="299"/>
      <c r="H20" s="1326"/>
      <c r="I20" s="1326"/>
    </row>
    <row r="21" spans="1:9" ht="17.100000000000001" customHeight="1">
      <c r="A21" s="299">
        <v>14</v>
      </c>
      <c r="B21" s="299" t="s">
        <v>1398</v>
      </c>
      <c r="C21" s="294"/>
      <c r="D21" s="299"/>
      <c r="E21" s="299"/>
      <c r="F21" s="299"/>
      <c r="G21" s="299"/>
      <c r="H21" s="1326"/>
      <c r="I21" s="1326"/>
    </row>
    <row r="22" spans="1:9" ht="17.100000000000001" customHeight="1">
      <c r="A22" s="299">
        <v>15</v>
      </c>
      <c r="B22" s="299" t="s">
        <v>1399</v>
      </c>
      <c r="C22" s="294"/>
      <c r="D22" s="299"/>
      <c r="E22" s="299"/>
      <c r="F22" s="299"/>
      <c r="G22" s="299"/>
      <c r="H22" s="1326"/>
      <c r="I22" s="1326"/>
    </row>
    <row r="23" spans="1:9" ht="17.100000000000001" customHeight="1">
      <c r="A23" s="299">
        <v>16</v>
      </c>
      <c r="B23" s="299" t="s">
        <v>1400</v>
      </c>
      <c r="C23" s="294"/>
      <c r="D23" s="299"/>
      <c r="E23" s="299"/>
      <c r="F23" s="299"/>
      <c r="G23" s="299"/>
      <c r="H23" s="1326"/>
      <c r="I23" s="1326"/>
    </row>
    <row r="24" spans="1:9" ht="17.100000000000001" customHeight="1">
      <c r="A24" s="299">
        <v>17</v>
      </c>
      <c r="B24" s="299" t="s">
        <v>1401</v>
      </c>
      <c r="C24" s="294"/>
      <c r="D24" s="299"/>
      <c r="E24" s="299"/>
      <c r="F24" s="299"/>
      <c r="G24" s="299"/>
      <c r="H24" s="1326"/>
      <c r="I24" s="1326"/>
    </row>
    <row r="25" spans="1:9" ht="17.100000000000001" customHeight="1">
      <c r="A25" s="299">
        <v>18</v>
      </c>
      <c r="B25" s="299" t="s">
        <v>1402</v>
      </c>
      <c r="C25" s="294" t="str">
        <f>C17</f>
        <v>0块</v>
      </c>
      <c r="D25" s="299"/>
      <c r="E25" s="299"/>
      <c r="F25" s="299"/>
      <c r="G25" s="299"/>
      <c r="H25" s="1326"/>
      <c r="I25" s="1326"/>
    </row>
    <row r="26" spans="1:9" ht="17.100000000000001" customHeight="1">
      <c r="A26" s="299">
        <v>19</v>
      </c>
      <c r="B26" s="299" t="s">
        <v>1403</v>
      </c>
      <c r="C26" s="294" t="str">
        <f t="shared" ref="C26:C35" si="0">C25</f>
        <v>0块</v>
      </c>
      <c r="D26" s="299"/>
      <c r="E26" s="299"/>
      <c r="F26" s="299"/>
      <c r="G26" s="299"/>
      <c r="H26" s="1326"/>
      <c r="I26" s="1326"/>
    </row>
    <row r="27" spans="1:9" ht="17.100000000000001" customHeight="1">
      <c r="A27" s="299">
        <v>20</v>
      </c>
      <c r="B27" s="299" t="s">
        <v>1404</v>
      </c>
      <c r="C27" s="294" t="str">
        <f t="shared" si="0"/>
        <v>0块</v>
      </c>
      <c r="D27" s="299"/>
      <c r="E27" s="299"/>
      <c r="F27" s="299"/>
      <c r="G27" s="299"/>
      <c r="H27" s="1326"/>
      <c r="I27" s="1326"/>
    </row>
    <row r="28" spans="1:9" ht="17.100000000000001" customHeight="1">
      <c r="A28" s="299">
        <v>21</v>
      </c>
      <c r="B28" s="299" t="s">
        <v>1405</v>
      </c>
      <c r="C28" s="294" t="str">
        <f t="shared" si="0"/>
        <v>0块</v>
      </c>
      <c r="D28" s="299"/>
      <c r="E28" s="299"/>
      <c r="F28" s="299"/>
      <c r="G28" s="299"/>
      <c r="H28" s="1326"/>
      <c r="I28" s="1326"/>
    </row>
    <row r="29" spans="1:9" ht="17.100000000000001" customHeight="1">
      <c r="A29" s="299">
        <v>22</v>
      </c>
      <c r="B29" s="299" t="s">
        <v>1406</v>
      </c>
      <c r="C29" s="294" t="str">
        <f t="shared" si="0"/>
        <v>0块</v>
      </c>
      <c r="D29" s="299"/>
      <c r="E29" s="299"/>
      <c r="F29" s="299"/>
      <c r="G29" s="299"/>
      <c r="H29" s="1326"/>
      <c r="I29" s="1326"/>
    </row>
    <row r="30" spans="1:9" ht="17.100000000000001" customHeight="1">
      <c r="A30" s="299">
        <v>23</v>
      </c>
      <c r="B30" s="299" t="s">
        <v>1407</v>
      </c>
      <c r="C30" s="294" t="str">
        <f t="shared" si="0"/>
        <v>0块</v>
      </c>
      <c r="D30" s="299"/>
      <c r="E30" s="299"/>
      <c r="F30" s="299"/>
      <c r="G30" s="299"/>
      <c r="H30" s="1326"/>
      <c r="I30" s="1326"/>
    </row>
    <row r="31" spans="1:9" ht="17.100000000000001" customHeight="1">
      <c r="A31" s="299">
        <v>24</v>
      </c>
      <c r="B31" s="299" t="s">
        <v>1408</v>
      </c>
      <c r="C31" s="294" t="str">
        <f t="shared" si="0"/>
        <v>0块</v>
      </c>
      <c r="D31" s="299"/>
      <c r="E31" s="299"/>
      <c r="F31" s="299"/>
      <c r="G31" s="299"/>
      <c r="H31" s="1326"/>
      <c r="I31" s="1326"/>
    </row>
    <row r="32" spans="1:9" ht="17.100000000000001" customHeight="1">
      <c r="A32" s="299">
        <v>25</v>
      </c>
      <c r="B32" s="299" t="s">
        <v>1409</v>
      </c>
      <c r="C32" s="294" t="str">
        <f t="shared" si="0"/>
        <v>0块</v>
      </c>
      <c r="D32" s="299"/>
      <c r="E32" s="299"/>
      <c r="F32" s="299"/>
      <c r="G32" s="299"/>
      <c r="H32" s="1326"/>
      <c r="I32" s="1326"/>
    </row>
    <row r="33" spans="1:9" ht="17.100000000000001" customHeight="1">
      <c r="A33" s="299">
        <v>26</v>
      </c>
      <c r="B33" s="299" t="s">
        <v>1410</v>
      </c>
      <c r="C33" s="299" t="str">
        <f t="shared" si="0"/>
        <v>0块</v>
      </c>
      <c r="D33" s="299"/>
      <c r="E33" s="299"/>
      <c r="F33" s="299"/>
      <c r="G33" s="299"/>
      <c r="H33" s="1326"/>
      <c r="I33" s="1326"/>
    </row>
    <row r="34" spans="1:9" ht="17.100000000000001" customHeight="1">
      <c r="A34" s="299">
        <v>27</v>
      </c>
      <c r="B34" s="299" t="s">
        <v>1411</v>
      </c>
      <c r="C34" s="299" t="str">
        <f t="shared" si="0"/>
        <v>0块</v>
      </c>
      <c r="D34" s="299"/>
      <c r="E34" s="299"/>
      <c r="F34" s="299"/>
      <c r="G34" s="299"/>
      <c r="H34" s="1326"/>
      <c r="I34" s="1326"/>
    </row>
    <row r="35" spans="1:9" ht="17.100000000000001" customHeight="1">
      <c r="A35" s="299">
        <v>28</v>
      </c>
      <c r="B35" s="299" t="s">
        <v>1412</v>
      </c>
      <c r="C35" s="299" t="str">
        <f t="shared" si="0"/>
        <v>0块</v>
      </c>
      <c r="D35" s="299"/>
      <c r="E35" s="299"/>
      <c r="F35" s="299"/>
      <c r="G35" s="299"/>
      <c r="H35" s="1326"/>
      <c r="I35" s="1326"/>
    </row>
    <row r="36" spans="1:9" ht="17.100000000000001" customHeight="1">
      <c r="A36" s="299">
        <v>29</v>
      </c>
      <c r="B36" s="299" t="s">
        <v>1413</v>
      </c>
      <c r="C36" s="299"/>
      <c r="D36" s="299"/>
      <c r="E36" s="299"/>
      <c r="F36" s="299"/>
      <c r="G36" s="299"/>
      <c r="H36" s="1326"/>
      <c r="I36" s="1326"/>
    </row>
    <row r="37" spans="1:9" ht="17.100000000000001" customHeight="1">
      <c r="A37" s="299">
        <v>30</v>
      </c>
      <c r="B37" s="299" t="s">
        <v>1414</v>
      </c>
      <c r="C37" s="299"/>
      <c r="D37" s="299"/>
      <c r="E37" s="299"/>
      <c r="F37" s="299"/>
      <c r="G37" s="299"/>
      <c r="H37" s="1326"/>
      <c r="I37" s="1326"/>
    </row>
    <row r="38" spans="1:9" ht="17.100000000000001" customHeight="1">
      <c r="A38" s="299">
        <v>31</v>
      </c>
      <c r="B38" s="299" t="s">
        <v>1415</v>
      </c>
      <c r="C38" s="299"/>
      <c r="D38" s="299"/>
      <c r="E38" s="299"/>
      <c r="F38" s="299"/>
      <c r="G38" s="299"/>
      <c r="H38" s="1326"/>
      <c r="I38" s="1326"/>
    </row>
    <row r="39" spans="1:9" ht="17.100000000000001" customHeight="1">
      <c r="A39" s="299">
        <v>32</v>
      </c>
      <c r="B39" s="299" t="s">
        <v>1416</v>
      </c>
      <c r="C39" s="299"/>
      <c r="D39" s="299"/>
      <c r="E39" s="299"/>
      <c r="F39" s="299"/>
      <c r="G39" s="299"/>
      <c r="H39" s="1326"/>
      <c r="I39" s="1326"/>
    </row>
    <row r="40" spans="1:9" ht="17.100000000000001" customHeight="1">
      <c r="A40" s="299">
        <v>33</v>
      </c>
      <c r="B40" s="299" t="s">
        <v>1417</v>
      </c>
      <c r="C40" s="299"/>
      <c r="D40" s="299"/>
      <c r="E40" s="299"/>
      <c r="F40" s="299"/>
      <c r="G40" s="299"/>
      <c r="H40" s="1326"/>
      <c r="I40" s="1326"/>
    </row>
    <row r="41" spans="1:9" ht="17.100000000000001" customHeight="1">
      <c r="A41" s="299">
        <v>34</v>
      </c>
      <c r="B41" s="299" t="s">
        <v>1418</v>
      </c>
      <c r="C41" s="299"/>
      <c r="D41" s="299"/>
      <c r="E41" s="299"/>
      <c r="F41" s="299"/>
      <c r="G41" s="299"/>
      <c r="H41" s="1326"/>
      <c r="I41" s="1326"/>
    </row>
    <row r="42" spans="1:9" ht="17.100000000000001" customHeight="1">
      <c r="A42" s="299">
        <v>35</v>
      </c>
      <c r="B42" s="299" t="s">
        <v>1419</v>
      </c>
      <c r="C42" s="299"/>
      <c r="D42" s="299"/>
      <c r="E42" s="299"/>
      <c r="F42" s="299"/>
      <c r="G42" s="299"/>
      <c r="H42" s="1326"/>
      <c r="I42" s="1326"/>
    </row>
    <row r="43" spans="1:9" ht="17.100000000000001" customHeight="1">
      <c r="A43" s="299">
        <v>36</v>
      </c>
      <c r="B43" s="299" t="s">
        <v>1420</v>
      </c>
      <c r="C43" s="299"/>
      <c r="D43" s="299"/>
      <c r="E43" s="299"/>
      <c r="F43" s="299"/>
      <c r="G43" s="299"/>
      <c r="H43" s="1326"/>
      <c r="I43" s="1326"/>
    </row>
    <row r="44" spans="1:9" ht="17.100000000000001" customHeight="1">
      <c r="A44" s="299">
        <v>37</v>
      </c>
      <c r="B44" s="299" t="s">
        <v>1421</v>
      </c>
      <c r="C44" s="299"/>
      <c r="D44" s="299"/>
      <c r="E44" s="299"/>
      <c r="F44" s="299"/>
      <c r="G44" s="299"/>
      <c r="H44" s="1326"/>
      <c r="I44" s="1326"/>
    </row>
    <row r="45" spans="1:9" ht="17.100000000000001" customHeight="1">
      <c r="A45" s="299">
        <v>38</v>
      </c>
      <c r="B45" s="299" t="s">
        <v>1422</v>
      </c>
      <c r="C45" s="299"/>
      <c r="D45" s="299"/>
      <c r="E45" s="299"/>
      <c r="F45" s="299"/>
      <c r="G45" s="299"/>
      <c r="H45" s="1326"/>
      <c r="I45" s="1326"/>
    </row>
    <row r="46" spans="1:9" ht="17.100000000000001" customHeight="1">
      <c r="A46" s="299">
        <v>39</v>
      </c>
      <c r="B46" s="299" t="s">
        <v>1423</v>
      </c>
      <c r="C46" s="299"/>
      <c r="D46" s="299"/>
      <c r="E46" s="299"/>
      <c r="F46" s="299"/>
      <c r="G46" s="299"/>
      <c r="H46" s="1326"/>
      <c r="I46" s="1326"/>
    </row>
    <row r="47" spans="1:9" ht="17.100000000000001" customHeight="1">
      <c r="A47" s="295"/>
      <c r="B47" s="293" t="s">
        <v>1424</v>
      </c>
      <c r="C47" s="546" t="s">
        <v>1480</v>
      </c>
      <c r="D47" s="297"/>
      <c r="E47" s="296" t="s">
        <v>1425</v>
      </c>
      <c r="F47" s="295"/>
      <c r="G47" s="295"/>
      <c r="H47" s="295"/>
    </row>
  </sheetData>
  <mergeCells count="51">
    <mergeCell ref="H45:I45"/>
    <mergeCell ref="H46:I46"/>
    <mergeCell ref="H39:I39"/>
    <mergeCell ref="H40:I40"/>
    <mergeCell ref="H41:I41"/>
    <mergeCell ref="H42:I42"/>
    <mergeCell ref="H43:I43"/>
    <mergeCell ref="H44:I44"/>
    <mergeCell ref="H38:I38"/>
    <mergeCell ref="H27:I27"/>
    <mergeCell ref="H28:I28"/>
    <mergeCell ref="H29:I29"/>
    <mergeCell ref="H30:I30"/>
    <mergeCell ref="H31:I31"/>
    <mergeCell ref="H32:I32"/>
    <mergeCell ref="H33:I33"/>
    <mergeCell ref="H34:I34"/>
    <mergeCell ref="H35:I35"/>
    <mergeCell ref="H36:I36"/>
    <mergeCell ref="H37:I37"/>
    <mergeCell ref="H26:I26"/>
    <mergeCell ref="H15:I15"/>
    <mergeCell ref="H16:I16"/>
    <mergeCell ref="H17:I17"/>
    <mergeCell ref="H18:I18"/>
    <mergeCell ref="H19:I19"/>
    <mergeCell ref="H20:I20"/>
    <mergeCell ref="H21:I21"/>
    <mergeCell ref="H22:I22"/>
    <mergeCell ref="H23:I23"/>
    <mergeCell ref="H24:I24"/>
    <mergeCell ref="H25:I25"/>
    <mergeCell ref="H14:I14"/>
    <mergeCell ref="B5:C5"/>
    <mergeCell ref="E5:F5"/>
    <mergeCell ref="H5:I5"/>
    <mergeCell ref="H6:I6"/>
    <mergeCell ref="H7:I7"/>
    <mergeCell ref="H8:I8"/>
    <mergeCell ref="H9:I9"/>
    <mergeCell ref="H10:I10"/>
    <mergeCell ref="H11:I11"/>
    <mergeCell ref="H12:I12"/>
    <mergeCell ref="H13:I13"/>
    <mergeCell ref="A1:I1"/>
    <mergeCell ref="B3:C3"/>
    <mergeCell ref="E3:F3"/>
    <mergeCell ref="H3:I3"/>
    <mergeCell ref="B4:C4"/>
    <mergeCell ref="E4:F4"/>
    <mergeCell ref="H4:I4"/>
  </mergeCells>
  <phoneticPr fontId="83" type="noConversion"/>
  <pageMargins left="0.59055118110236227" right="0.59055118110236227" top="0.62992125984251968" bottom="0.23622047244094491" header="0.23622047244094491" footer="0.23622047244094491"/>
  <pageSetup paperSize="9" scale="94" orientation="portrait" r:id="rId1"/>
  <headerFooter alignWithMargins="0"/>
</worksheet>
</file>

<file path=xl/worksheets/sheet17.xml><?xml version="1.0" encoding="utf-8"?>
<worksheet xmlns="http://schemas.openxmlformats.org/spreadsheetml/2006/main" xmlns:r="http://schemas.openxmlformats.org/officeDocument/2006/relationships">
  <dimension ref="A1:R754"/>
  <sheetViews>
    <sheetView zoomScaleSheetLayoutView="85" workbookViewId="0">
      <selection activeCell="F18" sqref="F18:H18"/>
    </sheetView>
  </sheetViews>
  <sheetFormatPr defaultRowHeight="14.25"/>
  <cols>
    <col min="1" max="1" width="8.125" style="431" customWidth="1"/>
    <col min="2" max="2" width="6.25" style="431" customWidth="1"/>
    <col min="3" max="3" width="6.375" style="431" customWidth="1"/>
    <col min="4" max="4" width="5.375" style="431" customWidth="1"/>
    <col min="5" max="5" width="5.875" style="431" customWidth="1"/>
    <col min="6" max="6" width="5.75" style="431" customWidth="1"/>
    <col min="7" max="7" width="5.25" style="431" customWidth="1"/>
    <col min="8" max="9" width="7.125" style="431" customWidth="1"/>
    <col min="10" max="10" width="9" style="431"/>
    <col min="11" max="11" width="12.25" style="431" customWidth="1"/>
    <col min="12" max="17" width="9" style="431"/>
    <col min="18" max="18" width="19" style="431" customWidth="1"/>
    <col min="19" max="16384" width="9" style="431"/>
  </cols>
  <sheetData>
    <row r="1" spans="1:18" ht="12.95" customHeight="1">
      <c r="A1" s="430"/>
      <c r="B1" s="430"/>
      <c r="C1" s="430"/>
      <c r="D1" s="430"/>
      <c r="E1" s="430"/>
    </row>
    <row r="2" spans="1:18" ht="12.95" customHeight="1">
      <c r="A2" s="432"/>
      <c r="B2" s="432"/>
      <c r="C2" s="432"/>
      <c r="D2" s="432"/>
      <c r="E2" s="430"/>
      <c r="F2" s="1453" t="s">
        <v>1217</v>
      </c>
      <c r="G2" s="1453"/>
      <c r="H2" s="1453"/>
      <c r="I2" s="1453"/>
      <c r="J2" s="1453"/>
      <c r="K2" s="1453"/>
    </row>
    <row r="3" spans="1:18" ht="20.25">
      <c r="A3" s="1454" t="s">
        <v>1218</v>
      </c>
      <c r="B3" s="1454"/>
      <c r="C3" s="1454"/>
      <c r="D3" s="1454"/>
      <c r="E3" s="1454"/>
      <c r="F3" s="1454"/>
      <c r="G3" s="1454"/>
      <c r="H3" s="1454"/>
      <c r="I3" s="1454"/>
      <c r="J3" s="1454"/>
      <c r="K3" s="1454"/>
      <c r="R3" s="431" t="s">
        <v>1219</v>
      </c>
    </row>
    <row r="4" spans="1:18" ht="18" customHeight="1">
      <c r="A4" s="1455" t="s">
        <v>853</v>
      </c>
      <c r="B4" s="1455"/>
      <c r="C4" s="1456" t="str">
        <f>下料单!C2</f>
        <v>杜鹃</v>
      </c>
      <c r="D4" s="1456"/>
      <c r="E4" s="1456"/>
      <c r="F4" s="1457" t="s">
        <v>1220</v>
      </c>
      <c r="G4" s="1457"/>
      <c r="H4" s="1456"/>
      <c r="I4" s="1456"/>
      <c r="J4" s="433" t="s">
        <v>854</v>
      </c>
      <c r="K4" s="434" t="str">
        <f>SUM(G10:G37)&amp;"块"</f>
        <v>0块</v>
      </c>
      <c r="R4" s="431" t="s">
        <v>1221</v>
      </c>
    </row>
    <row r="5" spans="1:18" ht="19.5" customHeight="1">
      <c r="A5" s="1462" t="s">
        <v>51</v>
      </c>
      <c r="B5" s="1457"/>
      <c r="C5" s="1463" t="str">
        <f>下料单!H2</f>
        <v>S400383705</v>
      </c>
      <c r="D5" s="1463"/>
      <c r="E5" s="1463"/>
      <c r="F5" s="1457" t="s">
        <v>1222</v>
      </c>
      <c r="G5" s="1457"/>
      <c r="H5" s="1464"/>
      <c r="I5" s="1465"/>
      <c r="J5" s="433" t="s">
        <v>1223</v>
      </c>
      <c r="K5" s="435">
        <f>下料单!X2</f>
        <v>0</v>
      </c>
      <c r="L5" s="431" t="s">
        <v>1224</v>
      </c>
      <c r="R5" s="431" t="s">
        <v>1225</v>
      </c>
    </row>
    <row r="6" spans="1:18" ht="19.5" customHeight="1">
      <c r="A6" s="1457" t="s">
        <v>1226</v>
      </c>
      <c r="B6" s="1457"/>
      <c r="C6" s="1465" t="s">
        <v>1227</v>
      </c>
      <c r="D6" s="1466"/>
      <c r="E6" s="1466"/>
      <c r="F6" s="1467" t="s">
        <v>1221</v>
      </c>
      <c r="G6" s="1467"/>
      <c r="H6" s="1467"/>
      <c r="I6" s="436" t="s">
        <v>1228</v>
      </c>
      <c r="J6" s="437" t="s">
        <v>1229</v>
      </c>
      <c r="K6" s="438" t="s">
        <v>1230</v>
      </c>
      <c r="M6" s="431" t="s">
        <v>1231</v>
      </c>
      <c r="R6" s="431" t="s">
        <v>1232</v>
      </c>
    </row>
    <row r="7" spans="1:18" ht="24.75" customHeight="1" thickBot="1">
      <c r="A7" s="1468" t="s">
        <v>1233</v>
      </c>
      <c r="B7" s="1468"/>
      <c r="C7" s="1468"/>
      <c r="D7" s="1468"/>
      <c r="E7" s="1468"/>
      <c r="F7" s="1468"/>
      <c r="G7" s="1468"/>
      <c r="H7" s="1468"/>
      <c r="I7" s="1468"/>
      <c r="J7" s="1468"/>
      <c r="K7" s="1468"/>
      <c r="R7" s="431" t="s">
        <v>1234</v>
      </c>
    </row>
    <row r="8" spans="1:18" ht="18" customHeight="1">
      <c r="A8" s="439" t="s">
        <v>1235</v>
      </c>
      <c r="B8" s="1469" t="s">
        <v>1236</v>
      </c>
      <c r="C8" s="1469"/>
      <c r="D8" s="1469"/>
      <c r="E8" s="1469" t="s">
        <v>1237</v>
      </c>
      <c r="F8" s="1469"/>
      <c r="G8" s="1469"/>
      <c r="H8" s="1470" t="s">
        <v>1238</v>
      </c>
      <c r="I8" s="1471"/>
      <c r="J8" s="1471" t="s">
        <v>1239</v>
      </c>
      <c r="K8" s="1472"/>
      <c r="R8" s="431" t="s">
        <v>1240</v>
      </c>
    </row>
    <row r="9" spans="1:18" ht="22.5" customHeight="1">
      <c r="A9" s="440" t="s">
        <v>1241</v>
      </c>
      <c r="B9" s="441" t="s">
        <v>851</v>
      </c>
      <c r="C9" s="441" t="s">
        <v>1242</v>
      </c>
      <c r="D9" s="441" t="s">
        <v>1243</v>
      </c>
      <c r="E9" s="441" t="s">
        <v>1244</v>
      </c>
      <c r="F9" s="442" t="s">
        <v>1242</v>
      </c>
      <c r="G9" s="441" t="s">
        <v>1243</v>
      </c>
      <c r="H9" s="1458" t="s">
        <v>1245</v>
      </c>
      <c r="I9" s="1459"/>
      <c r="J9" s="1460" t="s">
        <v>1246</v>
      </c>
      <c r="K9" s="1461"/>
      <c r="L9" s="443" t="s">
        <v>1247</v>
      </c>
      <c r="M9" s="443" t="s">
        <v>1248</v>
      </c>
      <c r="N9" s="444" t="s">
        <v>1249</v>
      </c>
      <c r="O9" s="445" t="s">
        <v>1250</v>
      </c>
      <c r="P9" s="445" t="s">
        <v>1251</v>
      </c>
    </row>
    <row r="10" spans="1:18" ht="17.100000000000001" customHeight="1">
      <c r="A10" s="446"/>
      <c r="B10" s="447"/>
      <c r="C10" s="447"/>
      <c r="D10" s="447"/>
      <c r="E10" s="447">
        <f>C10+10</f>
        <v>10</v>
      </c>
      <c r="F10" s="448">
        <f>B10+10</f>
        <v>10</v>
      </c>
      <c r="G10" s="447">
        <f>D10</f>
        <v>0</v>
      </c>
      <c r="H10" s="1473"/>
      <c r="I10" s="1474"/>
      <c r="J10" s="1475"/>
      <c r="K10" s="1476"/>
      <c r="L10" s="431">
        <f>((B10+C10)*2+240)*G10/1000</f>
        <v>0</v>
      </c>
      <c r="M10" s="431">
        <f>B10*C10*D10/1000000</f>
        <v>0</v>
      </c>
      <c r="N10" s="431">
        <f>E10*F10*G10/1000000/2.88/0.85</f>
        <v>0</v>
      </c>
      <c r="O10" s="431">
        <f>(B10*C10*D10/1000000)*2</f>
        <v>0</v>
      </c>
      <c r="P10" s="431">
        <f>O10/0.6</f>
        <v>0</v>
      </c>
    </row>
    <row r="11" spans="1:18" ht="17.100000000000001" customHeight="1">
      <c r="A11" s="446"/>
      <c r="B11" s="447"/>
      <c r="C11" s="447"/>
      <c r="D11" s="447"/>
      <c r="E11" s="447">
        <f t="shared" ref="E11:E33" si="0">C11+10</f>
        <v>10</v>
      </c>
      <c r="F11" s="448">
        <f t="shared" ref="F11:F33" si="1">B11+10</f>
        <v>10</v>
      </c>
      <c r="G11" s="447">
        <f t="shared" ref="G11:G33" si="2">D11</f>
        <v>0</v>
      </c>
      <c r="H11" s="1473"/>
      <c r="I11" s="1474"/>
      <c r="J11" s="1475"/>
      <c r="K11" s="1476"/>
      <c r="L11" s="431">
        <f t="shared" ref="L11:L37" si="3">((B11+C11)*2+240)*G11/1000</f>
        <v>0</v>
      </c>
      <c r="M11" s="431">
        <f t="shared" ref="M11:M37" si="4">B11*C11*D11/1000000</f>
        <v>0</v>
      </c>
      <c r="N11" s="431">
        <f t="shared" ref="N11:N37" si="5">E11*F11*G11/1000000/2.88/0.85</f>
        <v>0</v>
      </c>
      <c r="O11" s="431">
        <f t="shared" ref="O11:O37" si="6">(B11*C11*D11/1000000)*2</f>
        <v>0</v>
      </c>
      <c r="P11" s="431">
        <f t="shared" ref="P11:P37" si="7">O11/0.6</f>
        <v>0</v>
      </c>
    </row>
    <row r="12" spans="1:18" ht="17.100000000000001" customHeight="1">
      <c r="A12" s="446"/>
      <c r="B12" s="447"/>
      <c r="C12" s="447"/>
      <c r="D12" s="447"/>
      <c r="E12" s="447">
        <f t="shared" si="0"/>
        <v>10</v>
      </c>
      <c r="F12" s="448">
        <f t="shared" si="1"/>
        <v>10</v>
      </c>
      <c r="G12" s="447">
        <f t="shared" si="2"/>
        <v>0</v>
      </c>
      <c r="H12" s="1473"/>
      <c r="I12" s="1474"/>
      <c r="J12" s="1475"/>
      <c r="K12" s="1476"/>
      <c r="L12" s="431">
        <f t="shared" si="3"/>
        <v>0</v>
      </c>
      <c r="M12" s="431">
        <f t="shared" si="4"/>
        <v>0</v>
      </c>
      <c r="N12" s="431">
        <f t="shared" si="5"/>
        <v>0</v>
      </c>
      <c r="O12" s="431">
        <f t="shared" si="6"/>
        <v>0</v>
      </c>
      <c r="P12" s="431">
        <f t="shared" si="7"/>
        <v>0</v>
      </c>
    </row>
    <row r="13" spans="1:18" ht="17.100000000000001" customHeight="1">
      <c r="A13" s="446"/>
      <c r="B13" s="447"/>
      <c r="C13" s="447"/>
      <c r="D13" s="447"/>
      <c r="E13" s="447">
        <f t="shared" si="0"/>
        <v>10</v>
      </c>
      <c r="F13" s="448">
        <f t="shared" si="1"/>
        <v>10</v>
      </c>
      <c r="G13" s="447">
        <f t="shared" si="2"/>
        <v>0</v>
      </c>
      <c r="H13" s="1473"/>
      <c r="I13" s="1474"/>
      <c r="J13" s="1475"/>
      <c r="K13" s="1476"/>
      <c r="L13" s="431">
        <f t="shared" si="3"/>
        <v>0</v>
      </c>
      <c r="M13" s="431">
        <f t="shared" si="4"/>
        <v>0</v>
      </c>
      <c r="N13" s="431">
        <f t="shared" si="5"/>
        <v>0</v>
      </c>
      <c r="O13" s="431">
        <f t="shared" si="6"/>
        <v>0</v>
      </c>
      <c r="P13" s="431">
        <f t="shared" si="7"/>
        <v>0</v>
      </c>
    </row>
    <row r="14" spans="1:18" ht="17.100000000000001" customHeight="1">
      <c r="A14" s="446"/>
      <c r="B14" s="447"/>
      <c r="C14" s="447"/>
      <c r="D14" s="447"/>
      <c r="E14" s="447">
        <f t="shared" si="0"/>
        <v>10</v>
      </c>
      <c r="F14" s="448">
        <f t="shared" si="1"/>
        <v>10</v>
      </c>
      <c r="G14" s="447">
        <f t="shared" si="2"/>
        <v>0</v>
      </c>
      <c r="H14" s="1473"/>
      <c r="I14" s="1474"/>
      <c r="J14" s="1475"/>
      <c r="K14" s="1476"/>
      <c r="L14" s="431">
        <f t="shared" si="3"/>
        <v>0</v>
      </c>
      <c r="M14" s="431">
        <f t="shared" si="4"/>
        <v>0</v>
      </c>
      <c r="N14" s="431">
        <f t="shared" si="5"/>
        <v>0</v>
      </c>
      <c r="O14" s="431">
        <f t="shared" si="6"/>
        <v>0</v>
      </c>
      <c r="P14" s="431">
        <f t="shared" si="7"/>
        <v>0</v>
      </c>
    </row>
    <row r="15" spans="1:18" ht="17.100000000000001" customHeight="1">
      <c r="A15" s="446"/>
      <c r="B15" s="447"/>
      <c r="C15" s="447"/>
      <c r="D15" s="447"/>
      <c r="E15" s="447">
        <f t="shared" si="0"/>
        <v>10</v>
      </c>
      <c r="F15" s="448">
        <f t="shared" si="1"/>
        <v>10</v>
      </c>
      <c r="G15" s="447">
        <f t="shared" si="2"/>
        <v>0</v>
      </c>
      <c r="H15" s="1473"/>
      <c r="I15" s="1474"/>
      <c r="J15" s="1475"/>
      <c r="K15" s="1476"/>
      <c r="L15" s="431">
        <f t="shared" si="3"/>
        <v>0</v>
      </c>
      <c r="M15" s="431">
        <f t="shared" si="4"/>
        <v>0</v>
      </c>
      <c r="N15" s="431">
        <f t="shared" si="5"/>
        <v>0</v>
      </c>
      <c r="O15" s="431">
        <f t="shared" si="6"/>
        <v>0</v>
      </c>
      <c r="P15" s="431">
        <f t="shared" si="7"/>
        <v>0</v>
      </c>
    </row>
    <row r="16" spans="1:18" ht="17.100000000000001" customHeight="1">
      <c r="A16" s="446"/>
      <c r="B16" s="447"/>
      <c r="C16" s="447"/>
      <c r="D16" s="447"/>
      <c r="E16" s="447">
        <f t="shared" si="0"/>
        <v>10</v>
      </c>
      <c r="F16" s="448">
        <f t="shared" si="1"/>
        <v>10</v>
      </c>
      <c r="G16" s="447">
        <f t="shared" si="2"/>
        <v>0</v>
      </c>
      <c r="H16" s="1473"/>
      <c r="I16" s="1474"/>
      <c r="J16" s="1475"/>
      <c r="K16" s="1476"/>
      <c r="L16" s="431">
        <f t="shared" si="3"/>
        <v>0</v>
      </c>
      <c r="M16" s="431">
        <f t="shared" si="4"/>
        <v>0</v>
      </c>
      <c r="N16" s="431">
        <f t="shared" si="5"/>
        <v>0</v>
      </c>
      <c r="O16" s="431">
        <f t="shared" si="6"/>
        <v>0</v>
      </c>
      <c r="P16" s="431">
        <f t="shared" si="7"/>
        <v>0</v>
      </c>
    </row>
    <row r="17" spans="1:16" ht="17.100000000000001" customHeight="1">
      <c r="A17" s="446"/>
      <c r="B17" s="447"/>
      <c r="C17" s="447"/>
      <c r="D17" s="447"/>
      <c r="E17" s="447">
        <f t="shared" si="0"/>
        <v>10</v>
      </c>
      <c r="F17" s="448">
        <f t="shared" si="1"/>
        <v>10</v>
      </c>
      <c r="G17" s="447">
        <f t="shared" si="2"/>
        <v>0</v>
      </c>
      <c r="H17" s="1473"/>
      <c r="I17" s="1474"/>
      <c r="J17" s="1475"/>
      <c r="K17" s="1476"/>
      <c r="L17" s="431">
        <f t="shared" si="3"/>
        <v>0</v>
      </c>
      <c r="M17" s="431">
        <f t="shared" si="4"/>
        <v>0</v>
      </c>
      <c r="N17" s="431">
        <f t="shared" si="5"/>
        <v>0</v>
      </c>
      <c r="O17" s="431">
        <f t="shared" si="6"/>
        <v>0</v>
      </c>
      <c r="P17" s="431">
        <f t="shared" si="7"/>
        <v>0</v>
      </c>
    </row>
    <row r="18" spans="1:16" ht="17.100000000000001" customHeight="1">
      <c r="A18" s="446"/>
      <c r="B18" s="447"/>
      <c r="C18" s="447"/>
      <c r="D18" s="447"/>
      <c r="E18" s="447">
        <f t="shared" si="0"/>
        <v>10</v>
      </c>
      <c r="F18" s="448">
        <f t="shared" si="1"/>
        <v>10</v>
      </c>
      <c r="G18" s="447">
        <f t="shared" si="2"/>
        <v>0</v>
      </c>
      <c r="H18" s="1473"/>
      <c r="I18" s="1474"/>
      <c r="J18" s="1475"/>
      <c r="K18" s="1476"/>
      <c r="L18" s="431">
        <f t="shared" si="3"/>
        <v>0</v>
      </c>
      <c r="M18" s="431">
        <f t="shared" si="4"/>
        <v>0</v>
      </c>
      <c r="N18" s="431">
        <f t="shared" si="5"/>
        <v>0</v>
      </c>
      <c r="O18" s="431">
        <f t="shared" si="6"/>
        <v>0</v>
      </c>
      <c r="P18" s="431">
        <f t="shared" si="7"/>
        <v>0</v>
      </c>
    </row>
    <row r="19" spans="1:16" ht="17.100000000000001" customHeight="1">
      <c r="A19" s="446"/>
      <c r="B19" s="447"/>
      <c r="C19" s="447"/>
      <c r="D19" s="447"/>
      <c r="E19" s="447">
        <f t="shared" si="0"/>
        <v>10</v>
      </c>
      <c r="F19" s="448">
        <f t="shared" si="1"/>
        <v>10</v>
      </c>
      <c r="G19" s="447">
        <f t="shared" si="2"/>
        <v>0</v>
      </c>
      <c r="H19" s="1473"/>
      <c r="I19" s="1474"/>
      <c r="J19" s="1475"/>
      <c r="K19" s="1476"/>
      <c r="L19" s="431">
        <f t="shared" si="3"/>
        <v>0</v>
      </c>
      <c r="M19" s="431">
        <f t="shared" si="4"/>
        <v>0</v>
      </c>
      <c r="N19" s="431">
        <f t="shared" si="5"/>
        <v>0</v>
      </c>
      <c r="O19" s="431">
        <f t="shared" si="6"/>
        <v>0</v>
      </c>
      <c r="P19" s="431">
        <f t="shared" si="7"/>
        <v>0</v>
      </c>
    </row>
    <row r="20" spans="1:16" ht="17.100000000000001" customHeight="1">
      <c r="A20" s="446"/>
      <c r="B20" s="447"/>
      <c r="C20" s="447"/>
      <c r="D20" s="447"/>
      <c r="E20" s="447">
        <f t="shared" si="0"/>
        <v>10</v>
      </c>
      <c r="F20" s="448">
        <f t="shared" si="1"/>
        <v>10</v>
      </c>
      <c r="G20" s="447">
        <f t="shared" si="2"/>
        <v>0</v>
      </c>
      <c r="H20" s="1473"/>
      <c r="I20" s="1474"/>
      <c r="J20" s="1475"/>
      <c r="K20" s="1476"/>
      <c r="L20" s="431">
        <f t="shared" si="3"/>
        <v>0</v>
      </c>
      <c r="M20" s="431">
        <f t="shared" si="4"/>
        <v>0</v>
      </c>
      <c r="N20" s="431">
        <f t="shared" si="5"/>
        <v>0</v>
      </c>
      <c r="O20" s="431">
        <f t="shared" si="6"/>
        <v>0</v>
      </c>
      <c r="P20" s="431">
        <f t="shared" si="7"/>
        <v>0</v>
      </c>
    </row>
    <row r="21" spans="1:16" ht="17.100000000000001" customHeight="1">
      <c r="A21" s="446"/>
      <c r="B21" s="447"/>
      <c r="C21" s="447"/>
      <c r="D21" s="447"/>
      <c r="E21" s="447">
        <f t="shared" si="0"/>
        <v>10</v>
      </c>
      <c r="F21" s="448">
        <f t="shared" si="1"/>
        <v>10</v>
      </c>
      <c r="G21" s="447">
        <f t="shared" si="2"/>
        <v>0</v>
      </c>
      <c r="H21" s="1473"/>
      <c r="I21" s="1474"/>
      <c r="J21" s="1475"/>
      <c r="K21" s="1476"/>
      <c r="L21" s="431">
        <f t="shared" si="3"/>
        <v>0</v>
      </c>
      <c r="M21" s="431">
        <f t="shared" si="4"/>
        <v>0</v>
      </c>
      <c r="N21" s="431">
        <f t="shared" si="5"/>
        <v>0</v>
      </c>
      <c r="O21" s="431">
        <f t="shared" si="6"/>
        <v>0</v>
      </c>
      <c r="P21" s="431">
        <f t="shared" si="7"/>
        <v>0</v>
      </c>
    </row>
    <row r="22" spans="1:16" ht="17.100000000000001" customHeight="1">
      <c r="A22" s="446"/>
      <c r="B22" s="447"/>
      <c r="C22" s="447"/>
      <c r="D22" s="447"/>
      <c r="E22" s="447">
        <f t="shared" si="0"/>
        <v>10</v>
      </c>
      <c r="F22" s="448">
        <f t="shared" si="1"/>
        <v>10</v>
      </c>
      <c r="G22" s="447">
        <f t="shared" si="2"/>
        <v>0</v>
      </c>
      <c r="H22" s="1473"/>
      <c r="I22" s="1474"/>
      <c r="J22" s="1475"/>
      <c r="K22" s="1476"/>
      <c r="L22" s="431">
        <f t="shared" si="3"/>
        <v>0</v>
      </c>
      <c r="M22" s="431">
        <f t="shared" si="4"/>
        <v>0</v>
      </c>
      <c r="N22" s="431">
        <f t="shared" si="5"/>
        <v>0</v>
      </c>
      <c r="O22" s="431">
        <f t="shared" si="6"/>
        <v>0</v>
      </c>
      <c r="P22" s="431">
        <f t="shared" si="7"/>
        <v>0</v>
      </c>
    </row>
    <row r="23" spans="1:16" ht="17.100000000000001" customHeight="1">
      <c r="A23" s="446"/>
      <c r="B23" s="447"/>
      <c r="C23" s="447"/>
      <c r="D23" s="447"/>
      <c r="E23" s="447">
        <f t="shared" si="0"/>
        <v>10</v>
      </c>
      <c r="F23" s="448">
        <f t="shared" si="1"/>
        <v>10</v>
      </c>
      <c r="G23" s="447">
        <f t="shared" si="2"/>
        <v>0</v>
      </c>
      <c r="H23" s="1473"/>
      <c r="I23" s="1474"/>
      <c r="J23" s="1475"/>
      <c r="K23" s="1476"/>
      <c r="L23" s="431">
        <f t="shared" si="3"/>
        <v>0</v>
      </c>
      <c r="M23" s="431">
        <f t="shared" si="4"/>
        <v>0</v>
      </c>
      <c r="N23" s="431">
        <f t="shared" si="5"/>
        <v>0</v>
      </c>
      <c r="O23" s="431">
        <f t="shared" si="6"/>
        <v>0</v>
      </c>
      <c r="P23" s="431">
        <f t="shared" si="7"/>
        <v>0</v>
      </c>
    </row>
    <row r="24" spans="1:16" ht="17.100000000000001" customHeight="1">
      <c r="A24" s="446"/>
      <c r="B24" s="447"/>
      <c r="C24" s="447"/>
      <c r="D24" s="447"/>
      <c r="E24" s="447">
        <f t="shared" si="0"/>
        <v>10</v>
      </c>
      <c r="F24" s="448">
        <f t="shared" si="1"/>
        <v>10</v>
      </c>
      <c r="G24" s="447">
        <f t="shared" si="2"/>
        <v>0</v>
      </c>
      <c r="H24" s="1473"/>
      <c r="I24" s="1474"/>
      <c r="J24" s="1475"/>
      <c r="K24" s="1476"/>
      <c r="L24" s="431">
        <f t="shared" si="3"/>
        <v>0</v>
      </c>
      <c r="M24" s="431">
        <f t="shared" si="4"/>
        <v>0</v>
      </c>
      <c r="N24" s="431">
        <f t="shared" si="5"/>
        <v>0</v>
      </c>
      <c r="O24" s="431">
        <f t="shared" si="6"/>
        <v>0</v>
      </c>
      <c r="P24" s="431">
        <f t="shared" si="7"/>
        <v>0</v>
      </c>
    </row>
    <row r="25" spans="1:16" ht="17.100000000000001" customHeight="1">
      <c r="A25" s="446"/>
      <c r="B25" s="447"/>
      <c r="C25" s="447"/>
      <c r="D25" s="447"/>
      <c r="E25" s="447">
        <f t="shared" si="0"/>
        <v>10</v>
      </c>
      <c r="F25" s="448">
        <f t="shared" si="1"/>
        <v>10</v>
      </c>
      <c r="G25" s="447">
        <f t="shared" si="2"/>
        <v>0</v>
      </c>
      <c r="H25" s="1473"/>
      <c r="I25" s="1474"/>
      <c r="J25" s="1475"/>
      <c r="K25" s="1476"/>
      <c r="L25" s="431">
        <f t="shared" si="3"/>
        <v>0</v>
      </c>
      <c r="M25" s="431">
        <f t="shared" si="4"/>
        <v>0</v>
      </c>
      <c r="N25" s="431">
        <f t="shared" si="5"/>
        <v>0</v>
      </c>
      <c r="O25" s="431">
        <f t="shared" si="6"/>
        <v>0</v>
      </c>
      <c r="P25" s="431">
        <f t="shared" si="7"/>
        <v>0</v>
      </c>
    </row>
    <row r="26" spans="1:16" ht="17.100000000000001" customHeight="1">
      <c r="A26" s="446"/>
      <c r="B26" s="447"/>
      <c r="C26" s="447"/>
      <c r="D26" s="447"/>
      <c r="E26" s="447">
        <f t="shared" si="0"/>
        <v>10</v>
      </c>
      <c r="F26" s="448">
        <f t="shared" si="1"/>
        <v>10</v>
      </c>
      <c r="G26" s="447">
        <f t="shared" si="2"/>
        <v>0</v>
      </c>
      <c r="H26" s="1473"/>
      <c r="I26" s="1474"/>
      <c r="J26" s="1475"/>
      <c r="K26" s="1476"/>
      <c r="L26" s="431">
        <f t="shared" si="3"/>
        <v>0</v>
      </c>
      <c r="M26" s="431">
        <f t="shared" si="4"/>
        <v>0</v>
      </c>
      <c r="N26" s="431">
        <f t="shared" si="5"/>
        <v>0</v>
      </c>
      <c r="O26" s="431">
        <f t="shared" si="6"/>
        <v>0</v>
      </c>
      <c r="P26" s="431">
        <f t="shared" si="7"/>
        <v>0</v>
      </c>
    </row>
    <row r="27" spans="1:16" ht="17.100000000000001" customHeight="1">
      <c r="A27" s="446"/>
      <c r="B27" s="447"/>
      <c r="C27" s="447"/>
      <c r="D27" s="447"/>
      <c r="E27" s="447">
        <f t="shared" si="0"/>
        <v>10</v>
      </c>
      <c r="F27" s="448">
        <f t="shared" si="1"/>
        <v>10</v>
      </c>
      <c r="G27" s="447">
        <f t="shared" si="2"/>
        <v>0</v>
      </c>
      <c r="H27" s="1473"/>
      <c r="I27" s="1474"/>
      <c r="J27" s="1475"/>
      <c r="K27" s="1476"/>
      <c r="L27" s="431">
        <f t="shared" si="3"/>
        <v>0</v>
      </c>
      <c r="M27" s="431">
        <f t="shared" si="4"/>
        <v>0</v>
      </c>
      <c r="N27" s="431">
        <f t="shared" si="5"/>
        <v>0</v>
      </c>
      <c r="O27" s="431">
        <f t="shared" si="6"/>
        <v>0</v>
      </c>
      <c r="P27" s="431">
        <f t="shared" si="7"/>
        <v>0</v>
      </c>
    </row>
    <row r="28" spans="1:16" ht="17.100000000000001" customHeight="1">
      <c r="A28" s="446"/>
      <c r="B28" s="447"/>
      <c r="C28" s="447"/>
      <c r="D28" s="447"/>
      <c r="E28" s="447">
        <f t="shared" si="0"/>
        <v>10</v>
      </c>
      <c r="F28" s="448">
        <f t="shared" si="1"/>
        <v>10</v>
      </c>
      <c r="G28" s="447">
        <f t="shared" si="2"/>
        <v>0</v>
      </c>
      <c r="H28" s="1473"/>
      <c r="I28" s="1474"/>
      <c r="J28" s="1475"/>
      <c r="K28" s="1476"/>
      <c r="L28" s="431">
        <f t="shared" si="3"/>
        <v>0</v>
      </c>
      <c r="M28" s="431">
        <f t="shared" si="4"/>
        <v>0</v>
      </c>
      <c r="N28" s="431">
        <f t="shared" si="5"/>
        <v>0</v>
      </c>
      <c r="O28" s="431">
        <f t="shared" si="6"/>
        <v>0</v>
      </c>
      <c r="P28" s="431">
        <f t="shared" si="7"/>
        <v>0</v>
      </c>
    </row>
    <row r="29" spans="1:16" ht="17.100000000000001" customHeight="1">
      <c r="A29" s="446"/>
      <c r="B29" s="447"/>
      <c r="C29" s="447"/>
      <c r="D29" s="447"/>
      <c r="E29" s="447">
        <f t="shared" si="0"/>
        <v>10</v>
      </c>
      <c r="F29" s="448">
        <f t="shared" si="1"/>
        <v>10</v>
      </c>
      <c r="G29" s="447">
        <f t="shared" si="2"/>
        <v>0</v>
      </c>
      <c r="H29" s="1473"/>
      <c r="I29" s="1474"/>
      <c r="J29" s="1475"/>
      <c r="K29" s="1476"/>
      <c r="L29" s="431">
        <f t="shared" si="3"/>
        <v>0</v>
      </c>
      <c r="M29" s="431">
        <f t="shared" si="4"/>
        <v>0</v>
      </c>
      <c r="N29" s="431">
        <f t="shared" si="5"/>
        <v>0</v>
      </c>
      <c r="O29" s="431">
        <f t="shared" si="6"/>
        <v>0</v>
      </c>
      <c r="P29" s="431">
        <f t="shared" si="7"/>
        <v>0</v>
      </c>
    </row>
    <row r="30" spans="1:16" ht="17.100000000000001" customHeight="1">
      <c r="A30" s="446"/>
      <c r="B30" s="447"/>
      <c r="C30" s="447"/>
      <c r="D30" s="447"/>
      <c r="E30" s="447">
        <f t="shared" si="0"/>
        <v>10</v>
      </c>
      <c r="F30" s="448">
        <f t="shared" si="1"/>
        <v>10</v>
      </c>
      <c r="G30" s="447">
        <f t="shared" si="2"/>
        <v>0</v>
      </c>
      <c r="H30" s="1473"/>
      <c r="I30" s="1474"/>
      <c r="J30" s="1475"/>
      <c r="K30" s="1476"/>
      <c r="L30" s="431">
        <f t="shared" si="3"/>
        <v>0</v>
      </c>
      <c r="M30" s="431">
        <f t="shared" si="4"/>
        <v>0</v>
      </c>
      <c r="N30" s="431">
        <f t="shared" si="5"/>
        <v>0</v>
      </c>
      <c r="O30" s="431">
        <f t="shared" si="6"/>
        <v>0</v>
      </c>
      <c r="P30" s="431">
        <f t="shared" si="7"/>
        <v>0</v>
      </c>
    </row>
    <row r="31" spans="1:16" ht="17.100000000000001" customHeight="1">
      <c r="A31" s="446"/>
      <c r="B31" s="447"/>
      <c r="C31" s="447"/>
      <c r="D31" s="447"/>
      <c r="E31" s="447">
        <f t="shared" si="0"/>
        <v>10</v>
      </c>
      <c r="F31" s="448">
        <f t="shared" si="1"/>
        <v>10</v>
      </c>
      <c r="G31" s="447">
        <f t="shared" si="2"/>
        <v>0</v>
      </c>
      <c r="H31" s="1473"/>
      <c r="I31" s="1474"/>
      <c r="J31" s="1475"/>
      <c r="K31" s="1476"/>
      <c r="L31" s="431">
        <f t="shared" si="3"/>
        <v>0</v>
      </c>
      <c r="M31" s="431">
        <f t="shared" si="4"/>
        <v>0</v>
      </c>
      <c r="N31" s="431">
        <f t="shared" si="5"/>
        <v>0</v>
      </c>
      <c r="O31" s="431">
        <f t="shared" si="6"/>
        <v>0</v>
      </c>
      <c r="P31" s="431">
        <f t="shared" si="7"/>
        <v>0</v>
      </c>
    </row>
    <row r="32" spans="1:16" ht="17.100000000000001" customHeight="1">
      <c r="A32" s="446"/>
      <c r="B32" s="447"/>
      <c r="C32" s="447"/>
      <c r="D32" s="447"/>
      <c r="E32" s="447">
        <f t="shared" si="0"/>
        <v>10</v>
      </c>
      <c r="F32" s="448">
        <f t="shared" si="1"/>
        <v>10</v>
      </c>
      <c r="G32" s="447">
        <f t="shared" si="2"/>
        <v>0</v>
      </c>
      <c r="H32" s="1473"/>
      <c r="I32" s="1474"/>
      <c r="J32" s="1475"/>
      <c r="K32" s="1476"/>
      <c r="L32" s="431">
        <f t="shared" si="3"/>
        <v>0</v>
      </c>
      <c r="M32" s="431">
        <f t="shared" si="4"/>
        <v>0</v>
      </c>
      <c r="N32" s="431">
        <f t="shared" si="5"/>
        <v>0</v>
      </c>
      <c r="O32" s="431">
        <f t="shared" si="6"/>
        <v>0</v>
      </c>
      <c r="P32" s="431">
        <f t="shared" si="7"/>
        <v>0</v>
      </c>
    </row>
    <row r="33" spans="1:17" ht="17.100000000000001" customHeight="1">
      <c r="A33" s="449" t="s">
        <v>1252</v>
      </c>
      <c r="B33" s="447">
        <v>2400</v>
      </c>
      <c r="C33" s="447"/>
      <c r="D33" s="447"/>
      <c r="E33" s="447">
        <f t="shared" si="0"/>
        <v>10</v>
      </c>
      <c r="F33" s="448">
        <f t="shared" si="1"/>
        <v>2410</v>
      </c>
      <c r="G33" s="447">
        <f t="shared" si="2"/>
        <v>0</v>
      </c>
      <c r="H33" s="1473"/>
      <c r="I33" s="1474"/>
      <c r="J33" s="1475"/>
      <c r="K33" s="1476"/>
      <c r="L33" s="431">
        <f t="shared" si="3"/>
        <v>0</v>
      </c>
      <c r="M33" s="431">
        <f t="shared" si="4"/>
        <v>0</v>
      </c>
      <c r="N33" s="431">
        <f t="shared" si="5"/>
        <v>0</v>
      </c>
      <c r="O33" s="431">
        <f t="shared" si="6"/>
        <v>0</v>
      </c>
      <c r="P33" s="431">
        <f t="shared" si="7"/>
        <v>0</v>
      </c>
    </row>
    <row r="34" spans="1:17" ht="17.100000000000001" customHeight="1">
      <c r="A34" s="449"/>
      <c r="B34" s="447"/>
      <c r="C34" s="447"/>
      <c r="D34" s="447"/>
      <c r="E34" s="447"/>
      <c r="F34" s="448"/>
      <c r="G34" s="447"/>
      <c r="H34" s="1460"/>
      <c r="I34" s="1459"/>
      <c r="J34" s="1460"/>
      <c r="K34" s="1461"/>
      <c r="L34" s="431">
        <f t="shared" si="3"/>
        <v>0</v>
      </c>
      <c r="M34" s="431">
        <f t="shared" si="4"/>
        <v>0</v>
      </c>
      <c r="N34" s="431">
        <f t="shared" si="5"/>
        <v>0</v>
      </c>
      <c r="O34" s="431">
        <f t="shared" si="6"/>
        <v>0</v>
      </c>
      <c r="P34" s="431">
        <f t="shared" si="7"/>
        <v>0</v>
      </c>
    </row>
    <row r="35" spans="1:17" ht="17.100000000000001" customHeight="1">
      <c r="A35" s="449"/>
      <c r="B35" s="447"/>
      <c r="C35" s="447"/>
      <c r="D35" s="447"/>
      <c r="E35" s="447"/>
      <c r="F35" s="448"/>
      <c r="G35" s="447"/>
      <c r="H35" s="1460"/>
      <c r="I35" s="1459"/>
      <c r="J35" s="1460"/>
      <c r="K35" s="1461"/>
      <c r="L35" s="431">
        <f t="shared" si="3"/>
        <v>0</v>
      </c>
      <c r="M35" s="431">
        <f t="shared" si="4"/>
        <v>0</v>
      </c>
      <c r="N35" s="431">
        <f t="shared" si="5"/>
        <v>0</v>
      </c>
      <c r="O35" s="431">
        <f t="shared" si="6"/>
        <v>0</v>
      </c>
      <c r="P35" s="431">
        <f t="shared" si="7"/>
        <v>0</v>
      </c>
    </row>
    <row r="36" spans="1:17" ht="17.100000000000001" customHeight="1">
      <c r="A36" s="450"/>
      <c r="B36" s="451"/>
      <c r="C36" s="451"/>
      <c r="D36" s="452"/>
      <c r="E36" s="447"/>
      <c r="F36" s="448"/>
      <c r="G36" s="447"/>
      <c r="H36" s="1460"/>
      <c r="I36" s="1459"/>
      <c r="J36" s="1460"/>
      <c r="K36" s="1461"/>
      <c r="L36" s="431">
        <f t="shared" si="3"/>
        <v>0</v>
      </c>
      <c r="M36" s="431">
        <f t="shared" si="4"/>
        <v>0</v>
      </c>
      <c r="N36" s="431">
        <f t="shared" si="5"/>
        <v>0</v>
      </c>
      <c r="O36" s="431">
        <f t="shared" si="6"/>
        <v>0</v>
      </c>
      <c r="P36" s="431">
        <f t="shared" si="7"/>
        <v>0</v>
      </c>
    </row>
    <row r="37" spans="1:17" ht="17.100000000000001" customHeight="1" thickBot="1">
      <c r="A37" s="453"/>
      <c r="B37" s="454"/>
      <c r="C37" s="454"/>
      <c r="D37" s="455"/>
      <c r="E37" s="454"/>
      <c r="F37" s="456"/>
      <c r="G37" s="454"/>
      <c r="H37" s="1478"/>
      <c r="I37" s="1479"/>
      <c r="J37" s="1478"/>
      <c r="K37" s="1480"/>
      <c r="L37" s="431">
        <f t="shared" si="3"/>
        <v>0</v>
      </c>
      <c r="M37" s="431">
        <f t="shared" si="4"/>
        <v>0</v>
      </c>
      <c r="N37" s="431">
        <f t="shared" si="5"/>
        <v>0</v>
      </c>
      <c r="O37" s="431">
        <f t="shared" si="6"/>
        <v>0</v>
      </c>
      <c r="P37" s="431">
        <f t="shared" si="7"/>
        <v>0</v>
      </c>
    </row>
    <row r="38" spans="1:17" s="459" customFormat="1" ht="20.100000000000001" customHeight="1">
      <c r="A38" s="1481"/>
      <c r="B38" s="1481"/>
      <c r="C38" s="1481"/>
      <c r="D38" s="1481"/>
      <c r="E38" s="1481"/>
      <c r="F38" s="1481"/>
      <c r="G38" s="1481"/>
      <c r="H38" s="1481"/>
      <c r="I38" s="1481"/>
      <c r="J38" s="1481"/>
      <c r="K38" s="1481"/>
      <c r="L38" s="457">
        <f>SUM(L10:L37)</f>
        <v>0</v>
      </c>
      <c r="M38" s="457">
        <f>SUM(M10:M37)</f>
        <v>0</v>
      </c>
      <c r="N38" s="457">
        <f>SUM(N10:N37)</f>
        <v>0</v>
      </c>
      <c r="O38" s="457">
        <f>SUM(O10:O37)</f>
        <v>0</v>
      </c>
      <c r="P38" s="457">
        <f>SUM(P10:P37)</f>
        <v>0</v>
      </c>
      <c r="Q38" s="458" t="s">
        <v>1253</v>
      </c>
    </row>
    <row r="39" spans="1:17" s="464" customFormat="1" ht="20.100000000000001" customHeight="1">
      <c r="A39" s="460"/>
      <c r="B39" s="1482" t="s">
        <v>1254</v>
      </c>
      <c r="C39" s="1482"/>
      <c r="D39" s="1482"/>
      <c r="E39" s="1482"/>
      <c r="F39" s="1482"/>
      <c r="G39" s="1482"/>
      <c r="H39" s="1482"/>
      <c r="I39" s="1482"/>
      <c r="J39" s="461" t="s">
        <v>1255</v>
      </c>
      <c r="K39" s="462">
        <f>O38+L39</f>
        <v>0</v>
      </c>
      <c r="L39" s="463">
        <f>L38*0.018</f>
        <v>0</v>
      </c>
      <c r="M39" s="463"/>
      <c r="N39" s="463"/>
      <c r="O39" s="463"/>
      <c r="P39" s="463"/>
    </row>
    <row r="40" spans="1:17" ht="21" customHeight="1">
      <c r="A40" s="1483" t="s">
        <v>1256</v>
      </c>
      <c r="B40" s="1483"/>
      <c r="C40" s="1483"/>
      <c r="D40" s="1483"/>
      <c r="E40" s="1483"/>
      <c r="F40" s="1483"/>
      <c r="G40" s="1483"/>
      <c r="H40" s="1483"/>
      <c r="I40" s="1483"/>
      <c r="J40" s="1483"/>
      <c r="K40" s="1483"/>
      <c r="L40" s="445" t="s">
        <v>1257</v>
      </c>
    </row>
    <row r="41" spans="1:17" ht="13.5" customHeight="1">
      <c r="A41" s="465"/>
      <c r="B41" s="466"/>
      <c r="C41" s="467"/>
      <c r="D41" s="467"/>
      <c r="E41" s="467"/>
      <c r="F41" s="468"/>
      <c r="G41" s="469"/>
      <c r="H41" s="468"/>
      <c r="I41" s="470"/>
      <c r="J41" s="470"/>
      <c r="K41" s="471"/>
    </row>
    <row r="42" spans="1:17" ht="18" customHeight="1">
      <c r="A42" s="472" t="s">
        <v>1258</v>
      </c>
      <c r="B42" s="1477" t="s">
        <v>1481</v>
      </c>
      <c r="C42" s="1477"/>
      <c r="D42" s="433"/>
      <c r="E42" s="473"/>
      <c r="F42" s="1455"/>
      <c r="G42" s="1455"/>
      <c r="H42" s="433"/>
      <c r="I42" s="470"/>
      <c r="J42" s="470"/>
    </row>
    <row r="43" spans="1:17" ht="20.25">
      <c r="A43" s="471"/>
      <c r="B43" s="471"/>
      <c r="C43" s="471"/>
      <c r="D43" s="471"/>
      <c r="E43" s="471"/>
      <c r="F43" s="471"/>
      <c r="G43" s="471"/>
      <c r="H43" s="471"/>
      <c r="I43" s="471"/>
      <c r="J43" s="471"/>
      <c r="K43" s="471"/>
    </row>
    <row r="44" spans="1:17" ht="20.25">
      <c r="A44" s="471"/>
      <c r="B44" s="471"/>
      <c r="C44" s="471"/>
      <c r="D44" s="471"/>
      <c r="E44" s="471"/>
      <c r="F44" s="471"/>
      <c r="G44" s="471"/>
      <c r="H44" s="471"/>
      <c r="I44" s="471"/>
      <c r="J44" s="471"/>
      <c r="K44" s="471"/>
    </row>
    <row r="45" spans="1:17" ht="20.25">
      <c r="A45" s="471"/>
      <c r="B45" s="471"/>
      <c r="C45" s="471"/>
      <c r="D45" s="471"/>
      <c r="E45" s="471"/>
      <c r="F45" s="471"/>
      <c r="G45" s="471"/>
      <c r="H45" s="471"/>
      <c r="I45" s="471"/>
      <c r="J45" s="471"/>
      <c r="K45" s="471"/>
    </row>
    <row r="46" spans="1:17" ht="20.25">
      <c r="A46" s="471"/>
      <c r="B46" s="471"/>
      <c r="C46" s="471"/>
      <c r="D46" s="471"/>
      <c r="E46" s="471"/>
      <c r="F46" s="471"/>
      <c r="G46" s="471"/>
      <c r="H46" s="471"/>
      <c r="I46" s="471"/>
      <c r="J46" s="471"/>
      <c r="K46" s="471"/>
    </row>
    <row r="47" spans="1:17" ht="20.25">
      <c r="A47" s="471"/>
      <c r="B47" s="471"/>
      <c r="C47" s="471"/>
      <c r="D47" s="471"/>
      <c r="E47" s="471"/>
      <c r="F47" s="471"/>
      <c r="G47" s="471"/>
      <c r="H47" s="471"/>
      <c r="I47" s="471"/>
      <c r="J47" s="471"/>
      <c r="K47" s="471"/>
    </row>
    <row r="48" spans="1:17" ht="20.25">
      <c r="A48" s="471"/>
      <c r="B48" s="471"/>
      <c r="C48" s="471"/>
      <c r="D48" s="471"/>
      <c r="E48" s="471"/>
      <c r="F48" s="471"/>
      <c r="G48" s="471"/>
      <c r="H48" s="471"/>
      <c r="I48" s="471"/>
      <c r="J48" s="471"/>
      <c r="K48" s="471"/>
    </row>
    <row r="49" spans="1:11" ht="20.25">
      <c r="A49" s="471"/>
      <c r="B49" s="471"/>
      <c r="C49" s="471"/>
      <c r="D49" s="471"/>
      <c r="E49" s="471"/>
      <c r="F49" s="471"/>
      <c r="G49" s="471"/>
      <c r="H49" s="471"/>
      <c r="I49" s="471"/>
      <c r="J49" s="471"/>
      <c r="K49" s="471"/>
    </row>
    <row r="50" spans="1:11" ht="20.25">
      <c r="A50" s="471"/>
      <c r="B50" s="471"/>
      <c r="C50" s="471"/>
      <c r="D50" s="471"/>
      <c r="E50" s="471"/>
      <c r="F50" s="471"/>
      <c r="G50" s="471"/>
      <c r="H50" s="471"/>
      <c r="I50" s="471"/>
      <c r="J50" s="471"/>
      <c r="K50" s="471"/>
    </row>
    <row r="51" spans="1:11" ht="20.25">
      <c r="A51" s="471"/>
      <c r="B51" s="471"/>
      <c r="C51" s="471"/>
      <c r="D51" s="471"/>
      <c r="E51" s="471"/>
      <c r="F51" s="471"/>
      <c r="G51" s="471"/>
      <c r="H51" s="471"/>
      <c r="I51" s="471"/>
      <c r="J51" s="471"/>
      <c r="K51" s="471"/>
    </row>
    <row r="52" spans="1:11" ht="20.25">
      <c r="A52" s="471"/>
      <c r="B52" s="471"/>
      <c r="C52" s="471"/>
      <c r="D52" s="471"/>
      <c r="E52" s="471"/>
      <c r="F52" s="471"/>
      <c r="G52" s="471"/>
      <c r="H52" s="471"/>
      <c r="I52" s="471"/>
      <c r="J52" s="471"/>
      <c r="K52" s="471"/>
    </row>
    <row r="53" spans="1:11" ht="20.25">
      <c r="A53" s="471"/>
      <c r="B53" s="471"/>
      <c r="C53" s="471"/>
      <c r="D53" s="471"/>
      <c r="E53" s="471"/>
      <c r="F53" s="471"/>
      <c r="G53" s="471"/>
      <c r="H53" s="471"/>
      <c r="I53" s="471"/>
      <c r="J53" s="471"/>
      <c r="K53" s="471"/>
    </row>
    <row r="54" spans="1:11" ht="20.25">
      <c r="A54" s="471"/>
      <c r="B54" s="471"/>
      <c r="C54" s="471"/>
      <c r="D54" s="471"/>
      <c r="E54" s="471"/>
      <c r="F54" s="471"/>
      <c r="G54" s="471"/>
      <c r="H54" s="471"/>
      <c r="I54" s="471"/>
      <c r="J54" s="471"/>
      <c r="K54" s="471"/>
    </row>
    <row r="55" spans="1:11" ht="20.25">
      <c r="A55" s="471"/>
      <c r="B55" s="471"/>
      <c r="C55" s="471"/>
      <c r="D55" s="471"/>
      <c r="E55" s="471"/>
      <c r="F55" s="471"/>
      <c r="G55" s="471"/>
      <c r="H55" s="471"/>
      <c r="I55" s="471"/>
      <c r="J55" s="471"/>
      <c r="K55" s="471"/>
    </row>
    <row r="56" spans="1:11" ht="20.25">
      <c r="A56" s="471"/>
      <c r="B56" s="471"/>
      <c r="C56" s="471"/>
      <c r="D56" s="471"/>
      <c r="E56" s="471"/>
      <c r="F56" s="471"/>
      <c r="G56" s="471"/>
      <c r="H56" s="471"/>
      <c r="I56" s="471"/>
      <c r="J56" s="471"/>
      <c r="K56" s="471"/>
    </row>
    <row r="57" spans="1:11" ht="20.25">
      <c r="A57" s="471"/>
      <c r="B57" s="471"/>
      <c r="C57" s="471"/>
      <c r="D57" s="471"/>
      <c r="E57" s="471"/>
      <c r="F57" s="471"/>
      <c r="G57" s="471"/>
      <c r="H57" s="471"/>
      <c r="I57" s="471"/>
      <c r="J57" s="471"/>
      <c r="K57" s="471"/>
    </row>
    <row r="58" spans="1:11" ht="20.25">
      <c r="A58" s="471"/>
      <c r="B58" s="471"/>
      <c r="C58" s="471"/>
      <c r="D58" s="471"/>
      <c r="E58" s="471"/>
      <c r="F58" s="471"/>
      <c r="G58" s="471"/>
      <c r="H58" s="471"/>
      <c r="I58" s="471"/>
      <c r="J58" s="471"/>
      <c r="K58" s="471"/>
    </row>
    <row r="59" spans="1:11" ht="20.25">
      <c r="A59" s="471"/>
      <c r="B59" s="471"/>
      <c r="C59" s="471"/>
      <c r="D59" s="471"/>
      <c r="E59" s="471"/>
      <c r="F59" s="471"/>
      <c r="G59" s="471"/>
      <c r="H59" s="471"/>
      <c r="I59" s="471"/>
      <c r="J59" s="471"/>
      <c r="K59" s="471"/>
    </row>
    <row r="60" spans="1:11" ht="20.25">
      <c r="A60" s="471"/>
      <c r="B60" s="471"/>
      <c r="C60" s="471"/>
      <c r="D60" s="471"/>
      <c r="E60" s="471"/>
      <c r="F60" s="471"/>
      <c r="G60" s="471"/>
      <c r="H60" s="471"/>
      <c r="I60" s="471"/>
      <c r="J60" s="471"/>
      <c r="K60" s="471"/>
    </row>
    <row r="61" spans="1:11" ht="20.25">
      <c r="A61" s="471"/>
      <c r="B61" s="471"/>
      <c r="C61" s="471"/>
      <c r="D61" s="471"/>
      <c r="E61" s="471"/>
      <c r="F61" s="471"/>
      <c r="G61" s="471"/>
      <c r="H61" s="471"/>
      <c r="I61" s="471"/>
      <c r="J61" s="471"/>
      <c r="K61" s="471"/>
    </row>
    <row r="62" spans="1:11" ht="20.25">
      <c r="A62" s="471"/>
      <c r="B62" s="471"/>
      <c r="C62" s="471"/>
      <c r="D62" s="471"/>
      <c r="E62" s="471"/>
      <c r="F62" s="471"/>
      <c r="G62" s="471"/>
      <c r="H62" s="471"/>
      <c r="I62" s="471"/>
      <c r="J62" s="471"/>
      <c r="K62" s="471"/>
    </row>
    <row r="63" spans="1:11" ht="20.25">
      <c r="A63" s="471"/>
      <c r="B63" s="471"/>
      <c r="C63" s="471"/>
      <c r="D63" s="471"/>
      <c r="E63" s="471"/>
      <c r="F63" s="471"/>
      <c r="G63" s="471"/>
      <c r="H63" s="471"/>
      <c r="I63" s="471"/>
      <c r="J63" s="471"/>
      <c r="K63" s="471"/>
    </row>
    <row r="64" spans="1:11" ht="20.25">
      <c r="A64" s="471"/>
      <c r="B64" s="471"/>
      <c r="C64" s="471"/>
      <c r="D64" s="471"/>
      <c r="E64" s="471"/>
      <c r="F64" s="471"/>
      <c r="G64" s="471"/>
      <c r="H64" s="471"/>
      <c r="I64" s="471"/>
      <c r="J64" s="471"/>
      <c r="K64" s="471"/>
    </row>
    <row r="65" spans="1:11" ht="20.25">
      <c r="A65" s="471"/>
      <c r="B65" s="471"/>
      <c r="C65" s="471"/>
      <c r="D65" s="471"/>
      <c r="E65" s="471"/>
      <c r="F65" s="471"/>
      <c r="G65" s="471"/>
      <c r="H65" s="471"/>
      <c r="I65" s="471"/>
      <c r="J65" s="471"/>
      <c r="K65" s="471"/>
    </row>
    <row r="66" spans="1:11" ht="20.25">
      <c r="A66" s="471"/>
      <c r="B66" s="471"/>
      <c r="C66" s="471"/>
      <c r="D66" s="471"/>
      <c r="E66" s="471"/>
      <c r="F66" s="471"/>
      <c r="G66" s="471"/>
      <c r="H66" s="471"/>
      <c r="I66" s="471"/>
      <c r="J66" s="471"/>
      <c r="K66" s="471"/>
    </row>
    <row r="67" spans="1:11" ht="20.25">
      <c r="A67" s="471"/>
      <c r="B67" s="471"/>
      <c r="C67" s="471"/>
      <c r="D67" s="471"/>
      <c r="E67" s="471"/>
      <c r="F67" s="471"/>
      <c r="G67" s="471"/>
      <c r="H67" s="471"/>
      <c r="I67" s="471"/>
      <c r="J67" s="471"/>
      <c r="K67" s="471"/>
    </row>
    <row r="68" spans="1:11" ht="20.25">
      <c r="A68" s="471"/>
      <c r="B68" s="471"/>
      <c r="C68" s="471"/>
      <c r="D68" s="471"/>
      <c r="E68" s="471"/>
      <c r="F68" s="471"/>
      <c r="G68" s="471"/>
      <c r="H68" s="471"/>
      <c r="I68" s="471"/>
      <c r="J68" s="471"/>
      <c r="K68" s="471"/>
    </row>
    <row r="69" spans="1:11" ht="20.25">
      <c r="A69" s="471"/>
      <c r="B69" s="471"/>
      <c r="C69" s="471"/>
      <c r="D69" s="471"/>
      <c r="E69" s="471"/>
      <c r="F69" s="471"/>
      <c r="G69" s="471"/>
      <c r="H69" s="471"/>
      <c r="I69" s="471"/>
      <c r="J69" s="471"/>
      <c r="K69" s="471"/>
    </row>
    <row r="70" spans="1:11" ht="20.25">
      <c r="A70" s="471"/>
      <c r="B70" s="471"/>
      <c r="C70" s="471"/>
      <c r="D70" s="471"/>
      <c r="E70" s="471"/>
      <c r="F70" s="471"/>
      <c r="G70" s="471"/>
      <c r="H70" s="471"/>
      <c r="I70" s="471"/>
      <c r="J70" s="471"/>
      <c r="K70" s="471"/>
    </row>
    <row r="71" spans="1:11" ht="20.25">
      <c r="A71" s="471"/>
      <c r="B71" s="471"/>
      <c r="C71" s="471"/>
      <c r="D71" s="471"/>
      <c r="E71" s="471"/>
      <c r="F71" s="471"/>
      <c r="G71" s="471"/>
      <c r="H71" s="471"/>
      <c r="I71" s="471"/>
      <c r="J71" s="471"/>
      <c r="K71" s="471"/>
    </row>
    <row r="72" spans="1:11" ht="20.25">
      <c r="A72" s="471"/>
      <c r="B72" s="471"/>
      <c r="C72" s="471"/>
      <c r="D72" s="471"/>
      <c r="E72" s="471"/>
      <c r="F72" s="471"/>
      <c r="G72" s="471"/>
      <c r="H72" s="471"/>
      <c r="I72" s="471"/>
      <c r="J72" s="471"/>
      <c r="K72" s="471"/>
    </row>
    <row r="73" spans="1:11" ht="20.25">
      <c r="A73" s="471"/>
      <c r="B73" s="471"/>
      <c r="C73" s="471"/>
      <c r="D73" s="471"/>
      <c r="E73" s="471"/>
      <c r="F73" s="471"/>
      <c r="G73" s="471"/>
      <c r="H73" s="471"/>
      <c r="I73" s="471"/>
      <c r="J73" s="471"/>
      <c r="K73" s="471"/>
    </row>
    <row r="74" spans="1:11" ht="20.25">
      <c r="A74" s="471"/>
      <c r="B74" s="471"/>
      <c r="C74" s="471"/>
      <c r="D74" s="471"/>
      <c r="E74" s="471"/>
      <c r="F74" s="471"/>
      <c r="G74" s="471"/>
      <c r="H74" s="471"/>
      <c r="I74" s="471"/>
      <c r="J74" s="471"/>
      <c r="K74" s="471"/>
    </row>
    <row r="75" spans="1:11" ht="20.25">
      <c r="A75" s="471"/>
      <c r="B75" s="471"/>
      <c r="C75" s="471"/>
      <c r="D75" s="471"/>
      <c r="E75" s="471"/>
      <c r="F75" s="471"/>
      <c r="G75" s="471"/>
      <c r="H75" s="471"/>
      <c r="I75" s="471"/>
      <c r="J75" s="471"/>
      <c r="K75" s="471"/>
    </row>
    <row r="76" spans="1:11" ht="20.25">
      <c r="A76" s="471"/>
      <c r="B76" s="471"/>
      <c r="C76" s="471"/>
      <c r="D76" s="471"/>
      <c r="E76" s="471"/>
      <c r="F76" s="471"/>
      <c r="G76" s="471"/>
      <c r="H76" s="471"/>
      <c r="I76" s="471"/>
      <c r="J76" s="471"/>
      <c r="K76" s="471"/>
    </row>
    <row r="77" spans="1:11" ht="20.25">
      <c r="A77" s="471"/>
      <c r="B77" s="471"/>
      <c r="C77" s="471"/>
      <c r="D77" s="471"/>
      <c r="E77" s="471"/>
      <c r="F77" s="471"/>
      <c r="G77" s="471"/>
      <c r="H77" s="471"/>
      <c r="I77" s="471"/>
      <c r="J77" s="471"/>
      <c r="K77" s="471"/>
    </row>
    <row r="78" spans="1:11" ht="20.25">
      <c r="A78" s="471"/>
      <c r="B78" s="471"/>
      <c r="C78" s="471"/>
      <c r="D78" s="471"/>
      <c r="E78" s="471"/>
      <c r="F78" s="471"/>
      <c r="G78" s="471"/>
      <c r="H78" s="471"/>
      <c r="I78" s="471"/>
      <c r="J78" s="471"/>
      <c r="K78" s="471"/>
    </row>
    <row r="79" spans="1:11" ht="20.25">
      <c r="A79" s="471"/>
      <c r="B79" s="471"/>
      <c r="C79" s="471"/>
      <c r="D79" s="471"/>
      <c r="E79" s="471"/>
      <c r="F79" s="471"/>
      <c r="G79" s="471"/>
      <c r="H79" s="471"/>
      <c r="I79" s="471"/>
      <c r="J79" s="471"/>
      <c r="K79" s="471"/>
    </row>
    <row r="80" spans="1:11" ht="20.25">
      <c r="A80" s="471"/>
      <c r="B80" s="471"/>
      <c r="C80" s="471"/>
      <c r="D80" s="471"/>
      <c r="E80" s="471"/>
      <c r="F80" s="471"/>
      <c r="G80" s="471"/>
      <c r="H80" s="471"/>
      <c r="I80" s="471"/>
      <c r="J80" s="471"/>
      <c r="K80" s="471"/>
    </row>
    <row r="81" spans="1:11" ht="20.25">
      <c r="A81" s="471"/>
      <c r="B81" s="471"/>
      <c r="C81" s="471"/>
      <c r="D81" s="471"/>
      <c r="E81" s="471"/>
      <c r="F81" s="471"/>
      <c r="G81" s="471"/>
      <c r="H81" s="471"/>
      <c r="I81" s="471"/>
      <c r="J81" s="471"/>
      <c r="K81" s="471"/>
    </row>
    <row r="82" spans="1:11" ht="20.25">
      <c r="A82" s="471"/>
      <c r="B82" s="471"/>
      <c r="C82" s="471"/>
      <c r="D82" s="471"/>
      <c r="E82" s="471"/>
      <c r="F82" s="471"/>
      <c r="G82" s="471"/>
      <c r="H82" s="471"/>
      <c r="I82" s="471"/>
      <c r="J82" s="471"/>
      <c r="K82" s="471"/>
    </row>
    <row r="83" spans="1:11" ht="20.25">
      <c r="A83" s="471"/>
      <c r="B83" s="471"/>
      <c r="C83" s="471"/>
      <c r="D83" s="471"/>
      <c r="E83" s="471"/>
      <c r="F83" s="471"/>
      <c r="G83" s="471"/>
      <c r="H83" s="471"/>
      <c r="I83" s="471"/>
      <c r="J83" s="471"/>
      <c r="K83" s="471"/>
    </row>
    <row r="84" spans="1:11" ht="20.25">
      <c r="A84" s="471"/>
      <c r="B84" s="471"/>
      <c r="C84" s="471"/>
      <c r="D84" s="471"/>
      <c r="E84" s="471"/>
      <c r="F84" s="471"/>
      <c r="G84" s="471"/>
      <c r="H84" s="471"/>
      <c r="I84" s="471"/>
      <c r="J84" s="471"/>
      <c r="K84" s="471"/>
    </row>
    <row r="85" spans="1:11" ht="20.25">
      <c r="A85" s="471"/>
      <c r="B85" s="471"/>
      <c r="C85" s="471"/>
      <c r="D85" s="471"/>
      <c r="E85" s="471"/>
      <c r="F85" s="471"/>
      <c r="G85" s="471"/>
      <c r="H85" s="471"/>
      <c r="I85" s="471"/>
      <c r="J85" s="471"/>
      <c r="K85" s="471"/>
    </row>
    <row r="86" spans="1:11" ht="20.25">
      <c r="A86" s="471"/>
      <c r="B86" s="471"/>
      <c r="C86" s="471"/>
      <c r="D86" s="471"/>
      <c r="E86" s="471"/>
      <c r="F86" s="471"/>
      <c r="G86" s="471"/>
      <c r="H86" s="471"/>
      <c r="I86" s="471"/>
      <c r="J86" s="471"/>
      <c r="K86" s="471"/>
    </row>
    <row r="87" spans="1:11" ht="20.25">
      <c r="A87" s="471"/>
      <c r="B87" s="471"/>
      <c r="C87" s="471"/>
      <c r="D87" s="471"/>
      <c r="E87" s="471"/>
      <c r="F87" s="471"/>
      <c r="G87" s="471"/>
      <c r="H87" s="471"/>
      <c r="I87" s="471"/>
      <c r="J87" s="471"/>
      <c r="K87" s="471"/>
    </row>
    <row r="88" spans="1:11" ht="20.25">
      <c r="A88" s="471"/>
      <c r="B88" s="471"/>
      <c r="C88" s="471"/>
      <c r="D88" s="471"/>
      <c r="E88" s="471"/>
      <c r="F88" s="471"/>
      <c r="G88" s="471"/>
      <c r="H88" s="471"/>
      <c r="I88" s="471"/>
      <c r="J88" s="471"/>
      <c r="K88" s="471"/>
    </row>
    <row r="89" spans="1:11" ht="20.25">
      <c r="A89" s="471"/>
      <c r="B89" s="471"/>
      <c r="C89" s="471"/>
      <c r="D89" s="471"/>
      <c r="E89" s="471"/>
      <c r="F89" s="471"/>
      <c r="G89" s="471"/>
      <c r="H89" s="471"/>
      <c r="I89" s="471"/>
      <c r="J89" s="471"/>
      <c r="K89" s="471"/>
    </row>
    <row r="90" spans="1:11" ht="20.25">
      <c r="A90" s="471"/>
      <c r="B90" s="471"/>
      <c r="C90" s="471"/>
      <c r="D90" s="471"/>
      <c r="E90" s="471"/>
      <c r="F90" s="471"/>
      <c r="G90" s="471"/>
      <c r="H90" s="471"/>
      <c r="I90" s="471"/>
      <c r="J90" s="471"/>
      <c r="K90" s="471"/>
    </row>
    <row r="91" spans="1:11" ht="20.25">
      <c r="A91" s="471"/>
      <c r="B91" s="471"/>
      <c r="C91" s="471"/>
      <c r="D91" s="471"/>
      <c r="E91" s="471"/>
      <c r="F91" s="471"/>
      <c r="G91" s="471"/>
      <c r="H91" s="471"/>
      <c r="I91" s="471"/>
      <c r="J91" s="471"/>
      <c r="K91" s="471"/>
    </row>
    <row r="92" spans="1:11" ht="20.25">
      <c r="A92" s="471"/>
      <c r="B92" s="471"/>
      <c r="C92" s="471"/>
      <c r="D92" s="471"/>
      <c r="E92" s="471"/>
      <c r="F92" s="471"/>
      <c r="G92" s="471"/>
      <c r="H92" s="471"/>
      <c r="I92" s="471"/>
      <c r="J92" s="471"/>
      <c r="K92" s="471"/>
    </row>
    <row r="93" spans="1:11" ht="20.25">
      <c r="A93" s="471"/>
      <c r="B93" s="471"/>
      <c r="C93" s="471"/>
      <c r="D93" s="471"/>
      <c r="E93" s="471"/>
      <c r="F93" s="471"/>
      <c r="G93" s="471"/>
      <c r="H93" s="471"/>
      <c r="I93" s="471"/>
      <c r="J93" s="471"/>
      <c r="K93" s="471"/>
    </row>
    <row r="94" spans="1:11" ht="20.25">
      <c r="A94" s="471"/>
      <c r="B94" s="471"/>
      <c r="C94" s="471"/>
      <c r="D94" s="471"/>
      <c r="E94" s="471"/>
      <c r="F94" s="471"/>
      <c r="G94" s="471"/>
      <c r="H94" s="471"/>
      <c r="I94" s="471"/>
      <c r="J94" s="471"/>
      <c r="K94" s="471"/>
    </row>
    <row r="95" spans="1:11" ht="20.25">
      <c r="A95" s="471"/>
      <c r="B95" s="471"/>
      <c r="C95" s="471"/>
      <c r="D95" s="471"/>
      <c r="E95" s="471"/>
      <c r="F95" s="471"/>
      <c r="G95" s="471"/>
      <c r="H95" s="471"/>
      <c r="I95" s="471"/>
      <c r="J95" s="471"/>
      <c r="K95" s="471"/>
    </row>
    <row r="96" spans="1:11" ht="20.25">
      <c r="A96" s="471"/>
      <c r="B96" s="471"/>
      <c r="C96" s="471"/>
      <c r="D96" s="471"/>
      <c r="E96" s="471"/>
      <c r="F96" s="471"/>
      <c r="G96" s="471"/>
      <c r="H96" s="471"/>
      <c r="I96" s="471"/>
      <c r="J96" s="471"/>
      <c r="K96" s="471"/>
    </row>
    <row r="97" spans="1:11" ht="20.25">
      <c r="A97" s="471"/>
      <c r="B97" s="471"/>
      <c r="C97" s="471"/>
      <c r="D97" s="471"/>
      <c r="E97" s="471"/>
      <c r="F97" s="471"/>
      <c r="G97" s="471"/>
      <c r="H97" s="471"/>
      <c r="I97" s="471"/>
      <c r="J97" s="471"/>
      <c r="K97" s="471"/>
    </row>
    <row r="98" spans="1:11" ht="20.25">
      <c r="A98" s="471"/>
      <c r="B98" s="471"/>
      <c r="C98" s="471"/>
      <c r="D98" s="471"/>
      <c r="E98" s="471"/>
      <c r="F98" s="471"/>
      <c r="G98" s="471"/>
      <c r="H98" s="471"/>
      <c r="I98" s="471"/>
      <c r="J98" s="471"/>
      <c r="K98" s="471"/>
    </row>
    <row r="99" spans="1:11" ht="20.25">
      <c r="A99" s="471"/>
      <c r="B99" s="471"/>
      <c r="C99" s="471"/>
      <c r="D99" s="471"/>
      <c r="E99" s="471"/>
      <c r="F99" s="471"/>
      <c r="G99" s="471"/>
      <c r="H99" s="471"/>
      <c r="I99" s="471"/>
      <c r="J99" s="471"/>
      <c r="K99" s="471"/>
    </row>
    <row r="100" spans="1:11" ht="20.25">
      <c r="A100" s="471"/>
      <c r="B100" s="471"/>
      <c r="C100" s="471"/>
      <c r="D100" s="471"/>
      <c r="E100" s="471"/>
      <c r="F100" s="471"/>
      <c r="G100" s="471"/>
      <c r="H100" s="471"/>
      <c r="I100" s="471"/>
      <c r="J100" s="471"/>
      <c r="K100" s="471"/>
    </row>
    <row r="101" spans="1:11" ht="20.25">
      <c r="A101" s="471"/>
      <c r="B101" s="471"/>
      <c r="C101" s="471"/>
      <c r="D101" s="471"/>
      <c r="E101" s="471"/>
      <c r="F101" s="471"/>
      <c r="G101" s="471"/>
      <c r="H101" s="471"/>
      <c r="I101" s="471"/>
      <c r="J101" s="471"/>
      <c r="K101" s="471"/>
    </row>
    <row r="102" spans="1:11" ht="20.25">
      <c r="A102" s="471"/>
      <c r="B102" s="471"/>
      <c r="C102" s="471"/>
      <c r="D102" s="471"/>
      <c r="E102" s="471"/>
      <c r="F102" s="471"/>
      <c r="G102" s="471"/>
      <c r="H102" s="471"/>
      <c r="I102" s="471"/>
      <c r="J102" s="471"/>
      <c r="K102" s="471"/>
    </row>
    <row r="103" spans="1:11" ht="20.25">
      <c r="A103" s="471"/>
      <c r="B103" s="471"/>
      <c r="C103" s="471"/>
      <c r="D103" s="471"/>
      <c r="E103" s="471"/>
      <c r="F103" s="471"/>
      <c r="G103" s="471"/>
      <c r="H103" s="471"/>
      <c r="I103" s="471"/>
      <c r="J103" s="471"/>
      <c r="K103" s="471"/>
    </row>
    <row r="104" spans="1:11" ht="20.25">
      <c r="A104" s="471"/>
      <c r="B104" s="471"/>
      <c r="C104" s="471"/>
      <c r="D104" s="471"/>
      <c r="E104" s="471"/>
      <c r="F104" s="471"/>
      <c r="G104" s="471"/>
      <c r="H104" s="471"/>
      <c r="I104" s="471"/>
      <c r="J104" s="471"/>
      <c r="K104" s="471"/>
    </row>
    <row r="105" spans="1:11" ht="20.25">
      <c r="A105" s="471"/>
      <c r="B105" s="471"/>
      <c r="C105" s="471"/>
      <c r="D105" s="471"/>
      <c r="E105" s="471"/>
      <c r="F105" s="471"/>
      <c r="G105" s="471"/>
      <c r="H105" s="471"/>
      <c r="I105" s="471"/>
      <c r="J105" s="471"/>
      <c r="K105" s="471"/>
    </row>
    <row r="106" spans="1:11" ht="20.25">
      <c r="A106" s="471"/>
      <c r="B106" s="471"/>
      <c r="C106" s="471"/>
      <c r="D106" s="471"/>
      <c r="E106" s="471"/>
      <c r="F106" s="471"/>
      <c r="G106" s="471"/>
      <c r="H106" s="471"/>
      <c r="I106" s="471"/>
      <c r="J106" s="471"/>
      <c r="K106" s="471"/>
    </row>
    <row r="107" spans="1:11" ht="20.25">
      <c r="A107" s="471"/>
      <c r="B107" s="471"/>
      <c r="C107" s="471"/>
      <c r="D107" s="471"/>
      <c r="E107" s="471"/>
      <c r="F107" s="471"/>
      <c r="G107" s="471"/>
      <c r="H107" s="471"/>
      <c r="I107" s="471"/>
      <c r="J107" s="471"/>
      <c r="K107" s="471"/>
    </row>
    <row r="108" spans="1:11" ht="20.25">
      <c r="A108" s="471"/>
      <c r="B108" s="471"/>
      <c r="C108" s="471"/>
      <c r="D108" s="471"/>
      <c r="E108" s="471"/>
      <c r="F108" s="471"/>
      <c r="G108" s="471"/>
      <c r="H108" s="471"/>
      <c r="I108" s="471"/>
      <c r="J108" s="471"/>
      <c r="K108" s="471"/>
    </row>
    <row r="109" spans="1:11" ht="20.25">
      <c r="A109" s="471"/>
      <c r="B109" s="471"/>
      <c r="C109" s="471"/>
      <c r="D109" s="471"/>
      <c r="E109" s="471"/>
      <c r="F109" s="471"/>
      <c r="G109" s="471"/>
      <c r="H109" s="471"/>
      <c r="I109" s="471"/>
      <c r="J109" s="471"/>
      <c r="K109" s="471"/>
    </row>
    <row r="110" spans="1:11" ht="20.25">
      <c r="A110" s="471"/>
      <c r="B110" s="471"/>
      <c r="C110" s="471"/>
      <c r="D110" s="471"/>
      <c r="E110" s="471"/>
      <c r="F110" s="471"/>
      <c r="G110" s="471"/>
      <c r="H110" s="471"/>
      <c r="I110" s="471"/>
      <c r="J110" s="471"/>
      <c r="K110" s="471"/>
    </row>
    <row r="111" spans="1:11" ht="20.25">
      <c r="A111" s="471"/>
      <c r="B111" s="471"/>
      <c r="C111" s="471"/>
      <c r="D111" s="471"/>
      <c r="E111" s="471"/>
      <c r="F111" s="471"/>
      <c r="G111" s="471"/>
      <c r="H111" s="471"/>
      <c r="I111" s="471"/>
      <c r="J111" s="471"/>
      <c r="K111" s="471"/>
    </row>
    <row r="112" spans="1:11" ht="20.25">
      <c r="A112" s="471"/>
      <c r="B112" s="471"/>
      <c r="C112" s="471"/>
      <c r="D112" s="471"/>
      <c r="E112" s="471"/>
      <c r="F112" s="471"/>
      <c r="G112" s="471"/>
      <c r="H112" s="471"/>
      <c r="I112" s="471"/>
      <c r="J112" s="471"/>
      <c r="K112" s="471"/>
    </row>
    <row r="113" spans="1:11" ht="20.25">
      <c r="A113" s="471"/>
      <c r="B113" s="471"/>
      <c r="C113" s="471"/>
      <c r="D113" s="471"/>
      <c r="E113" s="471"/>
      <c r="F113" s="471"/>
      <c r="G113" s="471"/>
      <c r="H113" s="471"/>
      <c r="I113" s="471"/>
      <c r="J113" s="471"/>
      <c r="K113" s="471"/>
    </row>
    <row r="114" spans="1:11" ht="20.25">
      <c r="A114" s="471"/>
      <c r="B114" s="471"/>
      <c r="C114" s="471"/>
      <c r="D114" s="471"/>
      <c r="E114" s="471"/>
      <c r="F114" s="471"/>
      <c r="G114" s="471"/>
      <c r="H114" s="471"/>
      <c r="I114" s="471"/>
      <c r="J114" s="471"/>
      <c r="K114" s="471"/>
    </row>
    <row r="115" spans="1:11" ht="20.25">
      <c r="A115" s="471"/>
      <c r="B115" s="471"/>
      <c r="C115" s="471"/>
      <c r="D115" s="471"/>
      <c r="E115" s="471"/>
      <c r="F115" s="471"/>
      <c r="G115" s="471"/>
      <c r="H115" s="471"/>
      <c r="I115" s="471"/>
      <c r="J115" s="471"/>
      <c r="K115" s="471"/>
    </row>
    <row r="116" spans="1:11" ht="20.25">
      <c r="A116" s="471"/>
      <c r="B116" s="471"/>
      <c r="C116" s="471"/>
      <c r="D116" s="471"/>
      <c r="E116" s="471"/>
      <c r="F116" s="471"/>
      <c r="G116" s="471"/>
      <c r="H116" s="471"/>
      <c r="I116" s="471"/>
      <c r="J116" s="471"/>
      <c r="K116" s="471"/>
    </row>
    <row r="117" spans="1:11" ht="20.25">
      <c r="A117" s="471"/>
      <c r="B117" s="471"/>
      <c r="C117" s="471"/>
      <c r="D117" s="471"/>
      <c r="E117" s="471"/>
      <c r="F117" s="471"/>
      <c r="G117" s="471"/>
      <c r="H117" s="471"/>
      <c r="I117" s="471"/>
      <c r="J117" s="471"/>
      <c r="K117" s="471"/>
    </row>
    <row r="118" spans="1:11" ht="20.25">
      <c r="A118" s="471"/>
      <c r="B118" s="471"/>
      <c r="C118" s="471"/>
      <c r="D118" s="471"/>
      <c r="E118" s="471"/>
      <c r="F118" s="471"/>
      <c r="G118" s="471"/>
      <c r="H118" s="471"/>
      <c r="I118" s="471"/>
      <c r="J118" s="471"/>
      <c r="K118" s="471"/>
    </row>
    <row r="119" spans="1:11" ht="20.25">
      <c r="A119" s="471"/>
      <c r="B119" s="471"/>
      <c r="C119" s="471"/>
      <c r="D119" s="471"/>
      <c r="E119" s="471"/>
      <c r="F119" s="471"/>
      <c r="G119" s="471"/>
      <c r="H119" s="471"/>
      <c r="I119" s="471"/>
      <c r="J119" s="471"/>
      <c r="K119" s="471"/>
    </row>
    <row r="120" spans="1:11" ht="20.25">
      <c r="A120" s="471"/>
      <c r="B120" s="471"/>
      <c r="C120" s="471"/>
      <c r="D120" s="471"/>
      <c r="E120" s="471"/>
      <c r="F120" s="471"/>
      <c r="G120" s="471"/>
      <c r="H120" s="471"/>
      <c r="I120" s="471"/>
      <c r="J120" s="471"/>
      <c r="K120" s="471"/>
    </row>
    <row r="121" spans="1:11" ht="20.25">
      <c r="A121" s="471"/>
      <c r="B121" s="471"/>
      <c r="C121" s="471"/>
      <c r="D121" s="471"/>
      <c r="E121" s="471"/>
      <c r="F121" s="471"/>
      <c r="G121" s="471"/>
      <c r="H121" s="471"/>
      <c r="I121" s="471"/>
      <c r="J121" s="471"/>
      <c r="K121" s="471"/>
    </row>
    <row r="122" spans="1:11" ht="20.25">
      <c r="A122" s="471"/>
      <c r="B122" s="471"/>
      <c r="C122" s="471"/>
      <c r="D122" s="471"/>
      <c r="E122" s="471"/>
      <c r="F122" s="471"/>
      <c r="G122" s="471"/>
      <c r="H122" s="471"/>
      <c r="I122" s="471"/>
      <c r="J122" s="471"/>
      <c r="K122" s="471"/>
    </row>
    <row r="123" spans="1:11" ht="20.25">
      <c r="A123" s="471"/>
      <c r="B123" s="471"/>
      <c r="C123" s="471"/>
      <c r="D123" s="471"/>
      <c r="E123" s="471"/>
      <c r="F123" s="471"/>
      <c r="G123" s="471"/>
      <c r="H123" s="471"/>
      <c r="I123" s="471"/>
      <c r="J123" s="471"/>
      <c r="K123" s="471"/>
    </row>
    <row r="124" spans="1:11" ht="20.25">
      <c r="A124" s="471"/>
      <c r="B124" s="471"/>
      <c r="C124" s="471"/>
      <c r="D124" s="471"/>
      <c r="E124" s="471"/>
      <c r="F124" s="471"/>
      <c r="G124" s="471"/>
      <c r="H124" s="471"/>
      <c r="I124" s="471"/>
      <c r="J124" s="471"/>
      <c r="K124" s="471"/>
    </row>
    <row r="125" spans="1:11" ht="20.25">
      <c r="A125" s="471"/>
      <c r="B125" s="471"/>
      <c r="C125" s="471"/>
      <c r="D125" s="471"/>
      <c r="E125" s="471"/>
      <c r="F125" s="471"/>
      <c r="G125" s="471"/>
      <c r="H125" s="471"/>
      <c r="I125" s="471"/>
      <c r="J125" s="471"/>
      <c r="K125" s="471"/>
    </row>
    <row r="126" spans="1:11" ht="20.25">
      <c r="A126" s="471"/>
      <c r="B126" s="471"/>
      <c r="C126" s="471"/>
      <c r="D126" s="471"/>
      <c r="E126" s="471"/>
      <c r="F126" s="471"/>
      <c r="G126" s="471"/>
      <c r="H126" s="471"/>
      <c r="I126" s="471"/>
      <c r="J126" s="471"/>
      <c r="K126" s="471"/>
    </row>
    <row r="127" spans="1:11" ht="20.25">
      <c r="A127" s="471"/>
      <c r="B127" s="471"/>
      <c r="C127" s="471"/>
      <c r="D127" s="471"/>
      <c r="E127" s="471"/>
      <c r="F127" s="471"/>
      <c r="G127" s="471"/>
      <c r="H127" s="471"/>
      <c r="I127" s="471"/>
      <c r="J127" s="471"/>
      <c r="K127" s="471"/>
    </row>
    <row r="128" spans="1:11" ht="20.25">
      <c r="A128" s="471"/>
      <c r="B128" s="471"/>
      <c r="C128" s="471"/>
      <c r="D128" s="471"/>
      <c r="E128" s="471"/>
      <c r="F128" s="471"/>
      <c r="G128" s="471"/>
      <c r="H128" s="471"/>
      <c r="I128" s="471"/>
      <c r="J128" s="471"/>
      <c r="K128" s="471"/>
    </row>
    <row r="129" spans="1:11" ht="20.25">
      <c r="A129" s="471"/>
      <c r="B129" s="471"/>
      <c r="C129" s="471"/>
      <c r="D129" s="471"/>
      <c r="E129" s="471"/>
      <c r="F129" s="471"/>
      <c r="G129" s="471"/>
      <c r="H129" s="471"/>
      <c r="I129" s="471"/>
      <c r="J129" s="471"/>
      <c r="K129" s="471"/>
    </row>
    <row r="130" spans="1:11" ht="20.25">
      <c r="A130" s="471"/>
      <c r="B130" s="471"/>
      <c r="C130" s="471"/>
      <c r="D130" s="471"/>
      <c r="E130" s="471"/>
      <c r="F130" s="471"/>
      <c r="G130" s="471"/>
      <c r="H130" s="471"/>
      <c r="I130" s="471"/>
      <c r="J130" s="471"/>
      <c r="K130" s="471"/>
    </row>
    <row r="131" spans="1:11" ht="20.25">
      <c r="A131" s="471"/>
      <c r="B131" s="471"/>
      <c r="C131" s="471"/>
      <c r="D131" s="471"/>
      <c r="E131" s="471"/>
      <c r="F131" s="471"/>
      <c r="G131" s="471"/>
      <c r="H131" s="471"/>
      <c r="I131" s="471"/>
      <c r="J131" s="471"/>
      <c r="K131" s="471"/>
    </row>
    <row r="132" spans="1:11" ht="20.25">
      <c r="A132" s="471"/>
      <c r="B132" s="471"/>
      <c r="C132" s="471"/>
      <c r="D132" s="471"/>
      <c r="E132" s="471"/>
      <c r="F132" s="471"/>
      <c r="G132" s="471"/>
      <c r="H132" s="471"/>
      <c r="I132" s="471"/>
      <c r="J132" s="471"/>
      <c r="K132" s="471"/>
    </row>
    <row r="133" spans="1:11" ht="20.25">
      <c r="A133" s="471"/>
      <c r="B133" s="471"/>
      <c r="C133" s="471"/>
      <c r="D133" s="471"/>
      <c r="E133" s="471"/>
      <c r="F133" s="471"/>
      <c r="G133" s="471"/>
      <c r="H133" s="471"/>
      <c r="I133" s="471"/>
      <c r="J133" s="471"/>
      <c r="K133" s="471"/>
    </row>
    <row r="134" spans="1:11" ht="20.25">
      <c r="A134" s="471"/>
      <c r="B134" s="471"/>
      <c r="C134" s="471"/>
      <c r="D134" s="471"/>
      <c r="E134" s="471"/>
      <c r="F134" s="471"/>
      <c r="G134" s="471"/>
      <c r="H134" s="471"/>
      <c r="I134" s="471"/>
      <c r="J134" s="471"/>
      <c r="K134" s="471"/>
    </row>
    <row r="135" spans="1:11" ht="20.25">
      <c r="A135" s="471"/>
      <c r="B135" s="471"/>
      <c r="C135" s="471"/>
      <c r="D135" s="471"/>
      <c r="E135" s="471"/>
      <c r="F135" s="471"/>
      <c r="G135" s="471"/>
      <c r="H135" s="471"/>
      <c r="I135" s="471"/>
      <c r="J135" s="471"/>
      <c r="K135" s="471"/>
    </row>
    <row r="136" spans="1:11" ht="20.25">
      <c r="A136" s="471"/>
      <c r="B136" s="471"/>
      <c r="C136" s="471"/>
      <c r="D136" s="471"/>
      <c r="E136" s="471"/>
      <c r="F136" s="471"/>
      <c r="G136" s="471"/>
      <c r="H136" s="471"/>
      <c r="I136" s="471"/>
      <c r="J136" s="471"/>
      <c r="K136" s="471"/>
    </row>
    <row r="137" spans="1:11" ht="20.25">
      <c r="A137" s="471"/>
      <c r="B137" s="471"/>
      <c r="C137" s="471"/>
      <c r="D137" s="471"/>
      <c r="E137" s="471"/>
      <c r="F137" s="471"/>
      <c r="G137" s="471"/>
      <c r="H137" s="471"/>
      <c r="I137" s="471"/>
      <c r="J137" s="471"/>
      <c r="K137" s="471"/>
    </row>
    <row r="138" spans="1:11" ht="20.25">
      <c r="A138" s="471"/>
      <c r="B138" s="471"/>
      <c r="C138" s="471"/>
      <c r="D138" s="471"/>
      <c r="E138" s="471"/>
      <c r="F138" s="471"/>
      <c r="G138" s="471"/>
      <c r="H138" s="471"/>
      <c r="I138" s="471"/>
      <c r="J138" s="471"/>
      <c r="K138" s="471"/>
    </row>
    <row r="139" spans="1:11" ht="20.25">
      <c r="A139" s="471"/>
      <c r="B139" s="471"/>
      <c r="C139" s="471"/>
      <c r="D139" s="471"/>
      <c r="E139" s="471"/>
      <c r="F139" s="471"/>
      <c r="G139" s="471"/>
      <c r="H139" s="471"/>
      <c r="I139" s="471"/>
      <c r="J139" s="471"/>
      <c r="K139" s="471"/>
    </row>
    <row r="140" spans="1:11" ht="20.25">
      <c r="A140" s="471"/>
      <c r="B140" s="471"/>
      <c r="C140" s="471"/>
      <c r="D140" s="471"/>
      <c r="E140" s="471"/>
      <c r="F140" s="471"/>
      <c r="G140" s="471"/>
      <c r="H140" s="471"/>
      <c r="I140" s="471"/>
      <c r="J140" s="471"/>
      <c r="K140" s="471"/>
    </row>
    <row r="141" spans="1:11" ht="20.25">
      <c r="A141" s="471"/>
      <c r="B141" s="471"/>
      <c r="C141" s="471"/>
      <c r="D141" s="471"/>
      <c r="E141" s="471"/>
      <c r="F141" s="471"/>
      <c r="G141" s="471"/>
      <c r="H141" s="471"/>
      <c r="I141" s="471"/>
      <c r="J141" s="471"/>
      <c r="K141" s="471"/>
    </row>
    <row r="142" spans="1:11" ht="20.25">
      <c r="A142" s="471"/>
      <c r="B142" s="471"/>
      <c r="C142" s="471"/>
      <c r="D142" s="471"/>
      <c r="E142" s="471"/>
      <c r="F142" s="471"/>
      <c r="G142" s="471"/>
      <c r="H142" s="471"/>
      <c r="I142" s="471"/>
      <c r="J142" s="471"/>
      <c r="K142" s="471"/>
    </row>
    <row r="143" spans="1:11" ht="20.25">
      <c r="A143" s="471"/>
      <c r="B143" s="471"/>
      <c r="C143" s="471"/>
      <c r="D143" s="471"/>
      <c r="E143" s="471"/>
      <c r="F143" s="471"/>
      <c r="G143" s="471"/>
      <c r="H143" s="471"/>
      <c r="I143" s="471"/>
      <c r="J143" s="471"/>
      <c r="K143" s="471"/>
    </row>
    <row r="144" spans="1:11" ht="20.25">
      <c r="A144" s="471"/>
      <c r="B144" s="471"/>
      <c r="C144" s="471"/>
      <c r="D144" s="471"/>
      <c r="E144" s="471"/>
      <c r="F144" s="471"/>
      <c r="G144" s="471"/>
      <c r="H144" s="471"/>
      <c r="I144" s="471"/>
      <c r="J144" s="471"/>
      <c r="K144" s="471"/>
    </row>
    <row r="145" spans="1:11" ht="20.25">
      <c r="A145" s="471"/>
      <c r="B145" s="471"/>
      <c r="C145" s="471"/>
      <c r="D145" s="471"/>
      <c r="E145" s="471"/>
      <c r="F145" s="471"/>
      <c r="G145" s="471"/>
      <c r="H145" s="471"/>
      <c r="I145" s="471"/>
      <c r="J145" s="471"/>
      <c r="K145" s="471"/>
    </row>
    <row r="146" spans="1:11" ht="20.25">
      <c r="A146" s="471"/>
      <c r="B146" s="471"/>
      <c r="C146" s="471"/>
      <c r="D146" s="471"/>
      <c r="E146" s="471"/>
      <c r="F146" s="471"/>
      <c r="G146" s="471"/>
      <c r="H146" s="471"/>
      <c r="I146" s="471"/>
      <c r="J146" s="471"/>
      <c r="K146" s="471"/>
    </row>
    <row r="147" spans="1:11" ht="20.25">
      <c r="A147" s="471"/>
      <c r="B147" s="471"/>
      <c r="C147" s="471"/>
      <c r="D147" s="471"/>
      <c r="E147" s="471"/>
      <c r="F147" s="471"/>
      <c r="G147" s="471"/>
      <c r="H147" s="471"/>
      <c r="I147" s="471"/>
      <c r="J147" s="471"/>
      <c r="K147" s="471"/>
    </row>
    <row r="148" spans="1:11" ht="20.25">
      <c r="A148" s="471"/>
      <c r="B148" s="471"/>
      <c r="C148" s="471"/>
      <c r="D148" s="471"/>
      <c r="E148" s="471"/>
      <c r="F148" s="471"/>
      <c r="G148" s="471"/>
      <c r="H148" s="471"/>
      <c r="I148" s="471"/>
      <c r="J148" s="471"/>
      <c r="K148" s="471"/>
    </row>
    <row r="149" spans="1:11" ht="20.25">
      <c r="A149" s="471"/>
      <c r="B149" s="471"/>
      <c r="C149" s="471"/>
      <c r="D149" s="471"/>
      <c r="E149" s="471"/>
      <c r="F149" s="471"/>
      <c r="G149" s="471"/>
      <c r="H149" s="471"/>
      <c r="I149" s="471"/>
      <c r="J149" s="471"/>
      <c r="K149" s="471"/>
    </row>
    <row r="150" spans="1:11" ht="20.25">
      <c r="A150" s="471"/>
      <c r="B150" s="471"/>
      <c r="C150" s="471"/>
      <c r="D150" s="471"/>
      <c r="E150" s="471"/>
      <c r="F150" s="471"/>
      <c r="G150" s="471"/>
      <c r="H150" s="471"/>
      <c r="I150" s="471"/>
      <c r="J150" s="471"/>
      <c r="K150" s="471"/>
    </row>
    <row r="151" spans="1:11" ht="20.25">
      <c r="A151" s="471"/>
      <c r="B151" s="471"/>
      <c r="C151" s="471"/>
      <c r="D151" s="471"/>
      <c r="E151" s="471"/>
      <c r="F151" s="471"/>
      <c r="G151" s="471"/>
      <c r="H151" s="471"/>
      <c r="I151" s="471"/>
      <c r="J151" s="471"/>
      <c r="K151" s="471"/>
    </row>
    <row r="152" spans="1:11" ht="20.25">
      <c r="A152" s="471"/>
      <c r="B152" s="471"/>
      <c r="C152" s="471"/>
      <c r="D152" s="471"/>
      <c r="E152" s="471"/>
      <c r="F152" s="471"/>
      <c r="G152" s="471"/>
      <c r="H152" s="471"/>
      <c r="I152" s="471"/>
      <c r="J152" s="471"/>
      <c r="K152" s="471"/>
    </row>
    <row r="153" spans="1:11" ht="20.25">
      <c r="A153" s="471"/>
      <c r="B153" s="471"/>
      <c r="C153" s="471"/>
      <c r="D153" s="471"/>
      <c r="E153" s="471"/>
      <c r="F153" s="471"/>
      <c r="G153" s="471"/>
      <c r="H153" s="471"/>
      <c r="I153" s="471"/>
      <c r="J153" s="471"/>
      <c r="K153" s="471"/>
    </row>
    <row r="154" spans="1:11" ht="20.25">
      <c r="A154" s="471"/>
      <c r="B154" s="471"/>
      <c r="C154" s="471"/>
      <c r="D154" s="471"/>
      <c r="E154" s="471"/>
      <c r="F154" s="471"/>
      <c r="G154" s="471"/>
      <c r="H154" s="471"/>
      <c r="I154" s="471"/>
      <c r="J154" s="471"/>
      <c r="K154" s="471"/>
    </row>
    <row r="155" spans="1:11" ht="20.25">
      <c r="A155" s="471"/>
      <c r="B155" s="471"/>
      <c r="C155" s="471"/>
      <c r="D155" s="471"/>
      <c r="E155" s="471"/>
      <c r="F155" s="471"/>
      <c r="G155" s="471"/>
      <c r="H155" s="471"/>
      <c r="I155" s="471"/>
      <c r="J155" s="471"/>
      <c r="K155" s="471"/>
    </row>
    <row r="156" spans="1:11" ht="20.25">
      <c r="A156" s="471"/>
      <c r="B156" s="471"/>
      <c r="C156" s="471"/>
      <c r="D156" s="471"/>
      <c r="E156" s="471"/>
      <c r="F156" s="471"/>
      <c r="G156" s="471"/>
      <c r="H156" s="471"/>
      <c r="I156" s="471"/>
      <c r="J156" s="471"/>
      <c r="K156" s="471"/>
    </row>
    <row r="157" spans="1:11" ht="20.25">
      <c r="A157" s="471"/>
      <c r="B157" s="471"/>
      <c r="C157" s="471"/>
      <c r="D157" s="471"/>
      <c r="E157" s="471"/>
      <c r="F157" s="471"/>
      <c r="G157" s="471"/>
      <c r="H157" s="471"/>
      <c r="I157" s="471"/>
      <c r="J157" s="471"/>
      <c r="K157" s="471"/>
    </row>
    <row r="158" spans="1:11" ht="20.25">
      <c r="A158" s="471"/>
      <c r="B158" s="471"/>
      <c r="C158" s="471"/>
      <c r="D158" s="471"/>
      <c r="E158" s="471"/>
      <c r="F158" s="471"/>
      <c r="G158" s="471"/>
      <c r="H158" s="471"/>
      <c r="I158" s="471"/>
      <c r="J158" s="471"/>
      <c r="K158" s="471"/>
    </row>
    <row r="159" spans="1:11" ht="20.25">
      <c r="A159" s="471"/>
      <c r="B159" s="471"/>
      <c r="C159" s="471"/>
      <c r="D159" s="471"/>
      <c r="E159" s="471"/>
      <c r="F159" s="471"/>
      <c r="G159" s="471"/>
      <c r="H159" s="471"/>
      <c r="I159" s="471"/>
      <c r="J159" s="471"/>
      <c r="K159" s="471"/>
    </row>
    <row r="160" spans="1:11" ht="20.25">
      <c r="A160" s="471"/>
      <c r="B160" s="471"/>
      <c r="C160" s="471"/>
      <c r="D160" s="471"/>
      <c r="E160" s="471"/>
      <c r="F160" s="471"/>
      <c r="G160" s="471"/>
      <c r="H160" s="471"/>
      <c r="I160" s="471"/>
      <c r="J160" s="471"/>
      <c r="K160" s="471"/>
    </row>
    <row r="161" spans="1:11" ht="20.25">
      <c r="A161" s="471"/>
      <c r="B161" s="471"/>
      <c r="C161" s="471"/>
      <c r="D161" s="471"/>
      <c r="E161" s="471"/>
      <c r="F161" s="471"/>
      <c r="G161" s="471"/>
      <c r="H161" s="471"/>
      <c r="I161" s="471"/>
      <c r="J161" s="471"/>
      <c r="K161" s="471"/>
    </row>
    <row r="162" spans="1:11" ht="20.25">
      <c r="A162" s="471"/>
      <c r="B162" s="471"/>
      <c r="C162" s="471"/>
      <c r="D162" s="471"/>
      <c r="E162" s="471"/>
      <c r="F162" s="471"/>
      <c r="G162" s="471"/>
      <c r="H162" s="471"/>
      <c r="I162" s="471"/>
      <c r="J162" s="471"/>
      <c r="K162" s="471"/>
    </row>
    <row r="163" spans="1:11" ht="20.25">
      <c r="A163" s="471"/>
      <c r="B163" s="471"/>
      <c r="C163" s="471"/>
      <c r="D163" s="471"/>
      <c r="E163" s="471"/>
      <c r="F163" s="471"/>
      <c r="G163" s="471"/>
      <c r="H163" s="471"/>
      <c r="I163" s="471"/>
      <c r="J163" s="471"/>
      <c r="K163" s="471"/>
    </row>
    <row r="164" spans="1:11" ht="20.25">
      <c r="A164" s="471"/>
      <c r="B164" s="471"/>
      <c r="C164" s="471"/>
      <c r="D164" s="471"/>
      <c r="E164" s="471"/>
      <c r="F164" s="471"/>
      <c r="G164" s="471"/>
      <c r="H164" s="471"/>
      <c r="I164" s="471"/>
      <c r="J164" s="471"/>
      <c r="K164" s="471"/>
    </row>
    <row r="165" spans="1:11" ht="20.25">
      <c r="A165" s="471"/>
      <c r="B165" s="471"/>
      <c r="C165" s="471"/>
      <c r="D165" s="471"/>
      <c r="E165" s="471"/>
      <c r="F165" s="471"/>
      <c r="G165" s="471"/>
      <c r="H165" s="471"/>
      <c r="I165" s="471"/>
      <c r="J165" s="471"/>
      <c r="K165" s="471"/>
    </row>
    <row r="166" spans="1:11" ht="20.25">
      <c r="A166" s="471"/>
      <c r="B166" s="471"/>
      <c r="C166" s="471"/>
      <c r="D166" s="471"/>
      <c r="E166" s="471"/>
      <c r="F166" s="471"/>
      <c r="G166" s="471"/>
      <c r="H166" s="471"/>
      <c r="I166" s="471"/>
      <c r="J166" s="471"/>
      <c r="K166" s="471"/>
    </row>
    <row r="167" spans="1:11" ht="20.25">
      <c r="A167" s="471"/>
      <c r="B167" s="471"/>
      <c r="C167" s="471"/>
      <c r="D167" s="471"/>
      <c r="E167" s="471"/>
      <c r="F167" s="471"/>
      <c r="G167" s="471"/>
      <c r="H167" s="471"/>
      <c r="I167" s="471"/>
      <c r="J167" s="471"/>
      <c r="K167" s="471"/>
    </row>
    <row r="168" spans="1:11" ht="20.25">
      <c r="A168" s="471"/>
      <c r="B168" s="471"/>
      <c r="C168" s="471"/>
      <c r="D168" s="471"/>
      <c r="E168" s="471"/>
      <c r="F168" s="471"/>
      <c r="G168" s="471"/>
      <c r="H168" s="471"/>
      <c r="I168" s="471"/>
      <c r="J168" s="471"/>
      <c r="K168" s="471"/>
    </row>
    <row r="169" spans="1:11" ht="20.25">
      <c r="A169" s="471"/>
      <c r="B169" s="471"/>
      <c r="C169" s="471"/>
      <c r="D169" s="471"/>
      <c r="E169" s="471"/>
      <c r="F169" s="471"/>
      <c r="G169" s="471"/>
      <c r="H169" s="471"/>
      <c r="I169" s="471"/>
      <c r="J169" s="471"/>
      <c r="K169" s="471"/>
    </row>
    <row r="170" spans="1:11" ht="20.25">
      <c r="A170" s="471"/>
      <c r="B170" s="471"/>
      <c r="C170" s="471"/>
      <c r="D170" s="471"/>
      <c r="E170" s="471"/>
      <c r="F170" s="471"/>
      <c r="G170" s="471"/>
      <c r="H170" s="471"/>
      <c r="I170" s="471"/>
      <c r="J170" s="471"/>
      <c r="K170" s="471"/>
    </row>
    <row r="171" spans="1:11" ht="20.25">
      <c r="A171" s="471"/>
      <c r="B171" s="471"/>
      <c r="C171" s="471"/>
      <c r="D171" s="471"/>
      <c r="E171" s="471"/>
      <c r="F171" s="471"/>
      <c r="G171" s="471"/>
      <c r="H171" s="471"/>
      <c r="I171" s="471"/>
      <c r="J171" s="471"/>
      <c r="K171" s="471"/>
    </row>
    <row r="172" spans="1:11" ht="20.25">
      <c r="A172" s="471"/>
      <c r="B172" s="471"/>
      <c r="C172" s="471"/>
      <c r="D172" s="471"/>
      <c r="E172" s="471"/>
      <c r="F172" s="471"/>
      <c r="G172" s="471"/>
      <c r="H172" s="471"/>
      <c r="I172" s="471"/>
      <c r="J172" s="471"/>
      <c r="K172" s="471"/>
    </row>
    <row r="173" spans="1:11" ht="20.25">
      <c r="A173" s="471"/>
      <c r="B173" s="471"/>
      <c r="C173" s="471"/>
      <c r="D173" s="471"/>
      <c r="E173" s="471"/>
      <c r="F173" s="471"/>
      <c r="G173" s="471"/>
      <c r="H173" s="471"/>
      <c r="I173" s="471"/>
      <c r="J173" s="471"/>
      <c r="K173" s="471"/>
    </row>
    <row r="174" spans="1:11" ht="20.25">
      <c r="A174" s="471"/>
      <c r="B174" s="471"/>
      <c r="C174" s="471"/>
      <c r="D174" s="471"/>
      <c r="E174" s="471"/>
      <c r="F174" s="471"/>
      <c r="G174" s="471"/>
      <c r="H174" s="471"/>
      <c r="I174" s="471"/>
      <c r="J174" s="471"/>
      <c r="K174" s="471"/>
    </row>
    <row r="175" spans="1:11" ht="20.25">
      <c r="A175" s="471"/>
      <c r="B175" s="471"/>
      <c r="C175" s="471"/>
      <c r="D175" s="471"/>
      <c r="E175" s="471"/>
      <c r="F175" s="471"/>
      <c r="G175" s="471"/>
      <c r="H175" s="471"/>
      <c r="I175" s="471"/>
      <c r="J175" s="471"/>
      <c r="K175" s="471"/>
    </row>
    <row r="176" spans="1:11" ht="20.25">
      <c r="A176" s="471"/>
      <c r="B176" s="471"/>
      <c r="C176" s="471"/>
      <c r="D176" s="471"/>
      <c r="E176" s="471"/>
      <c r="F176" s="471"/>
      <c r="G176" s="471"/>
      <c r="H176" s="471"/>
      <c r="I176" s="471"/>
      <c r="J176" s="471"/>
      <c r="K176" s="471"/>
    </row>
    <row r="177" spans="1:11" ht="20.25">
      <c r="A177" s="471"/>
      <c r="B177" s="471"/>
      <c r="C177" s="471"/>
      <c r="D177" s="471"/>
      <c r="E177" s="471"/>
      <c r="F177" s="471"/>
      <c r="G177" s="471"/>
      <c r="H177" s="471"/>
      <c r="I177" s="471"/>
      <c r="J177" s="471"/>
      <c r="K177" s="471"/>
    </row>
    <row r="178" spans="1:11" ht="20.25">
      <c r="A178" s="471"/>
      <c r="B178" s="471"/>
      <c r="C178" s="471"/>
      <c r="D178" s="471"/>
      <c r="E178" s="471"/>
      <c r="F178" s="471"/>
      <c r="G178" s="471"/>
      <c r="H178" s="471"/>
      <c r="I178" s="471"/>
      <c r="J178" s="471"/>
      <c r="K178" s="471"/>
    </row>
    <row r="179" spans="1:11" ht="20.25">
      <c r="A179" s="471"/>
      <c r="B179" s="471"/>
      <c r="C179" s="471"/>
      <c r="D179" s="471"/>
      <c r="E179" s="471"/>
      <c r="F179" s="471"/>
      <c r="G179" s="471"/>
      <c r="H179" s="471"/>
      <c r="I179" s="471"/>
      <c r="J179" s="471"/>
      <c r="K179" s="471"/>
    </row>
    <row r="180" spans="1:11" ht="20.25">
      <c r="A180" s="471"/>
      <c r="B180" s="471"/>
      <c r="C180" s="471"/>
      <c r="D180" s="471"/>
      <c r="E180" s="471"/>
      <c r="F180" s="471"/>
      <c r="G180" s="471"/>
      <c r="H180" s="471"/>
      <c r="I180" s="471"/>
      <c r="J180" s="471"/>
      <c r="K180" s="471"/>
    </row>
    <row r="181" spans="1:11" ht="20.25">
      <c r="A181" s="471"/>
      <c r="B181" s="471"/>
      <c r="C181" s="471"/>
      <c r="D181" s="471"/>
      <c r="E181" s="471"/>
      <c r="F181" s="471"/>
      <c r="G181" s="471"/>
      <c r="H181" s="471"/>
      <c r="I181" s="471"/>
      <c r="J181" s="471"/>
      <c r="K181" s="471"/>
    </row>
    <row r="182" spans="1:11" ht="20.25">
      <c r="A182" s="471"/>
      <c r="B182" s="471"/>
      <c r="C182" s="471"/>
      <c r="D182" s="471"/>
      <c r="E182" s="471"/>
      <c r="F182" s="471"/>
      <c r="G182" s="471"/>
      <c r="H182" s="471"/>
      <c r="I182" s="471"/>
      <c r="J182" s="471"/>
      <c r="K182" s="471"/>
    </row>
    <row r="183" spans="1:11" ht="20.25">
      <c r="A183" s="471"/>
      <c r="B183" s="471"/>
      <c r="C183" s="471"/>
      <c r="D183" s="471"/>
      <c r="E183" s="471"/>
      <c r="F183" s="471"/>
      <c r="G183" s="471"/>
      <c r="H183" s="471"/>
      <c r="I183" s="471"/>
      <c r="J183" s="471"/>
      <c r="K183" s="471"/>
    </row>
    <row r="184" spans="1:11" ht="20.25">
      <c r="A184" s="471"/>
      <c r="B184" s="471"/>
      <c r="C184" s="471"/>
      <c r="D184" s="471"/>
      <c r="E184" s="471"/>
      <c r="F184" s="471"/>
      <c r="G184" s="471"/>
      <c r="H184" s="471"/>
      <c r="I184" s="471"/>
      <c r="J184" s="471"/>
      <c r="K184" s="471"/>
    </row>
    <row r="185" spans="1:11" ht="20.25">
      <c r="A185" s="471"/>
      <c r="B185" s="471"/>
      <c r="C185" s="471"/>
      <c r="D185" s="471"/>
      <c r="E185" s="471"/>
      <c r="F185" s="471"/>
      <c r="G185" s="471"/>
      <c r="H185" s="471"/>
      <c r="I185" s="471"/>
      <c r="J185" s="471"/>
      <c r="K185" s="471"/>
    </row>
    <row r="186" spans="1:11" ht="20.25">
      <c r="A186" s="471"/>
      <c r="B186" s="471"/>
      <c r="C186" s="471"/>
      <c r="D186" s="471"/>
      <c r="E186" s="471"/>
      <c r="F186" s="471"/>
      <c r="G186" s="471"/>
      <c r="H186" s="471"/>
      <c r="I186" s="471"/>
      <c r="J186" s="471"/>
      <c r="K186" s="471"/>
    </row>
    <row r="187" spans="1:11" ht="20.25">
      <c r="A187" s="471"/>
      <c r="B187" s="471"/>
      <c r="C187" s="471"/>
      <c r="D187" s="471"/>
      <c r="E187" s="471"/>
      <c r="F187" s="471"/>
      <c r="G187" s="471"/>
      <c r="H187" s="471"/>
      <c r="I187" s="471"/>
      <c r="J187" s="471"/>
      <c r="K187" s="471"/>
    </row>
    <row r="188" spans="1:11" ht="20.25">
      <c r="A188" s="471"/>
      <c r="B188" s="471"/>
      <c r="C188" s="471"/>
      <c r="D188" s="471"/>
      <c r="E188" s="471"/>
      <c r="F188" s="471"/>
      <c r="G188" s="471"/>
      <c r="H188" s="471"/>
      <c r="I188" s="471"/>
      <c r="J188" s="471"/>
      <c r="K188" s="471"/>
    </row>
    <row r="189" spans="1:11" ht="20.25">
      <c r="A189" s="471"/>
      <c r="B189" s="471"/>
      <c r="C189" s="471"/>
      <c r="D189" s="471"/>
      <c r="E189" s="471"/>
      <c r="F189" s="471"/>
      <c r="G189" s="471"/>
      <c r="H189" s="471"/>
      <c r="I189" s="471"/>
      <c r="J189" s="471"/>
      <c r="K189" s="471"/>
    </row>
    <row r="190" spans="1:11" ht="20.25">
      <c r="A190" s="471"/>
      <c r="B190" s="471"/>
      <c r="C190" s="471"/>
      <c r="D190" s="471"/>
      <c r="E190" s="471"/>
      <c r="F190" s="471"/>
      <c r="G190" s="471"/>
      <c r="H190" s="471"/>
      <c r="I190" s="471"/>
      <c r="J190" s="471"/>
      <c r="K190" s="471"/>
    </row>
    <row r="191" spans="1:11" ht="20.25">
      <c r="A191" s="471"/>
      <c r="B191" s="471"/>
      <c r="C191" s="471"/>
      <c r="D191" s="471"/>
      <c r="E191" s="471"/>
      <c r="F191" s="471"/>
      <c r="G191" s="471"/>
      <c r="H191" s="471"/>
      <c r="I191" s="471"/>
      <c r="J191" s="471"/>
      <c r="K191" s="471"/>
    </row>
    <row r="192" spans="1:11" ht="20.25">
      <c r="A192" s="471"/>
      <c r="B192" s="471"/>
      <c r="C192" s="471"/>
      <c r="D192" s="471"/>
      <c r="E192" s="471"/>
      <c r="F192" s="471"/>
      <c r="G192" s="471"/>
      <c r="H192" s="471"/>
      <c r="I192" s="471"/>
      <c r="J192" s="471"/>
      <c r="K192" s="471"/>
    </row>
    <row r="193" spans="1:11" ht="20.25">
      <c r="A193" s="471"/>
      <c r="B193" s="471"/>
      <c r="C193" s="471"/>
      <c r="D193" s="471"/>
      <c r="E193" s="471"/>
      <c r="F193" s="471"/>
      <c r="G193" s="471"/>
      <c r="H193" s="471"/>
      <c r="I193" s="471"/>
      <c r="J193" s="471"/>
      <c r="K193" s="471"/>
    </row>
    <row r="194" spans="1:11" ht="20.25">
      <c r="A194" s="471"/>
      <c r="B194" s="471"/>
      <c r="C194" s="471"/>
      <c r="D194" s="471"/>
      <c r="E194" s="471"/>
      <c r="F194" s="471"/>
      <c r="G194" s="471"/>
      <c r="H194" s="471"/>
      <c r="I194" s="471"/>
      <c r="J194" s="471"/>
      <c r="K194" s="471"/>
    </row>
    <row r="195" spans="1:11" ht="20.25">
      <c r="A195" s="471"/>
      <c r="B195" s="471"/>
      <c r="C195" s="471"/>
      <c r="D195" s="471"/>
      <c r="E195" s="471"/>
      <c r="F195" s="471"/>
      <c r="G195" s="471"/>
      <c r="H195" s="471"/>
      <c r="I195" s="471"/>
      <c r="J195" s="471"/>
      <c r="K195" s="471"/>
    </row>
    <row r="196" spans="1:11" ht="20.25">
      <c r="A196" s="471"/>
      <c r="B196" s="471"/>
      <c r="C196" s="471"/>
      <c r="D196" s="471"/>
      <c r="E196" s="471"/>
      <c r="F196" s="471"/>
      <c r="G196" s="471"/>
      <c r="H196" s="471"/>
      <c r="I196" s="471"/>
      <c r="J196" s="471"/>
      <c r="K196" s="471"/>
    </row>
    <row r="197" spans="1:11" ht="20.25">
      <c r="A197" s="471"/>
      <c r="B197" s="471"/>
      <c r="C197" s="471"/>
      <c r="D197" s="471"/>
      <c r="E197" s="471"/>
      <c r="F197" s="471"/>
      <c r="G197" s="471"/>
      <c r="H197" s="471"/>
      <c r="I197" s="471"/>
      <c r="J197" s="471"/>
      <c r="K197" s="471"/>
    </row>
    <row r="198" spans="1:11" ht="20.25">
      <c r="A198" s="471"/>
      <c r="B198" s="471"/>
      <c r="C198" s="471"/>
      <c r="D198" s="471"/>
      <c r="E198" s="471"/>
      <c r="F198" s="471"/>
      <c r="G198" s="471"/>
      <c r="H198" s="471"/>
      <c r="I198" s="471"/>
      <c r="J198" s="471"/>
      <c r="K198" s="471"/>
    </row>
    <row r="199" spans="1:11" ht="20.25">
      <c r="A199" s="471"/>
      <c r="B199" s="471"/>
      <c r="C199" s="471"/>
      <c r="D199" s="471"/>
      <c r="E199" s="471"/>
      <c r="F199" s="471"/>
      <c r="G199" s="471"/>
      <c r="H199" s="471"/>
      <c r="I199" s="471"/>
      <c r="J199" s="471"/>
      <c r="K199" s="471"/>
    </row>
    <row r="200" spans="1:11" ht="20.25">
      <c r="A200" s="471"/>
      <c r="B200" s="471"/>
      <c r="C200" s="471"/>
      <c r="D200" s="471"/>
      <c r="E200" s="471"/>
      <c r="F200" s="471"/>
      <c r="G200" s="471"/>
      <c r="H200" s="471"/>
      <c r="I200" s="471"/>
      <c r="J200" s="471"/>
      <c r="K200" s="471"/>
    </row>
    <row r="201" spans="1:11" ht="20.25">
      <c r="A201" s="471"/>
      <c r="B201" s="471"/>
      <c r="C201" s="471"/>
      <c r="D201" s="471"/>
      <c r="E201" s="471"/>
      <c r="F201" s="471"/>
      <c r="G201" s="471"/>
      <c r="H201" s="471"/>
      <c r="I201" s="471"/>
      <c r="J201" s="471"/>
      <c r="K201" s="471"/>
    </row>
    <row r="202" spans="1:11" ht="20.25">
      <c r="A202" s="471"/>
      <c r="B202" s="471"/>
      <c r="C202" s="471"/>
      <c r="D202" s="471"/>
      <c r="E202" s="471"/>
      <c r="F202" s="471"/>
      <c r="G202" s="471"/>
      <c r="H202" s="471"/>
      <c r="I202" s="471"/>
      <c r="J202" s="471"/>
      <c r="K202" s="471"/>
    </row>
    <row r="203" spans="1:11" ht="20.25">
      <c r="A203" s="471"/>
      <c r="B203" s="471"/>
      <c r="C203" s="471"/>
      <c r="D203" s="471"/>
      <c r="E203" s="471"/>
      <c r="F203" s="471"/>
      <c r="G203" s="471"/>
      <c r="H203" s="471"/>
      <c r="I203" s="471"/>
      <c r="J203" s="471"/>
      <c r="K203" s="471"/>
    </row>
    <row r="204" spans="1:11" ht="20.25">
      <c r="A204" s="471"/>
      <c r="B204" s="471"/>
      <c r="C204" s="471"/>
      <c r="D204" s="471"/>
      <c r="E204" s="471"/>
      <c r="F204" s="471"/>
      <c r="G204" s="471"/>
      <c r="H204" s="471"/>
      <c r="I204" s="471"/>
      <c r="J204" s="471"/>
      <c r="K204" s="471"/>
    </row>
    <row r="205" spans="1:11" ht="20.25">
      <c r="A205" s="471"/>
      <c r="B205" s="471"/>
      <c r="C205" s="471"/>
      <c r="D205" s="471"/>
      <c r="E205" s="471"/>
      <c r="F205" s="471"/>
      <c r="G205" s="471"/>
      <c r="H205" s="471"/>
      <c r="I205" s="471"/>
      <c r="J205" s="471"/>
      <c r="K205" s="471"/>
    </row>
    <row r="206" spans="1:11" ht="20.25">
      <c r="A206" s="471"/>
      <c r="B206" s="471"/>
      <c r="C206" s="471"/>
      <c r="D206" s="471"/>
      <c r="E206" s="471"/>
      <c r="F206" s="471"/>
      <c r="G206" s="471"/>
      <c r="H206" s="471"/>
      <c r="I206" s="471"/>
      <c r="J206" s="471"/>
      <c r="K206" s="471"/>
    </row>
    <row r="207" spans="1:11" ht="20.25">
      <c r="A207" s="471"/>
      <c r="B207" s="471"/>
      <c r="C207" s="471"/>
      <c r="D207" s="471"/>
      <c r="E207" s="471"/>
      <c r="F207" s="471"/>
      <c r="G207" s="471"/>
      <c r="H207" s="471"/>
      <c r="I207" s="471"/>
      <c r="J207" s="471"/>
      <c r="K207" s="471"/>
    </row>
    <row r="208" spans="1:11" ht="20.25">
      <c r="A208" s="471"/>
      <c r="B208" s="471"/>
      <c r="C208" s="471"/>
      <c r="D208" s="471"/>
      <c r="E208" s="471"/>
      <c r="F208" s="471"/>
      <c r="G208" s="471"/>
      <c r="H208" s="471"/>
      <c r="I208" s="471"/>
      <c r="J208" s="471"/>
      <c r="K208" s="471"/>
    </row>
    <row r="209" spans="1:11" ht="20.25">
      <c r="A209" s="471"/>
      <c r="B209" s="471"/>
      <c r="C209" s="471"/>
      <c r="D209" s="471"/>
      <c r="E209" s="471"/>
      <c r="F209" s="471"/>
      <c r="G209" s="471"/>
      <c r="H209" s="471"/>
      <c r="I209" s="471"/>
      <c r="J209" s="471"/>
      <c r="K209" s="471"/>
    </row>
    <row r="210" spans="1:11" ht="20.25">
      <c r="A210" s="471"/>
      <c r="B210" s="471"/>
      <c r="C210" s="471"/>
      <c r="D210" s="471"/>
      <c r="E210" s="471"/>
      <c r="F210" s="471"/>
      <c r="G210" s="471"/>
      <c r="H210" s="471"/>
      <c r="I210" s="471"/>
      <c r="J210" s="471"/>
      <c r="K210" s="471"/>
    </row>
    <row r="211" spans="1:11" ht="20.25">
      <c r="A211" s="471"/>
      <c r="B211" s="471"/>
      <c r="C211" s="471"/>
      <c r="D211" s="471"/>
      <c r="E211" s="471"/>
      <c r="F211" s="471"/>
      <c r="G211" s="471"/>
      <c r="H211" s="471"/>
      <c r="I211" s="471"/>
      <c r="J211" s="471"/>
      <c r="K211" s="471"/>
    </row>
    <row r="212" spans="1:11" ht="20.25">
      <c r="A212" s="471"/>
      <c r="B212" s="471"/>
      <c r="C212" s="471"/>
      <c r="D212" s="471"/>
      <c r="E212" s="471"/>
      <c r="F212" s="471"/>
      <c r="G212" s="471"/>
      <c r="H212" s="471"/>
      <c r="I212" s="471"/>
      <c r="J212" s="471"/>
      <c r="K212" s="471"/>
    </row>
    <row r="213" spans="1:11" ht="20.25">
      <c r="A213" s="471"/>
      <c r="B213" s="471"/>
      <c r="C213" s="471"/>
      <c r="D213" s="471"/>
      <c r="E213" s="471"/>
      <c r="F213" s="471"/>
      <c r="G213" s="471"/>
      <c r="H213" s="471"/>
      <c r="I213" s="471"/>
      <c r="J213" s="471"/>
      <c r="K213" s="471"/>
    </row>
    <row r="214" spans="1:11" ht="20.25">
      <c r="A214" s="471"/>
      <c r="B214" s="471"/>
      <c r="C214" s="471"/>
      <c r="D214" s="471"/>
      <c r="E214" s="471"/>
      <c r="F214" s="471"/>
      <c r="G214" s="471"/>
      <c r="H214" s="471"/>
      <c r="I214" s="471"/>
      <c r="J214" s="471"/>
      <c r="K214" s="471"/>
    </row>
    <row r="215" spans="1:11" ht="20.25">
      <c r="A215" s="471"/>
      <c r="B215" s="471"/>
      <c r="C215" s="471"/>
      <c r="D215" s="471"/>
      <c r="E215" s="471"/>
      <c r="F215" s="471"/>
      <c r="G215" s="471"/>
      <c r="H215" s="471"/>
      <c r="I215" s="471"/>
      <c r="J215" s="471"/>
      <c r="K215" s="471"/>
    </row>
    <row r="216" spans="1:11" ht="20.25">
      <c r="A216" s="471"/>
      <c r="B216" s="471"/>
      <c r="C216" s="471"/>
      <c r="D216" s="471"/>
      <c r="E216" s="471"/>
      <c r="F216" s="471"/>
      <c r="G216" s="471"/>
      <c r="H216" s="471"/>
      <c r="I216" s="471"/>
      <c r="J216" s="471"/>
      <c r="K216" s="471"/>
    </row>
    <row r="217" spans="1:11" ht="20.25">
      <c r="A217" s="471"/>
      <c r="B217" s="471"/>
      <c r="C217" s="471"/>
      <c r="D217" s="471"/>
      <c r="E217" s="471"/>
      <c r="F217" s="471"/>
      <c r="G217" s="471"/>
      <c r="H217" s="471"/>
      <c r="I217" s="471"/>
      <c r="J217" s="471"/>
      <c r="K217" s="471"/>
    </row>
    <row r="218" spans="1:11" ht="20.25">
      <c r="A218" s="471"/>
      <c r="B218" s="471"/>
      <c r="C218" s="471"/>
      <c r="D218" s="471"/>
      <c r="E218" s="471"/>
      <c r="F218" s="471"/>
      <c r="G218" s="471"/>
      <c r="H218" s="471"/>
      <c r="I218" s="471"/>
      <c r="J218" s="471"/>
      <c r="K218" s="471"/>
    </row>
    <row r="219" spans="1:11" ht="20.25">
      <c r="A219" s="471"/>
      <c r="B219" s="471"/>
      <c r="C219" s="471"/>
      <c r="D219" s="471"/>
      <c r="E219" s="471"/>
      <c r="F219" s="471"/>
      <c r="G219" s="471"/>
      <c r="H219" s="471"/>
      <c r="I219" s="471"/>
      <c r="J219" s="471"/>
      <c r="K219" s="471"/>
    </row>
    <row r="220" spans="1:11" ht="20.25">
      <c r="A220" s="471"/>
      <c r="B220" s="471"/>
      <c r="C220" s="471"/>
      <c r="D220" s="471"/>
      <c r="E220" s="471"/>
      <c r="F220" s="471"/>
      <c r="G220" s="471"/>
      <c r="H220" s="471"/>
      <c r="I220" s="471"/>
      <c r="J220" s="471"/>
      <c r="K220" s="471"/>
    </row>
    <row r="221" spans="1:11" ht="20.25">
      <c r="A221" s="471"/>
      <c r="B221" s="471"/>
      <c r="C221" s="471"/>
      <c r="D221" s="471"/>
      <c r="E221" s="471"/>
      <c r="F221" s="471"/>
      <c r="G221" s="471"/>
      <c r="H221" s="471"/>
      <c r="I221" s="471"/>
      <c r="J221" s="471"/>
      <c r="K221" s="471"/>
    </row>
    <row r="222" spans="1:11" ht="20.25">
      <c r="A222" s="471"/>
      <c r="B222" s="471"/>
      <c r="C222" s="471"/>
      <c r="D222" s="471"/>
      <c r="E222" s="471"/>
      <c r="F222" s="471"/>
      <c r="G222" s="471"/>
      <c r="H222" s="471"/>
      <c r="I222" s="471"/>
      <c r="J222" s="471"/>
      <c r="K222" s="471"/>
    </row>
    <row r="223" spans="1:11" ht="20.25">
      <c r="A223" s="471"/>
      <c r="B223" s="471"/>
      <c r="C223" s="471"/>
      <c r="D223" s="471"/>
      <c r="E223" s="471"/>
      <c r="F223" s="471"/>
      <c r="G223" s="471"/>
      <c r="H223" s="471"/>
      <c r="I223" s="471"/>
      <c r="J223" s="471"/>
      <c r="K223" s="471"/>
    </row>
    <row r="224" spans="1:11" ht="20.25">
      <c r="A224" s="471"/>
      <c r="B224" s="471"/>
      <c r="C224" s="471"/>
      <c r="D224" s="471"/>
      <c r="E224" s="471"/>
      <c r="F224" s="471"/>
      <c r="G224" s="471"/>
      <c r="H224" s="471"/>
      <c r="I224" s="471"/>
      <c r="J224" s="471"/>
      <c r="K224" s="471"/>
    </row>
    <row r="225" spans="1:11" ht="20.25">
      <c r="A225" s="471"/>
      <c r="B225" s="471"/>
      <c r="C225" s="471"/>
      <c r="D225" s="471"/>
      <c r="E225" s="471"/>
      <c r="F225" s="471"/>
      <c r="G225" s="471"/>
      <c r="H225" s="471"/>
      <c r="I225" s="471"/>
      <c r="J225" s="471"/>
      <c r="K225" s="471"/>
    </row>
    <row r="226" spans="1:11" ht="20.25">
      <c r="A226" s="471"/>
      <c r="B226" s="471"/>
      <c r="C226" s="471"/>
      <c r="D226" s="471"/>
      <c r="E226" s="471"/>
      <c r="F226" s="471"/>
      <c r="G226" s="471"/>
      <c r="H226" s="471"/>
      <c r="I226" s="471"/>
      <c r="J226" s="471"/>
      <c r="K226" s="471"/>
    </row>
    <row r="227" spans="1:11" ht="20.25">
      <c r="A227" s="471"/>
      <c r="B227" s="471"/>
      <c r="C227" s="471"/>
      <c r="D227" s="471"/>
      <c r="E227" s="471"/>
      <c r="F227" s="471"/>
      <c r="G227" s="471"/>
      <c r="H227" s="471"/>
      <c r="I227" s="471"/>
      <c r="J227" s="471"/>
      <c r="K227" s="471"/>
    </row>
    <row r="228" spans="1:11" ht="20.25">
      <c r="A228" s="471"/>
      <c r="B228" s="471"/>
      <c r="C228" s="471"/>
      <c r="D228" s="471"/>
      <c r="E228" s="471"/>
      <c r="F228" s="471"/>
      <c r="G228" s="471"/>
      <c r="H228" s="471"/>
      <c r="I228" s="471"/>
      <c r="J228" s="471"/>
      <c r="K228" s="471"/>
    </row>
    <row r="229" spans="1:11" ht="20.25">
      <c r="A229" s="471"/>
      <c r="B229" s="471"/>
      <c r="C229" s="471"/>
      <c r="D229" s="471"/>
      <c r="E229" s="471"/>
      <c r="F229" s="471"/>
      <c r="G229" s="471"/>
      <c r="H229" s="471"/>
      <c r="I229" s="471"/>
      <c r="J229" s="471"/>
      <c r="K229" s="471"/>
    </row>
    <row r="230" spans="1:11" ht="20.25">
      <c r="A230" s="471"/>
      <c r="B230" s="471"/>
      <c r="C230" s="471"/>
      <c r="D230" s="471"/>
      <c r="E230" s="471"/>
      <c r="F230" s="471"/>
      <c r="G230" s="471"/>
      <c r="H230" s="471"/>
      <c r="I230" s="471"/>
      <c r="J230" s="471"/>
      <c r="K230" s="471"/>
    </row>
    <row r="231" spans="1:11" ht="20.25">
      <c r="A231" s="471"/>
      <c r="B231" s="471"/>
      <c r="C231" s="471"/>
      <c r="D231" s="471"/>
      <c r="E231" s="471"/>
      <c r="F231" s="471"/>
      <c r="G231" s="471"/>
      <c r="H231" s="471"/>
      <c r="I231" s="471"/>
      <c r="J231" s="471"/>
      <c r="K231" s="471"/>
    </row>
    <row r="232" spans="1:11" ht="20.25">
      <c r="A232" s="471"/>
      <c r="B232" s="471"/>
      <c r="C232" s="471"/>
      <c r="D232" s="471"/>
      <c r="E232" s="471"/>
      <c r="F232" s="471"/>
      <c r="G232" s="471"/>
      <c r="H232" s="471"/>
      <c r="I232" s="471"/>
      <c r="J232" s="471"/>
      <c r="K232" s="471"/>
    </row>
    <row r="233" spans="1:11" ht="20.25">
      <c r="A233" s="471"/>
      <c r="B233" s="471"/>
      <c r="C233" s="471"/>
      <c r="D233" s="471"/>
      <c r="E233" s="471"/>
      <c r="F233" s="471"/>
      <c r="G233" s="471"/>
      <c r="H233" s="471"/>
      <c r="I233" s="471"/>
      <c r="J233" s="471"/>
      <c r="K233" s="471"/>
    </row>
    <row r="234" spans="1:11" ht="20.25">
      <c r="A234" s="471"/>
      <c r="B234" s="471"/>
      <c r="C234" s="471"/>
      <c r="D234" s="471"/>
      <c r="E234" s="471"/>
      <c r="F234" s="471"/>
      <c r="G234" s="471"/>
      <c r="H234" s="471"/>
      <c r="I234" s="471"/>
      <c r="J234" s="471"/>
      <c r="K234" s="471"/>
    </row>
    <row r="235" spans="1:11" ht="20.25">
      <c r="A235" s="471"/>
      <c r="B235" s="471"/>
      <c r="C235" s="471"/>
      <c r="D235" s="471"/>
      <c r="E235" s="471"/>
      <c r="F235" s="471"/>
      <c r="G235" s="471"/>
      <c r="H235" s="471"/>
      <c r="I235" s="471"/>
      <c r="J235" s="471"/>
      <c r="K235" s="471"/>
    </row>
    <row r="236" spans="1:11" ht="20.25">
      <c r="A236" s="471"/>
      <c r="B236" s="471"/>
      <c r="C236" s="471"/>
      <c r="D236" s="471"/>
      <c r="E236" s="471"/>
      <c r="F236" s="471"/>
      <c r="G236" s="471"/>
      <c r="H236" s="471"/>
      <c r="I236" s="471"/>
      <c r="J236" s="471"/>
      <c r="K236" s="471"/>
    </row>
    <row r="237" spans="1:11" ht="20.25">
      <c r="A237" s="471"/>
      <c r="B237" s="471"/>
      <c r="C237" s="471"/>
      <c r="D237" s="471"/>
      <c r="E237" s="471"/>
      <c r="F237" s="471"/>
      <c r="G237" s="471"/>
      <c r="H237" s="471"/>
      <c r="I237" s="471"/>
      <c r="J237" s="471"/>
      <c r="K237" s="471"/>
    </row>
    <row r="238" spans="1:11" ht="20.25">
      <c r="A238" s="471"/>
      <c r="B238" s="471"/>
      <c r="C238" s="471"/>
      <c r="D238" s="471"/>
      <c r="E238" s="471"/>
      <c r="F238" s="471"/>
      <c r="G238" s="471"/>
      <c r="H238" s="471"/>
      <c r="I238" s="471"/>
      <c r="J238" s="471"/>
      <c r="K238" s="471"/>
    </row>
    <row r="239" spans="1:11" ht="20.25">
      <c r="A239" s="471"/>
      <c r="B239" s="471"/>
      <c r="C239" s="471"/>
      <c r="D239" s="471"/>
      <c r="E239" s="471"/>
      <c r="F239" s="471"/>
      <c r="G239" s="471"/>
      <c r="H239" s="471"/>
      <c r="I239" s="471"/>
      <c r="J239" s="471"/>
      <c r="K239" s="471"/>
    </row>
    <row r="240" spans="1:11" ht="20.25">
      <c r="A240" s="471"/>
      <c r="B240" s="471"/>
      <c r="C240" s="471"/>
      <c r="D240" s="471"/>
      <c r="E240" s="471"/>
      <c r="F240" s="471"/>
      <c r="G240" s="471"/>
      <c r="H240" s="471"/>
      <c r="I240" s="471"/>
      <c r="J240" s="471"/>
      <c r="K240" s="471"/>
    </row>
    <row r="241" spans="1:11" ht="20.25">
      <c r="A241" s="471"/>
      <c r="B241" s="471"/>
      <c r="C241" s="471"/>
      <c r="D241" s="471"/>
      <c r="E241" s="471"/>
      <c r="F241" s="471"/>
      <c r="G241" s="471"/>
      <c r="H241" s="471"/>
      <c r="I241" s="471"/>
      <c r="J241" s="471"/>
      <c r="K241" s="471"/>
    </row>
    <row r="242" spans="1:11" ht="20.25">
      <c r="A242" s="471"/>
      <c r="B242" s="471"/>
      <c r="C242" s="471"/>
      <c r="D242" s="471"/>
      <c r="E242" s="471"/>
      <c r="F242" s="471"/>
      <c r="G242" s="471"/>
      <c r="H242" s="471"/>
      <c r="I242" s="471"/>
      <c r="J242" s="471"/>
      <c r="K242" s="471"/>
    </row>
    <row r="243" spans="1:11" ht="20.25">
      <c r="A243" s="471"/>
      <c r="B243" s="471"/>
      <c r="C243" s="471"/>
      <c r="D243" s="471"/>
      <c r="E243" s="471"/>
      <c r="F243" s="471"/>
      <c r="G243" s="471"/>
      <c r="H243" s="471"/>
      <c r="I243" s="471"/>
      <c r="J243" s="471"/>
      <c r="K243" s="471"/>
    </row>
    <row r="244" spans="1:11" ht="20.25">
      <c r="A244" s="471"/>
      <c r="B244" s="471"/>
      <c r="C244" s="471"/>
      <c r="D244" s="471"/>
      <c r="E244" s="471"/>
      <c r="F244" s="471"/>
      <c r="G244" s="471"/>
      <c r="H244" s="471"/>
      <c r="I244" s="471"/>
      <c r="J244" s="471"/>
      <c r="K244" s="471"/>
    </row>
    <row r="245" spans="1:11" ht="20.25">
      <c r="A245" s="471"/>
      <c r="B245" s="471"/>
      <c r="C245" s="471"/>
      <c r="D245" s="471"/>
      <c r="E245" s="471"/>
      <c r="F245" s="471"/>
      <c r="G245" s="471"/>
      <c r="H245" s="471"/>
      <c r="I245" s="471"/>
      <c r="J245" s="471"/>
      <c r="K245" s="471"/>
    </row>
    <row r="246" spans="1:11" ht="20.25">
      <c r="A246" s="471"/>
      <c r="B246" s="471"/>
      <c r="C246" s="471"/>
      <c r="D246" s="471"/>
      <c r="E246" s="471"/>
      <c r="F246" s="471"/>
      <c r="G246" s="471"/>
      <c r="H246" s="471"/>
      <c r="I246" s="471"/>
      <c r="J246" s="471"/>
      <c r="K246" s="471"/>
    </row>
    <row r="247" spans="1:11" ht="20.25">
      <c r="A247" s="471"/>
      <c r="B247" s="471"/>
      <c r="C247" s="471"/>
      <c r="D247" s="471"/>
      <c r="E247" s="471"/>
      <c r="F247" s="471"/>
      <c r="G247" s="471"/>
      <c r="H247" s="471"/>
      <c r="I247" s="471"/>
      <c r="J247" s="471"/>
      <c r="K247" s="471"/>
    </row>
    <row r="248" spans="1:11" ht="20.25">
      <c r="A248" s="471"/>
      <c r="B248" s="471"/>
      <c r="C248" s="471"/>
      <c r="D248" s="471"/>
      <c r="E248" s="471"/>
      <c r="F248" s="471"/>
      <c r="G248" s="471"/>
      <c r="H248" s="471"/>
      <c r="I248" s="471"/>
      <c r="J248" s="471"/>
      <c r="K248" s="471"/>
    </row>
    <row r="249" spans="1:11" ht="20.25">
      <c r="A249" s="471"/>
      <c r="B249" s="471"/>
      <c r="C249" s="471"/>
      <c r="D249" s="471"/>
      <c r="E249" s="471"/>
      <c r="F249" s="471"/>
      <c r="G249" s="471"/>
      <c r="H249" s="471"/>
      <c r="I249" s="471"/>
      <c r="J249" s="471"/>
      <c r="K249" s="471"/>
    </row>
    <row r="250" spans="1:11" ht="20.25">
      <c r="A250" s="471"/>
      <c r="B250" s="471"/>
      <c r="C250" s="471"/>
      <c r="D250" s="471"/>
      <c r="E250" s="471"/>
      <c r="F250" s="471"/>
      <c r="G250" s="471"/>
      <c r="H250" s="471"/>
      <c r="I250" s="471"/>
      <c r="J250" s="471"/>
      <c r="K250" s="471"/>
    </row>
    <row r="251" spans="1:11" ht="20.25">
      <c r="A251" s="471"/>
      <c r="B251" s="471"/>
      <c r="C251" s="471"/>
      <c r="D251" s="471"/>
      <c r="E251" s="471"/>
      <c r="F251" s="471"/>
      <c r="G251" s="471"/>
      <c r="H251" s="471"/>
      <c r="I251" s="471"/>
      <c r="J251" s="471"/>
      <c r="K251" s="471"/>
    </row>
    <row r="252" spans="1:11" ht="20.25">
      <c r="A252" s="471"/>
      <c r="B252" s="471"/>
      <c r="C252" s="471"/>
      <c r="D252" s="471"/>
      <c r="E252" s="471"/>
      <c r="F252" s="471"/>
      <c r="G252" s="471"/>
      <c r="H252" s="471"/>
      <c r="I252" s="471"/>
      <c r="J252" s="471"/>
      <c r="K252" s="471"/>
    </row>
    <row r="253" spans="1:11" ht="20.25">
      <c r="A253" s="471"/>
      <c r="B253" s="471"/>
      <c r="C253" s="471"/>
      <c r="D253" s="471"/>
      <c r="E253" s="471"/>
      <c r="F253" s="471"/>
      <c r="G253" s="471"/>
      <c r="H253" s="471"/>
      <c r="I253" s="471"/>
      <c r="J253" s="471"/>
      <c r="K253" s="471"/>
    </row>
    <row r="254" spans="1:11" ht="20.25">
      <c r="A254" s="471"/>
      <c r="B254" s="471"/>
      <c r="C254" s="471"/>
      <c r="D254" s="471"/>
      <c r="E254" s="471"/>
      <c r="F254" s="471"/>
      <c r="G254" s="471"/>
      <c r="H254" s="471"/>
      <c r="I254" s="471"/>
      <c r="J254" s="471"/>
      <c r="K254" s="471"/>
    </row>
    <row r="255" spans="1:11" ht="20.25">
      <c r="A255" s="471"/>
      <c r="B255" s="471"/>
      <c r="C255" s="471"/>
      <c r="D255" s="471"/>
      <c r="E255" s="471"/>
      <c r="F255" s="471"/>
      <c r="G255" s="471"/>
      <c r="H255" s="471"/>
      <c r="I255" s="471"/>
      <c r="J255" s="471"/>
      <c r="K255" s="471"/>
    </row>
    <row r="256" spans="1:11" ht="20.25">
      <c r="A256" s="471"/>
      <c r="B256" s="471"/>
      <c r="C256" s="471"/>
      <c r="D256" s="471"/>
      <c r="E256" s="471"/>
      <c r="F256" s="471"/>
      <c r="G256" s="471"/>
      <c r="H256" s="471"/>
      <c r="I256" s="471"/>
      <c r="J256" s="471"/>
      <c r="K256" s="471"/>
    </row>
    <row r="257" spans="1:11" ht="20.25">
      <c r="A257" s="471"/>
      <c r="B257" s="471"/>
      <c r="C257" s="471"/>
      <c r="D257" s="471"/>
      <c r="E257" s="471"/>
      <c r="F257" s="471"/>
      <c r="G257" s="471"/>
      <c r="H257" s="471"/>
      <c r="I257" s="471"/>
      <c r="J257" s="471"/>
      <c r="K257" s="471"/>
    </row>
    <row r="258" spans="1:11" ht="20.25">
      <c r="A258" s="471"/>
      <c r="B258" s="471"/>
      <c r="C258" s="471"/>
      <c r="D258" s="471"/>
      <c r="E258" s="471"/>
      <c r="F258" s="471"/>
      <c r="G258" s="471"/>
      <c r="H258" s="471"/>
      <c r="I258" s="471"/>
      <c r="J258" s="471"/>
      <c r="K258" s="471"/>
    </row>
    <row r="259" spans="1:11" ht="20.25">
      <c r="A259" s="471"/>
      <c r="B259" s="471"/>
      <c r="C259" s="471"/>
      <c r="D259" s="471"/>
      <c r="E259" s="471"/>
      <c r="F259" s="471"/>
      <c r="G259" s="471"/>
      <c r="H259" s="471"/>
      <c r="I259" s="471"/>
      <c r="J259" s="471"/>
      <c r="K259" s="471"/>
    </row>
    <row r="260" spans="1:11" ht="20.25">
      <c r="A260" s="471"/>
      <c r="B260" s="471"/>
      <c r="C260" s="471"/>
      <c r="D260" s="471"/>
      <c r="E260" s="471"/>
      <c r="F260" s="471"/>
      <c r="G260" s="471"/>
      <c r="H260" s="471"/>
      <c r="I260" s="471"/>
      <c r="J260" s="471"/>
      <c r="K260" s="471"/>
    </row>
    <row r="261" spans="1:11" ht="20.25">
      <c r="A261" s="471"/>
      <c r="B261" s="471"/>
      <c r="C261" s="471"/>
      <c r="D261" s="471"/>
      <c r="E261" s="471"/>
      <c r="F261" s="471"/>
      <c r="G261" s="471"/>
      <c r="H261" s="471"/>
      <c r="I261" s="471"/>
      <c r="J261" s="471"/>
      <c r="K261" s="471"/>
    </row>
    <row r="262" spans="1:11" ht="20.25">
      <c r="A262" s="471"/>
      <c r="B262" s="471"/>
      <c r="C262" s="471"/>
      <c r="D262" s="471"/>
      <c r="E262" s="471"/>
      <c r="F262" s="471"/>
      <c r="G262" s="471"/>
      <c r="H262" s="471"/>
      <c r="I262" s="471"/>
      <c r="J262" s="471"/>
      <c r="K262" s="471"/>
    </row>
    <row r="263" spans="1:11" ht="20.25">
      <c r="A263" s="471"/>
      <c r="B263" s="471"/>
      <c r="C263" s="471"/>
      <c r="D263" s="471"/>
      <c r="E263" s="471"/>
      <c r="F263" s="471"/>
      <c r="G263" s="471"/>
      <c r="H263" s="471"/>
      <c r="I263" s="471"/>
      <c r="J263" s="471"/>
      <c r="K263" s="471"/>
    </row>
    <row r="264" spans="1:11" ht="20.25">
      <c r="A264" s="471"/>
      <c r="B264" s="471"/>
      <c r="C264" s="471"/>
      <c r="D264" s="471"/>
      <c r="E264" s="471"/>
      <c r="F264" s="471"/>
      <c r="G264" s="471"/>
      <c r="H264" s="471"/>
      <c r="I264" s="471"/>
      <c r="J264" s="471"/>
      <c r="K264" s="471"/>
    </row>
    <row r="265" spans="1:11" ht="20.25">
      <c r="A265" s="471"/>
      <c r="B265" s="471"/>
      <c r="C265" s="471"/>
      <c r="D265" s="471"/>
      <c r="E265" s="471"/>
      <c r="F265" s="471"/>
      <c r="G265" s="471"/>
      <c r="H265" s="471"/>
      <c r="I265" s="471"/>
      <c r="J265" s="471"/>
      <c r="K265" s="471"/>
    </row>
    <row r="266" spans="1:11" ht="20.25">
      <c r="A266" s="471"/>
      <c r="B266" s="471"/>
      <c r="C266" s="471"/>
      <c r="D266" s="471"/>
      <c r="E266" s="471"/>
      <c r="F266" s="471"/>
      <c r="G266" s="471"/>
      <c r="H266" s="471"/>
      <c r="I266" s="471"/>
      <c r="J266" s="471"/>
      <c r="K266" s="471"/>
    </row>
    <row r="267" spans="1:11" ht="20.25">
      <c r="A267" s="471"/>
      <c r="B267" s="471"/>
      <c r="C267" s="471"/>
      <c r="D267" s="471"/>
      <c r="E267" s="471"/>
      <c r="F267" s="471"/>
      <c r="G267" s="471"/>
      <c r="H267" s="471"/>
      <c r="I267" s="471"/>
      <c r="J267" s="471"/>
      <c r="K267" s="471"/>
    </row>
    <row r="268" spans="1:11" ht="20.25">
      <c r="A268" s="471"/>
      <c r="B268" s="471"/>
      <c r="C268" s="471"/>
      <c r="D268" s="471"/>
      <c r="E268" s="471"/>
      <c r="F268" s="471"/>
      <c r="G268" s="471"/>
      <c r="H268" s="471"/>
      <c r="I268" s="471"/>
      <c r="J268" s="471"/>
      <c r="K268" s="471"/>
    </row>
    <row r="269" spans="1:11" ht="20.25">
      <c r="A269" s="471"/>
      <c r="B269" s="471"/>
      <c r="C269" s="471"/>
      <c r="D269" s="471"/>
      <c r="E269" s="471"/>
      <c r="F269" s="471"/>
      <c r="G269" s="471"/>
      <c r="H269" s="471"/>
      <c r="I269" s="471"/>
      <c r="J269" s="471"/>
      <c r="K269" s="471"/>
    </row>
    <row r="270" spans="1:11" ht="20.25">
      <c r="A270" s="471"/>
      <c r="B270" s="471"/>
      <c r="C270" s="471"/>
      <c r="D270" s="471"/>
      <c r="E270" s="471"/>
      <c r="F270" s="471"/>
      <c r="G270" s="471"/>
      <c r="H270" s="471"/>
      <c r="I270" s="471"/>
      <c r="J270" s="471"/>
      <c r="K270" s="471"/>
    </row>
    <row r="271" spans="1:11" ht="20.25">
      <c r="A271" s="471"/>
      <c r="B271" s="471"/>
      <c r="C271" s="471"/>
      <c r="D271" s="471"/>
      <c r="E271" s="471"/>
      <c r="F271" s="471"/>
      <c r="G271" s="471"/>
      <c r="H271" s="471"/>
      <c r="I271" s="471"/>
      <c r="J271" s="471"/>
      <c r="K271" s="471"/>
    </row>
    <row r="272" spans="1:11" ht="20.25">
      <c r="A272" s="471"/>
      <c r="B272" s="471"/>
      <c r="C272" s="471"/>
      <c r="D272" s="471"/>
      <c r="E272" s="471"/>
      <c r="F272" s="471"/>
      <c r="G272" s="471"/>
      <c r="H272" s="471"/>
      <c r="I272" s="471"/>
      <c r="J272" s="471"/>
      <c r="K272" s="471"/>
    </row>
    <row r="273" spans="1:11" ht="20.25">
      <c r="A273" s="471"/>
      <c r="B273" s="471"/>
      <c r="C273" s="471"/>
      <c r="D273" s="471"/>
      <c r="E273" s="471"/>
      <c r="F273" s="471"/>
      <c r="G273" s="471"/>
      <c r="H273" s="471"/>
      <c r="I273" s="471"/>
      <c r="J273" s="471"/>
      <c r="K273" s="471"/>
    </row>
    <row r="274" spans="1:11" ht="20.25">
      <c r="A274" s="471"/>
      <c r="B274" s="471"/>
      <c r="C274" s="471"/>
      <c r="D274" s="471"/>
      <c r="E274" s="471"/>
      <c r="F274" s="471"/>
      <c r="G274" s="471"/>
      <c r="H274" s="471"/>
      <c r="I274" s="471"/>
      <c r="J274" s="471"/>
      <c r="K274" s="471"/>
    </row>
    <row r="275" spans="1:11" ht="20.25">
      <c r="A275" s="471"/>
      <c r="B275" s="471"/>
      <c r="C275" s="471"/>
      <c r="D275" s="471"/>
      <c r="E275" s="471"/>
      <c r="F275" s="471"/>
      <c r="G275" s="471"/>
      <c r="H275" s="471"/>
      <c r="I275" s="471"/>
      <c r="J275" s="471"/>
      <c r="K275" s="471"/>
    </row>
    <row r="276" spans="1:11" ht="20.25">
      <c r="A276" s="471"/>
      <c r="B276" s="471"/>
      <c r="C276" s="471"/>
      <c r="D276" s="471"/>
      <c r="E276" s="471"/>
      <c r="F276" s="471"/>
      <c r="G276" s="471"/>
      <c r="H276" s="471"/>
      <c r="I276" s="471"/>
      <c r="J276" s="471"/>
      <c r="K276" s="471"/>
    </row>
    <row r="277" spans="1:11" ht="20.25">
      <c r="A277" s="471"/>
      <c r="B277" s="471"/>
      <c r="C277" s="471"/>
      <c r="D277" s="471"/>
      <c r="E277" s="471"/>
      <c r="F277" s="471"/>
      <c r="G277" s="471"/>
      <c r="H277" s="471"/>
      <c r="I277" s="471"/>
      <c r="J277" s="471"/>
      <c r="K277" s="471"/>
    </row>
    <row r="278" spans="1:11" ht="20.25">
      <c r="A278" s="471"/>
      <c r="B278" s="471"/>
      <c r="C278" s="471"/>
      <c r="D278" s="471"/>
      <c r="E278" s="471"/>
      <c r="F278" s="471"/>
      <c r="G278" s="471"/>
      <c r="H278" s="471"/>
      <c r="I278" s="471"/>
      <c r="J278" s="471"/>
      <c r="K278" s="471"/>
    </row>
    <row r="279" spans="1:11" ht="20.25">
      <c r="A279" s="471"/>
      <c r="B279" s="471"/>
      <c r="C279" s="471"/>
      <c r="D279" s="471"/>
      <c r="E279" s="471"/>
      <c r="F279" s="471"/>
      <c r="G279" s="471"/>
      <c r="H279" s="471"/>
      <c r="I279" s="471"/>
      <c r="J279" s="471"/>
      <c r="K279" s="471"/>
    </row>
    <row r="280" spans="1:11" ht="20.25">
      <c r="A280" s="471"/>
      <c r="B280" s="471"/>
      <c r="C280" s="471"/>
      <c r="D280" s="471"/>
      <c r="E280" s="471"/>
      <c r="F280" s="471"/>
      <c r="G280" s="471"/>
      <c r="H280" s="471"/>
      <c r="I280" s="471"/>
      <c r="J280" s="471"/>
      <c r="K280" s="471"/>
    </row>
    <row r="281" spans="1:11" ht="20.25">
      <c r="A281" s="471"/>
      <c r="B281" s="471"/>
      <c r="C281" s="471"/>
      <c r="D281" s="471"/>
      <c r="E281" s="471"/>
      <c r="F281" s="471"/>
      <c r="G281" s="471"/>
      <c r="H281" s="471"/>
      <c r="I281" s="471"/>
      <c r="J281" s="471"/>
      <c r="K281" s="471"/>
    </row>
    <row r="282" spans="1:11" ht="20.25">
      <c r="A282" s="471"/>
      <c r="B282" s="471"/>
      <c r="C282" s="471"/>
      <c r="D282" s="471"/>
      <c r="E282" s="471"/>
      <c r="F282" s="471"/>
      <c r="G282" s="471"/>
      <c r="H282" s="471"/>
      <c r="I282" s="471"/>
      <c r="J282" s="471"/>
      <c r="K282" s="471"/>
    </row>
    <row r="283" spans="1:11" ht="20.25">
      <c r="A283" s="471"/>
      <c r="B283" s="471"/>
      <c r="C283" s="471"/>
      <c r="D283" s="471"/>
      <c r="E283" s="471"/>
      <c r="F283" s="471"/>
      <c r="G283" s="471"/>
      <c r="H283" s="471"/>
      <c r="I283" s="471"/>
      <c r="J283" s="471"/>
      <c r="K283" s="471"/>
    </row>
    <row r="284" spans="1:11" ht="20.25">
      <c r="A284" s="471"/>
      <c r="B284" s="471"/>
      <c r="C284" s="471"/>
      <c r="D284" s="471"/>
      <c r="E284" s="471"/>
      <c r="F284" s="471"/>
      <c r="G284" s="471"/>
      <c r="H284" s="471"/>
      <c r="I284" s="471"/>
      <c r="J284" s="471"/>
      <c r="K284" s="471"/>
    </row>
    <row r="285" spans="1:11" ht="20.25">
      <c r="A285" s="471"/>
      <c r="B285" s="471"/>
      <c r="C285" s="471"/>
      <c r="D285" s="471"/>
      <c r="E285" s="471"/>
      <c r="F285" s="471"/>
      <c r="G285" s="471"/>
      <c r="H285" s="471"/>
      <c r="I285" s="471"/>
      <c r="J285" s="471"/>
      <c r="K285" s="471"/>
    </row>
    <row r="286" spans="1:11" ht="20.25">
      <c r="A286" s="471"/>
      <c r="B286" s="471"/>
      <c r="C286" s="471"/>
      <c r="D286" s="471"/>
      <c r="E286" s="471"/>
      <c r="F286" s="471"/>
      <c r="G286" s="471"/>
      <c r="H286" s="471"/>
      <c r="I286" s="471"/>
      <c r="J286" s="471"/>
      <c r="K286" s="471"/>
    </row>
    <row r="287" spans="1:11" ht="20.25">
      <c r="A287" s="471"/>
      <c r="B287" s="471"/>
      <c r="C287" s="471"/>
      <c r="D287" s="471"/>
      <c r="E287" s="471"/>
      <c r="F287" s="471"/>
      <c r="G287" s="471"/>
      <c r="H287" s="471"/>
      <c r="I287" s="471"/>
      <c r="J287" s="471"/>
      <c r="K287" s="471"/>
    </row>
    <row r="288" spans="1:11" ht="20.25">
      <c r="A288" s="471"/>
      <c r="B288" s="471"/>
      <c r="C288" s="471"/>
      <c r="D288" s="471"/>
      <c r="E288" s="471"/>
      <c r="F288" s="471"/>
      <c r="G288" s="471"/>
      <c r="H288" s="471"/>
      <c r="I288" s="471"/>
      <c r="J288" s="471"/>
      <c r="K288" s="471"/>
    </row>
    <row r="289" spans="1:11" ht="20.25">
      <c r="A289" s="471"/>
      <c r="B289" s="471"/>
      <c r="C289" s="471"/>
      <c r="D289" s="471"/>
      <c r="E289" s="471"/>
      <c r="F289" s="471"/>
      <c r="G289" s="471"/>
      <c r="H289" s="471"/>
      <c r="I289" s="471"/>
      <c r="J289" s="471"/>
      <c r="K289" s="471"/>
    </row>
    <row r="290" spans="1:11" ht="20.25">
      <c r="A290" s="471"/>
      <c r="B290" s="471"/>
      <c r="C290" s="471"/>
      <c r="D290" s="471"/>
      <c r="E290" s="471"/>
      <c r="F290" s="471"/>
      <c r="G290" s="471"/>
      <c r="H290" s="471"/>
      <c r="I290" s="471"/>
      <c r="J290" s="471"/>
      <c r="K290" s="471"/>
    </row>
    <row r="291" spans="1:11" ht="20.25">
      <c r="A291" s="471"/>
      <c r="B291" s="471"/>
      <c r="C291" s="471"/>
      <c r="D291" s="471"/>
      <c r="E291" s="471"/>
      <c r="F291" s="471"/>
      <c r="G291" s="471"/>
      <c r="H291" s="471"/>
      <c r="I291" s="471"/>
      <c r="J291" s="471"/>
      <c r="K291" s="471"/>
    </row>
    <row r="292" spans="1:11" ht="20.25">
      <c r="A292" s="471"/>
      <c r="B292" s="471"/>
      <c r="C292" s="471"/>
      <c r="D292" s="471"/>
      <c r="E292" s="471"/>
      <c r="F292" s="471"/>
      <c r="G292" s="471"/>
      <c r="H292" s="471"/>
      <c r="I292" s="471"/>
      <c r="J292" s="471"/>
      <c r="K292" s="471"/>
    </row>
    <row r="293" spans="1:11" ht="20.25">
      <c r="A293" s="471"/>
      <c r="B293" s="471"/>
      <c r="C293" s="471"/>
      <c r="D293" s="471"/>
      <c r="E293" s="471"/>
      <c r="F293" s="471"/>
      <c r="G293" s="471"/>
      <c r="H293" s="471"/>
      <c r="I293" s="471"/>
      <c r="J293" s="471"/>
      <c r="K293" s="471"/>
    </row>
    <row r="294" spans="1:11" ht="20.25">
      <c r="A294" s="471"/>
      <c r="B294" s="471"/>
      <c r="C294" s="471"/>
      <c r="D294" s="471"/>
      <c r="E294" s="471"/>
      <c r="F294" s="471"/>
      <c r="G294" s="471"/>
      <c r="H294" s="471"/>
      <c r="I294" s="471"/>
      <c r="J294" s="471"/>
      <c r="K294" s="471"/>
    </row>
    <row r="295" spans="1:11" ht="20.25">
      <c r="A295" s="471"/>
      <c r="B295" s="471"/>
      <c r="C295" s="471"/>
      <c r="D295" s="471"/>
      <c r="E295" s="471"/>
      <c r="F295" s="471"/>
      <c r="G295" s="471"/>
      <c r="H295" s="471"/>
      <c r="I295" s="471"/>
      <c r="J295" s="471"/>
      <c r="K295" s="471"/>
    </row>
    <row r="296" spans="1:11" ht="20.25">
      <c r="A296" s="471"/>
      <c r="B296" s="471"/>
      <c r="C296" s="471"/>
      <c r="D296" s="471"/>
      <c r="E296" s="471"/>
      <c r="F296" s="471"/>
      <c r="G296" s="471"/>
      <c r="H296" s="471"/>
      <c r="I296" s="471"/>
      <c r="J296" s="471"/>
      <c r="K296" s="471"/>
    </row>
    <row r="297" spans="1:11" ht="20.25">
      <c r="A297" s="471"/>
      <c r="B297" s="471"/>
      <c r="C297" s="471"/>
      <c r="D297" s="471"/>
      <c r="E297" s="471"/>
      <c r="F297" s="471"/>
      <c r="G297" s="471"/>
      <c r="H297" s="471"/>
      <c r="I297" s="471"/>
      <c r="J297" s="471"/>
      <c r="K297" s="471"/>
    </row>
    <row r="298" spans="1:11" ht="20.25">
      <c r="A298" s="471"/>
      <c r="B298" s="471"/>
      <c r="C298" s="471"/>
      <c r="D298" s="471"/>
      <c r="E298" s="471"/>
      <c r="F298" s="471"/>
      <c r="G298" s="471"/>
      <c r="H298" s="471"/>
      <c r="I298" s="471"/>
      <c r="J298" s="471"/>
      <c r="K298" s="471"/>
    </row>
    <row r="299" spans="1:11" ht="20.25">
      <c r="A299" s="471"/>
      <c r="B299" s="471"/>
      <c r="C299" s="471"/>
      <c r="D299" s="471"/>
      <c r="E299" s="471"/>
      <c r="F299" s="471"/>
      <c r="G299" s="471"/>
      <c r="H299" s="471"/>
      <c r="I299" s="471"/>
      <c r="J299" s="471"/>
      <c r="K299" s="471"/>
    </row>
    <row r="300" spans="1:11" ht="20.25">
      <c r="A300" s="471"/>
      <c r="B300" s="471"/>
      <c r="C300" s="471"/>
      <c r="D300" s="471"/>
      <c r="E300" s="471"/>
      <c r="F300" s="471"/>
      <c r="G300" s="471"/>
      <c r="H300" s="471"/>
      <c r="I300" s="471"/>
      <c r="J300" s="471"/>
      <c r="K300" s="471"/>
    </row>
    <row r="301" spans="1:11" ht="20.25">
      <c r="A301" s="471"/>
      <c r="B301" s="471"/>
      <c r="C301" s="471"/>
      <c r="D301" s="471"/>
      <c r="E301" s="471"/>
      <c r="F301" s="471"/>
      <c r="G301" s="471"/>
      <c r="H301" s="471"/>
      <c r="I301" s="471"/>
      <c r="J301" s="471"/>
      <c r="K301" s="471"/>
    </row>
    <row r="302" spans="1:11" ht="20.25">
      <c r="A302" s="471"/>
      <c r="B302" s="471"/>
      <c r="C302" s="471"/>
      <c r="D302" s="471"/>
      <c r="E302" s="471"/>
      <c r="F302" s="471"/>
      <c r="G302" s="471"/>
      <c r="H302" s="471"/>
      <c r="I302" s="471"/>
      <c r="J302" s="471"/>
      <c r="K302" s="471"/>
    </row>
    <row r="303" spans="1:11" ht="20.25">
      <c r="A303" s="471"/>
      <c r="B303" s="471"/>
      <c r="C303" s="471"/>
      <c r="D303" s="471"/>
      <c r="E303" s="471"/>
      <c r="F303" s="471"/>
      <c r="G303" s="471"/>
      <c r="H303" s="471"/>
      <c r="I303" s="471"/>
      <c r="J303" s="471"/>
      <c r="K303" s="471"/>
    </row>
    <row r="304" spans="1:11" ht="20.25">
      <c r="A304" s="471"/>
      <c r="B304" s="471"/>
      <c r="C304" s="471"/>
      <c r="D304" s="471"/>
      <c r="E304" s="471"/>
      <c r="F304" s="471"/>
      <c r="G304" s="471"/>
      <c r="H304" s="471"/>
      <c r="I304" s="471"/>
      <c r="J304" s="471"/>
      <c r="K304" s="471"/>
    </row>
    <row r="305" spans="1:11" ht="20.25">
      <c r="A305" s="471"/>
      <c r="B305" s="471"/>
      <c r="C305" s="471"/>
      <c r="D305" s="471"/>
      <c r="E305" s="471"/>
      <c r="F305" s="471"/>
      <c r="G305" s="471"/>
      <c r="H305" s="471"/>
      <c r="I305" s="471"/>
      <c r="J305" s="471"/>
      <c r="K305" s="471"/>
    </row>
    <row r="306" spans="1:11" ht="20.25">
      <c r="A306" s="471"/>
      <c r="B306" s="471"/>
      <c r="C306" s="471"/>
      <c r="D306" s="471"/>
      <c r="E306" s="471"/>
      <c r="F306" s="471"/>
      <c r="G306" s="471"/>
      <c r="H306" s="471"/>
      <c r="I306" s="471"/>
      <c r="J306" s="471"/>
      <c r="K306" s="471"/>
    </row>
    <row r="307" spans="1:11" ht="20.25">
      <c r="A307" s="471"/>
      <c r="B307" s="471"/>
      <c r="C307" s="471"/>
      <c r="D307" s="471"/>
      <c r="E307" s="471"/>
      <c r="F307" s="471"/>
      <c r="G307" s="471"/>
      <c r="H307" s="471"/>
      <c r="I307" s="471"/>
      <c r="J307" s="471"/>
      <c r="K307" s="471"/>
    </row>
    <row r="308" spans="1:11" ht="20.25">
      <c r="A308" s="471"/>
      <c r="B308" s="471"/>
      <c r="C308" s="471"/>
      <c r="D308" s="471"/>
      <c r="E308" s="471"/>
      <c r="F308" s="471"/>
      <c r="G308" s="471"/>
      <c r="H308" s="471"/>
      <c r="I308" s="471"/>
      <c r="J308" s="471"/>
      <c r="K308" s="471"/>
    </row>
    <row r="309" spans="1:11" ht="20.25">
      <c r="A309" s="471"/>
      <c r="B309" s="471"/>
      <c r="C309" s="471"/>
      <c r="D309" s="471"/>
      <c r="E309" s="471"/>
      <c r="F309" s="471"/>
      <c r="G309" s="471"/>
      <c r="H309" s="471"/>
      <c r="I309" s="471"/>
      <c r="J309" s="471"/>
      <c r="K309" s="471"/>
    </row>
    <row r="310" spans="1:11" ht="20.25">
      <c r="A310" s="471"/>
      <c r="B310" s="471"/>
      <c r="C310" s="471"/>
      <c r="D310" s="471"/>
      <c r="E310" s="471"/>
      <c r="F310" s="471"/>
      <c r="G310" s="471"/>
      <c r="H310" s="471"/>
      <c r="I310" s="471"/>
      <c r="J310" s="471"/>
      <c r="K310" s="471"/>
    </row>
    <row r="311" spans="1:11" ht="20.25">
      <c r="A311" s="471"/>
      <c r="B311" s="471"/>
      <c r="C311" s="471"/>
      <c r="D311" s="471"/>
      <c r="E311" s="471"/>
      <c r="F311" s="471"/>
      <c r="G311" s="471"/>
      <c r="H311" s="471"/>
      <c r="I311" s="471"/>
      <c r="J311" s="471"/>
      <c r="K311" s="471"/>
    </row>
    <row r="312" spans="1:11" ht="20.25">
      <c r="A312" s="471"/>
      <c r="B312" s="471"/>
      <c r="C312" s="471"/>
      <c r="D312" s="471"/>
      <c r="E312" s="471"/>
      <c r="F312" s="471"/>
      <c r="G312" s="471"/>
      <c r="H312" s="471"/>
      <c r="I312" s="471"/>
      <c r="J312" s="471"/>
      <c r="K312" s="471"/>
    </row>
    <row r="313" spans="1:11" ht="20.25">
      <c r="A313" s="471"/>
      <c r="B313" s="471"/>
      <c r="C313" s="471"/>
      <c r="D313" s="471"/>
      <c r="E313" s="471"/>
      <c r="F313" s="471"/>
      <c r="G313" s="471"/>
      <c r="H313" s="471"/>
      <c r="I313" s="471"/>
      <c r="J313" s="471"/>
      <c r="K313" s="471"/>
    </row>
    <row r="314" spans="1:11" ht="20.25">
      <c r="A314" s="471"/>
      <c r="B314" s="471"/>
      <c r="C314" s="471"/>
      <c r="D314" s="471"/>
      <c r="E314" s="471"/>
      <c r="F314" s="471"/>
      <c r="G314" s="471"/>
      <c r="H314" s="471"/>
      <c r="I314" s="471"/>
      <c r="J314" s="471"/>
      <c r="K314" s="471"/>
    </row>
    <row r="315" spans="1:11" ht="20.25">
      <c r="A315" s="471"/>
      <c r="B315" s="471"/>
      <c r="C315" s="471"/>
      <c r="D315" s="471"/>
      <c r="E315" s="471"/>
      <c r="F315" s="471"/>
      <c r="G315" s="471"/>
      <c r="H315" s="471"/>
      <c r="I315" s="471"/>
      <c r="J315" s="471"/>
      <c r="K315" s="471"/>
    </row>
    <row r="316" spans="1:11" ht="20.25">
      <c r="A316" s="471"/>
      <c r="B316" s="471"/>
      <c r="C316" s="471"/>
      <c r="D316" s="471"/>
      <c r="E316" s="471"/>
      <c r="F316" s="471"/>
      <c r="G316" s="471"/>
      <c r="H316" s="471"/>
      <c r="I316" s="471"/>
      <c r="J316" s="471"/>
      <c r="K316" s="471"/>
    </row>
    <row r="317" spans="1:11" ht="20.25">
      <c r="A317" s="471"/>
      <c r="B317" s="471"/>
      <c r="C317" s="471"/>
      <c r="D317" s="471"/>
      <c r="E317" s="471"/>
      <c r="F317" s="471"/>
      <c r="G317" s="471"/>
      <c r="H317" s="471"/>
      <c r="I317" s="471"/>
      <c r="J317" s="471"/>
      <c r="K317" s="471"/>
    </row>
    <row r="318" spans="1:11" ht="20.25">
      <c r="A318" s="471"/>
      <c r="B318" s="471"/>
      <c r="C318" s="471"/>
      <c r="D318" s="471"/>
      <c r="E318" s="471"/>
      <c r="F318" s="471"/>
      <c r="G318" s="471"/>
      <c r="H318" s="471"/>
      <c r="I318" s="471"/>
      <c r="J318" s="471"/>
      <c r="K318" s="471"/>
    </row>
    <row r="319" spans="1:11" ht="20.25">
      <c r="A319" s="471"/>
      <c r="B319" s="471"/>
      <c r="C319" s="471"/>
      <c r="D319" s="471"/>
      <c r="E319" s="471"/>
      <c r="F319" s="471"/>
      <c r="G319" s="471"/>
      <c r="H319" s="471"/>
      <c r="I319" s="471"/>
      <c r="J319" s="471"/>
      <c r="K319" s="471"/>
    </row>
    <row r="320" spans="1:11" ht="20.25">
      <c r="A320" s="471"/>
      <c r="B320" s="471"/>
      <c r="C320" s="471"/>
      <c r="D320" s="471"/>
      <c r="E320" s="471"/>
      <c r="F320" s="471"/>
      <c r="G320" s="471"/>
      <c r="H320" s="471"/>
      <c r="I320" s="471"/>
      <c r="J320" s="471"/>
      <c r="K320" s="471"/>
    </row>
    <row r="321" spans="1:11" ht="20.25">
      <c r="A321" s="471"/>
      <c r="B321" s="471"/>
      <c r="C321" s="471"/>
      <c r="D321" s="471"/>
      <c r="E321" s="471"/>
      <c r="F321" s="471"/>
      <c r="G321" s="471"/>
      <c r="H321" s="471"/>
      <c r="I321" s="471"/>
      <c r="J321" s="471"/>
      <c r="K321" s="471"/>
    </row>
    <row r="322" spans="1:11" ht="20.25">
      <c r="A322" s="471"/>
      <c r="B322" s="471"/>
      <c r="C322" s="471"/>
      <c r="D322" s="471"/>
      <c r="E322" s="471"/>
      <c r="F322" s="471"/>
      <c r="G322" s="471"/>
      <c r="H322" s="471"/>
      <c r="I322" s="471"/>
      <c r="J322" s="471"/>
      <c r="K322" s="471"/>
    </row>
    <row r="323" spans="1:11" ht="20.25">
      <c r="A323" s="471"/>
      <c r="B323" s="471"/>
      <c r="C323" s="471"/>
      <c r="D323" s="471"/>
      <c r="E323" s="471"/>
      <c r="F323" s="471"/>
      <c r="G323" s="471"/>
      <c r="H323" s="471"/>
      <c r="I323" s="471"/>
      <c r="J323" s="471"/>
      <c r="K323" s="471"/>
    </row>
    <row r="324" spans="1:11" ht="20.25">
      <c r="A324" s="471"/>
      <c r="B324" s="471"/>
      <c r="C324" s="471"/>
      <c r="D324" s="471"/>
      <c r="E324" s="471"/>
      <c r="F324" s="471"/>
      <c r="G324" s="471"/>
      <c r="H324" s="471"/>
      <c r="I324" s="471"/>
      <c r="J324" s="471"/>
      <c r="K324" s="471"/>
    </row>
    <row r="325" spans="1:11" ht="20.25">
      <c r="A325" s="471"/>
      <c r="B325" s="471"/>
      <c r="C325" s="471"/>
      <c r="D325" s="471"/>
      <c r="E325" s="471"/>
      <c r="F325" s="471"/>
      <c r="G325" s="471"/>
      <c r="H325" s="471"/>
      <c r="I325" s="471"/>
      <c r="J325" s="471"/>
      <c r="K325" s="471"/>
    </row>
    <row r="326" spans="1:11" ht="20.25">
      <c r="A326" s="471"/>
      <c r="B326" s="471"/>
      <c r="C326" s="471"/>
      <c r="D326" s="471"/>
      <c r="E326" s="471"/>
      <c r="F326" s="471"/>
      <c r="G326" s="471"/>
      <c r="H326" s="471"/>
      <c r="I326" s="471"/>
      <c r="J326" s="471"/>
      <c r="K326" s="471"/>
    </row>
    <row r="327" spans="1:11" ht="20.25">
      <c r="A327" s="471"/>
      <c r="B327" s="471"/>
      <c r="C327" s="471"/>
      <c r="D327" s="471"/>
      <c r="E327" s="471"/>
      <c r="F327" s="471"/>
      <c r="G327" s="471"/>
      <c r="H327" s="471"/>
      <c r="I327" s="471"/>
      <c r="J327" s="471"/>
      <c r="K327" s="471"/>
    </row>
    <row r="328" spans="1:11" ht="20.25">
      <c r="A328" s="471"/>
      <c r="B328" s="471"/>
      <c r="C328" s="471"/>
      <c r="D328" s="471"/>
      <c r="E328" s="471"/>
      <c r="F328" s="471"/>
      <c r="G328" s="471"/>
      <c r="H328" s="471"/>
      <c r="I328" s="471"/>
      <c r="J328" s="471"/>
      <c r="K328" s="471"/>
    </row>
    <row r="329" spans="1:11" ht="20.25">
      <c r="A329" s="471"/>
      <c r="B329" s="471"/>
      <c r="C329" s="471"/>
      <c r="D329" s="471"/>
      <c r="E329" s="471"/>
      <c r="F329" s="471"/>
      <c r="G329" s="471"/>
      <c r="H329" s="471"/>
      <c r="I329" s="471"/>
      <c r="J329" s="471"/>
      <c r="K329" s="471"/>
    </row>
    <row r="330" spans="1:11" ht="20.25">
      <c r="A330" s="471"/>
      <c r="B330" s="471"/>
      <c r="C330" s="471"/>
      <c r="D330" s="471"/>
      <c r="E330" s="471"/>
      <c r="F330" s="471"/>
      <c r="G330" s="471"/>
      <c r="H330" s="471"/>
      <c r="I330" s="471"/>
      <c r="J330" s="471"/>
      <c r="K330" s="471"/>
    </row>
    <row r="331" spans="1:11" ht="20.25">
      <c r="A331" s="471"/>
      <c r="B331" s="471"/>
      <c r="C331" s="471"/>
      <c r="D331" s="471"/>
      <c r="E331" s="471"/>
      <c r="F331" s="471"/>
      <c r="G331" s="471"/>
      <c r="H331" s="471"/>
      <c r="I331" s="471"/>
      <c r="J331" s="471"/>
      <c r="K331" s="471"/>
    </row>
    <row r="332" spans="1:11" ht="20.25">
      <c r="A332" s="471"/>
      <c r="B332" s="471"/>
      <c r="C332" s="471"/>
      <c r="D332" s="471"/>
      <c r="E332" s="471"/>
      <c r="F332" s="471"/>
      <c r="G332" s="471"/>
      <c r="H332" s="471"/>
      <c r="I332" s="471"/>
      <c r="J332" s="471"/>
      <c r="K332" s="471"/>
    </row>
    <row r="333" spans="1:11" ht="20.25">
      <c r="A333" s="471"/>
      <c r="B333" s="471"/>
      <c r="C333" s="471"/>
      <c r="D333" s="471"/>
      <c r="E333" s="471"/>
      <c r="F333" s="471"/>
      <c r="G333" s="471"/>
      <c r="H333" s="471"/>
      <c r="I333" s="471"/>
      <c r="J333" s="471"/>
      <c r="K333" s="471"/>
    </row>
    <row r="334" spans="1:11" ht="20.25">
      <c r="A334" s="471"/>
      <c r="B334" s="471"/>
      <c r="C334" s="471"/>
      <c r="D334" s="471"/>
      <c r="E334" s="471"/>
      <c r="F334" s="471"/>
      <c r="G334" s="471"/>
      <c r="H334" s="471"/>
      <c r="I334" s="471"/>
      <c r="J334" s="471"/>
      <c r="K334" s="471"/>
    </row>
    <row r="335" spans="1:11" ht="20.25">
      <c r="A335" s="471"/>
      <c r="B335" s="471"/>
      <c r="C335" s="471"/>
      <c r="D335" s="471"/>
      <c r="E335" s="471"/>
      <c r="F335" s="471"/>
      <c r="G335" s="471"/>
      <c r="H335" s="471"/>
      <c r="I335" s="471"/>
      <c r="J335" s="471"/>
      <c r="K335" s="471"/>
    </row>
    <row r="336" spans="1:11" ht="20.25">
      <c r="A336" s="471"/>
      <c r="B336" s="471"/>
      <c r="C336" s="471"/>
      <c r="D336" s="471"/>
      <c r="E336" s="471"/>
      <c r="F336" s="471"/>
      <c r="G336" s="471"/>
      <c r="H336" s="471"/>
      <c r="I336" s="471"/>
      <c r="J336" s="471"/>
      <c r="K336" s="471"/>
    </row>
    <row r="337" spans="1:11" ht="20.25">
      <c r="A337" s="471"/>
      <c r="B337" s="471"/>
      <c r="C337" s="471"/>
      <c r="D337" s="471"/>
      <c r="E337" s="471"/>
      <c r="F337" s="471"/>
      <c r="G337" s="471"/>
      <c r="H337" s="471"/>
      <c r="I337" s="471"/>
      <c r="J337" s="471"/>
      <c r="K337" s="471"/>
    </row>
    <row r="338" spans="1:11" ht="20.25">
      <c r="A338" s="471"/>
      <c r="B338" s="471"/>
      <c r="C338" s="471"/>
      <c r="D338" s="471"/>
      <c r="E338" s="471"/>
      <c r="F338" s="471"/>
      <c r="G338" s="471"/>
      <c r="H338" s="471"/>
      <c r="I338" s="471"/>
      <c r="J338" s="471"/>
      <c r="K338" s="471"/>
    </row>
    <row r="339" spans="1:11" ht="20.25">
      <c r="A339" s="471"/>
      <c r="B339" s="471"/>
      <c r="C339" s="471"/>
      <c r="D339" s="471"/>
      <c r="E339" s="471"/>
      <c r="F339" s="471"/>
      <c r="G339" s="471"/>
      <c r="H339" s="471"/>
      <c r="I339" s="471"/>
      <c r="J339" s="471"/>
      <c r="K339" s="471"/>
    </row>
    <row r="340" spans="1:11" ht="20.25">
      <c r="A340" s="471"/>
      <c r="B340" s="471"/>
      <c r="C340" s="471"/>
      <c r="D340" s="471"/>
      <c r="E340" s="471"/>
      <c r="F340" s="471"/>
      <c r="G340" s="471"/>
      <c r="H340" s="471"/>
      <c r="I340" s="471"/>
      <c r="J340" s="471"/>
      <c r="K340" s="471"/>
    </row>
    <row r="341" spans="1:11" ht="20.25">
      <c r="A341" s="471"/>
      <c r="B341" s="471"/>
      <c r="C341" s="471"/>
      <c r="D341" s="471"/>
      <c r="E341" s="471"/>
      <c r="F341" s="471"/>
      <c r="G341" s="471"/>
      <c r="H341" s="471"/>
      <c r="I341" s="471"/>
      <c r="J341" s="471"/>
      <c r="K341" s="471"/>
    </row>
    <row r="342" spans="1:11" ht="20.25">
      <c r="A342" s="471"/>
      <c r="B342" s="471"/>
      <c r="C342" s="471"/>
      <c r="D342" s="471"/>
      <c r="E342" s="471"/>
      <c r="F342" s="471"/>
      <c r="G342" s="471"/>
      <c r="H342" s="471"/>
      <c r="I342" s="471"/>
      <c r="J342" s="471"/>
      <c r="K342" s="471"/>
    </row>
    <row r="343" spans="1:11" ht="20.25">
      <c r="A343" s="471"/>
      <c r="B343" s="471"/>
      <c r="C343" s="471"/>
      <c r="D343" s="471"/>
      <c r="E343" s="471"/>
      <c r="F343" s="471"/>
      <c r="G343" s="471"/>
      <c r="H343" s="471"/>
      <c r="I343" s="471"/>
      <c r="J343" s="471"/>
      <c r="K343" s="471"/>
    </row>
    <row r="344" spans="1:11" ht="20.25">
      <c r="A344" s="471"/>
      <c r="B344" s="471"/>
      <c r="C344" s="471"/>
      <c r="D344" s="471"/>
      <c r="E344" s="471"/>
      <c r="F344" s="471"/>
      <c r="G344" s="471"/>
      <c r="H344" s="471"/>
      <c r="I344" s="471"/>
      <c r="J344" s="471"/>
      <c r="K344" s="471"/>
    </row>
    <row r="345" spans="1:11" ht="20.25">
      <c r="A345" s="471"/>
      <c r="B345" s="471"/>
      <c r="C345" s="471"/>
      <c r="D345" s="471"/>
      <c r="E345" s="471"/>
      <c r="F345" s="471"/>
      <c r="G345" s="471"/>
      <c r="H345" s="471"/>
      <c r="I345" s="471"/>
      <c r="J345" s="471"/>
      <c r="K345" s="471"/>
    </row>
    <row r="346" spans="1:11" ht="20.25">
      <c r="A346" s="471"/>
      <c r="B346" s="471"/>
      <c r="C346" s="471"/>
      <c r="D346" s="471"/>
      <c r="E346" s="471"/>
      <c r="F346" s="471"/>
      <c r="G346" s="471"/>
      <c r="H346" s="471"/>
      <c r="I346" s="471"/>
      <c r="J346" s="471"/>
      <c r="K346" s="471"/>
    </row>
    <row r="347" spans="1:11" ht="20.25">
      <c r="A347" s="471"/>
      <c r="B347" s="471"/>
      <c r="C347" s="471"/>
      <c r="D347" s="471"/>
      <c r="E347" s="471"/>
      <c r="F347" s="471"/>
      <c r="G347" s="471"/>
      <c r="H347" s="471"/>
      <c r="I347" s="471"/>
      <c r="J347" s="471"/>
      <c r="K347" s="471"/>
    </row>
    <row r="348" spans="1:11" ht="20.25">
      <c r="A348" s="471"/>
      <c r="B348" s="471"/>
      <c r="C348" s="471"/>
      <c r="D348" s="471"/>
      <c r="E348" s="471"/>
      <c r="F348" s="471"/>
      <c r="G348" s="471"/>
      <c r="H348" s="471"/>
      <c r="I348" s="471"/>
      <c r="J348" s="471"/>
      <c r="K348" s="471"/>
    </row>
    <row r="349" spans="1:11" ht="20.25">
      <c r="A349" s="471"/>
      <c r="B349" s="471"/>
      <c r="C349" s="471"/>
      <c r="D349" s="471"/>
      <c r="E349" s="471"/>
      <c r="F349" s="471"/>
      <c r="G349" s="471"/>
      <c r="H349" s="471"/>
      <c r="I349" s="471"/>
      <c r="J349" s="471"/>
      <c r="K349" s="471"/>
    </row>
    <row r="350" spans="1:11" ht="20.25">
      <c r="A350" s="471"/>
      <c r="B350" s="471"/>
      <c r="C350" s="471"/>
      <c r="D350" s="471"/>
      <c r="E350" s="471"/>
      <c r="F350" s="471"/>
      <c r="G350" s="471"/>
      <c r="H350" s="471"/>
      <c r="I350" s="471"/>
      <c r="J350" s="471"/>
      <c r="K350" s="471"/>
    </row>
    <row r="351" spans="1:11" ht="20.25">
      <c r="A351" s="471"/>
      <c r="B351" s="471"/>
      <c r="C351" s="471"/>
      <c r="D351" s="471"/>
      <c r="E351" s="471"/>
      <c r="F351" s="471"/>
      <c r="G351" s="471"/>
      <c r="H351" s="471"/>
      <c r="I351" s="471"/>
      <c r="J351" s="471"/>
      <c r="K351" s="471"/>
    </row>
    <row r="352" spans="1:11" ht="20.25">
      <c r="A352" s="471"/>
      <c r="B352" s="471"/>
      <c r="C352" s="471"/>
      <c r="D352" s="471"/>
      <c r="E352" s="471"/>
      <c r="F352" s="471"/>
      <c r="G352" s="471"/>
      <c r="H352" s="471"/>
      <c r="I352" s="471"/>
      <c r="J352" s="471"/>
      <c r="K352" s="471"/>
    </row>
    <row r="353" spans="1:11" ht="20.25">
      <c r="A353" s="471"/>
      <c r="B353" s="471"/>
      <c r="C353" s="471"/>
      <c r="D353" s="471"/>
      <c r="E353" s="471"/>
      <c r="F353" s="471"/>
      <c r="G353" s="471"/>
      <c r="H353" s="471"/>
      <c r="I353" s="471"/>
      <c r="J353" s="471"/>
      <c r="K353" s="471"/>
    </row>
    <row r="354" spans="1:11" ht="20.25">
      <c r="A354" s="471"/>
      <c r="B354" s="471"/>
      <c r="C354" s="471"/>
      <c r="D354" s="471"/>
      <c r="E354" s="471"/>
      <c r="F354" s="471"/>
      <c r="G354" s="471"/>
      <c r="H354" s="471"/>
      <c r="I354" s="471"/>
      <c r="J354" s="471"/>
      <c r="K354" s="471"/>
    </row>
    <row r="355" spans="1:11" ht="20.25">
      <c r="A355" s="471"/>
      <c r="B355" s="471"/>
      <c r="C355" s="471"/>
      <c r="D355" s="471"/>
      <c r="E355" s="471"/>
      <c r="F355" s="471"/>
      <c r="G355" s="471"/>
      <c r="H355" s="471"/>
      <c r="I355" s="471"/>
      <c r="J355" s="471"/>
      <c r="K355" s="471"/>
    </row>
    <row r="356" spans="1:11" ht="20.25">
      <c r="A356" s="471"/>
      <c r="B356" s="471"/>
      <c r="C356" s="471"/>
      <c r="D356" s="471"/>
      <c r="E356" s="471"/>
      <c r="F356" s="471"/>
      <c r="G356" s="471"/>
      <c r="H356" s="471"/>
      <c r="I356" s="471"/>
      <c r="J356" s="471"/>
      <c r="K356" s="471"/>
    </row>
    <row r="357" spans="1:11" ht="20.25">
      <c r="A357" s="471"/>
      <c r="B357" s="471"/>
      <c r="C357" s="471"/>
      <c r="D357" s="471"/>
      <c r="E357" s="471"/>
      <c r="F357" s="471"/>
      <c r="G357" s="471"/>
      <c r="H357" s="471"/>
      <c r="I357" s="471"/>
      <c r="J357" s="471"/>
      <c r="K357" s="471"/>
    </row>
    <row r="358" spans="1:11" ht="20.25">
      <c r="A358" s="471"/>
      <c r="B358" s="471"/>
      <c r="C358" s="471"/>
      <c r="D358" s="471"/>
      <c r="E358" s="471"/>
      <c r="F358" s="471"/>
      <c r="G358" s="471"/>
      <c r="H358" s="471"/>
      <c r="I358" s="471"/>
      <c r="J358" s="471"/>
      <c r="K358" s="471"/>
    </row>
    <row r="359" spans="1:11" ht="20.25">
      <c r="A359" s="471"/>
      <c r="B359" s="471"/>
      <c r="C359" s="471"/>
      <c r="D359" s="471"/>
      <c r="E359" s="471"/>
      <c r="F359" s="471"/>
      <c r="G359" s="471"/>
      <c r="H359" s="471"/>
      <c r="I359" s="471"/>
      <c r="J359" s="471"/>
      <c r="K359" s="471"/>
    </row>
    <row r="360" spans="1:11" ht="20.25">
      <c r="A360" s="471"/>
      <c r="B360" s="471"/>
      <c r="C360" s="471"/>
      <c r="D360" s="471"/>
      <c r="E360" s="471"/>
      <c r="F360" s="471"/>
      <c r="G360" s="471"/>
      <c r="H360" s="471"/>
      <c r="I360" s="471"/>
      <c r="J360" s="471"/>
      <c r="K360" s="471"/>
    </row>
    <row r="361" spans="1:11" ht="20.25">
      <c r="A361" s="471"/>
      <c r="B361" s="471"/>
      <c r="C361" s="471"/>
      <c r="D361" s="471"/>
      <c r="E361" s="471"/>
      <c r="F361" s="471"/>
      <c r="G361" s="471"/>
      <c r="H361" s="471"/>
      <c r="I361" s="471"/>
      <c r="J361" s="471"/>
      <c r="K361" s="471"/>
    </row>
    <row r="362" spans="1:11" ht="20.25">
      <c r="A362" s="471"/>
      <c r="B362" s="471"/>
      <c r="C362" s="471"/>
      <c r="D362" s="471"/>
      <c r="E362" s="471"/>
      <c r="F362" s="471"/>
      <c r="G362" s="471"/>
      <c r="H362" s="471"/>
      <c r="I362" s="471"/>
      <c r="J362" s="471"/>
      <c r="K362" s="471"/>
    </row>
    <row r="363" spans="1:11" ht="20.25">
      <c r="A363" s="471"/>
      <c r="B363" s="471"/>
      <c r="C363" s="471"/>
      <c r="D363" s="471"/>
      <c r="E363" s="471"/>
      <c r="F363" s="471"/>
      <c r="G363" s="471"/>
      <c r="H363" s="471"/>
      <c r="I363" s="471"/>
      <c r="J363" s="471"/>
      <c r="K363" s="471"/>
    </row>
    <row r="364" spans="1:11" ht="20.25">
      <c r="A364" s="471"/>
      <c r="B364" s="471"/>
      <c r="C364" s="471"/>
      <c r="D364" s="471"/>
      <c r="E364" s="471"/>
      <c r="F364" s="471"/>
      <c r="G364" s="471"/>
      <c r="H364" s="471"/>
      <c r="I364" s="471"/>
      <c r="J364" s="471"/>
      <c r="K364" s="471"/>
    </row>
    <row r="365" spans="1:11" ht="20.25">
      <c r="A365" s="471"/>
      <c r="B365" s="471"/>
      <c r="C365" s="471"/>
      <c r="D365" s="471"/>
      <c r="E365" s="471"/>
      <c r="F365" s="471"/>
      <c r="G365" s="471"/>
      <c r="H365" s="471"/>
      <c r="I365" s="471"/>
      <c r="J365" s="471"/>
      <c r="K365" s="471"/>
    </row>
    <row r="366" spans="1:11" ht="20.25">
      <c r="A366" s="471"/>
      <c r="B366" s="471"/>
      <c r="C366" s="471"/>
      <c r="D366" s="471"/>
      <c r="E366" s="471"/>
      <c r="F366" s="471"/>
      <c r="G366" s="471"/>
      <c r="H366" s="471"/>
      <c r="I366" s="471"/>
      <c r="J366" s="471"/>
      <c r="K366" s="471"/>
    </row>
    <row r="367" spans="1:11" ht="20.25">
      <c r="A367" s="471"/>
      <c r="B367" s="471"/>
      <c r="C367" s="471"/>
      <c r="D367" s="471"/>
      <c r="E367" s="471"/>
      <c r="F367" s="471"/>
      <c r="G367" s="471"/>
      <c r="H367" s="471"/>
      <c r="I367" s="471"/>
      <c r="J367" s="471"/>
      <c r="K367" s="471"/>
    </row>
    <row r="368" spans="1:11" ht="20.25">
      <c r="A368" s="471"/>
      <c r="B368" s="471"/>
      <c r="C368" s="471"/>
      <c r="D368" s="471"/>
      <c r="E368" s="471"/>
      <c r="F368" s="471"/>
      <c r="G368" s="471"/>
      <c r="H368" s="471"/>
      <c r="I368" s="471"/>
      <c r="J368" s="471"/>
      <c r="K368" s="471"/>
    </row>
    <row r="369" spans="1:11" ht="20.25">
      <c r="A369" s="471"/>
      <c r="B369" s="471"/>
      <c r="C369" s="471"/>
      <c r="D369" s="471"/>
      <c r="E369" s="471"/>
      <c r="F369" s="471"/>
      <c r="G369" s="471"/>
      <c r="H369" s="471"/>
      <c r="I369" s="471"/>
      <c r="J369" s="471"/>
      <c r="K369" s="471"/>
    </row>
    <row r="370" spans="1:11" ht="20.25">
      <c r="A370" s="471"/>
      <c r="B370" s="471"/>
      <c r="C370" s="471"/>
      <c r="D370" s="471"/>
      <c r="E370" s="471"/>
      <c r="F370" s="471"/>
      <c r="G370" s="471"/>
      <c r="H370" s="471"/>
      <c r="I370" s="471"/>
      <c r="J370" s="471"/>
      <c r="K370" s="471"/>
    </row>
    <row r="371" spans="1:11" ht="20.25">
      <c r="A371" s="471"/>
      <c r="B371" s="471"/>
      <c r="C371" s="471"/>
      <c r="D371" s="471"/>
      <c r="E371" s="471"/>
      <c r="F371" s="471"/>
      <c r="G371" s="471"/>
      <c r="H371" s="471"/>
      <c r="I371" s="471"/>
      <c r="J371" s="471"/>
      <c r="K371" s="471"/>
    </row>
    <row r="372" spans="1:11" ht="20.25">
      <c r="A372" s="471"/>
      <c r="B372" s="471"/>
      <c r="C372" s="471"/>
      <c r="D372" s="471"/>
      <c r="E372" s="471"/>
      <c r="F372" s="471"/>
      <c r="G372" s="471"/>
      <c r="H372" s="471"/>
      <c r="I372" s="471"/>
      <c r="J372" s="471"/>
      <c r="K372" s="471"/>
    </row>
    <row r="373" spans="1:11" ht="20.25">
      <c r="A373" s="471"/>
      <c r="B373" s="471"/>
      <c r="C373" s="471"/>
      <c r="D373" s="471"/>
      <c r="E373" s="471"/>
      <c r="F373" s="471"/>
      <c r="G373" s="471"/>
      <c r="H373" s="471"/>
      <c r="I373" s="471"/>
      <c r="J373" s="471"/>
      <c r="K373" s="471"/>
    </row>
    <row r="374" spans="1:11" ht="20.25">
      <c r="A374" s="471"/>
      <c r="B374" s="471"/>
      <c r="C374" s="471"/>
      <c r="D374" s="471"/>
      <c r="E374" s="471"/>
      <c r="F374" s="471"/>
      <c r="G374" s="471"/>
      <c r="H374" s="471"/>
      <c r="I374" s="471"/>
      <c r="J374" s="471"/>
      <c r="K374" s="471"/>
    </row>
    <row r="375" spans="1:11" ht="20.25">
      <c r="A375" s="471"/>
      <c r="B375" s="471"/>
      <c r="C375" s="471"/>
      <c r="D375" s="471"/>
      <c r="E375" s="471"/>
      <c r="F375" s="471"/>
      <c r="G375" s="471"/>
      <c r="H375" s="471"/>
      <c r="I375" s="471"/>
      <c r="J375" s="471"/>
      <c r="K375" s="471"/>
    </row>
    <row r="376" spans="1:11" ht="20.25">
      <c r="A376" s="471"/>
      <c r="B376" s="471"/>
      <c r="C376" s="471"/>
      <c r="D376" s="471"/>
      <c r="E376" s="471"/>
      <c r="F376" s="471"/>
      <c r="G376" s="471"/>
      <c r="H376" s="471"/>
      <c r="I376" s="471"/>
      <c r="J376" s="471"/>
      <c r="K376" s="471"/>
    </row>
    <row r="377" spans="1:11" ht="20.25">
      <c r="A377" s="471"/>
      <c r="B377" s="471"/>
      <c r="C377" s="471"/>
      <c r="D377" s="471"/>
      <c r="E377" s="471"/>
      <c r="F377" s="471"/>
      <c r="G377" s="471"/>
      <c r="H377" s="471"/>
      <c r="I377" s="471"/>
      <c r="J377" s="471"/>
      <c r="K377" s="471"/>
    </row>
    <row r="378" spans="1:11" ht="20.25">
      <c r="A378" s="471"/>
      <c r="B378" s="471"/>
      <c r="C378" s="471"/>
      <c r="D378" s="471"/>
      <c r="E378" s="471"/>
      <c r="F378" s="471"/>
      <c r="G378" s="471"/>
      <c r="H378" s="471"/>
      <c r="I378" s="471"/>
      <c r="J378" s="471"/>
      <c r="K378" s="471"/>
    </row>
    <row r="379" spans="1:11" ht="20.25">
      <c r="A379" s="471"/>
      <c r="B379" s="471"/>
      <c r="C379" s="471"/>
      <c r="D379" s="471"/>
      <c r="E379" s="471"/>
      <c r="F379" s="471"/>
      <c r="G379" s="471"/>
      <c r="H379" s="471"/>
      <c r="I379" s="471"/>
      <c r="J379" s="471"/>
      <c r="K379" s="471"/>
    </row>
    <row r="380" spans="1:11" ht="20.25">
      <c r="A380" s="471"/>
      <c r="B380" s="471"/>
      <c r="C380" s="471"/>
      <c r="D380" s="471"/>
      <c r="E380" s="471"/>
      <c r="F380" s="471"/>
      <c r="G380" s="471"/>
      <c r="H380" s="471"/>
      <c r="I380" s="471"/>
      <c r="J380" s="471"/>
      <c r="K380" s="471"/>
    </row>
    <row r="381" spans="1:11" ht="20.25">
      <c r="A381" s="471"/>
      <c r="B381" s="471"/>
      <c r="C381" s="471"/>
      <c r="D381" s="471"/>
      <c r="E381" s="471"/>
      <c r="F381" s="471"/>
      <c r="G381" s="471"/>
      <c r="H381" s="471"/>
      <c r="I381" s="471"/>
      <c r="J381" s="471"/>
      <c r="K381" s="471"/>
    </row>
    <row r="382" spans="1:11" ht="20.25">
      <c r="A382" s="471"/>
      <c r="B382" s="471"/>
      <c r="C382" s="471"/>
      <c r="D382" s="471"/>
      <c r="E382" s="471"/>
      <c r="F382" s="471"/>
      <c r="G382" s="471"/>
      <c r="H382" s="471"/>
      <c r="I382" s="471"/>
      <c r="J382" s="471"/>
      <c r="K382" s="471"/>
    </row>
    <row r="383" spans="1:11" ht="20.25">
      <c r="A383" s="471"/>
      <c r="B383" s="471"/>
      <c r="C383" s="471"/>
      <c r="D383" s="471"/>
      <c r="E383" s="471"/>
      <c r="F383" s="471"/>
      <c r="G383" s="471"/>
      <c r="H383" s="471"/>
      <c r="I383" s="471"/>
      <c r="J383" s="471"/>
      <c r="K383" s="471"/>
    </row>
    <row r="384" spans="1:11" ht="20.25">
      <c r="A384" s="471"/>
      <c r="B384" s="471"/>
      <c r="C384" s="471"/>
      <c r="D384" s="471"/>
      <c r="E384" s="471"/>
      <c r="F384" s="471"/>
      <c r="G384" s="471"/>
      <c r="H384" s="471"/>
      <c r="I384" s="471"/>
      <c r="J384" s="471"/>
      <c r="K384" s="471"/>
    </row>
    <row r="385" spans="1:11" ht="20.25">
      <c r="A385" s="471"/>
      <c r="B385" s="471"/>
      <c r="C385" s="471"/>
      <c r="D385" s="471"/>
      <c r="E385" s="471"/>
      <c r="F385" s="471"/>
      <c r="G385" s="471"/>
      <c r="H385" s="471"/>
      <c r="I385" s="471"/>
      <c r="J385" s="471"/>
      <c r="K385" s="471"/>
    </row>
    <row r="386" spans="1:11" ht="20.25">
      <c r="A386" s="471"/>
      <c r="B386" s="471"/>
      <c r="C386" s="471"/>
      <c r="D386" s="471"/>
      <c r="E386" s="471"/>
      <c r="F386" s="471"/>
      <c r="G386" s="471"/>
      <c r="H386" s="471"/>
      <c r="I386" s="471"/>
      <c r="J386" s="471"/>
      <c r="K386" s="471"/>
    </row>
    <row r="387" spans="1:11" ht="20.25">
      <c r="A387" s="471"/>
      <c r="B387" s="471"/>
      <c r="C387" s="471"/>
      <c r="D387" s="471"/>
      <c r="E387" s="471"/>
      <c r="F387" s="471"/>
      <c r="G387" s="471"/>
      <c r="H387" s="471"/>
      <c r="I387" s="471"/>
      <c r="J387" s="471"/>
      <c r="K387" s="471"/>
    </row>
    <row r="388" spans="1:11" ht="20.25">
      <c r="A388" s="471"/>
      <c r="B388" s="471"/>
      <c r="C388" s="471"/>
      <c r="D388" s="471"/>
      <c r="E388" s="471"/>
      <c r="F388" s="471"/>
      <c r="G388" s="471"/>
      <c r="H388" s="471"/>
      <c r="I388" s="471"/>
      <c r="J388" s="471"/>
      <c r="K388" s="471"/>
    </row>
    <row r="389" spans="1:11" ht="20.25">
      <c r="A389" s="471"/>
      <c r="B389" s="471"/>
      <c r="C389" s="471"/>
      <c r="D389" s="471"/>
      <c r="E389" s="471"/>
      <c r="F389" s="471"/>
      <c r="G389" s="471"/>
      <c r="H389" s="471"/>
      <c r="I389" s="471"/>
      <c r="J389" s="471"/>
      <c r="K389" s="471"/>
    </row>
    <row r="390" spans="1:11" ht="20.25">
      <c r="A390" s="471"/>
      <c r="B390" s="471"/>
      <c r="C390" s="471"/>
      <c r="D390" s="471"/>
      <c r="E390" s="471"/>
      <c r="F390" s="471"/>
      <c r="G390" s="471"/>
      <c r="H390" s="471"/>
      <c r="I390" s="471"/>
      <c r="J390" s="471"/>
      <c r="K390" s="471"/>
    </row>
    <row r="391" spans="1:11" ht="20.25">
      <c r="A391" s="471"/>
      <c r="B391" s="471"/>
      <c r="C391" s="471"/>
      <c r="D391" s="471"/>
      <c r="E391" s="471"/>
      <c r="F391" s="471"/>
      <c r="G391" s="471"/>
      <c r="H391" s="471"/>
      <c r="I391" s="471"/>
      <c r="J391" s="471"/>
      <c r="K391" s="471"/>
    </row>
    <row r="392" spans="1:11" ht="20.25">
      <c r="A392" s="471"/>
      <c r="B392" s="471"/>
      <c r="C392" s="471"/>
      <c r="D392" s="471"/>
      <c r="E392" s="471"/>
      <c r="F392" s="471"/>
      <c r="G392" s="471"/>
      <c r="H392" s="471"/>
      <c r="I392" s="471"/>
      <c r="J392" s="471"/>
      <c r="K392" s="471"/>
    </row>
    <row r="393" spans="1:11" ht="20.25">
      <c r="A393" s="471"/>
      <c r="B393" s="471"/>
      <c r="C393" s="471"/>
      <c r="D393" s="471"/>
      <c r="E393" s="471"/>
      <c r="F393" s="471"/>
      <c r="G393" s="471"/>
      <c r="H393" s="471"/>
      <c r="I393" s="471"/>
      <c r="J393" s="471"/>
      <c r="K393" s="471"/>
    </row>
    <row r="394" spans="1:11" ht="20.25">
      <c r="A394" s="471"/>
      <c r="B394" s="471"/>
      <c r="C394" s="471"/>
      <c r="D394" s="471"/>
      <c r="E394" s="471"/>
      <c r="F394" s="471"/>
      <c r="G394" s="471"/>
      <c r="H394" s="471"/>
      <c r="I394" s="471"/>
      <c r="J394" s="471"/>
      <c r="K394" s="471"/>
    </row>
    <row r="395" spans="1:11" ht="20.25">
      <c r="A395" s="471"/>
      <c r="B395" s="471"/>
      <c r="C395" s="471"/>
      <c r="D395" s="471"/>
      <c r="E395" s="471"/>
      <c r="F395" s="471"/>
      <c r="G395" s="471"/>
      <c r="H395" s="471"/>
      <c r="I395" s="471"/>
      <c r="J395" s="471"/>
      <c r="K395" s="471"/>
    </row>
    <row r="396" spans="1:11" ht="20.25">
      <c r="A396" s="471"/>
      <c r="B396" s="471"/>
      <c r="C396" s="471"/>
      <c r="D396" s="471"/>
      <c r="E396" s="471"/>
      <c r="F396" s="471"/>
      <c r="G396" s="471"/>
      <c r="H396" s="471"/>
      <c r="I396" s="471"/>
      <c r="J396" s="471"/>
      <c r="K396" s="471"/>
    </row>
    <row r="397" spans="1:11" ht="20.25">
      <c r="A397" s="471"/>
      <c r="B397" s="471"/>
      <c r="C397" s="471"/>
      <c r="D397" s="471"/>
      <c r="E397" s="471"/>
      <c r="F397" s="471"/>
      <c r="G397" s="471"/>
      <c r="H397" s="471"/>
      <c r="I397" s="471"/>
      <c r="J397" s="471"/>
      <c r="K397" s="471"/>
    </row>
    <row r="398" spans="1:11" ht="20.25">
      <c r="A398" s="471"/>
      <c r="B398" s="471"/>
      <c r="C398" s="471"/>
      <c r="D398" s="471"/>
      <c r="E398" s="471"/>
      <c r="F398" s="471"/>
      <c r="G398" s="471"/>
      <c r="H398" s="471"/>
      <c r="I398" s="471"/>
      <c r="J398" s="471"/>
      <c r="K398" s="471"/>
    </row>
    <row r="399" spans="1:11" ht="20.25">
      <c r="A399" s="471"/>
      <c r="B399" s="471"/>
      <c r="C399" s="471"/>
      <c r="D399" s="471"/>
      <c r="E399" s="471"/>
      <c r="F399" s="471"/>
      <c r="G399" s="471"/>
      <c r="H399" s="471"/>
      <c r="I399" s="471"/>
      <c r="J399" s="471"/>
      <c r="K399" s="471"/>
    </row>
    <row r="400" spans="1:11" ht="20.25">
      <c r="A400" s="471"/>
      <c r="B400" s="471"/>
      <c r="C400" s="471"/>
      <c r="D400" s="471"/>
      <c r="E400" s="471"/>
      <c r="F400" s="471"/>
      <c r="G400" s="471"/>
      <c r="H400" s="471"/>
      <c r="I400" s="471"/>
      <c r="J400" s="471"/>
      <c r="K400" s="471"/>
    </row>
    <row r="401" spans="1:11" ht="20.25">
      <c r="A401" s="471"/>
      <c r="B401" s="471"/>
      <c r="C401" s="471"/>
      <c r="D401" s="471"/>
      <c r="E401" s="471"/>
      <c r="F401" s="471"/>
      <c r="G401" s="471"/>
      <c r="H401" s="471"/>
      <c r="I401" s="471"/>
      <c r="J401" s="471"/>
      <c r="K401" s="471"/>
    </row>
    <row r="402" spans="1:11" ht="20.25">
      <c r="A402" s="471"/>
      <c r="B402" s="471"/>
      <c r="C402" s="471"/>
      <c r="D402" s="471"/>
      <c r="E402" s="471"/>
      <c r="F402" s="471"/>
      <c r="G402" s="471"/>
      <c r="H402" s="471"/>
      <c r="I402" s="471"/>
      <c r="J402" s="471"/>
      <c r="K402" s="471"/>
    </row>
    <row r="403" spans="1:11" ht="20.25">
      <c r="A403" s="471"/>
      <c r="B403" s="471"/>
      <c r="C403" s="471"/>
      <c r="D403" s="471"/>
      <c r="E403" s="471"/>
      <c r="F403" s="471"/>
      <c r="G403" s="471"/>
      <c r="H403" s="471"/>
      <c r="I403" s="471"/>
      <c r="J403" s="471"/>
      <c r="K403" s="471"/>
    </row>
    <row r="404" spans="1:11" ht="20.25">
      <c r="A404" s="471"/>
      <c r="B404" s="471"/>
      <c r="C404" s="471"/>
      <c r="D404" s="471"/>
      <c r="E404" s="471"/>
      <c r="F404" s="471"/>
      <c r="G404" s="471"/>
      <c r="H404" s="471"/>
      <c r="I404" s="471"/>
      <c r="J404" s="471"/>
      <c r="K404" s="471"/>
    </row>
    <row r="405" spans="1:11" ht="20.25">
      <c r="A405" s="471"/>
      <c r="B405" s="471"/>
      <c r="C405" s="471"/>
      <c r="D405" s="471"/>
      <c r="E405" s="471"/>
      <c r="F405" s="471"/>
      <c r="G405" s="471"/>
      <c r="H405" s="471"/>
      <c r="I405" s="471"/>
      <c r="J405" s="471"/>
      <c r="K405" s="471"/>
    </row>
    <row r="406" spans="1:11" ht="20.25">
      <c r="A406" s="471"/>
      <c r="B406" s="471"/>
      <c r="C406" s="471"/>
      <c r="D406" s="471"/>
      <c r="E406" s="471"/>
      <c r="F406" s="471"/>
      <c r="G406" s="471"/>
      <c r="H406" s="471"/>
      <c r="I406" s="471"/>
      <c r="J406" s="471"/>
      <c r="K406" s="471"/>
    </row>
    <row r="407" spans="1:11" ht="20.25">
      <c r="A407" s="471"/>
      <c r="B407" s="471"/>
      <c r="C407" s="471"/>
      <c r="D407" s="471"/>
      <c r="E407" s="471"/>
      <c r="F407" s="471"/>
      <c r="G407" s="471"/>
      <c r="H407" s="471"/>
      <c r="I407" s="471"/>
      <c r="J407" s="471"/>
      <c r="K407" s="471"/>
    </row>
    <row r="408" spans="1:11" ht="20.25">
      <c r="A408" s="471"/>
      <c r="B408" s="471"/>
      <c r="C408" s="471"/>
      <c r="D408" s="471"/>
      <c r="E408" s="471"/>
      <c r="F408" s="471"/>
      <c r="G408" s="471"/>
      <c r="H408" s="471"/>
      <c r="I408" s="471"/>
      <c r="J408" s="471"/>
      <c r="K408" s="471"/>
    </row>
    <row r="409" spans="1:11" ht="20.25">
      <c r="A409" s="471"/>
      <c r="B409" s="471"/>
      <c r="C409" s="471"/>
      <c r="D409" s="471"/>
      <c r="E409" s="471"/>
      <c r="F409" s="471"/>
      <c r="G409" s="471"/>
      <c r="H409" s="471"/>
      <c r="I409" s="471"/>
      <c r="J409" s="471"/>
      <c r="K409" s="471"/>
    </row>
    <row r="410" spans="1:11" ht="20.25">
      <c r="A410" s="471"/>
      <c r="B410" s="471"/>
      <c r="C410" s="471"/>
      <c r="D410" s="471"/>
      <c r="E410" s="471"/>
      <c r="F410" s="471"/>
      <c r="G410" s="471"/>
      <c r="H410" s="471"/>
      <c r="I410" s="471"/>
      <c r="J410" s="471"/>
      <c r="K410" s="471"/>
    </row>
    <row r="411" spans="1:11" ht="20.25">
      <c r="A411" s="471"/>
      <c r="B411" s="471"/>
      <c r="C411" s="471"/>
      <c r="D411" s="471"/>
      <c r="E411" s="471"/>
      <c r="F411" s="471"/>
      <c r="G411" s="471"/>
      <c r="H411" s="471"/>
      <c r="I411" s="471"/>
      <c r="J411" s="471"/>
      <c r="K411" s="471"/>
    </row>
    <row r="412" spans="1:11" ht="20.25">
      <c r="A412" s="471"/>
      <c r="B412" s="471"/>
      <c r="C412" s="471"/>
      <c r="D412" s="471"/>
      <c r="E412" s="471"/>
      <c r="F412" s="471"/>
      <c r="G412" s="471"/>
      <c r="H412" s="471"/>
      <c r="I412" s="471"/>
      <c r="J412" s="471"/>
      <c r="K412" s="471"/>
    </row>
    <row r="413" spans="1:11" ht="20.25">
      <c r="A413" s="471"/>
      <c r="B413" s="471"/>
      <c r="C413" s="471"/>
      <c r="D413" s="471"/>
      <c r="E413" s="471"/>
      <c r="F413" s="471"/>
      <c r="G413" s="471"/>
      <c r="H413" s="471"/>
      <c r="I413" s="471"/>
      <c r="J413" s="471"/>
      <c r="K413" s="471"/>
    </row>
    <row r="414" spans="1:11" ht="20.25">
      <c r="A414" s="471"/>
      <c r="B414" s="471"/>
      <c r="C414" s="471"/>
      <c r="D414" s="471"/>
      <c r="E414" s="471"/>
      <c r="F414" s="471"/>
      <c r="G414" s="471"/>
      <c r="H414" s="471"/>
      <c r="I414" s="471"/>
      <c r="J414" s="471"/>
      <c r="K414" s="471"/>
    </row>
    <row r="415" spans="1:11" ht="20.25">
      <c r="A415" s="471"/>
      <c r="B415" s="471"/>
      <c r="C415" s="471"/>
      <c r="D415" s="471"/>
      <c r="E415" s="471"/>
      <c r="F415" s="471"/>
      <c r="G415" s="471"/>
      <c r="H415" s="471"/>
      <c r="I415" s="471"/>
      <c r="J415" s="471"/>
      <c r="K415" s="471"/>
    </row>
    <row r="416" spans="1:11" ht="20.25">
      <c r="A416" s="471"/>
      <c r="B416" s="471"/>
      <c r="C416" s="471"/>
      <c r="D416" s="471"/>
      <c r="E416" s="471"/>
      <c r="F416" s="471"/>
      <c r="G416" s="471"/>
      <c r="H416" s="471"/>
      <c r="I416" s="471"/>
      <c r="J416" s="471"/>
      <c r="K416" s="471"/>
    </row>
    <row r="417" spans="1:11" ht="20.25">
      <c r="A417" s="471"/>
      <c r="B417" s="471"/>
      <c r="C417" s="471"/>
      <c r="D417" s="471"/>
      <c r="E417" s="471"/>
      <c r="F417" s="471"/>
      <c r="G417" s="471"/>
      <c r="H417" s="471"/>
      <c r="I417" s="471"/>
      <c r="J417" s="471"/>
      <c r="K417" s="471"/>
    </row>
    <row r="418" spans="1:11" ht="20.25">
      <c r="A418" s="471"/>
      <c r="B418" s="471"/>
      <c r="C418" s="471"/>
      <c r="D418" s="471"/>
      <c r="E418" s="471"/>
      <c r="F418" s="471"/>
      <c r="G418" s="471"/>
      <c r="H418" s="471"/>
      <c r="I418" s="471"/>
      <c r="J418" s="471"/>
      <c r="K418" s="471"/>
    </row>
    <row r="419" spans="1:11" ht="20.25">
      <c r="A419" s="471"/>
      <c r="B419" s="471"/>
      <c r="C419" s="471"/>
      <c r="D419" s="471"/>
      <c r="E419" s="471"/>
      <c r="F419" s="471"/>
      <c r="G419" s="471"/>
      <c r="H419" s="471"/>
      <c r="I419" s="471"/>
      <c r="J419" s="471"/>
      <c r="K419" s="471"/>
    </row>
    <row r="420" spans="1:11" ht="20.25">
      <c r="A420" s="471"/>
      <c r="B420" s="471"/>
      <c r="C420" s="471"/>
      <c r="D420" s="471"/>
      <c r="E420" s="471"/>
      <c r="F420" s="471"/>
      <c r="G420" s="471"/>
      <c r="H420" s="471"/>
      <c r="I420" s="471"/>
      <c r="J420" s="471"/>
      <c r="K420" s="471"/>
    </row>
    <row r="421" spans="1:11" ht="20.25">
      <c r="A421" s="471"/>
      <c r="B421" s="471"/>
      <c r="C421" s="471"/>
      <c r="D421" s="471"/>
      <c r="E421" s="471"/>
      <c r="F421" s="471"/>
      <c r="G421" s="471"/>
      <c r="H421" s="471"/>
      <c r="I421" s="471"/>
      <c r="J421" s="471"/>
      <c r="K421" s="471"/>
    </row>
    <row r="422" spans="1:11" ht="20.25">
      <c r="A422" s="471"/>
      <c r="B422" s="471"/>
      <c r="C422" s="471"/>
      <c r="D422" s="471"/>
      <c r="E422" s="471"/>
      <c r="F422" s="471"/>
      <c r="G422" s="471"/>
      <c r="H422" s="471"/>
      <c r="I422" s="471"/>
      <c r="J422" s="471"/>
      <c r="K422" s="471"/>
    </row>
    <row r="423" spans="1:11" ht="20.25">
      <c r="A423" s="471"/>
      <c r="B423" s="471"/>
      <c r="C423" s="471"/>
      <c r="D423" s="471"/>
      <c r="E423" s="471"/>
      <c r="F423" s="471"/>
      <c r="G423" s="471"/>
      <c r="H423" s="471"/>
      <c r="I423" s="471"/>
      <c r="J423" s="471"/>
      <c r="K423" s="471"/>
    </row>
    <row r="424" spans="1:11" ht="20.25">
      <c r="A424" s="471"/>
      <c r="B424" s="471"/>
      <c r="C424" s="471"/>
      <c r="D424" s="471"/>
      <c r="E424" s="471"/>
      <c r="F424" s="471"/>
      <c r="G424" s="471"/>
      <c r="H424" s="471"/>
      <c r="I424" s="471"/>
      <c r="J424" s="471"/>
      <c r="K424" s="471"/>
    </row>
    <row r="425" spans="1:11" ht="20.25">
      <c r="A425" s="471"/>
      <c r="B425" s="471"/>
      <c r="C425" s="471"/>
      <c r="D425" s="471"/>
      <c r="E425" s="471"/>
      <c r="F425" s="471"/>
      <c r="G425" s="471"/>
      <c r="H425" s="471"/>
      <c r="I425" s="471"/>
      <c r="J425" s="471"/>
      <c r="K425" s="471"/>
    </row>
    <row r="426" spans="1:11" ht="20.25">
      <c r="A426" s="471"/>
      <c r="B426" s="471"/>
      <c r="C426" s="471"/>
      <c r="D426" s="471"/>
      <c r="E426" s="471"/>
      <c r="F426" s="471"/>
      <c r="G426" s="471"/>
      <c r="H426" s="471"/>
      <c r="I426" s="471"/>
      <c r="J426" s="471"/>
      <c r="K426" s="471"/>
    </row>
    <row r="427" spans="1:11" ht="20.25">
      <c r="A427" s="471"/>
      <c r="B427" s="471"/>
      <c r="C427" s="471"/>
      <c r="D427" s="471"/>
      <c r="E427" s="471"/>
      <c r="F427" s="471"/>
      <c r="G427" s="471"/>
      <c r="H427" s="471"/>
      <c r="I427" s="471"/>
      <c r="J427" s="471"/>
      <c r="K427" s="471"/>
    </row>
    <row r="428" spans="1:11" ht="20.25">
      <c r="A428" s="471"/>
      <c r="B428" s="471"/>
      <c r="C428" s="471"/>
      <c r="D428" s="471"/>
      <c r="E428" s="471"/>
      <c r="F428" s="471"/>
      <c r="G428" s="471"/>
      <c r="H428" s="471"/>
      <c r="I428" s="471"/>
      <c r="J428" s="471"/>
      <c r="K428" s="471"/>
    </row>
    <row r="429" spans="1:11" ht="20.25">
      <c r="A429" s="471"/>
      <c r="B429" s="471"/>
      <c r="C429" s="471"/>
      <c r="D429" s="471"/>
      <c r="E429" s="471"/>
      <c r="F429" s="471"/>
      <c r="G429" s="471"/>
      <c r="H429" s="471"/>
      <c r="I429" s="471"/>
      <c r="J429" s="471"/>
      <c r="K429" s="471"/>
    </row>
    <row r="430" spans="1:11" ht="20.25">
      <c r="A430" s="471"/>
      <c r="B430" s="471"/>
      <c r="C430" s="471"/>
      <c r="D430" s="471"/>
      <c r="E430" s="471"/>
      <c r="F430" s="471"/>
      <c r="G430" s="471"/>
      <c r="H430" s="471"/>
      <c r="I430" s="471"/>
      <c r="J430" s="471"/>
      <c r="K430" s="471"/>
    </row>
    <row r="431" spans="1:11" ht="20.25">
      <c r="A431" s="471"/>
      <c r="B431" s="471"/>
      <c r="C431" s="471"/>
      <c r="D431" s="471"/>
      <c r="E431" s="471"/>
      <c r="F431" s="471"/>
      <c r="G431" s="471"/>
      <c r="H431" s="471"/>
      <c r="I431" s="471"/>
      <c r="J431" s="471"/>
      <c r="K431" s="471"/>
    </row>
    <row r="432" spans="1:11" ht="20.25">
      <c r="A432" s="471"/>
      <c r="B432" s="471"/>
      <c r="C432" s="471"/>
      <c r="D432" s="471"/>
      <c r="E432" s="471"/>
      <c r="F432" s="471"/>
      <c r="G432" s="471"/>
      <c r="H432" s="471"/>
      <c r="I432" s="471"/>
      <c r="J432" s="471"/>
      <c r="K432" s="471"/>
    </row>
    <row r="433" spans="1:11" ht="20.25">
      <c r="A433" s="471"/>
      <c r="B433" s="471"/>
      <c r="C433" s="471"/>
      <c r="D433" s="471"/>
      <c r="E433" s="471"/>
      <c r="F433" s="471"/>
      <c r="G433" s="471"/>
      <c r="H433" s="471"/>
      <c r="I433" s="471"/>
      <c r="J433" s="471"/>
      <c r="K433" s="471"/>
    </row>
    <row r="434" spans="1:11" ht="20.25">
      <c r="A434" s="471"/>
      <c r="B434" s="471"/>
      <c r="C434" s="471"/>
      <c r="D434" s="471"/>
      <c r="E434" s="471"/>
      <c r="F434" s="471"/>
      <c r="G434" s="471"/>
      <c r="H434" s="471"/>
      <c r="I434" s="471"/>
      <c r="J434" s="471"/>
      <c r="K434" s="471"/>
    </row>
    <row r="435" spans="1:11" ht="20.25">
      <c r="A435" s="471"/>
      <c r="B435" s="471"/>
      <c r="C435" s="471"/>
      <c r="D435" s="471"/>
      <c r="E435" s="471"/>
      <c r="F435" s="471"/>
      <c r="G435" s="471"/>
      <c r="H435" s="471"/>
      <c r="I435" s="471"/>
      <c r="J435" s="471"/>
      <c r="K435" s="471"/>
    </row>
    <row r="436" spans="1:11" ht="20.25">
      <c r="A436" s="471"/>
      <c r="B436" s="471"/>
      <c r="C436" s="471"/>
      <c r="D436" s="471"/>
      <c r="E436" s="471"/>
      <c r="F436" s="471"/>
      <c r="G436" s="471"/>
      <c r="H436" s="471"/>
      <c r="I436" s="471"/>
      <c r="J436" s="471"/>
      <c r="K436" s="471"/>
    </row>
    <row r="437" spans="1:11" ht="20.25">
      <c r="A437" s="471"/>
      <c r="B437" s="471"/>
      <c r="C437" s="471"/>
      <c r="D437" s="471"/>
      <c r="E437" s="471"/>
      <c r="F437" s="471"/>
      <c r="G437" s="471"/>
      <c r="H437" s="471"/>
      <c r="I437" s="471"/>
      <c r="J437" s="471"/>
      <c r="K437" s="471"/>
    </row>
    <row r="438" spans="1:11" ht="20.25">
      <c r="A438" s="471"/>
      <c r="B438" s="471"/>
      <c r="C438" s="471"/>
      <c r="D438" s="471"/>
      <c r="E438" s="471"/>
      <c r="F438" s="471"/>
      <c r="G438" s="471"/>
      <c r="H438" s="471"/>
      <c r="I438" s="471"/>
      <c r="J438" s="471"/>
      <c r="K438" s="471"/>
    </row>
    <row r="439" spans="1:11" ht="20.25">
      <c r="A439" s="471"/>
      <c r="B439" s="471"/>
      <c r="C439" s="471"/>
      <c r="D439" s="471"/>
      <c r="E439" s="471"/>
      <c r="F439" s="471"/>
      <c r="G439" s="471"/>
      <c r="H439" s="471"/>
      <c r="I439" s="471"/>
      <c r="J439" s="471"/>
      <c r="K439" s="471"/>
    </row>
    <row r="440" spans="1:11" ht="20.25">
      <c r="A440" s="471"/>
      <c r="B440" s="471"/>
      <c r="C440" s="471"/>
      <c r="D440" s="471"/>
      <c r="E440" s="471"/>
      <c r="F440" s="471"/>
      <c r="G440" s="471"/>
      <c r="H440" s="471"/>
      <c r="I440" s="471"/>
      <c r="J440" s="471"/>
      <c r="K440" s="471"/>
    </row>
    <row r="441" spans="1:11" ht="20.25">
      <c r="A441" s="471"/>
      <c r="B441" s="471"/>
      <c r="C441" s="471"/>
      <c r="D441" s="471"/>
      <c r="E441" s="471"/>
      <c r="F441" s="471"/>
      <c r="G441" s="471"/>
      <c r="H441" s="471"/>
      <c r="I441" s="471"/>
      <c r="J441" s="471"/>
      <c r="K441" s="471"/>
    </row>
    <row r="442" spans="1:11" ht="20.25">
      <c r="A442" s="471"/>
      <c r="B442" s="471"/>
      <c r="C442" s="471"/>
      <c r="D442" s="471"/>
      <c r="E442" s="471"/>
      <c r="F442" s="471"/>
      <c r="G442" s="471"/>
      <c r="H442" s="471"/>
      <c r="I442" s="471"/>
      <c r="J442" s="471"/>
      <c r="K442" s="471"/>
    </row>
    <row r="443" spans="1:11" ht="20.25">
      <c r="A443" s="471"/>
      <c r="B443" s="471"/>
      <c r="C443" s="471"/>
      <c r="D443" s="471"/>
      <c r="E443" s="471"/>
      <c r="F443" s="471"/>
      <c r="G443" s="471"/>
      <c r="H443" s="471"/>
      <c r="I443" s="471"/>
      <c r="J443" s="471"/>
      <c r="K443" s="471"/>
    </row>
    <row r="444" spans="1:11" ht="20.25">
      <c r="A444" s="471"/>
      <c r="B444" s="471"/>
      <c r="C444" s="471"/>
      <c r="D444" s="471"/>
      <c r="E444" s="471"/>
      <c r="F444" s="471"/>
      <c r="G444" s="471"/>
      <c r="H444" s="471"/>
      <c r="I444" s="471"/>
      <c r="J444" s="471"/>
      <c r="K444" s="471"/>
    </row>
    <row r="445" spans="1:11" ht="20.25">
      <c r="A445" s="471"/>
      <c r="B445" s="471"/>
      <c r="C445" s="471"/>
      <c r="D445" s="471"/>
      <c r="E445" s="471"/>
      <c r="F445" s="471"/>
      <c r="G445" s="471"/>
      <c r="H445" s="471"/>
      <c r="I445" s="471"/>
      <c r="J445" s="471"/>
      <c r="K445" s="471"/>
    </row>
    <row r="446" spans="1:11" ht="20.25">
      <c r="A446" s="471"/>
      <c r="B446" s="471"/>
      <c r="C446" s="471"/>
      <c r="D446" s="471"/>
      <c r="E446" s="471"/>
      <c r="F446" s="471"/>
      <c r="G446" s="471"/>
      <c r="H446" s="471"/>
      <c r="I446" s="471"/>
      <c r="J446" s="471"/>
      <c r="K446" s="471"/>
    </row>
    <row r="447" spans="1:11" ht="20.25">
      <c r="A447" s="471"/>
      <c r="B447" s="471"/>
      <c r="C447" s="471"/>
      <c r="D447" s="471"/>
      <c r="E447" s="471"/>
      <c r="F447" s="471"/>
      <c r="G447" s="471"/>
      <c r="H447" s="471"/>
      <c r="I447" s="471"/>
      <c r="J447" s="471"/>
      <c r="K447" s="471"/>
    </row>
    <row r="448" spans="1:11" ht="20.25">
      <c r="A448" s="471"/>
      <c r="B448" s="471"/>
      <c r="C448" s="471"/>
      <c r="D448" s="471"/>
      <c r="E448" s="471"/>
      <c r="F448" s="471"/>
      <c r="G448" s="471"/>
      <c r="H448" s="471"/>
      <c r="I448" s="471"/>
      <c r="J448" s="471"/>
      <c r="K448" s="471"/>
    </row>
    <row r="449" spans="1:11" ht="20.25">
      <c r="A449" s="471"/>
      <c r="B449" s="471"/>
      <c r="C449" s="471"/>
      <c r="D449" s="471"/>
      <c r="E449" s="471"/>
      <c r="F449" s="471"/>
      <c r="G449" s="471"/>
      <c r="H449" s="471"/>
      <c r="I449" s="471"/>
      <c r="J449" s="471"/>
      <c r="K449" s="471"/>
    </row>
    <row r="450" spans="1:11" ht="20.25">
      <c r="A450" s="471"/>
      <c r="B450" s="471"/>
      <c r="C450" s="471"/>
      <c r="D450" s="471"/>
      <c r="E450" s="471"/>
      <c r="F450" s="471"/>
      <c r="G450" s="471"/>
      <c r="H450" s="471"/>
      <c r="I450" s="471"/>
      <c r="J450" s="471"/>
      <c r="K450" s="471"/>
    </row>
    <row r="451" spans="1:11" ht="20.25">
      <c r="A451" s="471"/>
      <c r="B451" s="471"/>
      <c r="C451" s="471"/>
      <c r="D451" s="471"/>
      <c r="E451" s="471"/>
      <c r="F451" s="471"/>
      <c r="G451" s="471"/>
      <c r="H451" s="471"/>
      <c r="I451" s="471"/>
      <c r="J451" s="471"/>
      <c r="K451" s="471"/>
    </row>
    <row r="452" spans="1:11" ht="20.25">
      <c r="A452" s="471"/>
      <c r="B452" s="471"/>
      <c r="C452" s="471"/>
      <c r="D452" s="471"/>
      <c r="E452" s="471"/>
      <c r="F452" s="471"/>
      <c r="G452" s="471"/>
      <c r="H452" s="471"/>
      <c r="I452" s="471"/>
      <c r="J452" s="471"/>
      <c r="K452" s="471"/>
    </row>
    <row r="453" spans="1:11" ht="20.25">
      <c r="A453" s="471"/>
      <c r="B453" s="471"/>
      <c r="C453" s="471"/>
      <c r="D453" s="471"/>
      <c r="E453" s="471"/>
      <c r="F453" s="471"/>
      <c r="G453" s="471"/>
      <c r="H453" s="471"/>
      <c r="I453" s="471"/>
      <c r="J453" s="471"/>
      <c r="K453" s="471"/>
    </row>
    <row r="454" spans="1:11" ht="20.25">
      <c r="A454" s="471"/>
      <c r="B454" s="471"/>
      <c r="C454" s="471"/>
      <c r="D454" s="471"/>
      <c r="E454" s="471"/>
      <c r="F454" s="471"/>
      <c r="G454" s="471"/>
      <c r="H454" s="471"/>
      <c r="I454" s="471"/>
      <c r="J454" s="471"/>
      <c r="K454" s="471"/>
    </row>
    <row r="455" spans="1:11" ht="20.25">
      <c r="A455" s="471"/>
      <c r="B455" s="471"/>
      <c r="C455" s="471"/>
      <c r="D455" s="471"/>
      <c r="E455" s="471"/>
      <c r="F455" s="471"/>
      <c r="G455" s="471"/>
      <c r="H455" s="471"/>
      <c r="I455" s="471"/>
      <c r="J455" s="471"/>
      <c r="K455" s="471"/>
    </row>
    <row r="456" spans="1:11" ht="20.25">
      <c r="A456" s="471"/>
      <c r="B456" s="471"/>
      <c r="C456" s="471"/>
      <c r="D456" s="471"/>
      <c r="E456" s="471"/>
      <c r="F456" s="471"/>
      <c r="G456" s="471"/>
      <c r="H456" s="471"/>
      <c r="I456" s="471"/>
      <c r="J456" s="471"/>
      <c r="K456" s="471"/>
    </row>
    <row r="457" spans="1:11" ht="20.25">
      <c r="A457" s="471"/>
      <c r="B457" s="471"/>
      <c r="C457" s="471"/>
      <c r="D457" s="471"/>
      <c r="E457" s="471"/>
      <c r="F457" s="471"/>
      <c r="G457" s="471"/>
      <c r="H457" s="471"/>
      <c r="I457" s="471"/>
      <c r="J457" s="471"/>
      <c r="K457" s="471"/>
    </row>
    <row r="458" spans="1:11" ht="20.25">
      <c r="A458" s="471"/>
      <c r="B458" s="471"/>
      <c r="C458" s="471"/>
      <c r="D458" s="471"/>
      <c r="E458" s="471"/>
      <c r="F458" s="471"/>
      <c r="G458" s="471"/>
      <c r="H458" s="471"/>
      <c r="I458" s="471"/>
      <c r="J458" s="471"/>
      <c r="K458" s="471"/>
    </row>
    <row r="459" spans="1:11" ht="20.25">
      <c r="A459" s="471"/>
      <c r="B459" s="471"/>
      <c r="C459" s="471"/>
      <c r="D459" s="471"/>
      <c r="E459" s="471"/>
      <c r="F459" s="471"/>
      <c r="G459" s="471"/>
      <c r="H459" s="471"/>
      <c r="I459" s="471"/>
      <c r="J459" s="471"/>
      <c r="K459" s="471"/>
    </row>
    <row r="460" spans="1:11" ht="20.25">
      <c r="A460" s="471"/>
      <c r="B460" s="471"/>
      <c r="C460" s="471"/>
      <c r="D460" s="471"/>
      <c r="E460" s="471"/>
      <c r="F460" s="471"/>
      <c r="G460" s="471"/>
      <c r="H460" s="471"/>
      <c r="I460" s="471"/>
      <c r="J460" s="471"/>
      <c r="K460" s="471"/>
    </row>
    <row r="461" spans="1:11" ht="20.25">
      <c r="A461" s="471"/>
      <c r="B461" s="471"/>
      <c r="C461" s="471"/>
      <c r="D461" s="471"/>
      <c r="E461" s="471"/>
      <c r="F461" s="471"/>
      <c r="G461" s="471"/>
      <c r="H461" s="471"/>
      <c r="I461" s="471"/>
      <c r="J461" s="471"/>
      <c r="K461" s="471"/>
    </row>
    <row r="462" spans="1:11" ht="20.25">
      <c r="A462" s="471"/>
      <c r="B462" s="471"/>
      <c r="C462" s="471"/>
      <c r="D462" s="471"/>
      <c r="E462" s="471"/>
      <c r="F462" s="471"/>
      <c r="G462" s="471"/>
      <c r="H462" s="471"/>
      <c r="I462" s="471"/>
      <c r="J462" s="471"/>
      <c r="K462" s="471"/>
    </row>
    <row r="463" spans="1:11" ht="20.25">
      <c r="A463" s="471"/>
      <c r="B463" s="471"/>
      <c r="C463" s="471"/>
      <c r="D463" s="471"/>
      <c r="E463" s="471"/>
      <c r="F463" s="471"/>
      <c r="G463" s="471"/>
      <c r="H463" s="471"/>
      <c r="I463" s="471"/>
      <c r="J463" s="471"/>
      <c r="K463" s="471"/>
    </row>
    <row r="464" spans="1:11" ht="20.25">
      <c r="A464" s="471"/>
      <c r="B464" s="471"/>
      <c r="C464" s="471"/>
      <c r="D464" s="471"/>
      <c r="E464" s="471"/>
      <c r="F464" s="471"/>
      <c r="G464" s="471"/>
      <c r="H464" s="471"/>
      <c r="I464" s="471"/>
      <c r="J464" s="471"/>
      <c r="K464" s="471"/>
    </row>
    <row r="465" spans="1:11" ht="20.25">
      <c r="A465" s="471"/>
      <c r="B465" s="471"/>
      <c r="C465" s="471"/>
      <c r="D465" s="471"/>
      <c r="E465" s="471"/>
      <c r="F465" s="471"/>
      <c r="G465" s="471"/>
      <c r="H465" s="471"/>
      <c r="I465" s="471"/>
      <c r="J465" s="471"/>
      <c r="K465" s="471"/>
    </row>
    <row r="466" spans="1:11" ht="20.25">
      <c r="A466" s="471"/>
      <c r="B466" s="471"/>
      <c r="C466" s="471"/>
      <c r="D466" s="471"/>
      <c r="E466" s="471"/>
      <c r="F466" s="471"/>
      <c r="G466" s="471"/>
      <c r="H466" s="471"/>
      <c r="I466" s="471"/>
      <c r="J466" s="471"/>
      <c r="K466" s="471"/>
    </row>
    <row r="467" spans="1:11" ht="20.25">
      <c r="A467" s="471"/>
      <c r="B467" s="471"/>
      <c r="C467" s="471"/>
      <c r="D467" s="471"/>
      <c r="E467" s="471"/>
      <c r="F467" s="471"/>
      <c r="G467" s="471"/>
      <c r="H467" s="471"/>
      <c r="I467" s="471"/>
      <c r="J467" s="471"/>
      <c r="K467" s="471"/>
    </row>
    <row r="468" spans="1:11" ht="20.25">
      <c r="A468" s="471"/>
      <c r="B468" s="471"/>
      <c r="C468" s="471"/>
      <c r="D468" s="471"/>
      <c r="E468" s="471"/>
      <c r="F468" s="471"/>
      <c r="G468" s="471"/>
      <c r="H468" s="471"/>
      <c r="I468" s="471"/>
      <c r="J468" s="471"/>
      <c r="K468" s="471"/>
    </row>
    <row r="469" spans="1:11" ht="20.25">
      <c r="A469" s="471"/>
      <c r="B469" s="471"/>
      <c r="C469" s="471"/>
      <c r="D469" s="471"/>
      <c r="E469" s="471"/>
      <c r="F469" s="471"/>
      <c r="G469" s="471"/>
      <c r="H469" s="471"/>
      <c r="I469" s="471"/>
      <c r="J469" s="471"/>
      <c r="K469" s="471"/>
    </row>
    <row r="470" spans="1:11" ht="20.25">
      <c r="A470" s="471"/>
      <c r="B470" s="471"/>
      <c r="C470" s="471"/>
      <c r="D470" s="471"/>
      <c r="E470" s="471"/>
      <c r="F470" s="471"/>
      <c r="G470" s="471"/>
      <c r="H470" s="471"/>
      <c r="I470" s="471"/>
      <c r="J470" s="471"/>
      <c r="K470" s="471"/>
    </row>
    <row r="471" spans="1:11" ht="20.25">
      <c r="A471" s="471"/>
      <c r="B471" s="471"/>
      <c r="C471" s="471"/>
      <c r="D471" s="471"/>
      <c r="E471" s="471"/>
      <c r="F471" s="471"/>
      <c r="G471" s="471"/>
      <c r="H471" s="471"/>
      <c r="I471" s="471"/>
      <c r="J471" s="471"/>
      <c r="K471" s="471"/>
    </row>
    <row r="472" spans="1:11" ht="20.25">
      <c r="A472" s="471"/>
      <c r="B472" s="471"/>
      <c r="C472" s="471"/>
      <c r="D472" s="471"/>
      <c r="E472" s="471"/>
      <c r="F472" s="471"/>
      <c r="G472" s="471"/>
      <c r="H472" s="471"/>
      <c r="I472" s="471"/>
      <c r="J472" s="471"/>
      <c r="K472" s="471"/>
    </row>
    <row r="473" spans="1:11" ht="20.25">
      <c r="A473" s="471"/>
      <c r="B473" s="471"/>
      <c r="C473" s="471"/>
      <c r="D473" s="471"/>
      <c r="E473" s="471"/>
      <c r="F473" s="471"/>
      <c r="G473" s="471"/>
      <c r="H473" s="471"/>
      <c r="I473" s="471"/>
      <c r="J473" s="471"/>
      <c r="K473" s="471"/>
    </row>
    <row r="474" spans="1:11" ht="20.25">
      <c r="A474" s="471"/>
      <c r="B474" s="471"/>
      <c r="C474" s="471"/>
      <c r="D474" s="471"/>
      <c r="E474" s="471"/>
      <c r="F474" s="471"/>
      <c r="G474" s="471"/>
      <c r="H474" s="471"/>
      <c r="I474" s="471"/>
      <c r="J474" s="471"/>
      <c r="K474" s="471"/>
    </row>
    <row r="475" spans="1:11" ht="20.25">
      <c r="A475" s="471"/>
      <c r="B475" s="471"/>
      <c r="C475" s="471"/>
      <c r="D475" s="471"/>
      <c r="E475" s="471"/>
      <c r="F475" s="471"/>
      <c r="G475" s="471"/>
      <c r="H475" s="471"/>
      <c r="I475" s="471"/>
      <c r="J475" s="471"/>
      <c r="K475" s="471"/>
    </row>
    <row r="476" spans="1:11" ht="20.25">
      <c r="A476" s="471"/>
      <c r="B476" s="471"/>
      <c r="C476" s="471"/>
      <c r="D476" s="471"/>
      <c r="E476" s="471"/>
      <c r="F476" s="471"/>
      <c r="G476" s="471"/>
      <c r="H476" s="471"/>
      <c r="I476" s="471"/>
      <c r="J476" s="471"/>
      <c r="K476" s="471"/>
    </row>
    <row r="477" spans="1:11" ht="20.25">
      <c r="A477" s="471"/>
      <c r="B477" s="471"/>
      <c r="C477" s="471"/>
      <c r="D477" s="471"/>
      <c r="E477" s="471"/>
      <c r="F477" s="471"/>
      <c r="G477" s="471"/>
      <c r="H477" s="471"/>
      <c r="I477" s="471"/>
      <c r="J477" s="471"/>
      <c r="K477" s="471"/>
    </row>
    <row r="478" spans="1:11" ht="20.25">
      <c r="A478" s="471"/>
      <c r="B478" s="471"/>
      <c r="C478" s="471"/>
      <c r="D478" s="471"/>
      <c r="E478" s="471"/>
      <c r="F478" s="471"/>
      <c r="G478" s="471"/>
      <c r="H478" s="471"/>
      <c r="I478" s="471"/>
      <c r="J478" s="471"/>
      <c r="K478" s="471"/>
    </row>
    <row r="479" spans="1:11" ht="20.25">
      <c r="A479" s="471"/>
      <c r="B479" s="471"/>
      <c r="C479" s="471"/>
      <c r="D479" s="471"/>
      <c r="E479" s="471"/>
      <c r="F479" s="471"/>
      <c r="G479" s="471"/>
      <c r="H479" s="471"/>
      <c r="I479" s="471"/>
      <c r="J479" s="471"/>
      <c r="K479" s="471"/>
    </row>
    <row r="480" spans="1:11" ht="20.25">
      <c r="A480" s="471"/>
      <c r="B480" s="471"/>
      <c r="C480" s="471"/>
      <c r="D480" s="471"/>
      <c r="E480" s="471"/>
      <c r="F480" s="471"/>
      <c r="G480" s="471"/>
      <c r="H480" s="471"/>
      <c r="I480" s="471"/>
      <c r="J480" s="471"/>
      <c r="K480" s="471"/>
    </row>
    <row r="481" spans="1:11" ht="20.25">
      <c r="A481" s="471"/>
      <c r="B481" s="471"/>
      <c r="C481" s="471"/>
      <c r="D481" s="471"/>
      <c r="E481" s="471"/>
      <c r="F481" s="471"/>
      <c r="G481" s="471"/>
      <c r="H481" s="471"/>
      <c r="I481" s="471"/>
      <c r="J481" s="471"/>
      <c r="K481" s="471"/>
    </row>
    <row r="482" spans="1:11" ht="20.25">
      <c r="A482" s="471"/>
      <c r="B482" s="471"/>
      <c r="C482" s="471"/>
      <c r="D482" s="471"/>
      <c r="E482" s="471"/>
      <c r="F482" s="471"/>
      <c r="G482" s="471"/>
      <c r="H482" s="471"/>
      <c r="I482" s="471"/>
      <c r="J482" s="471"/>
      <c r="K482" s="471"/>
    </row>
    <row r="483" spans="1:11" ht="20.25">
      <c r="A483" s="471"/>
      <c r="B483" s="471"/>
      <c r="C483" s="471"/>
      <c r="D483" s="471"/>
      <c r="E483" s="471"/>
      <c r="F483" s="471"/>
      <c r="G483" s="471"/>
      <c r="H483" s="471"/>
      <c r="I483" s="471"/>
      <c r="J483" s="471"/>
      <c r="K483" s="471"/>
    </row>
    <row r="484" spans="1:11" ht="20.25">
      <c r="A484" s="471"/>
      <c r="B484" s="471"/>
      <c r="C484" s="471"/>
      <c r="D484" s="471"/>
      <c r="E484" s="471"/>
      <c r="F484" s="471"/>
      <c r="G484" s="471"/>
      <c r="H484" s="471"/>
      <c r="I484" s="471"/>
      <c r="J484" s="471"/>
      <c r="K484" s="471"/>
    </row>
    <row r="485" spans="1:11" ht="20.25">
      <c r="A485" s="471"/>
      <c r="B485" s="471"/>
      <c r="C485" s="471"/>
      <c r="D485" s="471"/>
      <c r="E485" s="471"/>
      <c r="F485" s="471"/>
      <c r="G485" s="471"/>
      <c r="H485" s="471"/>
      <c r="I485" s="471"/>
      <c r="J485" s="471"/>
      <c r="K485" s="471"/>
    </row>
    <row r="486" spans="1:11" ht="20.25">
      <c r="A486" s="471"/>
      <c r="B486" s="471"/>
      <c r="C486" s="471"/>
      <c r="D486" s="471"/>
      <c r="E486" s="471"/>
      <c r="F486" s="471"/>
      <c r="G486" s="471"/>
      <c r="H486" s="471"/>
      <c r="I486" s="471"/>
      <c r="J486" s="471"/>
      <c r="K486" s="471"/>
    </row>
    <row r="487" spans="1:11" ht="20.25">
      <c r="A487" s="471"/>
      <c r="B487" s="471"/>
      <c r="C487" s="471"/>
      <c r="D487" s="471"/>
      <c r="E487" s="471"/>
      <c r="F487" s="471"/>
      <c r="G487" s="471"/>
      <c r="H487" s="471"/>
      <c r="I487" s="471"/>
      <c r="J487" s="471"/>
      <c r="K487" s="471"/>
    </row>
    <row r="488" spans="1:11" ht="20.25">
      <c r="A488" s="471"/>
      <c r="B488" s="471"/>
      <c r="C488" s="471"/>
      <c r="D488" s="471"/>
      <c r="E488" s="471"/>
      <c r="F488" s="471"/>
      <c r="G488" s="471"/>
      <c r="H488" s="471"/>
      <c r="I488" s="471"/>
      <c r="J488" s="471"/>
      <c r="K488" s="471"/>
    </row>
    <row r="489" spans="1:11" ht="20.25">
      <c r="A489" s="471"/>
      <c r="B489" s="471"/>
      <c r="C489" s="471"/>
      <c r="D489" s="471"/>
      <c r="E489" s="471"/>
      <c r="F489" s="471"/>
      <c r="G489" s="471"/>
      <c r="H489" s="471"/>
      <c r="I489" s="471"/>
      <c r="J489" s="471"/>
      <c r="K489" s="471"/>
    </row>
    <row r="490" spans="1:11" ht="20.25">
      <c r="A490" s="471"/>
      <c r="B490" s="471"/>
      <c r="C490" s="471"/>
      <c r="D490" s="471"/>
      <c r="E490" s="471"/>
      <c r="F490" s="471"/>
      <c r="G490" s="471"/>
      <c r="H490" s="471"/>
      <c r="I490" s="471"/>
      <c r="J490" s="471"/>
      <c r="K490" s="471"/>
    </row>
    <row r="491" spans="1:11" ht="20.25">
      <c r="A491" s="471"/>
      <c r="B491" s="471"/>
      <c r="C491" s="471"/>
      <c r="D491" s="471"/>
      <c r="E491" s="471"/>
      <c r="F491" s="471"/>
      <c r="G491" s="471"/>
      <c r="H491" s="471"/>
      <c r="I491" s="471"/>
      <c r="J491" s="471"/>
      <c r="K491" s="471"/>
    </row>
    <row r="492" spans="1:11" ht="20.25">
      <c r="A492" s="471"/>
      <c r="B492" s="471"/>
      <c r="C492" s="471"/>
      <c r="D492" s="471"/>
      <c r="E492" s="471"/>
      <c r="F492" s="471"/>
      <c r="G492" s="471"/>
      <c r="H492" s="471"/>
      <c r="I492" s="471"/>
      <c r="J492" s="471"/>
      <c r="K492" s="471"/>
    </row>
    <row r="493" spans="1:11" ht="20.25">
      <c r="A493" s="471"/>
      <c r="B493" s="471"/>
      <c r="C493" s="471"/>
      <c r="D493" s="471"/>
      <c r="E493" s="471"/>
      <c r="F493" s="471"/>
      <c r="G493" s="471"/>
      <c r="H493" s="471"/>
      <c r="I493" s="471"/>
      <c r="J493" s="471"/>
      <c r="K493" s="471"/>
    </row>
    <row r="494" spans="1:11" ht="20.25">
      <c r="A494" s="471"/>
      <c r="B494" s="471"/>
      <c r="C494" s="471"/>
      <c r="D494" s="471"/>
      <c r="E494" s="471"/>
      <c r="F494" s="471"/>
      <c r="G494" s="471"/>
      <c r="H494" s="471"/>
      <c r="I494" s="471"/>
      <c r="J494" s="471"/>
      <c r="K494" s="471"/>
    </row>
    <row r="495" spans="1:11" ht="20.25">
      <c r="A495" s="471"/>
      <c r="B495" s="471"/>
      <c r="C495" s="471"/>
      <c r="D495" s="471"/>
      <c r="E495" s="471"/>
      <c r="F495" s="471"/>
      <c r="G495" s="471"/>
      <c r="H495" s="471"/>
      <c r="I495" s="471"/>
      <c r="J495" s="471"/>
      <c r="K495" s="471"/>
    </row>
    <row r="496" spans="1:11" ht="20.25">
      <c r="A496" s="471"/>
      <c r="B496" s="471"/>
      <c r="C496" s="471"/>
      <c r="D496" s="471"/>
      <c r="E496" s="471"/>
      <c r="F496" s="471"/>
      <c r="G496" s="471"/>
      <c r="H496" s="471"/>
      <c r="I496" s="471"/>
      <c r="J496" s="471"/>
      <c r="K496" s="471"/>
    </row>
    <row r="497" spans="1:11" ht="20.25">
      <c r="A497" s="471"/>
      <c r="B497" s="471"/>
      <c r="C497" s="471"/>
      <c r="D497" s="471"/>
      <c r="E497" s="471"/>
      <c r="F497" s="471"/>
      <c r="G497" s="471"/>
      <c r="H497" s="471"/>
      <c r="I497" s="471"/>
      <c r="J497" s="471"/>
      <c r="K497" s="471"/>
    </row>
    <row r="498" spans="1:11" ht="20.25">
      <c r="A498" s="471"/>
      <c r="B498" s="471"/>
      <c r="C498" s="471"/>
      <c r="D498" s="471"/>
      <c r="E498" s="471"/>
      <c r="F498" s="471"/>
      <c r="G498" s="471"/>
      <c r="H498" s="471"/>
      <c r="I498" s="471"/>
      <c r="J498" s="471"/>
      <c r="K498" s="471"/>
    </row>
    <row r="499" spans="1:11" ht="20.25">
      <c r="A499" s="471"/>
      <c r="B499" s="471"/>
      <c r="C499" s="471"/>
      <c r="D499" s="471"/>
      <c r="E499" s="471"/>
      <c r="F499" s="471"/>
      <c r="G499" s="471"/>
      <c r="H499" s="471"/>
      <c r="I499" s="471"/>
      <c r="J499" s="471"/>
      <c r="K499" s="471"/>
    </row>
    <row r="500" spans="1:11" ht="20.25">
      <c r="A500" s="471"/>
      <c r="B500" s="471"/>
      <c r="C500" s="471"/>
      <c r="D500" s="471"/>
      <c r="E500" s="471"/>
      <c r="F500" s="471"/>
      <c r="G500" s="471"/>
      <c r="H500" s="471"/>
      <c r="I500" s="471"/>
      <c r="J500" s="471"/>
      <c r="K500" s="471"/>
    </row>
    <row r="501" spans="1:11" ht="20.25">
      <c r="A501" s="471"/>
      <c r="B501" s="471"/>
      <c r="C501" s="471"/>
      <c r="D501" s="471"/>
      <c r="E501" s="471"/>
      <c r="F501" s="471"/>
      <c r="G501" s="471"/>
      <c r="H501" s="471"/>
      <c r="I501" s="471"/>
      <c r="J501" s="471"/>
      <c r="K501" s="471"/>
    </row>
    <row r="502" spans="1:11" ht="20.25">
      <c r="A502" s="471"/>
      <c r="B502" s="471"/>
      <c r="C502" s="471"/>
      <c r="D502" s="471"/>
      <c r="E502" s="471"/>
      <c r="F502" s="471"/>
      <c r="G502" s="471"/>
      <c r="H502" s="471"/>
      <c r="I502" s="471"/>
      <c r="J502" s="471"/>
      <c r="K502" s="471"/>
    </row>
    <row r="503" spans="1:11" ht="20.25">
      <c r="A503" s="471"/>
      <c r="B503" s="471"/>
      <c r="C503" s="471"/>
      <c r="D503" s="471"/>
      <c r="E503" s="471"/>
      <c r="F503" s="471"/>
      <c r="G503" s="471"/>
      <c r="H503" s="471"/>
      <c r="I503" s="471"/>
      <c r="J503" s="471"/>
      <c r="K503" s="471"/>
    </row>
    <row r="504" spans="1:11" ht="20.25">
      <c r="A504" s="471"/>
      <c r="B504" s="471"/>
      <c r="C504" s="471"/>
      <c r="D504" s="471"/>
      <c r="E504" s="471"/>
      <c r="F504" s="471"/>
      <c r="G504" s="471"/>
      <c r="H504" s="471"/>
      <c r="I504" s="471"/>
      <c r="J504" s="471"/>
      <c r="K504" s="471"/>
    </row>
    <row r="505" spans="1:11" ht="20.25">
      <c r="A505" s="471"/>
      <c r="B505" s="471"/>
      <c r="C505" s="471"/>
      <c r="D505" s="471"/>
      <c r="E505" s="471"/>
      <c r="F505" s="471"/>
      <c r="G505" s="471"/>
      <c r="H505" s="471"/>
      <c r="I505" s="471"/>
      <c r="J505" s="471"/>
      <c r="K505" s="471"/>
    </row>
    <row r="506" spans="1:11" ht="20.25">
      <c r="A506" s="471"/>
      <c r="B506" s="471"/>
      <c r="C506" s="471"/>
      <c r="D506" s="471"/>
      <c r="E506" s="471"/>
      <c r="F506" s="471"/>
      <c r="G506" s="471"/>
      <c r="H506" s="471"/>
      <c r="I506" s="471"/>
      <c r="J506" s="471"/>
      <c r="K506" s="471"/>
    </row>
    <row r="507" spans="1:11" ht="20.25">
      <c r="A507" s="471"/>
      <c r="B507" s="471"/>
      <c r="C507" s="471"/>
      <c r="D507" s="471"/>
      <c r="E507" s="471"/>
      <c r="F507" s="471"/>
      <c r="G507" s="471"/>
      <c r="H507" s="471"/>
      <c r="I507" s="471"/>
      <c r="J507" s="471"/>
      <c r="K507" s="471"/>
    </row>
    <row r="508" spans="1:11" ht="20.25">
      <c r="A508" s="471"/>
      <c r="B508" s="471"/>
      <c r="C508" s="471"/>
      <c r="D508" s="471"/>
      <c r="E508" s="471"/>
      <c r="F508" s="471"/>
      <c r="G508" s="471"/>
      <c r="H508" s="471"/>
      <c r="I508" s="471"/>
      <c r="J508" s="471"/>
      <c r="K508" s="471"/>
    </row>
    <row r="509" spans="1:11" ht="20.25">
      <c r="A509" s="471"/>
      <c r="B509" s="471"/>
      <c r="C509" s="471"/>
      <c r="D509" s="471"/>
      <c r="E509" s="471"/>
      <c r="F509" s="471"/>
      <c r="G509" s="471"/>
      <c r="H509" s="471"/>
      <c r="I509" s="471"/>
      <c r="J509" s="471"/>
      <c r="K509" s="471"/>
    </row>
    <row r="510" spans="1:11" ht="20.25">
      <c r="A510" s="471"/>
      <c r="B510" s="471"/>
      <c r="C510" s="471"/>
      <c r="D510" s="471"/>
      <c r="E510" s="471"/>
      <c r="F510" s="471"/>
      <c r="G510" s="471"/>
      <c r="H510" s="471"/>
      <c r="I510" s="471"/>
      <c r="J510" s="471"/>
      <c r="K510" s="471"/>
    </row>
    <row r="511" spans="1:11" ht="20.25">
      <c r="A511" s="471"/>
      <c r="B511" s="471"/>
      <c r="C511" s="471"/>
      <c r="D511" s="471"/>
      <c r="E511" s="471"/>
      <c r="F511" s="471"/>
      <c r="G511" s="471"/>
      <c r="H511" s="471"/>
      <c r="I511" s="471"/>
      <c r="J511" s="471"/>
      <c r="K511" s="471"/>
    </row>
    <row r="512" spans="1:11" ht="20.25">
      <c r="A512" s="471"/>
      <c r="B512" s="471"/>
      <c r="C512" s="471"/>
      <c r="D512" s="471"/>
      <c r="E512" s="471"/>
      <c r="F512" s="471"/>
      <c r="G512" s="471"/>
      <c r="H512" s="471"/>
      <c r="I512" s="471"/>
      <c r="J512" s="471"/>
      <c r="K512" s="471"/>
    </row>
    <row r="513" spans="1:11" ht="20.25">
      <c r="A513" s="471"/>
      <c r="B513" s="471"/>
      <c r="C513" s="471"/>
      <c r="D513" s="471"/>
      <c r="E513" s="471"/>
      <c r="F513" s="471"/>
      <c r="G513" s="471"/>
      <c r="H513" s="471"/>
      <c r="I513" s="471"/>
      <c r="J513" s="471"/>
      <c r="K513" s="471"/>
    </row>
    <row r="514" spans="1:11" ht="20.25">
      <c r="A514" s="471"/>
      <c r="B514" s="471"/>
      <c r="C514" s="471"/>
      <c r="D514" s="471"/>
      <c r="E514" s="471"/>
      <c r="F514" s="471"/>
      <c r="G514" s="471"/>
      <c r="H514" s="471"/>
      <c r="I514" s="471"/>
      <c r="J514" s="471"/>
      <c r="K514" s="471"/>
    </row>
    <row r="515" spans="1:11" ht="20.25">
      <c r="A515" s="471"/>
      <c r="B515" s="471"/>
      <c r="C515" s="471"/>
      <c r="D515" s="471"/>
      <c r="E515" s="471"/>
      <c r="F515" s="471"/>
      <c r="G515" s="471"/>
      <c r="H515" s="471"/>
      <c r="I515" s="471"/>
      <c r="J515" s="471"/>
      <c r="K515" s="471"/>
    </row>
    <row r="516" spans="1:11" ht="20.25">
      <c r="A516" s="471"/>
      <c r="B516" s="471"/>
      <c r="C516" s="471"/>
      <c r="D516" s="471"/>
      <c r="E516" s="471"/>
      <c r="F516" s="471"/>
      <c r="G516" s="471"/>
      <c r="H516" s="471"/>
      <c r="I516" s="471"/>
      <c r="J516" s="471"/>
      <c r="K516" s="471"/>
    </row>
    <row r="517" spans="1:11" ht="20.25">
      <c r="A517" s="471"/>
      <c r="B517" s="471"/>
      <c r="C517" s="471"/>
      <c r="D517" s="471"/>
      <c r="E517" s="471"/>
      <c r="F517" s="471"/>
      <c r="G517" s="471"/>
      <c r="H517" s="471"/>
      <c r="I517" s="471"/>
      <c r="J517" s="471"/>
      <c r="K517" s="471"/>
    </row>
    <row r="518" spans="1:11" ht="20.25">
      <c r="A518" s="471"/>
      <c r="B518" s="471"/>
      <c r="C518" s="471"/>
      <c r="D518" s="471"/>
      <c r="E518" s="471"/>
      <c r="F518" s="471"/>
      <c r="G518" s="471"/>
      <c r="H518" s="471"/>
      <c r="I518" s="471"/>
      <c r="J518" s="471"/>
      <c r="K518" s="471"/>
    </row>
    <row r="519" spans="1:11" ht="20.25">
      <c r="A519" s="471"/>
      <c r="B519" s="471"/>
      <c r="C519" s="471"/>
      <c r="D519" s="471"/>
      <c r="E519" s="471"/>
      <c r="F519" s="471"/>
      <c r="G519" s="471"/>
      <c r="H519" s="471"/>
      <c r="I519" s="471"/>
      <c r="J519" s="471"/>
      <c r="K519" s="471"/>
    </row>
    <row r="520" spans="1:11" ht="20.25">
      <c r="A520" s="471"/>
      <c r="B520" s="471"/>
      <c r="C520" s="471"/>
      <c r="D520" s="471"/>
      <c r="E520" s="471"/>
      <c r="F520" s="471"/>
      <c r="G520" s="471"/>
      <c r="H520" s="471"/>
      <c r="I520" s="471"/>
      <c r="J520" s="471"/>
      <c r="K520" s="471"/>
    </row>
    <row r="521" spans="1:11" ht="20.25">
      <c r="A521" s="471"/>
      <c r="B521" s="471"/>
      <c r="C521" s="471"/>
      <c r="D521" s="471"/>
      <c r="E521" s="471"/>
      <c r="F521" s="471"/>
      <c r="G521" s="471"/>
      <c r="H521" s="471"/>
      <c r="I521" s="471"/>
      <c r="J521" s="471"/>
      <c r="K521" s="471"/>
    </row>
    <row r="522" spans="1:11" ht="20.25">
      <c r="A522" s="471"/>
      <c r="B522" s="471"/>
      <c r="C522" s="471"/>
      <c r="D522" s="471"/>
      <c r="E522" s="471"/>
      <c r="F522" s="471"/>
      <c r="G522" s="471"/>
      <c r="H522" s="471"/>
      <c r="I522" s="471"/>
      <c r="J522" s="471"/>
      <c r="K522" s="471"/>
    </row>
    <row r="523" spans="1:11" ht="20.25">
      <c r="A523" s="471"/>
      <c r="B523" s="471"/>
      <c r="C523" s="471"/>
      <c r="D523" s="471"/>
      <c r="E523" s="471"/>
      <c r="F523" s="471"/>
      <c r="G523" s="471"/>
      <c r="H523" s="471"/>
      <c r="I523" s="471"/>
      <c r="J523" s="471"/>
      <c r="K523" s="471"/>
    </row>
    <row r="524" spans="1:11" ht="20.25">
      <c r="A524" s="471"/>
      <c r="B524" s="471"/>
      <c r="C524" s="471"/>
      <c r="D524" s="471"/>
      <c r="E524" s="471"/>
      <c r="F524" s="471"/>
      <c r="G524" s="471"/>
      <c r="H524" s="471"/>
      <c r="I524" s="471"/>
      <c r="J524" s="471"/>
      <c r="K524" s="471"/>
    </row>
    <row r="525" spans="1:11" ht="20.25">
      <c r="A525" s="471"/>
      <c r="B525" s="471"/>
      <c r="C525" s="471"/>
      <c r="D525" s="471"/>
      <c r="E525" s="471"/>
      <c r="F525" s="471"/>
      <c r="G525" s="471"/>
      <c r="H525" s="471"/>
      <c r="I525" s="471"/>
      <c r="J525" s="471"/>
      <c r="K525" s="471"/>
    </row>
    <row r="526" spans="1:11" ht="20.25">
      <c r="A526" s="471"/>
      <c r="B526" s="471"/>
      <c r="C526" s="471"/>
      <c r="D526" s="471"/>
      <c r="E526" s="471"/>
      <c r="F526" s="471"/>
      <c r="G526" s="471"/>
      <c r="H526" s="471"/>
      <c r="I526" s="471"/>
      <c r="J526" s="471"/>
      <c r="K526" s="471"/>
    </row>
    <row r="527" spans="1:11" ht="20.25">
      <c r="A527" s="471"/>
      <c r="B527" s="471"/>
      <c r="C527" s="471"/>
      <c r="D527" s="471"/>
      <c r="E527" s="471"/>
      <c r="F527" s="471"/>
      <c r="G527" s="471"/>
      <c r="H527" s="471"/>
      <c r="I527" s="471"/>
      <c r="J527" s="471"/>
      <c r="K527" s="471"/>
    </row>
    <row r="528" spans="1:11" ht="20.25">
      <c r="A528" s="471"/>
      <c r="B528" s="471"/>
      <c r="C528" s="471"/>
      <c r="D528" s="471"/>
      <c r="E528" s="471"/>
      <c r="F528" s="471"/>
      <c r="G528" s="471"/>
      <c r="H528" s="471"/>
      <c r="I528" s="471"/>
      <c r="J528" s="471"/>
      <c r="K528" s="471"/>
    </row>
    <row r="529" spans="1:11" ht="20.25">
      <c r="A529" s="471"/>
      <c r="B529" s="471"/>
      <c r="C529" s="471"/>
      <c r="D529" s="471"/>
      <c r="E529" s="471"/>
      <c r="F529" s="471"/>
      <c r="G529" s="471"/>
      <c r="H529" s="471"/>
      <c r="I529" s="471"/>
      <c r="J529" s="471"/>
      <c r="K529" s="471"/>
    </row>
    <row r="530" spans="1:11" ht="20.25">
      <c r="A530" s="471"/>
      <c r="B530" s="471"/>
      <c r="C530" s="471"/>
      <c r="D530" s="471"/>
      <c r="E530" s="471"/>
      <c r="F530" s="471"/>
      <c r="G530" s="471"/>
      <c r="H530" s="471"/>
      <c r="I530" s="471"/>
      <c r="J530" s="471"/>
      <c r="K530" s="471"/>
    </row>
    <row r="531" spans="1:11" ht="20.25">
      <c r="A531" s="471"/>
      <c r="B531" s="471"/>
      <c r="C531" s="471"/>
      <c r="D531" s="471"/>
      <c r="E531" s="471"/>
      <c r="F531" s="471"/>
      <c r="G531" s="471"/>
      <c r="H531" s="471"/>
      <c r="I531" s="471"/>
      <c r="J531" s="471"/>
      <c r="K531" s="471"/>
    </row>
    <row r="532" spans="1:11" ht="20.25">
      <c r="A532" s="471"/>
      <c r="B532" s="471"/>
      <c r="C532" s="471"/>
      <c r="D532" s="471"/>
      <c r="E532" s="471"/>
      <c r="F532" s="471"/>
      <c r="G532" s="471"/>
      <c r="H532" s="471"/>
      <c r="I532" s="471"/>
      <c r="J532" s="471"/>
      <c r="K532" s="471"/>
    </row>
    <row r="533" spans="1:11" ht="20.25">
      <c r="A533" s="471"/>
      <c r="B533" s="471"/>
      <c r="C533" s="471"/>
      <c r="D533" s="471"/>
      <c r="E533" s="471"/>
      <c r="F533" s="471"/>
      <c r="G533" s="471"/>
      <c r="H533" s="471"/>
      <c r="I533" s="471"/>
      <c r="J533" s="471"/>
      <c r="K533" s="471"/>
    </row>
    <row r="534" spans="1:11" ht="20.25">
      <c r="A534" s="471"/>
      <c r="B534" s="471"/>
      <c r="C534" s="471"/>
      <c r="D534" s="471"/>
      <c r="E534" s="471"/>
      <c r="F534" s="471"/>
      <c r="G534" s="471"/>
      <c r="H534" s="471"/>
      <c r="I534" s="471"/>
      <c r="J534" s="471"/>
      <c r="K534" s="471"/>
    </row>
    <row r="535" spans="1:11" ht="20.25">
      <c r="A535" s="471"/>
      <c r="B535" s="471"/>
      <c r="C535" s="471"/>
      <c r="D535" s="471"/>
      <c r="E535" s="471"/>
      <c r="F535" s="471"/>
      <c r="G535" s="471"/>
      <c r="H535" s="471"/>
      <c r="I535" s="471"/>
      <c r="J535" s="471"/>
      <c r="K535" s="471"/>
    </row>
    <row r="536" spans="1:11" ht="20.25">
      <c r="A536" s="471"/>
      <c r="B536" s="471"/>
      <c r="C536" s="471"/>
      <c r="D536" s="471"/>
      <c r="E536" s="471"/>
      <c r="F536" s="471"/>
      <c r="G536" s="471"/>
      <c r="H536" s="471"/>
      <c r="I536" s="471"/>
      <c r="J536" s="471"/>
      <c r="K536" s="471"/>
    </row>
    <row r="537" spans="1:11" ht="20.25">
      <c r="A537" s="471"/>
      <c r="B537" s="471"/>
      <c r="C537" s="471"/>
      <c r="D537" s="471"/>
      <c r="E537" s="471"/>
      <c r="F537" s="471"/>
      <c r="G537" s="471"/>
      <c r="H537" s="471"/>
      <c r="I537" s="471"/>
      <c r="J537" s="471"/>
      <c r="K537" s="471"/>
    </row>
    <row r="538" spans="1:11" ht="20.25">
      <c r="A538" s="471"/>
      <c r="B538" s="471"/>
      <c r="C538" s="471"/>
      <c r="D538" s="471"/>
      <c r="E538" s="471"/>
      <c r="F538" s="471"/>
      <c r="G538" s="471"/>
      <c r="H538" s="471"/>
      <c r="I538" s="471"/>
      <c r="J538" s="471"/>
      <c r="K538" s="471"/>
    </row>
    <row r="539" spans="1:11" ht="20.25">
      <c r="A539" s="471"/>
      <c r="B539" s="471"/>
      <c r="C539" s="471"/>
      <c r="D539" s="471"/>
      <c r="E539" s="471"/>
      <c r="F539" s="471"/>
      <c r="G539" s="471"/>
      <c r="H539" s="471"/>
      <c r="I539" s="471"/>
      <c r="J539" s="471"/>
      <c r="K539" s="471"/>
    </row>
    <row r="540" spans="1:11" ht="20.25">
      <c r="A540" s="471"/>
      <c r="B540" s="471"/>
      <c r="C540" s="471"/>
      <c r="D540" s="471"/>
      <c r="E540" s="471"/>
      <c r="F540" s="471"/>
      <c r="G540" s="471"/>
      <c r="H540" s="471"/>
      <c r="I540" s="471"/>
      <c r="J540" s="471"/>
      <c r="K540" s="471"/>
    </row>
    <row r="541" spans="1:11" ht="20.25">
      <c r="A541" s="471"/>
      <c r="B541" s="471"/>
      <c r="C541" s="471"/>
      <c r="D541" s="471"/>
      <c r="E541" s="471"/>
      <c r="F541" s="471"/>
      <c r="G541" s="471"/>
      <c r="H541" s="471"/>
      <c r="I541" s="471"/>
      <c r="J541" s="471"/>
      <c r="K541" s="471"/>
    </row>
    <row r="542" spans="1:11" ht="20.25">
      <c r="A542" s="471"/>
      <c r="B542" s="471"/>
      <c r="C542" s="471"/>
      <c r="D542" s="471"/>
      <c r="E542" s="471"/>
      <c r="F542" s="471"/>
      <c r="G542" s="471"/>
      <c r="H542" s="471"/>
      <c r="I542" s="471"/>
      <c r="J542" s="471"/>
      <c r="K542" s="471"/>
    </row>
    <row r="543" spans="1:11" ht="20.25">
      <c r="A543" s="471"/>
      <c r="B543" s="471"/>
      <c r="C543" s="471"/>
      <c r="D543" s="471"/>
      <c r="E543" s="471"/>
      <c r="F543" s="471"/>
      <c r="G543" s="471"/>
      <c r="H543" s="471"/>
      <c r="I543" s="471"/>
      <c r="J543" s="471"/>
      <c r="K543" s="471"/>
    </row>
    <row r="544" spans="1:11" ht="20.25">
      <c r="A544" s="471"/>
      <c r="B544" s="471"/>
      <c r="C544" s="471"/>
      <c r="D544" s="471"/>
      <c r="E544" s="471"/>
      <c r="F544" s="471"/>
      <c r="G544" s="471"/>
      <c r="H544" s="471"/>
      <c r="I544" s="471"/>
      <c r="J544" s="471"/>
      <c r="K544" s="471"/>
    </row>
    <row r="545" spans="1:11" ht="20.25">
      <c r="A545" s="471"/>
      <c r="B545" s="471"/>
      <c r="C545" s="471"/>
      <c r="D545" s="471"/>
      <c r="E545" s="471"/>
      <c r="F545" s="471"/>
      <c r="G545" s="471"/>
      <c r="H545" s="471"/>
      <c r="I545" s="471"/>
      <c r="J545" s="471"/>
      <c r="K545" s="471"/>
    </row>
    <row r="546" spans="1:11" ht="20.25">
      <c r="A546" s="471"/>
      <c r="B546" s="471"/>
      <c r="C546" s="471"/>
      <c r="D546" s="471"/>
      <c r="E546" s="471"/>
      <c r="F546" s="471"/>
      <c r="G546" s="471"/>
      <c r="H546" s="471"/>
      <c r="I546" s="471"/>
      <c r="J546" s="471"/>
      <c r="K546" s="471"/>
    </row>
    <row r="547" spans="1:11" ht="20.25">
      <c r="A547" s="471"/>
      <c r="B547" s="471"/>
      <c r="C547" s="471"/>
      <c r="D547" s="471"/>
      <c r="E547" s="471"/>
      <c r="F547" s="471"/>
      <c r="G547" s="471"/>
      <c r="H547" s="471"/>
      <c r="I547" s="471"/>
      <c r="J547" s="471"/>
      <c r="K547" s="471"/>
    </row>
    <row r="548" spans="1:11" ht="20.25">
      <c r="A548" s="471"/>
      <c r="B548" s="471"/>
      <c r="C548" s="471"/>
      <c r="D548" s="471"/>
      <c r="E548" s="471"/>
      <c r="F548" s="471"/>
      <c r="G548" s="471"/>
      <c r="H548" s="471"/>
      <c r="I548" s="471"/>
      <c r="J548" s="471"/>
      <c r="K548" s="471"/>
    </row>
    <row r="549" spans="1:11" ht="20.25">
      <c r="A549" s="471"/>
      <c r="B549" s="471"/>
      <c r="C549" s="471"/>
      <c r="D549" s="471"/>
      <c r="E549" s="471"/>
      <c r="F549" s="471"/>
      <c r="G549" s="471"/>
      <c r="H549" s="471"/>
      <c r="I549" s="471"/>
      <c r="J549" s="471"/>
      <c r="K549" s="471"/>
    </row>
    <row r="550" spans="1:11" ht="20.25">
      <c r="A550" s="471"/>
      <c r="B550" s="471"/>
      <c r="C550" s="471"/>
      <c r="D550" s="471"/>
      <c r="E550" s="471"/>
      <c r="F550" s="471"/>
      <c r="G550" s="471"/>
      <c r="H550" s="471"/>
      <c r="I550" s="471"/>
      <c r="J550" s="471"/>
      <c r="K550" s="471"/>
    </row>
    <row r="551" spans="1:11" ht="20.25">
      <c r="A551" s="471"/>
      <c r="B551" s="471"/>
      <c r="C551" s="471"/>
      <c r="D551" s="471"/>
      <c r="E551" s="471"/>
      <c r="F551" s="471"/>
      <c r="G551" s="471"/>
      <c r="H551" s="471"/>
      <c r="I551" s="471"/>
      <c r="J551" s="471"/>
      <c r="K551" s="471"/>
    </row>
    <row r="552" spans="1:11" ht="20.25">
      <c r="A552" s="471"/>
      <c r="B552" s="471"/>
      <c r="C552" s="471"/>
      <c r="D552" s="471"/>
      <c r="E552" s="471"/>
      <c r="F552" s="471"/>
      <c r="G552" s="471"/>
      <c r="H552" s="471"/>
      <c r="I552" s="471"/>
      <c r="J552" s="471"/>
      <c r="K552" s="471"/>
    </row>
    <row r="553" spans="1:11" ht="20.25">
      <c r="A553" s="471"/>
      <c r="B553" s="471"/>
      <c r="C553" s="471"/>
      <c r="D553" s="471"/>
      <c r="E553" s="471"/>
      <c r="F553" s="471"/>
      <c r="G553" s="471"/>
      <c r="H553" s="471"/>
      <c r="I553" s="471"/>
      <c r="J553" s="471"/>
      <c r="K553" s="471"/>
    </row>
    <row r="554" spans="1:11" ht="20.25">
      <c r="A554" s="471"/>
      <c r="B554" s="471"/>
      <c r="C554" s="471"/>
      <c r="D554" s="471"/>
      <c r="E554" s="471"/>
      <c r="F554" s="471"/>
      <c r="G554" s="471"/>
      <c r="H554" s="471"/>
      <c r="I554" s="471"/>
      <c r="J554" s="471"/>
      <c r="K554" s="471"/>
    </row>
    <row r="555" spans="1:11" ht="20.25">
      <c r="A555" s="471"/>
      <c r="B555" s="471"/>
      <c r="C555" s="471"/>
      <c r="D555" s="471"/>
      <c r="E555" s="471"/>
      <c r="F555" s="471"/>
      <c r="G555" s="471"/>
      <c r="H555" s="471"/>
      <c r="I555" s="471"/>
      <c r="J555" s="471"/>
      <c r="K555" s="471"/>
    </row>
    <row r="556" spans="1:11" ht="20.25">
      <c r="A556" s="471"/>
      <c r="B556" s="471"/>
      <c r="C556" s="471"/>
      <c r="D556" s="471"/>
      <c r="E556" s="471"/>
      <c r="F556" s="471"/>
      <c r="G556" s="471"/>
      <c r="H556" s="471"/>
      <c r="I556" s="471"/>
      <c r="J556" s="471"/>
      <c r="K556" s="471"/>
    </row>
    <row r="557" spans="1:11" ht="20.25">
      <c r="A557" s="471"/>
      <c r="B557" s="471"/>
      <c r="C557" s="471"/>
      <c r="D557" s="471"/>
      <c r="E557" s="471"/>
      <c r="F557" s="471"/>
      <c r="G557" s="471"/>
      <c r="H557" s="471"/>
      <c r="I557" s="471"/>
      <c r="J557" s="471"/>
      <c r="K557" s="471"/>
    </row>
    <row r="558" spans="1:11" ht="20.25">
      <c r="A558" s="471"/>
      <c r="B558" s="471"/>
      <c r="C558" s="471"/>
      <c r="D558" s="471"/>
      <c r="E558" s="471"/>
      <c r="F558" s="471"/>
      <c r="G558" s="471"/>
      <c r="H558" s="471"/>
      <c r="I558" s="471"/>
      <c r="J558" s="471"/>
      <c r="K558" s="471"/>
    </row>
    <row r="559" spans="1:11" ht="20.25">
      <c r="A559" s="471"/>
      <c r="B559" s="471"/>
      <c r="C559" s="471"/>
      <c r="D559" s="471"/>
      <c r="E559" s="471"/>
      <c r="F559" s="471"/>
      <c r="G559" s="471"/>
      <c r="H559" s="471"/>
      <c r="I559" s="471"/>
      <c r="J559" s="471"/>
      <c r="K559" s="471"/>
    </row>
    <row r="560" spans="1:11" ht="20.25">
      <c r="A560" s="471"/>
      <c r="B560" s="471"/>
      <c r="C560" s="471"/>
      <c r="D560" s="471"/>
      <c r="E560" s="471"/>
      <c r="F560" s="471"/>
      <c r="G560" s="471"/>
      <c r="H560" s="471"/>
      <c r="I560" s="471"/>
      <c r="J560" s="471"/>
      <c r="K560" s="471"/>
    </row>
    <row r="561" spans="1:11" ht="20.25">
      <c r="A561" s="471"/>
      <c r="B561" s="471"/>
      <c r="C561" s="471"/>
      <c r="D561" s="471"/>
      <c r="E561" s="471"/>
      <c r="F561" s="471"/>
      <c r="G561" s="471"/>
      <c r="H561" s="471"/>
      <c r="I561" s="471"/>
      <c r="J561" s="471"/>
      <c r="K561" s="471"/>
    </row>
    <row r="562" spans="1:11" ht="20.25">
      <c r="A562" s="471"/>
      <c r="B562" s="471"/>
      <c r="C562" s="471"/>
      <c r="D562" s="471"/>
      <c r="E562" s="471"/>
      <c r="F562" s="471"/>
      <c r="G562" s="471"/>
      <c r="H562" s="471"/>
      <c r="I562" s="471"/>
      <c r="J562" s="471"/>
      <c r="K562" s="471"/>
    </row>
    <row r="563" spans="1:11" ht="20.25">
      <c r="A563" s="471"/>
      <c r="B563" s="471"/>
      <c r="C563" s="471"/>
      <c r="D563" s="471"/>
      <c r="E563" s="471"/>
      <c r="F563" s="471"/>
      <c r="G563" s="471"/>
      <c r="H563" s="471"/>
      <c r="I563" s="471"/>
      <c r="J563" s="471"/>
      <c r="K563" s="471"/>
    </row>
    <row r="564" spans="1:11" ht="20.25">
      <c r="A564" s="471"/>
      <c r="B564" s="471"/>
      <c r="C564" s="471"/>
      <c r="D564" s="471"/>
      <c r="E564" s="471"/>
      <c r="F564" s="471"/>
      <c r="G564" s="471"/>
      <c r="H564" s="471"/>
      <c r="I564" s="471"/>
      <c r="J564" s="471"/>
      <c r="K564" s="471"/>
    </row>
    <row r="565" spans="1:11" ht="20.25">
      <c r="A565" s="471"/>
      <c r="B565" s="471"/>
      <c r="C565" s="471"/>
      <c r="D565" s="471"/>
      <c r="E565" s="471"/>
      <c r="F565" s="471"/>
      <c r="G565" s="471"/>
      <c r="H565" s="471"/>
      <c r="I565" s="471"/>
      <c r="J565" s="471"/>
      <c r="K565" s="471"/>
    </row>
    <row r="566" spans="1:11" ht="20.25">
      <c r="A566" s="471"/>
      <c r="B566" s="471"/>
      <c r="C566" s="471"/>
      <c r="D566" s="471"/>
      <c r="E566" s="471"/>
      <c r="F566" s="471"/>
      <c r="G566" s="471"/>
      <c r="H566" s="471"/>
      <c r="I566" s="471"/>
      <c r="J566" s="471"/>
      <c r="K566" s="471"/>
    </row>
    <row r="567" spans="1:11" ht="20.25">
      <c r="A567" s="471"/>
      <c r="B567" s="471"/>
      <c r="C567" s="471"/>
      <c r="D567" s="471"/>
      <c r="E567" s="471"/>
      <c r="F567" s="471"/>
      <c r="G567" s="471"/>
      <c r="H567" s="471"/>
      <c r="I567" s="471"/>
      <c r="J567" s="471"/>
      <c r="K567" s="471"/>
    </row>
    <row r="568" spans="1:11" ht="20.25">
      <c r="A568" s="471"/>
      <c r="B568" s="471"/>
      <c r="C568" s="471"/>
      <c r="D568" s="471"/>
      <c r="E568" s="471"/>
      <c r="F568" s="471"/>
      <c r="G568" s="471"/>
      <c r="H568" s="471"/>
      <c r="I568" s="471"/>
      <c r="J568" s="471"/>
      <c r="K568" s="471"/>
    </row>
    <row r="569" spans="1:11" ht="20.25">
      <c r="A569" s="471"/>
      <c r="B569" s="471"/>
      <c r="C569" s="471"/>
      <c r="D569" s="471"/>
      <c r="E569" s="471"/>
      <c r="F569" s="471"/>
      <c r="G569" s="471"/>
      <c r="H569" s="471"/>
      <c r="I569" s="471"/>
      <c r="J569" s="471"/>
      <c r="K569" s="471"/>
    </row>
    <row r="570" spans="1:11" ht="20.25">
      <c r="A570" s="471"/>
      <c r="B570" s="471"/>
      <c r="C570" s="471"/>
      <c r="D570" s="471"/>
      <c r="E570" s="471"/>
      <c r="F570" s="471"/>
      <c r="G570" s="471"/>
      <c r="H570" s="471"/>
      <c r="I570" s="471"/>
      <c r="J570" s="471"/>
      <c r="K570" s="471"/>
    </row>
    <row r="571" spans="1:11" ht="20.25">
      <c r="A571" s="471"/>
      <c r="B571" s="471"/>
      <c r="C571" s="471"/>
      <c r="D571" s="471"/>
      <c r="E571" s="471"/>
      <c r="F571" s="471"/>
      <c r="G571" s="471"/>
      <c r="H571" s="471"/>
      <c r="I571" s="471"/>
      <c r="J571" s="471"/>
      <c r="K571" s="471"/>
    </row>
    <row r="572" spans="1:11" ht="20.25">
      <c r="A572" s="471"/>
      <c r="B572" s="471"/>
      <c r="C572" s="471"/>
      <c r="D572" s="471"/>
      <c r="E572" s="471"/>
      <c r="F572" s="471"/>
      <c r="G572" s="471"/>
      <c r="H572" s="471"/>
      <c r="I572" s="471"/>
      <c r="J572" s="471"/>
      <c r="K572" s="471"/>
    </row>
    <row r="573" spans="1:11" ht="20.25">
      <c r="A573" s="471"/>
      <c r="B573" s="471"/>
      <c r="C573" s="471"/>
      <c r="D573" s="471"/>
      <c r="E573" s="471"/>
      <c r="F573" s="471"/>
      <c r="G573" s="471"/>
      <c r="H573" s="471"/>
      <c r="I573" s="471"/>
      <c r="J573" s="471"/>
      <c r="K573" s="471"/>
    </row>
    <row r="574" spans="1:11" ht="20.25">
      <c r="A574" s="471"/>
      <c r="B574" s="471"/>
      <c r="C574" s="471"/>
      <c r="D574" s="471"/>
      <c r="E574" s="471"/>
      <c r="F574" s="471"/>
      <c r="G574" s="471"/>
      <c r="H574" s="471"/>
      <c r="I574" s="471"/>
      <c r="J574" s="471"/>
      <c r="K574" s="471"/>
    </row>
    <row r="575" spans="1:11" ht="20.25">
      <c r="A575" s="471"/>
      <c r="B575" s="471"/>
      <c r="C575" s="471"/>
      <c r="D575" s="471"/>
      <c r="E575" s="471"/>
      <c r="F575" s="471"/>
      <c r="G575" s="471"/>
      <c r="H575" s="471"/>
      <c r="I575" s="471"/>
      <c r="J575" s="471"/>
      <c r="K575" s="471"/>
    </row>
    <row r="576" spans="1:11" ht="20.25">
      <c r="A576" s="471"/>
      <c r="B576" s="471"/>
      <c r="C576" s="471"/>
      <c r="D576" s="471"/>
      <c r="E576" s="471"/>
      <c r="F576" s="471"/>
      <c r="G576" s="471"/>
      <c r="H576" s="471"/>
      <c r="I576" s="471"/>
      <c r="J576" s="471"/>
      <c r="K576" s="471"/>
    </row>
    <row r="577" spans="1:11" ht="20.25">
      <c r="A577" s="471"/>
      <c r="B577" s="471"/>
      <c r="C577" s="471"/>
      <c r="D577" s="471"/>
      <c r="E577" s="471"/>
      <c r="F577" s="471"/>
      <c r="G577" s="471"/>
      <c r="H577" s="471"/>
      <c r="I577" s="471"/>
      <c r="J577" s="471"/>
      <c r="K577" s="471"/>
    </row>
    <row r="578" spans="1:11" ht="20.25">
      <c r="A578" s="471"/>
      <c r="B578" s="471"/>
      <c r="C578" s="471"/>
      <c r="D578" s="471"/>
      <c r="E578" s="471"/>
      <c r="F578" s="471"/>
      <c r="G578" s="471"/>
      <c r="H578" s="471"/>
      <c r="I578" s="471"/>
      <c r="J578" s="471"/>
      <c r="K578" s="471"/>
    </row>
    <row r="579" spans="1:11" ht="20.25">
      <c r="A579" s="471"/>
      <c r="B579" s="471"/>
      <c r="C579" s="471"/>
      <c r="D579" s="471"/>
      <c r="E579" s="471"/>
      <c r="F579" s="471"/>
      <c r="G579" s="471"/>
      <c r="H579" s="471"/>
      <c r="I579" s="471"/>
      <c r="J579" s="471"/>
      <c r="K579" s="471"/>
    </row>
    <row r="580" spans="1:11" ht="20.25">
      <c r="A580" s="471"/>
      <c r="B580" s="471"/>
      <c r="C580" s="471"/>
      <c r="D580" s="471"/>
      <c r="E580" s="471"/>
      <c r="F580" s="471"/>
      <c r="G580" s="471"/>
      <c r="H580" s="471"/>
      <c r="I580" s="471"/>
      <c r="J580" s="471"/>
      <c r="K580" s="471"/>
    </row>
    <row r="581" spans="1:11" ht="20.25">
      <c r="A581" s="471"/>
      <c r="B581" s="471"/>
      <c r="C581" s="471"/>
      <c r="D581" s="471"/>
      <c r="E581" s="471"/>
      <c r="F581" s="471"/>
      <c r="G581" s="471"/>
      <c r="H581" s="471"/>
      <c r="I581" s="471"/>
      <c r="J581" s="471"/>
      <c r="K581" s="471"/>
    </row>
    <row r="582" spans="1:11" ht="20.25">
      <c r="A582" s="471"/>
      <c r="B582" s="471"/>
      <c r="C582" s="471"/>
      <c r="D582" s="471"/>
      <c r="E582" s="471"/>
      <c r="F582" s="471"/>
      <c r="G582" s="471"/>
      <c r="H582" s="471"/>
      <c r="I582" s="471"/>
      <c r="J582" s="471"/>
      <c r="K582" s="471"/>
    </row>
    <row r="583" spans="1:11" ht="20.25">
      <c r="A583" s="471"/>
      <c r="B583" s="471"/>
      <c r="C583" s="471"/>
      <c r="D583" s="471"/>
      <c r="E583" s="471"/>
      <c r="F583" s="471"/>
      <c r="G583" s="471"/>
      <c r="H583" s="471"/>
      <c r="I583" s="471"/>
      <c r="J583" s="471"/>
      <c r="K583" s="471"/>
    </row>
    <row r="584" spans="1:11" ht="20.25">
      <c r="A584" s="471"/>
      <c r="B584" s="471"/>
      <c r="C584" s="471"/>
      <c r="D584" s="471"/>
      <c r="E584" s="471"/>
      <c r="F584" s="471"/>
      <c r="G584" s="471"/>
      <c r="H584" s="471"/>
      <c r="I584" s="471"/>
      <c r="J584" s="471"/>
      <c r="K584" s="471"/>
    </row>
    <row r="585" spans="1:11" ht="20.25">
      <c r="A585" s="471"/>
      <c r="B585" s="471"/>
      <c r="C585" s="471"/>
      <c r="D585" s="471"/>
      <c r="E585" s="471"/>
      <c r="F585" s="471"/>
      <c r="G585" s="471"/>
      <c r="H585" s="471"/>
      <c r="I585" s="471"/>
      <c r="J585" s="471"/>
      <c r="K585" s="471"/>
    </row>
    <row r="586" spans="1:11" ht="20.25">
      <c r="A586" s="471"/>
      <c r="B586" s="471"/>
      <c r="C586" s="471"/>
      <c r="D586" s="471"/>
      <c r="E586" s="471"/>
      <c r="F586" s="471"/>
      <c r="G586" s="471"/>
      <c r="H586" s="471"/>
      <c r="I586" s="471"/>
      <c r="J586" s="471"/>
      <c r="K586" s="471"/>
    </row>
    <row r="587" spans="1:11" ht="20.25">
      <c r="A587" s="471"/>
      <c r="B587" s="471"/>
      <c r="C587" s="471"/>
      <c r="D587" s="471"/>
      <c r="E587" s="471"/>
      <c r="F587" s="471"/>
      <c r="G587" s="471"/>
      <c r="H587" s="471"/>
      <c r="I587" s="471"/>
      <c r="J587" s="471"/>
      <c r="K587" s="471"/>
    </row>
    <row r="588" spans="1:11" ht="20.25">
      <c r="A588" s="471"/>
      <c r="B588" s="471"/>
      <c r="C588" s="471"/>
      <c r="D588" s="471"/>
      <c r="E588" s="471"/>
      <c r="F588" s="471"/>
      <c r="G588" s="471"/>
      <c r="H588" s="471"/>
      <c r="I588" s="471"/>
      <c r="J588" s="471"/>
      <c r="K588" s="471"/>
    </row>
    <row r="589" spans="1:11" ht="20.25">
      <c r="A589" s="471"/>
      <c r="B589" s="471"/>
      <c r="C589" s="471"/>
      <c r="D589" s="471"/>
      <c r="E589" s="471"/>
      <c r="F589" s="471"/>
      <c r="G589" s="471"/>
      <c r="H589" s="471"/>
      <c r="I589" s="471"/>
      <c r="J589" s="471"/>
      <c r="K589" s="471"/>
    </row>
    <row r="590" spans="1:11" ht="20.25">
      <c r="A590" s="471"/>
      <c r="B590" s="471"/>
      <c r="C590" s="471"/>
      <c r="D590" s="471"/>
      <c r="E590" s="471"/>
      <c r="F590" s="471"/>
      <c r="G590" s="471"/>
      <c r="H590" s="471"/>
      <c r="I590" s="471"/>
      <c r="J590" s="471"/>
      <c r="K590" s="471"/>
    </row>
    <row r="591" spans="1:11" ht="20.25">
      <c r="A591" s="471"/>
      <c r="B591" s="471"/>
      <c r="C591" s="471"/>
      <c r="D591" s="471"/>
      <c r="E591" s="471"/>
      <c r="F591" s="471"/>
      <c r="G591" s="471"/>
      <c r="H591" s="471"/>
      <c r="I591" s="471"/>
      <c r="J591" s="471"/>
      <c r="K591" s="471"/>
    </row>
    <row r="592" spans="1:11" ht="20.25">
      <c r="A592" s="471"/>
      <c r="B592" s="471"/>
      <c r="C592" s="471"/>
      <c r="D592" s="471"/>
      <c r="E592" s="471"/>
      <c r="F592" s="471"/>
      <c r="G592" s="471"/>
      <c r="H592" s="471"/>
      <c r="I592" s="471"/>
      <c r="J592" s="471"/>
      <c r="K592" s="471"/>
    </row>
    <row r="593" spans="1:11" ht="20.25">
      <c r="A593" s="471"/>
      <c r="B593" s="471"/>
      <c r="C593" s="471"/>
      <c r="D593" s="471"/>
      <c r="E593" s="471"/>
      <c r="F593" s="471"/>
      <c r="G593" s="471"/>
      <c r="H593" s="471"/>
      <c r="I593" s="471"/>
      <c r="J593" s="471"/>
      <c r="K593" s="471"/>
    </row>
    <row r="594" spans="1:11" ht="20.25">
      <c r="A594" s="471"/>
      <c r="B594" s="471"/>
      <c r="C594" s="471"/>
      <c r="D594" s="471"/>
      <c r="E594" s="471"/>
      <c r="F594" s="471"/>
      <c r="G594" s="471"/>
      <c r="H594" s="471"/>
      <c r="I594" s="471"/>
      <c r="J594" s="471"/>
      <c r="K594" s="471"/>
    </row>
    <row r="595" spans="1:11" ht="20.25">
      <c r="A595" s="471"/>
      <c r="B595" s="471"/>
      <c r="C595" s="471"/>
      <c r="D595" s="471"/>
      <c r="E595" s="471"/>
      <c r="F595" s="471"/>
      <c r="G595" s="471"/>
      <c r="H595" s="471"/>
      <c r="I595" s="471"/>
      <c r="J595" s="471"/>
      <c r="K595" s="471"/>
    </row>
    <row r="596" spans="1:11" ht="20.25">
      <c r="A596" s="471"/>
      <c r="B596" s="471"/>
      <c r="C596" s="471"/>
      <c r="D596" s="471"/>
      <c r="E596" s="471"/>
      <c r="F596" s="471"/>
      <c r="G596" s="471"/>
      <c r="H596" s="471"/>
      <c r="I596" s="471"/>
      <c r="J596" s="471"/>
      <c r="K596" s="471"/>
    </row>
    <row r="597" spans="1:11" ht="20.25">
      <c r="A597" s="471"/>
      <c r="B597" s="471"/>
      <c r="C597" s="471"/>
      <c r="D597" s="471"/>
      <c r="E597" s="471"/>
      <c r="F597" s="471"/>
      <c r="G597" s="471"/>
      <c r="H597" s="471"/>
      <c r="I597" s="471"/>
      <c r="J597" s="471"/>
      <c r="K597" s="471"/>
    </row>
    <row r="598" spans="1:11" ht="20.25">
      <c r="A598" s="471"/>
      <c r="B598" s="471"/>
      <c r="C598" s="471"/>
      <c r="D598" s="471"/>
      <c r="E598" s="471"/>
      <c r="F598" s="471"/>
      <c r="G598" s="471"/>
      <c r="H598" s="471"/>
      <c r="I598" s="471"/>
      <c r="J598" s="471"/>
      <c r="K598" s="471"/>
    </row>
    <row r="599" spans="1:11" ht="20.25">
      <c r="A599" s="471"/>
      <c r="B599" s="471"/>
      <c r="C599" s="471"/>
      <c r="D599" s="471"/>
      <c r="E599" s="471"/>
      <c r="F599" s="471"/>
      <c r="G599" s="471"/>
      <c r="H599" s="471"/>
      <c r="I599" s="471"/>
      <c r="J599" s="471"/>
      <c r="K599" s="471"/>
    </row>
    <row r="600" spans="1:11" ht="20.25">
      <c r="A600" s="471"/>
      <c r="B600" s="471"/>
      <c r="C600" s="471"/>
      <c r="D600" s="471"/>
      <c r="E600" s="471"/>
      <c r="F600" s="471"/>
      <c r="G600" s="471"/>
      <c r="H600" s="471"/>
      <c r="I600" s="471"/>
      <c r="J600" s="471"/>
      <c r="K600" s="471"/>
    </row>
    <row r="601" spans="1:11" ht="20.25">
      <c r="A601" s="471"/>
      <c r="B601" s="471"/>
      <c r="C601" s="471"/>
      <c r="D601" s="471"/>
      <c r="E601" s="471"/>
      <c r="F601" s="471"/>
      <c r="G601" s="471"/>
      <c r="H601" s="471"/>
      <c r="I601" s="471"/>
      <c r="J601" s="471"/>
      <c r="K601" s="471"/>
    </row>
    <row r="602" spans="1:11" ht="20.25">
      <c r="A602" s="471"/>
      <c r="B602" s="471"/>
      <c r="C602" s="471"/>
      <c r="D602" s="471"/>
      <c r="E602" s="471"/>
      <c r="F602" s="471"/>
      <c r="G602" s="471"/>
      <c r="H602" s="471"/>
      <c r="I602" s="471"/>
      <c r="J602" s="471"/>
      <c r="K602" s="471"/>
    </row>
    <row r="603" spans="1:11" ht="20.25">
      <c r="A603" s="471"/>
      <c r="B603" s="471"/>
      <c r="C603" s="471"/>
      <c r="D603" s="471"/>
      <c r="E603" s="471"/>
      <c r="F603" s="471"/>
      <c r="G603" s="471"/>
      <c r="H603" s="471"/>
      <c r="I603" s="471"/>
      <c r="J603" s="471"/>
      <c r="K603" s="471"/>
    </row>
    <row r="604" spans="1:11" ht="20.25">
      <c r="A604" s="471"/>
      <c r="B604" s="471"/>
      <c r="C604" s="471"/>
      <c r="D604" s="471"/>
      <c r="E604" s="471"/>
      <c r="F604" s="471"/>
      <c r="G604" s="471"/>
      <c r="H604" s="471"/>
      <c r="I604" s="471"/>
      <c r="J604" s="471"/>
      <c r="K604" s="471"/>
    </row>
    <row r="605" spans="1:11" ht="20.25">
      <c r="A605" s="471"/>
      <c r="B605" s="471"/>
      <c r="C605" s="471"/>
      <c r="D605" s="471"/>
      <c r="E605" s="471"/>
      <c r="F605" s="471"/>
      <c r="G605" s="471"/>
      <c r="H605" s="471"/>
      <c r="I605" s="471"/>
      <c r="J605" s="471"/>
      <c r="K605" s="471"/>
    </row>
    <row r="606" spans="1:11" ht="20.25">
      <c r="A606" s="471"/>
      <c r="B606" s="471"/>
      <c r="C606" s="471"/>
      <c r="D606" s="471"/>
      <c r="E606" s="471"/>
      <c r="F606" s="471"/>
      <c r="G606" s="471"/>
      <c r="H606" s="471"/>
      <c r="I606" s="471"/>
      <c r="J606" s="471"/>
      <c r="K606" s="471"/>
    </row>
    <row r="607" spans="1:11" ht="20.25">
      <c r="A607" s="471"/>
      <c r="B607" s="471"/>
      <c r="C607" s="471"/>
      <c r="D607" s="471"/>
      <c r="E607" s="471"/>
      <c r="F607" s="471"/>
      <c r="G607" s="471"/>
      <c r="H607" s="471"/>
      <c r="I607" s="471"/>
      <c r="J607" s="471"/>
      <c r="K607" s="471"/>
    </row>
    <row r="608" spans="1:11" ht="20.25">
      <c r="A608" s="471"/>
      <c r="B608" s="471"/>
      <c r="C608" s="471"/>
      <c r="D608" s="471"/>
      <c r="E608" s="471"/>
      <c r="F608" s="471"/>
      <c r="G608" s="471"/>
      <c r="H608" s="471"/>
      <c r="I608" s="471"/>
      <c r="J608" s="471"/>
      <c r="K608" s="471"/>
    </row>
    <row r="609" spans="1:11" ht="20.25">
      <c r="A609" s="471"/>
      <c r="B609" s="471"/>
      <c r="C609" s="471"/>
      <c r="D609" s="471"/>
      <c r="E609" s="471"/>
      <c r="F609" s="471"/>
      <c r="G609" s="471"/>
      <c r="H609" s="471"/>
      <c r="I609" s="471"/>
      <c r="J609" s="471"/>
      <c r="K609" s="471"/>
    </row>
    <row r="610" spans="1:11" ht="20.25">
      <c r="A610" s="471"/>
      <c r="B610" s="471"/>
      <c r="C610" s="471"/>
      <c r="D610" s="471"/>
      <c r="E610" s="471"/>
      <c r="F610" s="471"/>
      <c r="G610" s="471"/>
      <c r="H610" s="471"/>
      <c r="I610" s="471"/>
      <c r="J610" s="471"/>
      <c r="K610" s="471"/>
    </row>
    <row r="611" spans="1:11" ht="20.25">
      <c r="A611" s="471"/>
      <c r="B611" s="471"/>
      <c r="C611" s="471"/>
      <c r="D611" s="471"/>
      <c r="E611" s="471"/>
      <c r="F611" s="471"/>
      <c r="G611" s="471"/>
      <c r="H611" s="471"/>
      <c r="I611" s="471"/>
      <c r="J611" s="471"/>
      <c r="K611" s="471"/>
    </row>
    <row r="612" spans="1:11" ht="20.25">
      <c r="A612" s="471"/>
      <c r="B612" s="471"/>
      <c r="C612" s="471"/>
      <c r="D612" s="471"/>
      <c r="E612" s="471"/>
      <c r="F612" s="471"/>
      <c r="G612" s="471"/>
      <c r="H612" s="471"/>
      <c r="I612" s="471"/>
      <c r="J612" s="471"/>
      <c r="K612" s="471"/>
    </row>
    <row r="613" spans="1:11" ht="20.25">
      <c r="A613" s="471"/>
      <c r="B613" s="471"/>
      <c r="C613" s="471"/>
      <c r="D613" s="471"/>
      <c r="E613" s="471"/>
      <c r="F613" s="471"/>
      <c r="G613" s="471"/>
      <c r="H613" s="471"/>
      <c r="I613" s="471"/>
      <c r="J613" s="471"/>
      <c r="K613" s="471"/>
    </row>
    <row r="614" spans="1:11" ht="20.25">
      <c r="A614" s="471"/>
      <c r="B614" s="471"/>
      <c r="C614" s="471"/>
      <c r="D614" s="471"/>
      <c r="E614" s="471"/>
      <c r="F614" s="471"/>
      <c r="G614" s="471"/>
      <c r="H614" s="471"/>
      <c r="I614" s="471"/>
      <c r="J614" s="471"/>
      <c r="K614" s="471"/>
    </row>
    <row r="615" spans="1:11" ht="20.25">
      <c r="A615" s="471"/>
      <c r="B615" s="471"/>
      <c r="C615" s="471"/>
      <c r="D615" s="471"/>
      <c r="E615" s="471"/>
      <c r="F615" s="471"/>
      <c r="G615" s="471"/>
      <c r="H615" s="471"/>
      <c r="I615" s="471"/>
      <c r="J615" s="471"/>
      <c r="K615" s="471"/>
    </row>
    <row r="616" spans="1:11" ht="20.25">
      <c r="A616" s="471"/>
      <c r="B616" s="471"/>
      <c r="C616" s="471"/>
      <c r="D616" s="471"/>
      <c r="E616" s="471"/>
      <c r="F616" s="471"/>
      <c r="G616" s="471"/>
      <c r="H616" s="471"/>
      <c r="I616" s="471"/>
      <c r="J616" s="471"/>
      <c r="K616" s="471"/>
    </row>
    <row r="617" spans="1:11" ht="20.25">
      <c r="A617" s="471"/>
      <c r="B617" s="471"/>
      <c r="C617" s="471"/>
      <c r="D617" s="471"/>
      <c r="E617" s="471"/>
      <c r="F617" s="471"/>
      <c r="G617" s="471"/>
      <c r="H617" s="471"/>
      <c r="I617" s="471"/>
      <c r="J617" s="471"/>
      <c r="K617" s="471"/>
    </row>
    <row r="618" spans="1:11" ht="20.25">
      <c r="A618" s="471"/>
      <c r="B618" s="471"/>
      <c r="C618" s="471"/>
      <c r="D618" s="471"/>
      <c r="E618" s="471"/>
      <c r="F618" s="471"/>
      <c r="G618" s="471"/>
      <c r="H618" s="471"/>
      <c r="I618" s="471"/>
      <c r="J618" s="471"/>
      <c r="K618" s="471"/>
    </row>
    <row r="619" spans="1:11" ht="20.25">
      <c r="A619" s="471"/>
      <c r="B619" s="471"/>
      <c r="C619" s="471"/>
      <c r="D619" s="471"/>
      <c r="E619" s="471"/>
      <c r="F619" s="471"/>
      <c r="G619" s="471"/>
      <c r="H619" s="471"/>
      <c r="I619" s="471"/>
      <c r="J619" s="471"/>
      <c r="K619" s="471"/>
    </row>
    <row r="620" spans="1:11" ht="20.25">
      <c r="A620" s="471"/>
      <c r="B620" s="471"/>
      <c r="C620" s="471"/>
      <c r="D620" s="471"/>
      <c r="E620" s="471"/>
      <c r="F620" s="471"/>
      <c r="G620" s="471"/>
      <c r="H620" s="471"/>
      <c r="I620" s="471"/>
      <c r="J620" s="471"/>
      <c r="K620" s="471"/>
    </row>
    <row r="621" spans="1:11" ht="20.25">
      <c r="A621" s="471"/>
      <c r="B621" s="471"/>
      <c r="C621" s="471"/>
      <c r="D621" s="471"/>
      <c r="E621" s="471"/>
      <c r="F621" s="471"/>
      <c r="G621" s="471"/>
      <c r="H621" s="471"/>
      <c r="I621" s="471"/>
      <c r="J621" s="471"/>
      <c r="K621" s="471"/>
    </row>
    <row r="622" spans="1:11" ht="20.25">
      <c r="A622" s="471"/>
      <c r="B622" s="471"/>
      <c r="C622" s="471"/>
      <c r="D622" s="471"/>
      <c r="E622" s="471"/>
      <c r="F622" s="471"/>
      <c r="G622" s="471"/>
      <c r="H622" s="471"/>
      <c r="I622" s="471"/>
      <c r="J622" s="471"/>
      <c r="K622" s="471"/>
    </row>
    <row r="623" spans="1:11" ht="20.25">
      <c r="A623" s="471"/>
      <c r="B623" s="471"/>
      <c r="C623" s="471"/>
      <c r="D623" s="471"/>
      <c r="E623" s="471"/>
      <c r="F623" s="471"/>
      <c r="G623" s="471"/>
      <c r="H623" s="471"/>
      <c r="I623" s="471"/>
      <c r="J623" s="471"/>
      <c r="K623" s="471"/>
    </row>
    <row r="624" spans="1:11" ht="20.25">
      <c r="A624" s="471"/>
      <c r="B624" s="471"/>
      <c r="C624" s="471"/>
      <c r="D624" s="471"/>
      <c r="E624" s="471"/>
      <c r="F624" s="471"/>
      <c r="G624" s="471"/>
      <c r="H624" s="471"/>
      <c r="I624" s="471"/>
      <c r="J624" s="471"/>
      <c r="K624" s="471"/>
    </row>
    <row r="625" spans="1:11" ht="20.25">
      <c r="A625" s="471"/>
      <c r="B625" s="471"/>
      <c r="C625" s="471"/>
      <c r="D625" s="471"/>
      <c r="E625" s="471"/>
      <c r="F625" s="471"/>
      <c r="G625" s="471"/>
      <c r="H625" s="471"/>
      <c r="I625" s="471"/>
      <c r="J625" s="471"/>
      <c r="K625" s="471"/>
    </row>
    <row r="626" spans="1:11" ht="20.25">
      <c r="A626" s="471"/>
      <c r="B626" s="471"/>
      <c r="C626" s="471"/>
      <c r="D626" s="471"/>
      <c r="E626" s="471"/>
      <c r="F626" s="471"/>
      <c r="G626" s="471"/>
      <c r="H626" s="471"/>
      <c r="I626" s="471"/>
      <c r="J626" s="471"/>
      <c r="K626" s="471"/>
    </row>
    <row r="627" spans="1:11" ht="20.25">
      <c r="A627" s="471"/>
      <c r="B627" s="471"/>
      <c r="C627" s="471"/>
      <c r="D627" s="471"/>
      <c r="E627" s="471"/>
      <c r="F627" s="471"/>
      <c r="G627" s="471"/>
      <c r="H627" s="471"/>
      <c r="I627" s="471"/>
      <c r="J627" s="471"/>
      <c r="K627" s="471"/>
    </row>
    <row r="628" spans="1:11" ht="20.25">
      <c r="A628" s="471"/>
      <c r="B628" s="471"/>
      <c r="C628" s="471"/>
      <c r="D628" s="471"/>
      <c r="E628" s="471"/>
      <c r="F628" s="471"/>
      <c r="G628" s="471"/>
      <c r="H628" s="471"/>
      <c r="I628" s="471"/>
      <c r="J628" s="471"/>
      <c r="K628" s="471"/>
    </row>
    <row r="629" spans="1:11" ht="20.25">
      <c r="A629" s="471"/>
      <c r="B629" s="471"/>
      <c r="C629" s="471"/>
      <c r="D629" s="471"/>
      <c r="E629" s="471"/>
      <c r="F629" s="471"/>
      <c r="G629" s="471"/>
      <c r="H629" s="471"/>
      <c r="I629" s="471"/>
      <c r="J629" s="471"/>
      <c r="K629" s="471"/>
    </row>
    <row r="630" spans="1:11" ht="20.25">
      <c r="A630" s="471"/>
      <c r="B630" s="471"/>
      <c r="C630" s="471"/>
      <c r="D630" s="471"/>
      <c r="E630" s="471"/>
      <c r="F630" s="471"/>
      <c r="G630" s="471"/>
      <c r="H630" s="471"/>
      <c r="I630" s="471"/>
      <c r="J630" s="471"/>
      <c r="K630" s="471"/>
    </row>
    <row r="631" spans="1:11" ht="20.25">
      <c r="A631" s="471"/>
      <c r="B631" s="471"/>
      <c r="C631" s="471"/>
      <c r="D631" s="471"/>
      <c r="E631" s="471"/>
      <c r="F631" s="471"/>
      <c r="G631" s="471"/>
      <c r="H631" s="471"/>
      <c r="I631" s="471"/>
      <c r="J631" s="471"/>
      <c r="K631" s="471"/>
    </row>
    <row r="632" spans="1:11" ht="20.25">
      <c r="A632" s="471"/>
      <c r="B632" s="471"/>
      <c r="C632" s="471"/>
      <c r="D632" s="471"/>
      <c r="E632" s="471"/>
      <c r="F632" s="471"/>
      <c r="G632" s="471"/>
      <c r="H632" s="471"/>
      <c r="I632" s="471"/>
      <c r="J632" s="471"/>
      <c r="K632" s="471"/>
    </row>
    <row r="633" spans="1:11" ht="20.25">
      <c r="A633" s="471"/>
      <c r="B633" s="471"/>
      <c r="C633" s="471"/>
      <c r="D633" s="471"/>
      <c r="E633" s="471"/>
      <c r="F633" s="471"/>
      <c r="G633" s="471"/>
      <c r="H633" s="471"/>
      <c r="I633" s="471"/>
      <c r="J633" s="471"/>
      <c r="K633" s="471"/>
    </row>
    <row r="634" spans="1:11" ht="20.25">
      <c r="A634" s="471"/>
      <c r="B634" s="471"/>
      <c r="C634" s="471"/>
      <c r="D634" s="471"/>
      <c r="E634" s="471"/>
      <c r="F634" s="471"/>
      <c r="G634" s="471"/>
      <c r="H634" s="471"/>
      <c r="I634" s="471"/>
      <c r="J634" s="471"/>
      <c r="K634" s="471"/>
    </row>
    <row r="635" spans="1:11" ht="20.25">
      <c r="A635" s="471"/>
      <c r="B635" s="471"/>
      <c r="C635" s="471"/>
      <c r="D635" s="471"/>
      <c r="E635" s="471"/>
      <c r="F635" s="471"/>
      <c r="G635" s="471"/>
      <c r="H635" s="471"/>
      <c r="I635" s="471"/>
      <c r="J635" s="471"/>
      <c r="K635" s="471"/>
    </row>
    <row r="636" spans="1:11" ht="20.25">
      <c r="A636" s="471"/>
      <c r="B636" s="471"/>
      <c r="C636" s="471"/>
      <c r="D636" s="471"/>
      <c r="E636" s="471"/>
      <c r="F636" s="471"/>
      <c r="G636" s="471"/>
      <c r="H636" s="471"/>
      <c r="I636" s="471"/>
      <c r="J636" s="471"/>
      <c r="K636" s="471"/>
    </row>
    <row r="637" spans="1:11" ht="20.25">
      <c r="A637" s="471"/>
      <c r="B637" s="471"/>
      <c r="C637" s="471"/>
      <c r="D637" s="471"/>
      <c r="E637" s="471"/>
      <c r="F637" s="471"/>
      <c r="G637" s="471"/>
      <c r="H637" s="471"/>
      <c r="I637" s="471"/>
      <c r="J637" s="471"/>
      <c r="K637" s="471"/>
    </row>
    <row r="638" spans="1:11" ht="20.25">
      <c r="A638" s="471"/>
      <c r="B638" s="471"/>
      <c r="C638" s="471"/>
      <c r="D638" s="471"/>
      <c r="E638" s="471"/>
      <c r="F638" s="471"/>
      <c r="G638" s="471"/>
      <c r="H638" s="471"/>
      <c r="I638" s="471"/>
      <c r="J638" s="471"/>
      <c r="K638" s="471"/>
    </row>
    <row r="639" spans="1:11" ht="20.25">
      <c r="A639" s="471"/>
      <c r="B639" s="471"/>
      <c r="C639" s="471"/>
      <c r="D639" s="471"/>
      <c r="E639" s="471"/>
      <c r="F639" s="471"/>
      <c r="G639" s="471"/>
      <c r="H639" s="471"/>
      <c r="I639" s="471"/>
      <c r="J639" s="471"/>
      <c r="K639" s="471"/>
    </row>
    <row r="640" spans="1:11" ht="20.25">
      <c r="A640" s="471"/>
      <c r="B640" s="471"/>
      <c r="C640" s="471"/>
      <c r="D640" s="471"/>
      <c r="E640" s="471"/>
      <c r="F640" s="471"/>
      <c r="G640" s="471"/>
      <c r="H640" s="471"/>
      <c r="I640" s="471"/>
      <c r="J640" s="471"/>
      <c r="K640" s="471"/>
    </row>
    <row r="641" spans="1:11" ht="20.25">
      <c r="A641" s="471"/>
      <c r="B641" s="471"/>
      <c r="C641" s="471"/>
      <c r="D641" s="471"/>
      <c r="E641" s="471"/>
      <c r="F641" s="471"/>
      <c r="G641" s="471"/>
      <c r="H641" s="471"/>
      <c r="I641" s="471"/>
      <c r="J641" s="471"/>
      <c r="K641" s="471"/>
    </row>
    <row r="642" spans="1:11" ht="20.25">
      <c r="A642" s="471"/>
      <c r="B642" s="471"/>
      <c r="C642" s="471"/>
      <c r="D642" s="471"/>
      <c r="E642" s="471"/>
      <c r="F642" s="471"/>
      <c r="G642" s="471"/>
      <c r="H642" s="471"/>
      <c r="I642" s="471"/>
      <c r="J642" s="471"/>
      <c r="K642" s="471"/>
    </row>
    <row r="643" spans="1:11" ht="20.25">
      <c r="A643" s="471"/>
      <c r="B643" s="471"/>
      <c r="C643" s="471"/>
      <c r="D643" s="471"/>
      <c r="E643" s="471"/>
      <c r="F643" s="471"/>
      <c r="G643" s="471"/>
      <c r="H643" s="471"/>
      <c r="I643" s="471"/>
      <c r="J643" s="471"/>
      <c r="K643" s="471"/>
    </row>
    <row r="644" spans="1:11" ht="20.25">
      <c r="A644" s="471"/>
      <c r="B644" s="471"/>
      <c r="C644" s="471"/>
      <c r="D644" s="471"/>
      <c r="E644" s="471"/>
      <c r="F644" s="471"/>
      <c r="G644" s="471"/>
      <c r="H644" s="471"/>
      <c r="I644" s="471"/>
      <c r="J644" s="471"/>
      <c r="K644" s="471"/>
    </row>
    <row r="645" spans="1:11" ht="20.25">
      <c r="A645" s="471"/>
      <c r="B645" s="471"/>
      <c r="C645" s="471"/>
      <c r="D645" s="471"/>
      <c r="E645" s="471"/>
      <c r="F645" s="471"/>
      <c r="G645" s="471"/>
      <c r="H645" s="471"/>
      <c r="I645" s="471"/>
      <c r="J645" s="471"/>
      <c r="K645" s="471"/>
    </row>
    <row r="646" spans="1:11" ht="20.25">
      <c r="A646" s="471"/>
      <c r="B646" s="471"/>
      <c r="C646" s="471"/>
      <c r="D646" s="471"/>
      <c r="E646" s="471"/>
      <c r="F646" s="471"/>
      <c r="G646" s="471"/>
      <c r="H646" s="471"/>
      <c r="I646" s="471"/>
      <c r="J646" s="471"/>
      <c r="K646" s="471"/>
    </row>
    <row r="647" spans="1:11" ht="20.25">
      <c r="A647" s="471"/>
      <c r="B647" s="471"/>
      <c r="C647" s="471"/>
      <c r="D647" s="471"/>
      <c r="E647" s="471"/>
      <c r="F647" s="471"/>
      <c r="G647" s="471"/>
      <c r="H647" s="471"/>
      <c r="I647" s="471"/>
      <c r="J647" s="471"/>
      <c r="K647" s="471"/>
    </row>
    <row r="648" spans="1:11" ht="20.25">
      <c r="A648" s="471"/>
      <c r="B648" s="471"/>
      <c r="C648" s="471"/>
      <c r="D648" s="471"/>
      <c r="E648" s="471"/>
      <c r="F648" s="471"/>
      <c r="G648" s="471"/>
      <c r="H648" s="471"/>
      <c r="I648" s="471"/>
      <c r="J648" s="471"/>
      <c r="K648" s="471"/>
    </row>
    <row r="649" spans="1:11" ht="20.25">
      <c r="A649" s="471"/>
      <c r="B649" s="471"/>
      <c r="C649" s="471"/>
      <c r="D649" s="471"/>
      <c r="E649" s="471"/>
      <c r="F649" s="471"/>
      <c r="G649" s="471"/>
      <c r="H649" s="471"/>
      <c r="I649" s="471"/>
      <c r="J649" s="471"/>
      <c r="K649" s="471"/>
    </row>
    <row r="650" spans="1:11" ht="20.25">
      <c r="A650" s="471"/>
      <c r="B650" s="471"/>
      <c r="C650" s="471"/>
      <c r="D650" s="471"/>
      <c r="E650" s="471"/>
      <c r="F650" s="471"/>
      <c r="G650" s="471"/>
      <c r="H650" s="471"/>
      <c r="I650" s="471"/>
      <c r="J650" s="471"/>
      <c r="K650" s="471"/>
    </row>
    <row r="651" spans="1:11" ht="20.25">
      <c r="A651" s="471"/>
      <c r="B651" s="471"/>
      <c r="C651" s="471"/>
      <c r="D651" s="471"/>
      <c r="E651" s="471"/>
      <c r="F651" s="471"/>
      <c r="G651" s="471"/>
      <c r="H651" s="471"/>
      <c r="I651" s="471"/>
      <c r="J651" s="471"/>
      <c r="K651" s="471"/>
    </row>
    <row r="652" spans="1:11" ht="20.25">
      <c r="A652" s="471"/>
      <c r="B652" s="471"/>
      <c r="C652" s="471"/>
      <c r="D652" s="471"/>
      <c r="E652" s="471"/>
      <c r="F652" s="471"/>
      <c r="G652" s="471"/>
      <c r="H652" s="471"/>
      <c r="I652" s="471"/>
      <c r="J652" s="471"/>
      <c r="K652" s="471"/>
    </row>
    <row r="653" spans="1:11" ht="20.25">
      <c r="A653" s="471"/>
      <c r="B653" s="471"/>
      <c r="C653" s="471"/>
      <c r="D653" s="471"/>
      <c r="E653" s="471"/>
      <c r="F653" s="471"/>
      <c r="G653" s="471"/>
      <c r="H653" s="471"/>
      <c r="I653" s="471"/>
      <c r="J653" s="471"/>
      <c r="K653" s="471"/>
    </row>
    <row r="654" spans="1:11" ht="20.25">
      <c r="A654" s="471"/>
      <c r="B654" s="471"/>
      <c r="C654" s="471"/>
      <c r="D654" s="471"/>
      <c r="E654" s="471"/>
      <c r="F654" s="471"/>
      <c r="G654" s="471"/>
      <c r="H654" s="471"/>
      <c r="I654" s="471"/>
      <c r="J654" s="471"/>
      <c r="K654" s="471"/>
    </row>
    <row r="655" spans="1:11" ht="20.25">
      <c r="A655" s="471"/>
      <c r="B655" s="471"/>
      <c r="C655" s="471"/>
      <c r="D655" s="471"/>
      <c r="E655" s="471"/>
      <c r="F655" s="471"/>
      <c r="G655" s="471"/>
      <c r="H655" s="471"/>
      <c r="I655" s="471"/>
      <c r="J655" s="471"/>
      <c r="K655" s="471"/>
    </row>
    <row r="656" spans="1:11" ht="20.25">
      <c r="A656" s="471"/>
      <c r="B656" s="471"/>
      <c r="C656" s="471"/>
      <c r="D656" s="471"/>
      <c r="E656" s="471"/>
      <c r="F656" s="471"/>
      <c r="G656" s="471"/>
      <c r="H656" s="471"/>
      <c r="I656" s="471"/>
      <c r="J656" s="471"/>
      <c r="K656" s="471"/>
    </row>
    <row r="657" spans="1:11" ht="20.25">
      <c r="A657" s="471"/>
      <c r="B657" s="471"/>
      <c r="C657" s="471"/>
      <c r="D657" s="471"/>
      <c r="E657" s="471"/>
      <c r="F657" s="471"/>
      <c r="G657" s="471"/>
      <c r="H657" s="471"/>
      <c r="I657" s="471"/>
      <c r="J657" s="471"/>
      <c r="K657" s="471"/>
    </row>
    <row r="658" spans="1:11" ht="20.25">
      <c r="A658" s="471"/>
      <c r="B658" s="471"/>
      <c r="C658" s="471"/>
      <c r="D658" s="471"/>
      <c r="E658" s="471"/>
      <c r="F658" s="471"/>
      <c r="G658" s="471"/>
      <c r="H658" s="471"/>
      <c r="I658" s="471"/>
      <c r="J658" s="471"/>
      <c r="K658" s="471"/>
    </row>
    <row r="659" spans="1:11" ht="20.25">
      <c r="A659" s="471"/>
      <c r="B659" s="471"/>
      <c r="C659" s="471"/>
      <c r="D659" s="471"/>
      <c r="E659" s="471"/>
      <c r="F659" s="471"/>
      <c r="G659" s="471"/>
      <c r="H659" s="471"/>
      <c r="I659" s="471"/>
      <c r="J659" s="471"/>
      <c r="K659" s="471"/>
    </row>
    <row r="660" spans="1:11" ht="20.25">
      <c r="A660" s="471"/>
      <c r="B660" s="471"/>
      <c r="C660" s="471"/>
      <c r="D660" s="471"/>
      <c r="E660" s="471"/>
      <c r="F660" s="471"/>
      <c r="G660" s="471"/>
      <c r="H660" s="471"/>
      <c r="I660" s="471"/>
      <c r="J660" s="471"/>
      <c r="K660" s="471"/>
    </row>
    <row r="661" spans="1:11" ht="20.25">
      <c r="A661" s="471"/>
      <c r="B661" s="471"/>
      <c r="C661" s="471"/>
      <c r="D661" s="471"/>
      <c r="E661" s="471"/>
      <c r="F661" s="471"/>
      <c r="G661" s="471"/>
      <c r="H661" s="471"/>
      <c r="I661" s="471"/>
      <c r="J661" s="471"/>
      <c r="K661" s="471"/>
    </row>
    <row r="662" spans="1:11" ht="20.25">
      <c r="A662" s="471"/>
      <c r="B662" s="471"/>
      <c r="C662" s="471"/>
      <c r="D662" s="471"/>
      <c r="E662" s="471"/>
      <c r="F662" s="471"/>
      <c r="G662" s="471"/>
      <c r="H662" s="471"/>
      <c r="I662" s="471"/>
      <c r="J662" s="471"/>
      <c r="K662" s="471"/>
    </row>
    <row r="663" spans="1:11" ht="20.25">
      <c r="A663" s="471"/>
      <c r="B663" s="471"/>
      <c r="C663" s="471"/>
      <c r="D663" s="471"/>
      <c r="E663" s="471"/>
      <c r="F663" s="471"/>
      <c r="G663" s="471"/>
      <c r="H663" s="471"/>
      <c r="I663" s="471"/>
      <c r="J663" s="471"/>
      <c r="K663" s="471"/>
    </row>
    <row r="664" spans="1:11" ht="20.25">
      <c r="A664" s="471"/>
      <c r="B664" s="471"/>
      <c r="C664" s="471"/>
      <c r="D664" s="471"/>
      <c r="E664" s="471"/>
      <c r="F664" s="471"/>
      <c r="G664" s="471"/>
      <c r="H664" s="471"/>
      <c r="I664" s="471"/>
      <c r="J664" s="471"/>
      <c r="K664" s="471"/>
    </row>
    <row r="665" spans="1:11" ht="20.25">
      <c r="A665" s="471"/>
      <c r="B665" s="471"/>
      <c r="C665" s="471"/>
      <c r="D665" s="471"/>
      <c r="E665" s="471"/>
      <c r="F665" s="471"/>
      <c r="G665" s="471"/>
      <c r="H665" s="471"/>
      <c r="I665" s="471"/>
      <c r="J665" s="471"/>
      <c r="K665" s="471"/>
    </row>
    <row r="666" spans="1:11" ht="20.25">
      <c r="A666" s="471"/>
      <c r="B666" s="471"/>
      <c r="C666" s="471"/>
      <c r="D666" s="471"/>
      <c r="E666" s="471"/>
      <c r="F666" s="471"/>
      <c r="G666" s="471"/>
      <c r="H666" s="471"/>
      <c r="I666" s="471"/>
      <c r="J666" s="471"/>
      <c r="K666" s="471"/>
    </row>
    <row r="667" spans="1:11" ht="20.25">
      <c r="A667" s="471"/>
      <c r="B667" s="471"/>
      <c r="C667" s="471"/>
      <c r="D667" s="471"/>
      <c r="E667" s="471"/>
      <c r="F667" s="471"/>
      <c r="G667" s="471"/>
      <c r="H667" s="471"/>
      <c r="I667" s="471"/>
      <c r="J667" s="471"/>
      <c r="K667" s="471"/>
    </row>
    <row r="668" spans="1:11" ht="20.25">
      <c r="A668" s="471"/>
      <c r="B668" s="471"/>
      <c r="C668" s="471"/>
      <c r="D668" s="471"/>
      <c r="E668" s="471"/>
      <c r="F668" s="471"/>
      <c r="G668" s="471"/>
      <c r="H668" s="471"/>
      <c r="I668" s="471"/>
      <c r="J668" s="471"/>
      <c r="K668" s="471"/>
    </row>
    <row r="669" spans="1:11" ht="20.25">
      <c r="A669" s="471"/>
      <c r="B669" s="471"/>
      <c r="C669" s="471"/>
      <c r="D669" s="471"/>
      <c r="E669" s="471"/>
      <c r="F669" s="471"/>
      <c r="G669" s="471"/>
      <c r="H669" s="471"/>
      <c r="I669" s="471"/>
      <c r="J669" s="471"/>
      <c r="K669" s="471"/>
    </row>
    <row r="670" spans="1:11" ht="20.25">
      <c r="A670" s="471"/>
      <c r="B670" s="471"/>
      <c r="C670" s="471"/>
      <c r="D670" s="471"/>
      <c r="E670" s="471"/>
      <c r="F670" s="471"/>
      <c r="G670" s="471"/>
      <c r="H670" s="471"/>
      <c r="I670" s="471"/>
      <c r="J670" s="471"/>
      <c r="K670" s="471"/>
    </row>
    <row r="671" spans="1:11" ht="20.25">
      <c r="A671" s="471"/>
      <c r="B671" s="471"/>
      <c r="C671" s="471"/>
      <c r="D671" s="471"/>
      <c r="E671" s="471"/>
      <c r="F671" s="471"/>
      <c r="G671" s="471"/>
      <c r="H671" s="471"/>
      <c r="I671" s="471"/>
      <c r="J671" s="471"/>
      <c r="K671" s="471"/>
    </row>
    <row r="672" spans="1:11" ht="20.25">
      <c r="A672" s="471"/>
      <c r="B672" s="471"/>
      <c r="C672" s="471"/>
      <c r="D672" s="471"/>
      <c r="E672" s="471"/>
      <c r="F672" s="471"/>
      <c r="G672" s="471"/>
      <c r="H672" s="471"/>
      <c r="I672" s="471"/>
      <c r="J672" s="471"/>
      <c r="K672" s="471"/>
    </row>
    <row r="673" spans="1:11" ht="20.25">
      <c r="A673" s="471"/>
      <c r="B673" s="471"/>
      <c r="C673" s="471"/>
      <c r="D673" s="471"/>
      <c r="E673" s="471"/>
      <c r="F673" s="471"/>
      <c r="G673" s="471"/>
      <c r="H673" s="471"/>
      <c r="I673" s="471"/>
      <c r="J673" s="471"/>
      <c r="K673" s="471"/>
    </row>
    <row r="674" spans="1:11" ht="20.25">
      <c r="A674" s="471"/>
      <c r="B674" s="471"/>
      <c r="C674" s="471"/>
      <c r="D674" s="471"/>
      <c r="E674" s="471"/>
      <c r="F674" s="471"/>
      <c r="G674" s="471"/>
      <c r="H674" s="471"/>
      <c r="I674" s="471"/>
      <c r="J674" s="471"/>
      <c r="K674" s="471"/>
    </row>
    <row r="675" spans="1:11" ht="20.25">
      <c r="A675" s="471"/>
      <c r="B675" s="471"/>
      <c r="C675" s="471"/>
      <c r="D675" s="471"/>
      <c r="E675" s="471"/>
      <c r="F675" s="471"/>
      <c r="G675" s="471"/>
      <c r="H675" s="471"/>
      <c r="I675" s="471"/>
      <c r="J675" s="471"/>
      <c r="K675" s="471"/>
    </row>
    <row r="676" spans="1:11" ht="20.25">
      <c r="A676" s="471"/>
      <c r="B676" s="471"/>
      <c r="C676" s="471"/>
      <c r="D676" s="471"/>
      <c r="E676" s="471"/>
      <c r="F676" s="471"/>
      <c r="G676" s="471"/>
      <c r="H676" s="471"/>
      <c r="I676" s="471"/>
      <c r="J676" s="471"/>
      <c r="K676" s="471"/>
    </row>
    <row r="677" spans="1:11" ht="20.25">
      <c r="A677" s="471"/>
      <c r="B677" s="471"/>
      <c r="C677" s="471"/>
      <c r="D677" s="471"/>
      <c r="E677" s="471"/>
      <c r="F677" s="471"/>
      <c r="G677" s="471"/>
      <c r="H677" s="471"/>
      <c r="I677" s="471"/>
      <c r="J677" s="471"/>
      <c r="K677" s="471"/>
    </row>
    <row r="678" spans="1:11" ht="20.25">
      <c r="A678" s="471"/>
      <c r="B678" s="471"/>
      <c r="C678" s="471"/>
      <c r="D678" s="471"/>
      <c r="E678" s="471"/>
      <c r="F678" s="471"/>
      <c r="G678" s="471"/>
      <c r="H678" s="471"/>
      <c r="I678" s="471"/>
      <c r="J678" s="471"/>
      <c r="K678" s="471"/>
    </row>
    <row r="679" spans="1:11" ht="20.25">
      <c r="A679" s="471"/>
      <c r="B679" s="471"/>
      <c r="C679" s="471"/>
      <c r="D679" s="471"/>
      <c r="E679" s="471"/>
      <c r="F679" s="471"/>
      <c r="G679" s="471"/>
      <c r="H679" s="471"/>
      <c r="I679" s="471"/>
      <c r="J679" s="471"/>
      <c r="K679" s="471"/>
    </row>
    <row r="680" spans="1:11" ht="20.25">
      <c r="A680" s="471"/>
      <c r="B680" s="471"/>
      <c r="C680" s="471"/>
      <c r="D680" s="471"/>
      <c r="E680" s="471"/>
      <c r="F680" s="471"/>
      <c r="G680" s="471"/>
      <c r="H680" s="471"/>
      <c r="I680" s="471"/>
      <c r="J680" s="471"/>
      <c r="K680" s="471"/>
    </row>
    <row r="681" spans="1:11" ht="20.25">
      <c r="A681" s="471"/>
      <c r="B681" s="471"/>
      <c r="C681" s="471"/>
      <c r="D681" s="471"/>
      <c r="E681" s="471"/>
      <c r="F681" s="471"/>
      <c r="G681" s="471"/>
      <c r="H681" s="471"/>
      <c r="I681" s="471"/>
      <c r="J681" s="471"/>
      <c r="K681" s="471"/>
    </row>
    <row r="682" spans="1:11" ht="20.25">
      <c r="A682" s="471"/>
      <c r="B682" s="471"/>
      <c r="C682" s="471"/>
      <c r="D682" s="471"/>
      <c r="E682" s="471"/>
      <c r="F682" s="471"/>
      <c r="G682" s="471"/>
      <c r="H682" s="471"/>
      <c r="I682" s="471"/>
      <c r="J682" s="471"/>
      <c r="K682" s="471"/>
    </row>
    <row r="683" spans="1:11" ht="20.25">
      <c r="A683" s="471"/>
      <c r="B683" s="471"/>
      <c r="C683" s="471"/>
      <c r="D683" s="471"/>
      <c r="E683" s="471"/>
      <c r="F683" s="471"/>
      <c r="G683" s="471"/>
      <c r="H683" s="471"/>
      <c r="I683" s="471"/>
      <c r="J683" s="471"/>
      <c r="K683" s="471"/>
    </row>
    <row r="684" spans="1:11" ht="20.25">
      <c r="A684" s="471"/>
      <c r="B684" s="471"/>
      <c r="C684" s="471"/>
      <c r="D684" s="471"/>
      <c r="E684" s="471"/>
      <c r="F684" s="471"/>
      <c r="G684" s="471"/>
      <c r="H684" s="471"/>
      <c r="I684" s="471"/>
      <c r="J684" s="471"/>
      <c r="K684" s="471"/>
    </row>
    <row r="685" spans="1:11" ht="20.25">
      <c r="A685" s="471"/>
      <c r="B685" s="471"/>
      <c r="C685" s="471"/>
      <c r="D685" s="471"/>
      <c r="E685" s="471"/>
      <c r="F685" s="471"/>
      <c r="G685" s="471"/>
      <c r="H685" s="471"/>
      <c r="I685" s="471"/>
      <c r="J685" s="471"/>
      <c r="K685" s="471"/>
    </row>
    <row r="686" spans="1:11" ht="20.25">
      <c r="A686" s="471"/>
      <c r="B686" s="471"/>
      <c r="C686" s="471"/>
      <c r="D686" s="471"/>
      <c r="E686" s="471"/>
      <c r="F686" s="471"/>
      <c r="G686" s="471"/>
      <c r="H686" s="471"/>
      <c r="I686" s="471"/>
      <c r="J686" s="471"/>
      <c r="K686" s="471"/>
    </row>
    <row r="687" spans="1:11" ht="20.25">
      <c r="A687" s="471"/>
      <c r="B687" s="471"/>
      <c r="C687" s="471"/>
      <c r="D687" s="471"/>
      <c r="E687" s="471"/>
      <c r="F687" s="471"/>
      <c r="G687" s="471"/>
      <c r="H687" s="471"/>
      <c r="I687" s="471"/>
      <c r="J687" s="471"/>
      <c r="K687" s="471"/>
    </row>
    <row r="688" spans="1:11" ht="20.25">
      <c r="A688" s="471"/>
      <c r="B688" s="471"/>
      <c r="C688" s="471"/>
      <c r="D688" s="471"/>
      <c r="E688" s="471"/>
      <c r="F688" s="471"/>
      <c r="G688" s="471"/>
      <c r="H688" s="471"/>
      <c r="I688" s="471"/>
      <c r="J688" s="471"/>
      <c r="K688" s="471"/>
    </row>
    <row r="689" spans="1:11" ht="20.25">
      <c r="A689" s="471"/>
      <c r="B689" s="471"/>
      <c r="C689" s="471"/>
      <c r="D689" s="471"/>
      <c r="E689" s="471"/>
      <c r="F689" s="471"/>
      <c r="G689" s="471"/>
      <c r="H689" s="471"/>
      <c r="I689" s="471"/>
      <c r="J689" s="471"/>
      <c r="K689" s="471"/>
    </row>
    <row r="690" spans="1:11" ht="20.25">
      <c r="A690" s="471"/>
      <c r="B690" s="471"/>
      <c r="C690" s="471"/>
      <c r="D690" s="471"/>
      <c r="E690" s="471"/>
      <c r="F690" s="471"/>
      <c r="G690" s="471"/>
      <c r="H690" s="471"/>
      <c r="I690" s="471"/>
      <c r="J690" s="471"/>
      <c r="K690" s="471"/>
    </row>
    <row r="691" spans="1:11" ht="20.25">
      <c r="A691" s="471"/>
      <c r="B691" s="471"/>
      <c r="C691" s="471"/>
      <c r="D691" s="471"/>
      <c r="E691" s="471"/>
      <c r="F691" s="471"/>
      <c r="G691" s="471"/>
      <c r="H691" s="471"/>
      <c r="I691" s="471"/>
      <c r="J691" s="471"/>
      <c r="K691" s="471"/>
    </row>
    <row r="692" spans="1:11" ht="20.25">
      <c r="A692" s="471"/>
      <c r="B692" s="471"/>
      <c r="C692" s="471"/>
      <c r="D692" s="471"/>
      <c r="E692" s="471"/>
      <c r="F692" s="471"/>
      <c r="G692" s="471"/>
      <c r="H692" s="471"/>
      <c r="I692" s="471"/>
      <c r="J692" s="471"/>
      <c r="K692" s="471"/>
    </row>
    <row r="693" spans="1:11" ht="20.25">
      <c r="A693" s="471"/>
      <c r="B693" s="471"/>
      <c r="C693" s="471"/>
      <c r="D693" s="471"/>
      <c r="E693" s="471"/>
      <c r="F693" s="471"/>
      <c r="G693" s="471"/>
      <c r="H693" s="471"/>
      <c r="I693" s="471"/>
      <c r="J693" s="471"/>
      <c r="K693" s="471"/>
    </row>
    <row r="694" spans="1:11" ht="20.25">
      <c r="A694" s="471"/>
      <c r="B694" s="471"/>
      <c r="C694" s="471"/>
      <c r="D694" s="471"/>
      <c r="E694" s="471"/>
      <c r="F694" s="471"/>
      <c r="G694" s="471"/>
      <c r="H694" s="471"/>
      <c r="I694" s="471"/>
      <c r="J694" s="471"/>
      <c r="K694" s="471"/>
    </row>
    <row r="695" spans="1:11" ht="20.25">
      <c r="A695" s="471"/>
      <c r="B695" s="471"/>
      <c r="C695" s="471"/>
      <c r="D695" s="471"/>
      <c r="E695" s="471"/>
      <c r="F695" s="471"/>
      <c r="G695" s="471"/>
      <c r="H695" s="471"/>
      <c r="I695" s="471"/>
      <c r="J695" s="471"/>
      <c r="K695" s="471"/>
    </row>
    <row r="696" spans="1:11" ht="20.25">
      <c r="A696" s="471"/>
      <c r="B696" s="471"/>
      <c r="C696" s="471"/>
      <c r="D696" s="471"/>
      <c r="E696" s="471"/>
      <c r="F696" s="471"/>
      <c r="G696" s="471"/>
      <c r="H696" s="471"/>
      <c r="I696" s="471"/>
      <c r="J696" s="471"/>
      <c r="K696" s="471"/>
    </row>
    <row r="697" spans="1:11" ht="20.25">
      <c r="A697" s="471"/>
      <c r="B697" s="471"/>
      <c r="C697" s="471"/>
      <c r="D697" s="471"/>
      <c r="E697" s="471"/>
      <c r="F697" s="471"/>
      <c r="G697" s="471"/>
      <c r="H697" s="471"/>
      <c r="I697" s="471"/>
      <c r="J697" s="471"/>
      <c r="K697" s="471"/>
    </row>
    <row r="698" spans="1:11" ht="20.25">
      <c r="A698" s="471"/>
      <c r="B698" s="471"/>
      <c r="C698" s="471"/>
      <c r="D698" s="471"/>
      <c r="E698" s="471"/>
      <c r="F698" s="471"/>
      <c r="G698" s="471"/>
      <c r="H698" s="471"/>
      <c r="I698" s="471"/>
      <c r="J698" s="471"/>
      <c r="K698" s="471"/>
    </row>
    <row r="699" spans="1:11" ht="20.25">
      <c r="A699" s="471"/>
      <c r="B699" s="471"/>
      <c r="C699" s="471"/>
      <c r="D699" s="471"/>
      <c r="E699" s="471"/>
      <c r="F699" s="471"/>
      <c r="G699" s="471"/>
      <c r="H699" s="471"/>
      <c r="I699" s="471"/>
      <c r="J699" s="471"/>
      <c r="K699" s="471"/>
    </row>
    <row r="700" spans="1:11" ht="20.25">
      <c r="A700" s="471"/>
      <c r="B700" s="471"/>
      <c r="C700" s="471"/>
      <c r="D700" s="471"/>
      <c r="E700" s="471"/>
      <c r="F700" s="471"/>
      <c r="G700" s="471"/>
      <c r="H700" s="471"/>
      <c r="I700" s="471"/>
      <c r="J700" s="471"/>
      <c r="K700" s="471"/>
    </row>
    <row r="701" spans="1:11" ht="20.25">
      <c r="A701" s="471"/>
      <c r="B701" s="471"/>
      <c r="C701" s="471"/>
      <c r="D701" s="471"/>
      <c r="E701" s="471"/>
      <c r="F701" s="471"/>
      <c r="G701" s="471"/>
      <c r="H701" s="471"/>
      <c r="I701" s="471"/>
      <c r="J701" s="471"/>
      <c r="K701" s="471"/>
    </row>
    <row r="702" spans="1:11" ht="20.25">
      <c r="A702" s="471"/>
      <c r="B702" s="471"/>
      <c r="C702" s="471"/>
      <c r="D702" s="471"/>
      <c r="E702" s="471"/>
      <c r="F702" s="471"/>
      <c r="G702" s="471"/>
      <c r="H702" s="471"/>
      <c r="I702" s="471"/>
      <c r="J702" s="471"/>
      <c r="K702" s="471"/>
    </row>
    <row r="703" spans="1:11" ht="20.25">
      <c r="A703" s="471"/>
      <c r="B703" s="471"/>
      <c r="C703" s="471"/>
      <c r="D703" s="471"/>
      <c r="E703" s="471"/>
      <c r="F703" s="471"/>
      <c r="G703" s="471"/>
      <c r="H703" s="471"/>
      <c r="I703" s="471"/>
      <c r="J703" s="471"/>
      <c r="K703" s="471"/>
    </row>
    <row r="704" spans="1:11" ht="20.25">
      <c r="A704" s="471"/>
      <c r="B704" s="471"/>
      <c r="C704" s="471"/>
      <c r="D704" s="471"/>
      <c r="E704" s="471"/>
      <c r="F704" s="471"/>
      <c r="G704" s="471"/>
      <c r="H704" s="471"/>
      <c r="I704" s="471"/>
      <c r="J704" s="471"/>
      <c r="K704" s="471"/>
    </row>
    <row r="705" spans="1:11" ht="20.25">
      <c r="A705" s="471"/>
      <c r="B705" s="471"/>
      <c r="C705" s="471"/>
      <c r="D705" s="471"/>
      <c r="E705" s="471"/>
      <c r="F705" s="471"/>
      <c r="G705" s="471"/>
      <c r="H705" s="471"/>
      <c r="I705" s="471"/>
      <c r="J705" s="471"/>
      <c r="K705" s="471"/>
    </row>
    <row r="706" spans="1:11" ht="20.25">
      <c r="A706" s="471"/>
      <c r="B706" s="471"/>
      <c r="C706" s="471"/>
      <c r="D706" s="471"/>
      <c r="E706" s="471"/>
      <c r="F706" s="471"/>
      <c r="G706" s="471"/>
      <c r="H706" s="471"/>
      <c r="I706" s="471"/>
      <c r="J706" s="471"/>
      <c r="K706" s="471"/>
    </row>
    <row r="707" spans="1:11" ht="20.25">
      <c r="A707" s="471"/>
      <c r="B707" s="471"/>
      <c r="C707" s="471"/>
      <c r="D707" s="471"/>
      <c r="E707" s="471"/>
      <c r="F707" s="471"/>
      <c r="G707" s="471"/>
      <c r="H707" s="471"/>
      <c r="I707" s="471"/>
      <c r="J707" s="471"/>
      <c r="K707" s="471"/>
    </row>
    <row r="708" spans="1:11" ht="20.25">
      <c r="A708" s="471"/>
      <c r="B708" s="471"/>
      <c r="C708" s="471"/>
      <c r="D708" s="471"/>
      <c r="E708" s="471"/>
      <c r="F708" s="471"/>
      <c r="G708" s="471"/>
      <c r="H708" s="471"/>
      <c r="I708" s="471"/>
      <c r="J708" s="471"/>
      <c r="K708" s="471"/>
    </row>
    <row r="709" spans="1:11" ht="20.25">
      <c r="A709" s="471"/>
      <c r="B709" s="471"/>
      <c r="C709" s="471"/>
      <c r="D709" s="471"/>
      <c r="E709" s="471"/>
      <c r="F709" s="471"/>
      <c r="G709" s="471"/>
      <c r="H709" s="471"/>
      <c r="I709" s="471"/>
      <c r="J709" s="471"/>
      <c r="K709" s="471"/>
    </row>
    <row r="710" spans="1:11" ht="20.25">
      <c r="A710" s="471"/>
      <c r="B710" s="471"/>
      <c r="C710" s="471"/>
      <c r="D710" s="471"/>
      <c r="E710" s="471"/>
      <c r="F710" s="471"/>
      <c r="G710" s="471"/>
      <c r="H710" s="471"/>
      <c r="I710" s="471"/>
      <c r="J710" s="471"/>
      <c r="K710" s="471"/>
    </row>
    <row r="711" spans="1:11" ht="20.25">
      <c r="A711" s="471"/>
      <c r="B711" s="471"/>
      <c r="C711" s="471"/>
      <c r="D711" s="471"/>
      <c r="E711" s="471"/>
      <c r="F711" s="471"/>
      <c r="G711" s="471"/>
      <c r="H711" s="471"/>
      <c r="I711" s="471"/>
      <c r="J711" s="471"/>
      <c r="K711" s="471"/>
    </row>
    <row r="712" spans="1:11" ht="20.25">
      <c r="A712" s="471"/>
      <c r="B712" s="471"/>
      <c r="C712" s="471"/>
      <c r="D712" s="471"/>
      <c r="E712" s="471"/>
      <c r="F712" s="471"/>
      <c r="G712" s="471"/>
      <c r="H712" s="471"/>
      <c r="I712" s="471"/>
      <c r="J712" s="471"/>
      <c r="K712" s="471"/>
    </row>
    <row r="713" spans="1:11" ht="20.25">
      <c r="A713" s="471"/>
      <c r="B713" s="471"/>
      <c r="C713" s="471"/>
      <c r="D713" s="471"/>
      <c r="E713" s="471"/>
      <c r="F713" s="471"/>
      <c r="G713" s="471"/>
      <c r="H713" s="471"/>
      <c r="I713" s="471"/>
      <c r="J713" s="471"/>
      <c r="K713" s="471"/>
    </row>
    <row r="714" spans="1:11" ht="20.25">
      <c r="A714" s="471"/>
      <c r="B714" s="471"/>
      <c r="C714" s="471"/>
      <c r="D714" s="471"/>
      <c r="E714" s="471"/>
      <c r="F714" s="471"/>
      <c r="G714" s="471"/>
      <c r="H714" s="471"/>
      <c r="I714" s="471"/>
      <c r="J714" s="471"/>
      <c r="K714" s="471"/>
    </row>
    <row r="715" spans="1:11" ht="20.25">
      <c r="A715" s="471"/>
      <c r="B715" s="471"/>
      <c r="C715" s="471"/>
      <c r="D715" s="471"/>
      <c r="E715" s="471"/>
      <c r="F715" s="471"/>
      <c r="G715" s="471"/>
      <c r="H715" s="471"/>
      <c r="I715" s="471"/>
      <c r="J715" s="471"/>
      <c r="K715" s="471"/>
    </row>
    <row r="716" spans="1:11" ht="20.25">
      <c r="A716" s="471"/>
      <c r="B716" s="471"/>
      <c r="C716" s="471"/>
      <c r="D716" s="471"/>
      <c r="E716" s="471"/>
      <c r="F716" s="471"/>
      <c r="G716" s="471"/>
      <c r="H716" s="471"/>
      <c r="I716" s="471"/>
      <c r="J716" s="471"/>
      <c r="K716" s="471"/>
    </row>
    <row r="717" spans="1:11" ht="20.25">
      <c r="A717" s="471"/>
      <c r="B717" s="471"/>
      <c r="C717" s="471"/>
      <c r="D717" s="471"/>
      <c r="E717" s="471"/>
      <c r="F717" s="471"/>
      <c r="G717" s="471"/>
      <c r="H717" s="471"/>
      <c r="I717" s="471"/>
      <c r="J717" s="471"/>
      <c r="K717" s="471"/>
    </row>
    <row r="718" spans="1:11" ht="20.25">
      <c r="A718" s="471"/>
      <c r="B718" s="471"/>
      <c r="C718" s="471"/>
      <c r="D718" s="471"/>
      <c r="E718" s="471"/>
      <c r="F718" s="471"/>
      <c r="G718" s="471"/>
      <c r="H718" s="471"/>
      <c r="I718" s="471"/>
      <c r="J718" s="471"/>
      <c r="K718" s="471"/>
    </row>
    <row r="719" spans="1:11" ht="20.25">
      <c r="A719" s="471"/>
      <c r="B719" s="471"/>
      <c r="C719" s="471"/>
      <c r="D719" s="471"/>
      <c r="E719" s="471"/>
      <c r="F719" s="471"/>
      <c r="G719" s="471"/>
      <c r="H719" s="471"/>
      <c r="I719" s="471"/>
      <c r="J719" s="471"/>
      <c r="K719" s="471"/>
    </row>
    <row r="720" spans="1:11" ht="20.25">
      <c r="A720" s="471"/>
      <c r="B720" s="471"/>
      <c r="C720" s="471"/>
      <c r="D720" s="471"/>
      <c r="E720" s="471"/>
      <c r="F720" s="471"/>
      <c r="G720" s="471"/>
      <c r="H720" s="471"/>
      <c r="I720" s="471"/>
      <c r="J720" s="471"/>
      <c r="K720" s="471"/>
    </row>
    <row r="721" spans="1:11" ht="20.25">
      <c r="A721" s="471"/>
      <c r="B721" s="471"/>
      <c r="C721" s="471"/>
      <c r="D721" s="471"/>
      <c r="E721" s="471"/>
      <c r="F721" s="471"/>
      <c r="G721" s="471"/>
      <c r="H721" s="471"/>
      <c r="I721" s="471"/>
      <c r="J721" s="471"/>
      <c r="K721" s="471"/>
    </row>
    <row r="722" spans="1:11" ht="20.25">
      <c r="A722" s="471"/>
      <c r="B722" s="471"/>
      <c r="C722" s="471"/>
      <c r="D722" s="471"/>
      <c r="E722" s="471"/>
      <c r="F722" s="471"/>
      <c r="G722" s="471"/>
      <c r="H722" s="471"/>
      <c r="I722" s="471"/>
      <c r="J722" s="471"/>
      <c r="K722" s="471"/>
    </row>
    <row r="723" spans="1:11" ht="20.25">
      <c r="A723" s="471"/>
      <c r="B723" s="471"/>
      <c r="C723" s="471"/>
      <c r="D723" s="471"/>
      <c r="E723" s="471"/>
      <c r="F723" s="471"/>
      <c r="G723" s="471"/>
      <c r="H723" s="471"/>
      <c r="I723" s="471"/>
      <c r="J723" s="471"/>
      <c r="K723" s="471"/>
    </row>
    <row r="724" spans="1:11" ht="20.25">
      <c r="A724" s="471"/>
      <c r="B724" s="471"/>
      <c r="C724" s="471"/>
      <c r="D724" s="471"/>
      <c r="E724" s="471"/>
      <c r="F724" s="471"/>
      <c r="G724" s="471"/>
      <c r="H724" s="471"/>
      <c r="I724" s="471"/>
      <c r="J724" s="471"/>
      <c r="K724" s="471"/>
    </row>
    <row r="725" spans="1:11" ht="20.25">
      <c r="A725" s="471"/>
      <c r="B725" s="471"/>
      <c r="C725" s="471"/>
      <c r="D725" s="471"/>
      <c r="E725" s="471"/>
      <c r="F725" s="471"/>
      <c r="G725" s="471"/>
      <c r="H725" s="471"/>
      <c r="I725" s="471"/>
      <c r="J725" s="471"/>
      <c r="K725" s="471"/>
    </row>
    <row r="726" spans="1:11" ht="20.25">
      <c r="A726" s="471"/>
      <c r="B726" s="471"/>
      <c r="C726" s="471"/>
      <c r="D726" s="471"/>
      <c r="E726" s="471"/>
      <c r="F726" s="471"/>
      <c r="G726" s="471"/>
      <c r="H726" s="471"/>
      <c r="I726" s="471"/>
      <c r="J726" s="471"/>
      <c r="K726" s="471"/>
    </row>
    <row r="727" spans="1:11" ht="20.25">
      <c r="A727" s="471"/>
      <c r="B727" s="471"/>
      <c r="C727" s="471"/>
      <c r="D727" s="471"/>
      <c r="E727" s="471"/>
      <c r="F727" s="471"/>
      <c r="G727" s="471"/>
      <c r="H727" s="471"/>
      <c r="I727" s="471"/>
      <c r="J727" s="471"/>
      <c r="K727" s="471"/>
    </row>
    <row r="728" spans="1:11" ht="20.25">
      <c r="A728" s="471"/>
      <c r="B728" s="471"/>
      <c r="C728" s="471"/>
      <c r="D728" s="471"/>
      <c r="E728" s="471"/>
      <c r="F728" s="471"/>
      <c r="G728" s="471"/>
      <c r="H728" s="471"/>
      <c r="I728" s="471"/>
      <c r="J728" s="471"/>
      <c r="K728" s="471"/>
    </row>
    <row r="729" spans="1:11" ht="20.25">
      <c r="A729" s="471"/>
      <c r="B729" s="471"/>
      <c r="C729" s="471"/>
      <c r="D729" s="471"/>
      <c r="E729" s="471"/>
      <c r="F729" s="471"/>
      <c r="G729" s="471"/>
      <c r="H729" s="471"/>
      <c r="I729" s="471"/>
      <c r="J729" s="471"/>
      <c r="K729" s="471"/>
    </row>
    <row r="730" spans="1:11" ht="20.25">
      <c r="A730" s="471"/>
      <c r="B730" s="471"/>
      <c r="C730" s="471"/>
      <c r="D730" s="471"/>
      <c r="E730" s="471"/>
      <c r="F730" s="471"/>
      <c r="G730" s="471"/>
      <c r="H730" s="471"/>
      <c r="I730" s="471"/>
      <c r="J730" s="471"/>
      <c r="K730" s="471"/>
    </row>
    <row r="731" spans="1:11" ht="20.25">
      <c r="A731" s="471"/>
      <c r="B731" s="471"/>
      <c r="C731" s="471"/>
      <c r="D731" s="471"/>
      <c r="E731" s="471"/>
      <c r="F731" s="471"/>
      <c r="G731" s="471"/>
      <c r="H731" s="471"/>
      <c r="I731" s="471"/>
      <c r="J731" s="471"/>
      <c r="K731" s="471"/>
    </row>
    <row r="732" spans="1:11" ht="20.25">
      <c r="A732" s="471"/>
      <c r="B732" s="471"/>
      <c r="C732" s="471"/>
      <c r="D732" s="471"/>
      <c r="E732" s="471"/>
      <c r="F732" s="471"/>
      <c r="G732" s="471"/>
      <c r="H732" s="471"/>
      <c r="I732" s="471"/>
      <c r="J732" s="471"/>
      <c r="K732" s="471"/>
    </row>
    <row r="733" spans="1:11" ht="20.25">
      <c r="A733" s="471"/>
      <c r="B733" s="471"/>
      <c r="C733" s="471"/>
      <c r="D733" s="471"/>
      <c r="E733" s="471"/>
      <c r="F733" s="471"/>
      <c r="G733" s="471"/>
      <c r="H733" s="471"/>
      <c r="I733" s="471"/>
      <c r="J733" s="471"/>
      <c r="K733" s="471"/>
    </row>
    <row r="734" spans="1:11" ht="20.25">
      <c r="A734" s="471"/>
      <c r="B734" s="471"/>
      <c r="C734" s="471"/>
      <c r="D734" s="471"/>
      <c r="E734" s="471"/>
      <c r="F734" s="471"/>
      <c r="G734" s="471"/>
      <c r="H734" s="471"/>
      <c r="I734" s="471"/>
      <c r="J734" s="471"/>
      <c r="K734" s="471"/>
    </row>
    <row r="735" spans="1:11" ht="20.25">
      <c r="A735" s="471"/>
      <c r="B735" s="471"/>
      <c r="C735" s="471"/>
      <c r="D735" s="471"/>
      <c r="E735" s="471"/>
      <c r="F735" s="471"/>
      <c r="G735" s="471"/>
      <c r="H735" s="471"/>
      <c r="I735" s="471"/>
      <c r="J735" s="471"/>
      <c r="K735" s="471"/>
    </row>
    <row r="736" spans="1:11" ht="20.25">
      <c r="A736" s="471"/>
      <c r="B736" s="471"/>
      <c r="C736" s="471"/>
      <c r="D736" s="471"/>
      <c r="E736" s="471"/>
      <c r="F736" s="471"/>
      <c r="G736" s="471"/>
      <c r="H736" s="471"/>
      <c r="I736" s="471"/>
      <c r="J736" s="471"/>
      <c r="K736" s="471"/>
    </row>
    <row r="737" spans="1:11" ht="20.25">
      <c r="A737" s="471"/>
      <c r="B737" s="471"/>
      <c r="C737" s="471"/>
      <c r="D737" s="471"/>
      <c r="E737" s="471"/>
      <c r="F737" s="471"/>
      <c r="G737" s="471"/>
      <c r="H737" s="471"/>
      <c r="I737" s="471"/>
      <c r="J737" s="471"/>
      <c r="K737" s="471"/>
    </row>
    <row r="738" spans="1:11" ht="20.25">
      <c r="A738" s="471"/>
      <c r="B738" s="471"/>
      <c r="C738" s="471"/>
      <c r="D738" s="471"/>
      <c r="E738" s="471"/>
      <c r="F738" s="471"/>
      <c r="G738" s="471"/>
      <c r="H738" s="471"/>
      <c r="I738" s="471"/>
      <c r="J738" s="471"/>
      <c r="K738" s="471"/>
    </row>
    <row r="739" spans="1:11" ht="20.25">
      <c r="A739" s="471"/>
      <c r="B739" s="471"/>
      <c r="C739" s="471"/>
      <c r="D739" s="471"/>
      <c r="E739" s="471"/>
      <c r="F739" s="471"/>
      <c r="G739" s="471"/>
      <c r="H739" s="471"/>
      <c r="I739" s="471"/>
      <c r="J739" s="471"/>
      <c r="K739" s="471"/>
    </row>
    <row r="740" spans="1:11" ht="20.25">
      <c r="A740" s="471"/>
      <c r="B740" s="471"/>
      <c r="C740" s="471"/>
      <c r="D740" s="471"/>
      <c r="E740" s="471"/>
      <c r="F740" s="471"/>
      <c r="G740" s="471"/>
      <c r="H740" s="471"/>
      <c r="I740" s="471"/>
      <c r="J740" s="471"/>
      <c r="K740" s="471"/>
    </row>
    <row r="741" spans="1:11" ht="20.25">
      <c r="A741" s="471"/>
      <c r="B741" s="471"/>
      <c r="C741" s="471"/>
      <c r="D741" s="471"/>
      <c r="E741" s="471"/>
      <c r="F741" s="471"/>
      <c r="G741" s="471"/>
      <c r="H741" s="471"/>
      <c r="I741" s="471"/>
      <c r="J741" s="471"/>
      <c r="K741" s="471"/>
    </row>
    <row r="742" spans="1:11" ht="20.25">
      <c r="A742" s="471"/>
      <c r="B742" s="471"/>
      <c r="C742" s="471"/>
      <c r="D742" s="471"/>
      <c r="E742" s="471"/>
      <c r="F742" s="471"/>
      <c r="G742" s="471"/>
      <c r="H742" s="471"/>
      <c r="I742" s="471"/>
      <c r="J742" s="471"/>
      <c r="K742" s="471"/>
    </row>
    <row r="743" spans="1:11" ht="20.25">
      <c r="A743" s="471"/>
      <c r="B743" s="471"/>
      <c r="C743" s="471"/>
      <c r="D743" s="471"/>
      <c r="E743" s="471"/>
      <c r="F743" s="471"/>
      <c r="G743" s="471"/>
      <c r="H743" s="471"/>
      <c r="I743" s="471"/>
      <c r="J743" s="471"/>
      <c r="K743" s="471"/>
    </row>
    <row r="744" spans="1:11" ht="20.25">
      <c r="A744" s="471"/>
      <c r="B744" s="471"/>
      <c r="C744" s="471"/>
      <c r="D744" s="471"/>
      <c r="E744" s="471"/>
      <c r="F744" s="471"/>
      <c r="G744" s="471"/>
      <c r="H744" s="471"/>
      <c r="I744" s="471"/>
      <c r="J744" s="471"/>
      <c r="K744" s="471"/>
    </row>
    <row r="745" spans="1:11" ht="20.25">
      <c r="A745" s="471"/>
      <c r="B745" s="471"/>
      <c r="C745" s="471"/>
      <c r="D745" s="471"/>
      <c r="E745" s="471"/>
      <c r="F745" s="471"/>
      <c r="G745" s="471"/>
      <c r="H745" s="471"/>
      <c r="I745" s="471"/>
      <c r="J745" s="471"/>
      <c r="K745" s="471"/>
    </row>
    <row r="746" spans="1:11" ht="20.25">
      <c r="A746" s="471"/>
      <c r="B746" s="471"/>
      <c r="C746" s="471"/>
      <c r="D746" s="471"/>
      <c r="E746" s="471"/>
      <c r="F746" s="471"/>
      <c r="G746" s="471"/>
      <c r="H746" s="471"/>
      <c r="I746" s="471"/>
      <c r="J746" s="471"/>
      <c r="K746" s="471"/>
    </row>
    <row r="747" spans="1:11" ht="20.25">
      <c r="A747" s="471"/>
      <c r="B747" s="471"/>
      <c r="C747" s="471"/>
      <c r="D747" s="471"/>
      <c r="E747" s="471"/>
      <c r="F747" s="471"/>
      <c r="G747" s="471"/>
      <c r="H747" s="471"/>
      <c r="I747" s="471"/>
      <c r="J747" s="471"/>
      <c r="K747" s="471"/>
    </row>
    <row r="748" spans="1:11" ht="20.25">
      <c r="A748" s="471"/>
      <c r="B748" s="471"/>
      <c r="C748" s="471"/>
      <c r="D748" s="471"/>
      <c r="E748" s="471"/>
      <c r="F748" s="471"/>
      <c r="G748" s="471"/>
      <c r="H748" s="471"/>
      <c r="I748" s="471"/>
      <c r="J748" s="471"/>
      <c r="K748" s="471"/>
    </row>
    <row r="749" spans="1:11" ht="20.25">
      <c r="A749" s="471"/>
      <c r="B749" s="471"/>
      <c r="C749" s="471"/>
      <c r="D749" s="471"/>
      <c r="E749" s="471"/>
      <c r="F749" s="471"/>
      <c r="G749" s="471"/>
      <c r="H749" s="471"/>
      <c r="I749" s="471"/>
      <c r="J749" s="471"/>
      <c r="K749" s="471"/>
    </row>
    <row r="750" spans="1:11" ht="20.25">
      <c r="A750" s="471"/>
      <c r="B750" s="471"/>
      <c r="C750" s="471"/>
      <c r="D750" s="471"/>
      <c r="E750" s="471"/>
      <c r="F750" s="471"/>
      <c r="G750" s="471"/>
      <c r="H750" s="471"/>
      <c r="I750" s="471"/>
      <c r="J750" s="471"/>
      <c r="K750" s="471"/>
    </row>
    <row r="751" spans="1:11" ht="20.25">
      <c r="A751" s="471"/>
      <c r="B751" s="471"/>
      <c r="C751" s="471"/>
      <c r="D751" s="471"/>
      <c r="E751" s="471"/>
      <c r="F751" s="471"/>
      <c r="G751" s="471"/>
      <c r="H751" s="471"/>
      <c r="I751" s="471"/>
      <c r="J751" s="471"/>
      <c r="K751" s="471"/>
    </row>
    <row r="752" spans="1:11" ht="20.25">
      <c r="A752" s="471"/>
      <c r="B752" s="471"/>
      <c r="C752" s="471"/>
      <c r="D752" s="471"/>
      <c r="E752" s="471"/>
      <c r="F752" s="471"/>
      <c r="G752" s="471"/>
      <c r="H752" s="471"/>
      <c r="I752" s="471"/>
      <c r="J752" s="471"/>
      <c r="K752" s="471"/>
    </row>
    <row r="753" spans="1:11" ht="20.25">
      <c r="A753" s="471"/>
      <c r="B753" s="471"/>
      <c r="C753" s="471"/>
      <c r="D753" s="471"/>
      <c r="E753" s="471"/>
      <c r="F753" s="471"/>
      <c r="G753" s="471"/>
      <c r="H753" s="471"/>
      <c r="I753" s="471"/>
      <c r="J753" s="471"/>
      <c r="K753" s="471"/>
    </row>
    <row r="754" spans="1:11" ht="20.25">
      <c r="A754" s="471"/>
      <c r="B754" s="471"/>
      <c r="C754" s="471"/>
      <c r="D754" s="471"/>
      <c r="E754" s="471"/>
      <c r="F754" s="471"/>
      <c r="G754" s="471"/>
      <c r="H754" s="471"/>
      <c r="I754" s="471"/>
      <c r="J754" s="471"/>
      <c r="K754" s="471"/>
    </row>
  </sheetData>
  <mergeCells count="81">
    <mergeCell ref="B42:C42"/>
    <mergeCell ref="F42:G42"/>
    <mergeCell ref="H34:I34"/>
    <mergeCell ref="J34:K34"/>
    <mergeCell ref="H35:I35"/>
    <mergeCell ref="J35:K35"/>
    <mergeCell ref="H36:I36"/>
    <mergeCell ref="J36:K36"/>
    <mergeCell ref="H37:I37"/>
    <mergeCell ref="J37:K37"/>
    <mergeCell ref="A38:K38"/>
    <mergeCell ref="B39:I39"/>
    <mergeCell ref="A40:K40"/>
    <mergeCell ref="H31:I31"/>
    <mergeCell ref="J31:K31"/>
    <mergeCell ref="H32:I32"/>
    <mergeCell ref="J32:K32"/>
    <mergeCell ref="H33:I33"/>
    <mergeCell ref="J33:K33"/>
    <mergeCell ref="H28:I28"/>
    <mergeCell ref="J28:K28"/>
    <mergeCell ref="H29:I29"/>
    <mergeCell ref="J29:K29"/>
    <mergeCell ref="H30:I30"/>
    <mergeCell ref="J30:K30"/>
    <mergeCell ref="H25:I25"/>
    <mergeCell ref="J25:K25"/>
    <mergeCell ref="H26:I26"/>
    <mergeCell ref="J26:K26"/>
    <mergeCell ref="H27:I27"/>
    <mergeCell ref="J27:K27"/>
    <mergeCell ref="H22:I22"/>
    <mergeCell ref="J22:K22"/>
    <mergeCell ref="H23:I23"/>
    <mergeCell ref="J23:K23"/>
    <mergeCell ref="H24:I24"/>
    <mergeCell ref="J24:K24"/>
    <mergeCell ref="H19:I19"/>
    <mergeCell ref="J19:K19"/>
    <mergeCell ref="H20:I20"/>
    <mergeCell ref="J20:K20"/>
    <mergeCell ref="H21:I21"/>
    <mergeCell ref="J21:K21"/>
    <mergeCell ref="H16:I16"/>
    <mergeCell ref="J16:K16"/>
    <mergeCell ref="H17:I17"/>
    <mergeCell ref="J17:K17"/>
    <mergeCell ref="H18:I18"/>
    <mergeCell ref="J18:K18"/>
    <mergeCell ref="H13:I13"/>
    <mergeCell ref="J13:K13"/>
    <mergeCell ref="H14:I14"/>
    <mergeCell ref="J14:K14"/>
    <mergeCell ref="H15:I15"/>
    <mergeCell ref="J15:K15"/>
    <mergeCell ref="H10:I10"/>
    <mergeCell ref="J10:K10"/>
    <mergeCell ref="H11:I11"/>
    <mergeCell ref="J11:K11"/>
    <mergeCell ref="H12:I12"/>
    <mergeCell ref="J12:K12"/>
    <mergeCell ref="H9:I9"/>
    <mergeCell ref="J9:K9"/>
    <mergeCell ref="A5:B5"/>
    <mergeCell ref="C5:E5"/>
    <mergeCell ref="F5:G5"/>
    <mergeCell ref="H5:I5"/>
    <mergeCell ref="A6:B6"/>
    <mergeCell ref="C6:E6"/>
    <mergeCell ref="F6:H6"/>
    <mergeCell ref="A7:K7"/>
    <mergeCell ref="B8:D8"/>
    <mergeCell ref="E8:G8"/>
    <mergeCell ref="H8:I8"/>
    <mergeCell ref="J8:K8"/>
    <mergeCell ref="F2:K2"/>
    <mergeCell ref="A3:K3"/>
    <mergeCell ref="A4:B4"/>
    <mergeCell ref="C4:E4"/>
    <mergeCell ref="F4:G4"/>
    <mergeCell ref="H4:I4"/>
  </mergeCells>
  <phoneticPr fontId="83" type="noConversion"/>
  <dataValidations count="1">
    <dataValidation type="list" allowBlank="1" showInputMessage="1" showErrorMessage="1" sqref="F6:H6">
      <formula1>$R$3:$R$8</formula1>
    </dataValidation>
  </dataValidations>
  <printOptions horizontalCentered="1"/>
  <pageMargins left="0.57999999999999996" right="0.78740157480314965" top="0.43" bottom="0.59055118110236227" header="0.51181102362204722" footer="0.41"/>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dimension ref="A1:BX36"/>
  <sheetViews>
    <sheetView view="pageBreakPreview" zoomScale="85" zoomScaleSheetLayoutView="85" workbookViewId="0">
      <selection activeCell="F18" sqref="F18:H18"/>
    </sheetView>
  </sheetViews>
  <sheetFormatPr defaultRowHeight="14.25"/>
  <cols>
    <col min="1" max="3" width="4.625" style="300" customWidth="1"/>
    <col min="4" max="4" width="6" style="300" customWidth="1"/>
    <col min="5" max="5" width="7.625" style="300" customWidth="1"/>
    <col min="6" max="6" width="9.375" style="300" customWidth="1"/>
    <col min="7" max="7" width="7.25" style="407" customWidth="1"/>
    <col min="8" max="8" width="7.5" style="300" customWidth="1"/>
    <col min="9" max="9" width="4.75" style="300" customWidth="1"/>
    <col min="10" max="10" width="5.625" style="300" customWidth="1"/>
    <col min="11" max="11" width="4.75" style="300" customWidth="1"/>
    <col min="12" max="12" width="13.125" style="300" customWidth="1"/>
    <col min="13" max="13" width="6.125" style="300" customWidth="1"/>
    <col min="14" max="14" width="4.25" style="300" customWidth="1"/>
    <col min="15" max="15" width="6.125" style="300" customWidth="1"/>
    <col min="16" max="16" width="7.875" style="407" customWidth="1"/>
    <col min="17" max="17" width="6.5" style="300" customWidth="1"/>
    <col min="18" max="18" width="4.75" style="300" customWidth="1"/>
    <col min="19" max="19" width="14.5" style="300" customWidth="1"/>
    <col min="20" max="20" width="10.375" style="300" customWidth="1"/>
    <col min="21" max="21" width="5.25" style="477" customWidth="1"/>
    <col min="22" max="22" width="4.875" style="477" customWidth="1"/>
    <col min="23" max="23" width="22" style="477" customWidth="1"/>
    <col min="24" max="24" width="9.5" style="300" bestFit="1" customWidth="1"/>
    <col min="25" max="25" width="10.125" style="300" customWidth="1"/>
    <col min="26" max="26" width="10" style="300" customWidth="1"/>
    <col min="27" max="27" width="8.375" style="300" customWidth="1"/>
    <col min="28" max="28" width="21.25" style="478" customWidth="1"/>
    <col min="29" max="29" width="15.5" style="478" customWidth="1"/>
    <col min="30" max="30" width="20.25" style="478" bestFit="1" customWidth="1"/>
    <col min="31" max="31" width="16.625" style="478" customWidth="1"/>
    <col min="32" max="33" width="11.375" style="478" customWidth="1"/>
    <col min="34" max="34" width="13.375" style="478" customWidth="1"/>
    <col min="35" max="35" width="11.375" style="477" customWidth="1"/>
    <col min="36" max="39" width="6.125" style="478" customWidth="1"/>
    <col min="40" max="42" width="6.125" style="300" customWidth="1"/>
    <col min="43" max="45" width="13.375" style="300" customWidth="1"/>
    <col min="46" max="51" width="6.125" style="300" customWidth="1"/>
    <col min="52" max="54" width="13.625" style="300" customWidth="1"/>
    <col min="55" max="60" width="6.125" style="300" customWidth="1"/>
    <col min="61" max="61" width="15.375" style="300" customWidth="1"/>
    <col min="62" max="64" width="6.125" style="300" customWidth="1"/>
    <col min="65" max="67" width="11" style="300" customWidth="1"/>
    <col min="68" max="74" width="6.125" style="300" customWidth="1"/>
    <col min="75" max="16384" width="9" style="300"/>
  </cols>
  <sheetData>
    <row r="1" spans="1:76" ht="22.5">
      <c r="A1" s="1448" t="s">
        <v>982</v>
      </c>
      <c r="B1" s="1448"/>
      <c r="C1" s="1448"/>
      <c r="D1" s="1448"/>
      <c r="E1" s="1448"/>
      <c r="F1" s="1448"/>
      <c r="G1" s="1448"/>
      <c r="H1" s="1448"/>
      <c r="I1" s="1448"/>
      <c r="J1" s="1448"/>
      <c r="K1" s="1448"/>
      <c r="L1" s="1448"/>
      <c r="M1" s="1448"/>
      <c r="N1" s="1448"/>
      <c r="O1" s="1448"/>
      <c r="P1" s="1448"/>
      <c r="Q1" s="1448"/>
      <c r="R1" s="474"/>
      <c r="S1" s="475" t="s">
        <v>1259</v>
      </c>
      <c r="T1" s="476" t="s">
        <v>1260</v>
      </c>
    </row>
    <row r="2" spans="1:76" ht="20.100000000000001" customHeight="1" thickBot="1">
      <c r="A2" s="1484" t="s">
        <v>51</v>
      </c>
      <c r="B2" s="1485"/>
      <c r="C2" s="1485"/>
      <c r="D2" s="1485" t="str">
        <f>'作(5)'!C5</f>
        <v>S400383705</v>
      </c>
      <c r="E2" s="1485"/>
      <c r="F2" s="1485"/>
      <c r="G2" s="1485"/>
      <c r="H2" s="1485"/>
      <c r="I2" s="1485"/>
      <c r="J2" s="1485"/>
      <c r="K2" s="1485"/>
      <c r="L2" s="1485"/>
      <c r="M2" s="1485"/>
      <c r="N2" s="1486" t="s">
        <v>803</v>
      </c>
      <c r="O2" s="1486"/>
      <c r="P2" s="1487" t="str">
        <f>实木!B5</f>
        <v>西安</v>
      </c>
      <c r="Q2" s="1487"/>
      <c r="T2" s="476" t="s">
        <v>1261</v>
      </c>
      <c r="AA2" s="479"/>
      <c r="AB2" s="480"/>
      <c r="AC2" s="480"/>
      <c r="AD2" s="480"/>
      <c r="AE2" s="480"/>
      <c r="AF2" s="480"/>
      <c r="AG2" s="480"/>
      <c r="AH2" s="480"/>
      <c r="AI2" s="480"/>
      <c r="AJ2" s="480"/>
      <c r="AK2" s="480"/>
      <c r="AL2" s="480"/>
      <c r="AM2" s="480"/>
      <c r="AN2" s="480"/>
      <c r="AO2" s="480"/>
      <c r="AP2" s="480"/>
      <c r="AQ2" s="479"/>
      <c r="AR2" s="479"/>
      <c r="AS2" s="479"/>
      <c r="AT2" s="479"/>
      <c r="AU2" s="479"/>
      <c r="AV2" s="479"/>
      <c r="AW2" s="479"/>
      <c r="AX2" s="479"/>
      <c r="AY2" s="479"/>
      <c r="AZ2" s="481" t="s">
        <v>1262</v>
      </c>
      <c r="BA2" s="481"/>
      <c r="BB2" s="481"/>
      <c r="BC2" s="481"/>
      <c r="BD2" s="481"/>
      <c r="BE2" s="481"/>
      <c r="BF2" s="481"/>
      <c r="BG2" s="481"/>
      <c r="BH2" s="481"/>
      <c r="BI2" s="481"/>
      <c r="BJ2" s="481"/>
      <c r="BK2" s="481"/>
      <c r="BL2" s="481"/>
      <c r="BM2" s="481" t="s">
        <v>1263</v>
      </c>
      <c r="BN2" s="481"/>
      <c r="BO2" s="481"/>
      <c r="BP2" s="481"/>
      <c r="BQ2" s="481"/>
      <c r="BR2" s="481"/>
      <c r="BS2" s="481"/>
      <c r="BT2" s="481"/>
      <c r="BU2" s="481"/>
      <c r="BV2" s="481"/>
    </row>
    <row r="3" spans="1:76" ht="20.100000000000001" customHeight="1">
      <c r="A3" s="1496" t="s">
        <v>42</v>
      </c>
      <c r="B3" s="1489"/>
      <c r="C3" s="1489"/>
      <c r="D3" s="1489" t="str">
        <f>'作(5)'!C4</f>
        <v>杜鹃</v>
      </c>
      <c r="E3" s="1489"/>
      <c r="F3" s="1489"/>
      <c r="G3" s="1489"/>
      <c r="H3" s="1489"/>
      <c r="I3" s="1489"/>
      <c r="J3" s="1489" t="s">
        <v>53</v>
      </c>
      <c r="K3" s="1489"/>
      <c r="L3" s="1488">
        <f>'作(5)'!H5</f>
        <v>0</v>
      </c>
      <c r="M3" s="1488"/>
      <c r="N3" s="1489" t="s">
        <v>44</v>
      </c>
      <c r="O3" s="1489"/>
      <c r="P3" s="1491" t="s">
        <v>1264</v>
      </c>
      <c r="Q3" s="1492"/>
      <c r="T3" s="482" t="s">
        <v>1265</v>
      </c>
      <c r="AA3" s="483"/>
      <c r="AB3" s="484"/>
      <c r="AC3" s="484"/>
      <c r="AD3" s="484" t="s">
        <v>1266</v>
      </c>
      <c r="AE3" s="484" t="s">
        <v>1267</v>
      </c>
      <c r="AF3" s="485" t="s">
        <v>1268</v>
      </c>
      <c r="AG3" s="485"/>
      <c r="AH3" s="485"/>
      <c r="AI3" s="485"/>
      <c r="AJ3" s="485"/>
      <c r="AK3" s="485"/>
      <c r="AL3" s="485"/>
      <c r="AM3" s="485"/>
      <c r="AN3" s="485" t="s">
        <v>1269</v>
      </c>
      <c r="AO3" s="485" t="s">
        <v>1270</v>
      </c>
      <c r="AP3" s="485"/>
      <c r="AQ3" s="486" t="s">
        <v>1271</v>
      </c>
      <c r="AR3" s="486"/>
      <c r="AS3" s="486"/>
      <c r="AT3" s="486"/>
      <c r="AU3" s="486"/>
      <c r="AV3" s="486"/>
      <c r="AW3" s="487" t="s">
        <v>1269</v>
      </c>
      <c r="AX3" s="487" t="s">
        <v>1270</v>
      </c>
      <c r="AY3" s="486"/>
      <c r="AZ3" s="488" t="s">
        <v>1272</v>
      </c>
      <c r="BA3" s="488"/>
      <c r="BB3" s="488"/>
      <c r="BC3" s="488"/>
      <c r="BD3" s="488"/>
      <c r="BE3" s="488"/>
      <c r="BF3" s="488" t="s">
        <v>1269</v>
      </c>
      <c r="BG3" s="488"/>
      <c r="BH3" s="488"/>
      <c r="BI3" s="489" t="s">
        <v>1273</v>
      </c>
      <c r="BJ3" s="489" t="s">
        <v>1269</v>
      </c>
      <c r="BK3" s="489" t="s">
        <v>1270</v>
      </c>
      <c r="BL3" s="489"/>
      <c r="BM3" s="490" t="s">
        <v>1274</v>
      </c>
      <c r="BN3" s="490"/>
      <c r="BO3" s="490"/>
      <c r="BP3" s="490"/>
      <c r="BQ3" s="490"/>
      <c r="BR3" s="490"/>
      <c r="BS3" s="490"/>
      <c r="BT3" s="490"/>
      <c r="BU3" s="490"/>
      <c r="BV3" s="479" t="s">
        <v>1275</v>
      </c>
    </row>
    <row r="4" spans="1:76" ht="20.100000000000001" customHeight="1" thickBot="1">
      <c r="A4" s="1494" t="s">
        <v>1276</v>
      </c>
      <c r="B4" s="1490"/>
      <c r="C4" s="1490"/>
      <c r="D4" s="1490">
        <f>'作(5)'!H4</f>
        <v>0</v>
      </c>
      <c r="E4" s="1490"/>
      <c r="F4" s="1490"/>
      <c r="G4" s="1490"/>
      <c r="H4" s="1490"/>
      <c r="I4" s="1490"/>
      <c r="J4" s="1490" t="s">
        <v>43</v>
      </c>
      <c r="K4" s="1490"/>
      <c r="L4" s="1495">
        <f>'作(5)'!K5</f>
        <v>0</v>
      </c>
      <c r="M4" s="1495"/>
      <c r="N4" s="1490"/>
      <c r="O4" s="1490"/>
      <c r="P4" s="1490"/>
      <c r="Q4" s="1493"/>
      <c r="R4" s="491"/>
      <c r="S4" s="492"/>
      <c r="T4" s="492"/>
      <c r="U4" s="301" t="s">
        <v>1219</v>
      </c>
      <c r="AA4" s="493" t="s">
        <v>1277</v>
      </c>
      <c r="AB4" s="493" t="s">
        <v>1219</v>
      </c>
      <c r="AC4" s="493" t="s">
        <v>1278</v>
      </c>
      <c r="AD4" s="493" t="s">
        <v>1279</v>
      </c>
      <c r="AE4" s="493" t="s">
        <v>1280</v>
      </c>
      <c r="AF4" s="494" t="s">
        <v>1281</v>
      </c>
      <c r="AG4" s="495" t="s">
        <v>1282</v>
      </c>
      <c r="AH4" s="495" t="s">
        <v>1283</v>
      </c>
      <c r="AI4" s="495" t="s">
        <v>1284</v>
      </c>
      <c r="AJ4" s="485">
        <v>1</v>
      </c>
      <c r="AK4" s="485">
        <v>0.5</v>
      </c>
      <c r="AL4" s="485">
        <v>2</v>
      </c>
      <c r="AM4" s="485">
        <v>0.15</v>
      </c>
      <c r="AN4" s="485">
        <v>50</v>
      </c>
      <c r="AO4" s="485">
        <v>1</v>
      </c>
      <c r="AP4" s="485">
        <f>AN4*AO4</f>
        <v>50</v>
      </c>
      <c r="AQ4" s="486" t="s">
        <v>1285</v>
      </c>
      <c r="AR4" s="486" t="s">
        <v>1282</v>
      </c>
      <c r="AS4" s="486" t="s">
        <v>1283</v>
      </c>
      <c r="AT4" s="486">
        <v>1</v>
      </c>
      <c r="AU4" s="486">
        <v>0.5</v>
      </c>
      <c r="AV4" s="486">
        <v>1.2</v>
      </c>
      <c r="AW4" s="486">
        <v>290</v>
      </c>
      <c r="AX4" s="486">
        <v>1</v>
      </c>
      <c r="AY4" s="486">
        <f t="shared" ref="AY4:AY9" si="0">AW4*AX4</f>
        <v>290</v>
      </c>
      <c r="AZ4" s="488" t="s">
        <v>1286</v>
      </c>
      <c r="BA4" s="488" t="s">
        <v>1287</v>
      </c>
      <c r="BB4" s="488" t="s">
        <v>1288</v>
      </c>
      <c r="BC4" s="488">
        <v>1</v>
      </c>
      <c r="BD4" s="488">
        <v>0.5</v>
      </c>
      <c r="BE4" s="488">
        <v>0.5</v>
      </c>
      <c r="BF4" s="488">
        <v>285</v>
      </c>
      <c r="BG4" s="488">
        <v>3</v>
      </c>
      <c r="BH4" s="488">
        <f t="shared" ref="BH4:BH9" si="1">BF4*BG4</f>
        <v>855</v>
      </c>
      <c r="BI4" s="489" t="s">
        <v>1289</v>
      </c>
      <c r="BJ4" s="489">
        <v>35</v>
      </c>
      <c r="BK4" s="489">
        <v>2</v>
      </c>
      <c r="BL4" s="489">
        <f>BJ4*BK4</f>
        <v>70</v>
      </c>
      <c r="BM4" s="490"/>
      <c r="BN4" s="490"/>
      <c r="BO4" s="490"/>
      <c r="BP4" s="490"/>
      <c r="BQ4" s="490"/>
      <c r="BR4" s="490"/>
      <c r="BS4" s="490" t="s">
        <v>1269</v>
      </c>
      <c r="BT4" s="490"/>
      <c r="BU4" s="490"/>
      <c r="BV4" s="481">
        <v>17</v>
      </c>
      <c r="BW4" s="300">
        <v>1</v>
      </c>
      <c r="BX4" s="300">
        <f>BV4*BW4</f>
        <v>17</v>
      </c>
    </row>
    <row r="5" spans="1:76" ht="20.100000000000001" customHeight="1">
      <c r="A5" s="496" t="s">
        <v>84</v>
      </c>
      <c r="B5" s="497" t="s">
        <v>11</v>
      </c>
      <c r="C5" s="1489" t="s">
        <v>55</v>
      </c>
      <c r="D5" s="1489"/>
      <c r="E5" s="1489" t="s">
        <v>85</v>
      </c>
      <c r="F5" s="1489"/>
      <c r="G5" s="498" t="s">
        <v>36</v>
      </c>
      <c r="H5" s="497" t="s">
        <v>27</v>
      </c>
      <c r="I5" s="496" t="s">
        <v>84</v>
      </c>
      <c r="J5" s="497" t="s">
        <v>11</v>
      </c>
      <c r="K5" s="1489" t="s">
        <v>55</v>
      </c>
      <c r="L5" s="1489"/>
      <c r="M5" s="1489" t="s">
        <v>943</v>
      </c>
      <c r="N5" s="1489"/>
      <c r="O5" s="1489"/>
      <c r="P5" s="499" t="s">
        <v>36</v>
      </c>
      <c r="Q5" s="500" t="s">
        <v>27</v>
      </c>
      <c r="R5" s="491"/>
      <c r="S5" s="492"/>
      <c r="T5" s="492"/>
      <c r="U5" s="301" t="s">
        <v>1225</v>
      </c>
      <c r="AA5" s="493" t="s">
        <v>1290</v>
      </c>
      <c r="AB5" s="493" t="s">
        <v>1221</v>
      </c>
      <c r="AC5" s="493" t="s">
        <v>1291</v>
      </c>
      <c r="AD5" s="493" t="s">
        <v>1292</v>
      </c>
      <c r="AE5" s="493" t="s">
        <v>1293</v>
      </c>
      <c r="AF5" s="494" t="s">
        <v>1281</v>
      </c>
      <c r="AG5" s="495" t="s">
        <v>1282</v>
      </c>
      <c r="AH5" s="495" t="s">
        <v>1283</v>
      </c>
      <c r="AI5" s="495" t="s">
        <v>1294</v>
      </c>
      <c r="AJ5" s="485">
        <v>1</v>
      </c>
      <c r="AK5" s="485">
        <v>0.5</v>
      </c>
      <c r="AL5" s="485">
        <v>2</v>
      </c>
      <c r="AM5" s="485">
        <v>0.15</v>
      </c>
      <c r="AN5" s="485">
        <v>280</v>
      </c>
      <c r="AO5" s="485">
        <v>1</v>
      </c>
      <c r="AP5" s="485">
        <f t="shared" ref="AP5:AP9" si="2">AN5*AO5</f>
        <v>280</v>
      </c>
      <c r="AQ5" s="486" t="s">
        <v>1295</v>
      </c>
      <c r="AR5" s="486" t="s">
        <v>1296</v>
      </c>
      <c r="AS5" s="486" t="s">
        <v>1283</v>
      </c>
      <c r="AT5" s="486">
        <v>1</v>
      </c>
      <c r="AU5" s="486">
        <v>0.5</v>
      </c>
      <c r="AV5" s="486">
        <v>0.7</v>
      </c>
      <c r="AW5" s="486">
        <v>315</v>
      </c>
      <c r="AX5" s="486">
        <v>1</v>
      </c>
      <c r="AY5" s="486">
        <f t="shared" si="0"/>
        <v>315</v>
      </c>
      <c r="AZ5" s="488" t="s">
        <v>1286</v>
      </c>
      <c r="BA5" s="488" t="s">
        <v>1287</v>
      </c>
      <c r="BB5" s="488" t="s">
        <v>1288</v>
      </c>
      <c r="BC5" s="488">
        <v>1</v>
      </c>
      <c r="BD5" s="488">
        <v>0.5</v>
      </c>
      <c r="BE5" s="488">
        <v>0.5</v>
      </c>
      <c r="BF5" s="488">
        <v>285</v>
      </c>
      <c r="BG5" s="488">
        <v>3</v>
      </c>
      <c r="BH5" s="488">
        <f t="shared" si="1"/>
        <v>855</v>
      </c>
      <c r="BI5" s="489" t="s">
        <v>1289</v>
      </c>
      <c r="BJ5" s="489">
        <v>35</v>
      </c>
      <c r="BK5" s="489">
        <v>4</v>
      </c>
      <c r="BL5" s="489">
        <f t="shared" ref="BL5:BL9" si="3">BJ5*BK5</f>
        <v>140</v>
      </c>
      <c r="BM5" s="490" t="s">
        <v>1286</v>
      </c>
      <c r="BN5" s="490" t="s">
        <v>1287</v>
      </c>
      <c r="BO5" s="490" t="s">
        <v>1288</v>
      </c>
      <c r="BP5" s="490">
        <v>1</v>
      </c>
      <c r="BQ5" s="490">
        <v>0.5</v>
      </c>
      <c r="BR5" s="490">
        <v>0.5</v>
      </c>
      <c r="BS5" s="490">
        <v>323</v>
      </c>
      <c r="BT5" s="490">
        <v>1</v>
      </c>
      <c r="BU5" s="490">
        <f>BS5*BT5</f>
        <v>323</v>
      </c>
      <c r="BV5" s="481"/>
    </row>
    <row r="6" spans="1:76" ht="20.100000000000001" customHeight="1">
      <c r="A6" s="1497" t="s">
        <v>1297</v>
      </c>
      <c r="B6" s="501">
        <v>1</v>
      </c>
      <c r="C6" s="1498" t="s">
        <v>1298</v>
      </c>
      <c r="D6" s="1498"/>
      <c r="E6" s="1498" t="str">
        <f>'作(5)'!J8</f>
        <v>18厚EO级素刨花板</v>
      </c>
      <c r="F6" s="1498"/>
      <c r="G6" s="502">
        <f>'作(5)'!N38</f>
        <v>0</v>
      </c>
      <c r="H6" s="501" t="s">
        <v>86</v>
      </c>
      <c r="I6" s="1497" t="s">
        <v>118</v>
      </c>
      <c r="J6" s="501">
        <v>1</v>
      </c>
      <c r="K6" s="1498" t="str">
        <f>VLOOKUP('作(5)'!F6,AB:AE,4,0)</f>
        <v>红樱桃木皮封边</v>
      </c>
      <c r="L6" s="1498"/>
      <c r="M6" s="503">
        <v>1</v>
      </c>
      <c r="N6" s="504" t="s">
        <v>1299</v>
      </c>
      <c r="O6" s="505">
        <v>24</v>
      </c>
      <c r="P6" s="506">
        <f>'作(5)'!L38</f>
        <v>0</v>
      </c>
      <c r="Q6" s="507" t="s">
        <v>57</v>
      </c>
      <c r="U6" s="301" t="s">
        <v>1234</v>
      </c>
      <c r="AA6" s="493" t="s">
        <v>1290</v>
      </c>
      <c r="AB6" s="493" t="s">
        <v>1225</v>
      </c>
      <c r="AC6" s="493" t="s">
        <v>1300</v>
      </c>
      <c r="AD6" s="493" t="s">
        <v>1301</v>
      </c>
      <c r="AE6" s="493" t="s">
        <v>1302</v>
      </c>
      <c r="AF6" s="494" t="s">
        <v>1281</v>
      </c>
      <c r="AG6" s="495" t="s">
        <v>1282</v>
      </c>
      <c r="AH6" s="495" t="s">
        <v>1283</v>
      </c>
      <c r="AI6" s="495" t="s">
        <v>1303</v>
      </c>
      <c r="AJ6" s="485">
        <v>1</v>
      </c>
      <c r="AK6" s="485">
        <v>0.5</v>
      </c>
      <c r="AL6" s="485">
        <v>2</v>
      </c>
      <c r="AM6" s="485">
        <v>0.15</v>
      </c>
      <c r="AN6" s="485">
        <v>50</v>
      </c>
      <c r="AO6" s="485">
        <v>1</v>
      </c>
      <c r="AP6" s="485">
        <f t="shared" si="2"/>
        <v>50</v>
      </c>
      <c r="AQ6" s="486" t="s">
        <v>1295</v>
      </c>
      <c r="AR6" s="486" t="s">
        <v>1296</v>
      </c>
      <c r="AS6" s="486" t="s">
        <v>1283</v>
      </c>
      <c r="AT6" s="486">
        <v>1</v>
      </c>
      <c r="AU6" s="486">
        <v>0.5</v>
      </c>
      <c r="AV6" s="486">
        <v>0.7</v>
      </c>
      <c r="AW6" s="486">
        <v>290</v>
      </c>
      <c r="AX6" s="486">
        <v>1</v>
      </c>
      <c r="AY6" s="486">
        <f t="shared" si="0"/>
        <v>290</v>
      </c>
      <c r="AZ6" s="488" t="s">
        <v>1286</v>
      </c>
      <c r="BA6" s="488" t="s">
        <v>1287</v>
      </c>
      <c r="BB6" s="488" t="s">
        <v>1288</v>
      </c>
      <c r="BC6" s="488">
        <v>1</v>
      </c>
      <c r="BD6" s="488">
        <v>0.5</v>
      </c>
      <c r="BE6" s="488">
        <v>0.5</v>
      </c>
      <c r="BF6" s="488">
        <v>285</v>
      </c>
      <c r="BG6" s="488">
        <v>3</v>
      </c>
      <c r="BH6" s="488">
        <f t="shared" si="1"/>
        <v>855</v>
      </c>
      <c r="BI6" s="489" t="s">
        <v>1289</v>
      </c>
      <c r="BJ6" s="489">
        <v>35</v>
      </c>
      <c r="BK6" s="489">
        <v>4</v>
      </c>
      <c r="BL6" s="489">
        <f t="shared" si="3"/>
        <v>140</v>
      </c>
      <c r="BM6" s="490"/>
      <c r="BN6" s="490"/>
      <c r="BO6" s="490"/>
      <c r="BP6" s="490"/>
      <c r="BQ6" s="490"/>
      <c r="BR6" s="490"/>
      <c r="BS6" s="490"/>
      <c r="BT6" s="490"/>
      <c r="BU6" s="490"/>
      <c r="BV6" s="481">
        <v>17</v>
      </c>
      <c r="BW6" s="300">
        <v>1</v>
      </c>
      <c r="BX6" s="300">
        <f>BV6*BW6</f>
        <v>17</v>
      </c>
    </row>
    <row r="7" spans="1:76" ht="20.100000000000001" customHeight="1">
      <c r="A7" s="1497"/>
      <c r="B7" s="501">
        <v>2</v>
      </c>
      <c r="C7" s="1498"/>
      <c r="D7" s="1498"/>
      <c r="E7" s="1498"/>
      <c r="F7" s="1498"/>
      <c r="G7" s="502"/>
      <c r="H7" s="501"/>
      <c r="I7" s="1497"/>
      <c r="J7" s="501">
        <v>2</v>
      </c>
      <c r="K7" s="1498" t="str">
        <f>+K6</f>
        <v>红樱桃木皮封边</v>
      </c>
      <c r="L7" s="1498"/>
      <c r="M7" s="503">
        <v>1</v>
      </c>
      <c r="N7" s="504" t="s">
        <v>1299</v>
      </c>
      <c r="O7" s="505">
        <v>56</v>
      </c>
      <c r="P7" s="506"/>
      <c r="Q7" s="507" t="s">
        <v>57</v>
      </c>
      <c r="AA7" s="493" t="s">
        <v>1290</v>
      </c>
      <c r="AB7" s="493" t="s">
        <v>1232</v>
      </c>
      <c r="AC7" s="493" t="s">
        <v>1304</v>
      </c>
      <c r="AD7" s="493" t="s">
        <v>1301</v>
      </c>
      <c r="AE7" s="493" t="s">
        <v>1305</v>
      </c>
      <c r="AF7" s="494" t="s">
        <v>1281</v>
      </c>
      <c r="AG7" s="495" t="s">
        <v>1282</v>
      </c>
      <c r="AH7" s="495" t="s">
        <v>1283</v>
      </c>
      <c r="AI7" s="495" t="s">
        <v>1303</v>
      </c>
      <c r="AJ7" s="485">
        <v>1</v>
      </c>
      <c r="AK7" s="485">
        <v>0.5</v>
      </c>
      <c r="AL7" s="485">
        <v>2</v>
      </c>
      <c r="AM7" s="485">
        <v>0.15</v>
      </c>
      <c r="AN7" s="485">
        <v>200</v>
      </c>
      <c r="AO7" s="485">
        <v>1</v>
      </c>
      <c r="AP7" s="485">
        <f t="shared" si="2"/>
        <v>200</v>
      </c>
      <c r="AQ7" s="486" t="s">
        <v>1295</v>
      </c>
      <c r="AR7" s="486" t="s">
        <v>1296</v>
      </c>
      <c r="AS7" s="486" t="s">
        <v>1283</v>
      </c>
      <c r="AT7" s="486">
        <v>1</v>
      </c>
      <c r="AU7" s="486">
        <v>0.5</v>
      </c>
      <c r="AV7" s="486">
        <v>0.7</v>
      </c>
      <c r="AW7" s="486">
        <v>315</v>
      </c>
      <c r="AX7" s="486">
        <v>1</v>
      </c>
      <c r="AY7" s="486">
        <f t="shared" si="0"/>
        <v>315</v>
      </c>
      <c r="AZ7" s="488" t="s">
        <v>1286</v>
      </c>
      <c r="BA7" s="488" t="s">
        <v>1287</v>
      </c>
      <c r="BB7" s="488" t="s">
        <v>1288</v>
      </c>
      <c r="BC7" s="488">
        <v>1</v>
      </c>
      <c r="BD7" s="488">
        <v>0.5</v>
      </c>
      <c r="BE7" s="488">
        <v>0.5</v>
      </c>
      <c r="BF7" s="488">
        <v>285</v>
      </c>
      <c r="BG7" s="488">
        <v>3</v>
      </c>
      <c r="BH7" s="488">
        <f t="shared" si="1"/>
        <v>855</v>
      </c>
      <c r="BI7" s="489" t="s">
        <v>1289</v>
      </c>
      <c r="BJ7" s="489">
        <v>35</v>
      </c>
      <c r="BK7" s="489">
        <v>4</v>
      </c>
      <c r="BL7" s="489">
        <f t="shared" si="3"/>
        <v>140</v>
      </c>
      <c r="BM7" s="490" t="s">
        <v>1286</v>
      </c>
      <c r="BN7" s="490" t="s">
        <v>1287</v>
      </c>
      <c r="BO7" s="490" t="s">
        <v>1288</v>
      </c>
      <c r="BP7" s="490">
        <v>1</v>
      </c>
      <c r="BQ7" s="490">
        <v>0.5</v>
      </c>
      <c r="BR7" s="490">
        <v>0.5</v>
      </c>
      <c r="BS7" s="490">
        <v>323</v>
      </c>
      <c r="BT7" s="490">
        <v>1</v>
      </c>
      <c r="BU7" s="490">
        <f>BS7*BT7</f>
        <v>323</v>
      </c>
      <c r="BV7" s="481"/>
    </row>
    <row r="8" spans="1:76" ht="20.100000000000001" customHeight="1">
      <c r="A8" s="1499" t="s">
        <v>1266</v>
      </c>
      <c r="B8" s="501">
        <v>1</v>
      </c>
      <c r="C8" s="1498" t="str">
        <f>VLOOKUP('作(5)'!F6,AB:AC,2,0)</f>
        <v>樱桃山纹木皮</v>
      </c>
      <c r="D8" s="1498"/>
      <c r="E8" s="1498" t="str">
        <f>VLOOKUP('作(5)'!F6,AB:AD,3,0)</f>
        <v>樱桃山纹木皮0.5mm</v>
      </c>
      <c r="F8" s="1498"/>
      <c r="G8" s="502">
        <f>'作(5)'!P38</f>
        <v>0</v>
      </c>
      <c r="H8" s="501" t="s">
        <v>1306</v>
      </c>
      <c r="I8" s="1497"/>
      <c r="J8" s="501">
        <v>3</v>
      </c>
      <c r="K8" s="1498"/>
      <c r="L8" s="1498"/>
      <c r="M8" s="1498" t="s">
        <v>1307</v>
      </c>
      <c r="N8" s="1498"/>
      <c r="O8" s="1498"/>
      <c r="P8" s="508">
        <f>(0.024*P6*2)/0.6+(0.056*P7*2)/0.6</f>
        <v>0</v>
      </c>
      <c r="Q8" s="507" t="s">
        <v>1306</v>
      </c>
      <c r="AA8" s="493" t="s">
        <v>1277</v>
      </c>
      <c r="AB8" s="493" t="s">
        <v>1234</v>
      </c>
      <c r="AC8" s="493" t="s">
        <v>1308</v>
      </c>
      <c r="AD8" s="493" t="s">
        <v>1309</v>
      </c>
      <c r="AE8" s="493" t="s">
        <v>1310</v>
      </c>
      <c r="AF8" s="494" t="s">
        <v>1281</v>
      </c>
      <c r="AG8" s="495" t="s">
        <v>1282</v>
      </c>
      <c r="AH8" s="495" t="s">
        <v>1283</v>
      </c>
      <c r="AI8" s="495" t="s">
        <v>1311</v>
      </c>
      <c r="AJ8" s="485">
        <v>1</v>
      </c>
      <c r="AK8" s="485">
        <v>0.5</v>
      </c>
      <c r="AL8" s="485">
        <v>2</v>
      </c>
      <c r="AM8" s="485">
        <v>0.15</v>
      </c>
      <c r="AN8" s="485">
        <v>280</v>
      </c>
      <c r="AO8" s="485">
        <v>1</v>
      </c>
      <c r="AP8" s="485">
        <f t="shared" si="2"/>
        <v>280</v>
      </c>
      <c r="AQ8" s="486" t="s">
        <v>1285</v>
      </c>
      <c r="AR8" s="486" t="s">
        <v>1282</v>
      </c>
      <c r="AS8" s="486" t="s">
        <v>1283</v>
      </c>
      <c r="AT8" s="486">
        <v>1</v>
      </c>
      <c r="AU8" s="486">
        <v>0.5</v>
      </c>
      <c r="AV8" s="486">
        <v>1.2</v>
      </c>
      <c r="AW8" s="486">
        <v>315</v>
      </c>
      <c r="AX8" s="486">
        <v>1</v>
      </c>
      <c r="AY8" s="486">
        <f t="shared" si="0"/>
        <v>315</v>
      </c>
      <c r="AZ8" s="488" t="s">
        <v>1286</v>
      </c>
      <c r="BA8" s="488" t="s">
        <v>1287</v>
      </c>
      <c r="BB8" s="488" t="s">
        <v>1288</v>
      </c>
      <c r="BC8" s="488">
        <v>1</v>
      </c>
      <c r="BD8" s="488">
        <v>0.5</v>
      </c>
      <c r="BE8" s="488">
        <v>0.8</v>
      </c>
      <c r="BF8" s="488">
        <v>238</v>
      </c>
      <c r="BG8" s="488">
        <v>2</v>
      </c>
      <c r="BH8" s="488">
        <f t="shared" si="1"/>
        <v>476</v>
      </c>
      <c r="BI8" s="489" t="s">
        <v>1289</v>
      </c>
      <c r="BJ8" s="489">
        <v>35</v>
      </c>
      <c r="BK8" s="489">
        <v>2</v>
      </c>
      <c r="BL8" s="489">
        <f t="shared" si="3"/>
        <v>70</v>
      </c>
      <c r="BM8" s="490"/>
      <c r="BN8" s="490"/>
      <c r="BO8" s="490"/>
      <c r="BP8" s="490"/>
      <c r="BQ8" s="490"/>
      <c r="BR8" s="490"/>
      <c r="BS8" s="490"/>
      <c r="BT8" s="490"/>
      <c r="BU8" s="490"/>
      <c r="BV8" s="481"/>
    </row>
    <row r="9" spans="1:76" ht="20.100000000000001" customHeight="1">
      <c r="A9" s="1500"/>
      <c r="B9" s="501"/>
      <c r="C9" s="1498"/>
      <c r="D9" s="1498"/>
      <c r="E9" s="1498"/>
      <c r="F9" s="1498"/>
      <c r="G9" s="502"/>
      <c r="H9" s="501"/>
      <c r="I9" s="1497" t="s">
        <v>1312</v>
      </c>
      <c r="J9" s="501">
        <v>4</v>
      </c>
      <c r="K9" s="1498" t="s">
        <v>802</v>
      </c>
      <c r="L9" s="1498"/>
      <c r="M9" s="1498" t="s">
        <v>1313</v>
      </c>
      <c r="N9" s="1498"/>
      <c r="O9" s="1498"/>
      <c r="P9" s="508">
        <f>P6*4.1+P7*10.5</f>
        <v>0</v>
      </c>
      <c r="Q9" s="507" t="s">
        <v>87</v>
      </c>
      <c r="AA9" s="493" t="s">
        <v>1277</v>
      </c>
      <c r="AB9" s="493" t="s">
        <v>1240</v>
      </c>
      <c r="AC9" s="493" t="s">
        <v>1314</v>
      </c>
      <c r="AD9" s="493" t="s">
        <v>1315</v>
      </c>
      <c r="AE9" s="493" t="s">
        <v>1316</v>
      </c>
      <c r="AF9" s="494" t="s">
        <v>1317</v>
      </c>
      <c r="AG9" s="495" t="s">
        <v>1318</v>
      </c>
      <c r="AH9" s="495" t="s">
        <v>1319</v>
      </c>
      <c r="AI9" s="495" t="s">
        <v>1320</v>
      </c>
      <c r="AJ9" s="485">
        <v>1</v>
      </c>
      <c r="AK9" s="485">
        <v>0.5</v>
      </c>
      <c r="AL9" s="485">
        <v>2</v>
      </c>
      <c r="AM9" s="485">
        <v>0.15</v>
      </c>
      <c r="AN9" s="485">
        <v>280</v>
      </c>
      <c r="AO9" s="485">
        <v>1</v>
      </c>
      <c r="AP9" s="485">
        <f t="shared" si="2"/>
        <v>280</v>
      </c>
      <c r="AQ9" s="486" t="s">
        <v>1321</v>
      </c>
      <c r="AR9" s="486" t="s">
        <v>1318</v>
      </c>
      <c r="AS9" s="486" t="s">
        <v>1319</v>
      </c>
      <c r="AT9" s="486">
        <v>1</v>
      </c>
      <c r="AU9" s="486">
        <v>0.5</v>
      </c>
      <c r="AV9" s="486">
        <v>1.2</v>
      </c>
      <c r="AW9" s="486">
        <v>315</v>
      </c>
      <c r="AX9" s="486">
        <v>1</v>
      </c>
      <c r="AY9" s="486">
        <f t="shared" si="0"/>
        <v>315</v>
      </c>
      <c r="AZ9" s="488" t="s">
        <v>1322</v>
      </c>
      <c r="BA9" s="488" t="s">
        <v>1323</v>
      </c>
      <c r="BB9" s="488" t="s">
        <v>1324</v>
      </c>
      <c r="BC9" s="488">
        <v>1</v>
      </c>
      <c r="BD9" s="488">
        <v>0.5</v>
      </c>
      <c r="BE9" s="488">
        <v>0.5</v>
      </c>
      <c r="BF9" s="488">
        <v>285</v>
      </c>
      <c r="BG9" s="488">
        <v>3</v>
      </c>
      <c r="BH9" s="488">
        <f t="shared" si="1"/>
        <v>855</v>
      </c>
      <c r="BI9" s="489" t="s">
        <v>1325</v>
      </c>
      <c r="BJ9" s="489">
        <v>35</v>
      </c>
      <c r="BK9" s="489">
        <v>4</v>
      </c>
      <c r="BL9" s="489">
        <f t="shared" si="3"/>
        <v>140</v>
      </c>
      <c r="BM9" s="490" t="s">
        <v>1322</v>
      </c>
      <c r="BN9" s="490" t="s">
        <v>1323</v>
      </c>
      <c r="BO9" s="490" t="s">
        <v>1324</v>
      </c>
      <c r="BP9" s="490">
        <v>1</v>
      </c>
      <c r="BQ9" s="490">
        <v>0.5</v>
      </c>
      <c r="BR9" s="490">
        <v>0.5</v>
      </c>
      <c r="BS9" s="490">
        <v>323</v>
      </c>
      <c r="BT9" s="490">
        <v>1</v>
      </c>
      <c r="BU9" s="490">
        <f>BS9*BT9</f>
        <v>323</v>
      </c>
      <c r="BV9" s="481"/>
    </row>
    <row r="10" spans="1:76" ht="20.100000000000001" customHeight="1">
      <c r="A10" s="1500" t="s">
        <v>1326</v>
      </c>
      <c r="B10" s="501">
        <v>1</v>
      </c>
      <c r="C10" s="1498" t="s">
        <v>1326</v>
      </c>
      <c r="D10" s="1498"/>
      <c r="E10" s="1498" t="s">
        <v>1327</v>
      </c>
      <c r="F10" s="1498"/>
      <c r="G10" s="502"/>
      <c r="H10" s="501" t="s">
        <v>1328</v>
      </c>
      <c r="I10" s="1497"/>
      <c r="J10" s="501">
        <v>5</v>
      </c>
      <c r="K10" s="1498" t="s">
        <v>1329</v>
      </c>
      <c r="L10" s="1498"/>
      <c r="M10" s="1498" t="s">
        <v>1330</v>
      </c>
      <c r="N10" s="1498"/>
      <c r="O10" s="1498"/>
      <c r="P10" s="508"/>
      <c r="Q10" s="507" t="s">
        <v>1331</v>
      </c>
    </row>
    <row r="11" spans="1:76" ht="20.100000000000001" customHeight="1">
      <c r="A11" s="1501"/>
      <c r="B11" s="501">
        <v>2</v>
      </c>
      <c r="C11" s="1498" t="s">
        <v>1332</v>
      </c>
      <c r="D11" s="1498"/>
      <c r="E11" s="1498"/>
      <c r="F11" s="1498"/>
      <c r="G11" s="502"/>
      <c r="H11" s="501" t="s">
        <v>1333</v>
      </c>
      <c r="I11" s="1497"/>
      <c r="J11" s="501">
        <v>6</v>
      </c>
      <c r="K11" s="1498" t="s">
        <v>1334</v>
      </c>
      <c r="L11" s="1498"/>
      <c r="M11" s="1498" t="s">
        <v>1335</v>
      </c>
      <c r="N11" s="1498"/>
      <c r="O11" s="1498"/>
      <c r="P11" s="508">
        <f>G8*120</f>
        <v>0</v>
      </c>
      <c r="Q11" s="507" t="s">
        <v>1331</v>
      </c>
    </row>
    <row r="12" spans="1:76" ht="20.100000000000001" customHeight="1">
      <c r="A12" s="1499" t="s">
        <v>1336</v>
      </c>
      <c r="B12" s="501">
        <v>1</v>
      </c>
      <c r="C12" s="1515" t="s">
        <v>1337</v>
      </c>
      <c r="D12" s="1516"/>
      <c r="E12" s="1521" t="s">
        <v>1338</v>
      </c>
      <c r="F12" s="1521"/>
      <c r="G12" s="509">
        <f>30*$V$32/1000</f>
        <v>0</v>
      </c>
      <c r="H12" s="510" t="s">
        <v>1339</v>
      </c>
      <c r="I12" s="511"/>
      <c r="J12" s="501"/>
      <c r="K12" s="501"/>
      <c r="L12" s="501"/>
      <c r="M12" s="501"/>
      <c r="N12" s="501"/>
      <c r="O12" s="501"/>
      <c r="P12" s="508"/>
      <c r="Q12" s="507"/>
    </row>
    <row r="13" spans="1:76" ht="20.100000000000001" customHeight="1">
      <c r="A13" s="1500"/>
      <c r="B13" s="501">
        <v>2</v>
      </c>
      <c r="C13" s="1517"/>
      <c r="D13" s="1518"/>
      <c r="E13" s="1521" t="s">
        <v>1340</v>
      </c>
      <c r="F13" s="1521"/>
      <c r="G13" s="509">
        <f>25*$V$32/1000</f>
        <v>0</v>
      </c>
      <c r="H13" s="510" t="s">
        <v>1339</v>
      </c>
      <c r="I13" s="511"/>
      <c r="J13" s="501"/>
      <c r="K13" s="501"/>
      <c r="L13" s="501"/>
      <c r="M13" s="501"/>
      <c r="N13" s="501"/>
      <c r="O13" s="501"/>
      <c r="P13" s="508"/>
      <c r="Q13" s="507"/>
    </row>
    <row r="14" spans="1:76" ht="20.100000000000001" customHeight="1">
      <c r="A14" s="1500"/>
      <c r="B14" s="501">
        <v>3</v>
      </c>
      <c r="C14" s="1519"/>
      <c r="D14" s="1520"/>
      <c r="E14" s="1521" t="s">
        <v>1341</v>
      </c>
      <c r="F14" s="1521"/>
      <c r="G14" s="509">
        <f>35*$V$32/1000</f>
        <v>0</v>
      </c>
      <c r="H14" s="510" t="s">
        <v>1339</v>
      </c>
      <c r="I14" s="1511"/>
      <c r="J14" s="501"/>
      <c r="K14" s="1531"/>
      <c r="L14" s="1532"/>
      <c r="M14" s="1531"/>
      <c r="N14" s="1548"/>
      <c r="O14" s="1532"/>
      <c r="P14" s="508"/>
      <c r="Q14" s="507"/>
      <c r="T14" s="1502" t="s">
        <v>1342</v>
      </c>
      <c r="U14" s="1503"/>
      <c r="V14" s="1503"/>
      <c r="W14" s="1503"/>
      <c r="X14" s="1503"/>
      <c r="Y14" s="1504"/>
    </row>
    <row r="15" spans="1:76" ht="20.100000000000001" customHeight="1">
      <c r="A15" s="1500"/>
      <c r="B15" s="501">
        <v>4</v>
      </c>
      <c r="C15" s="1505" t="s">
        <v>1343</v>
      </c>
      <c r="D15" s="1506"/>
      <c r="E15" s="1498" t="str">
        <f>W15</f>
        <v>UA1832</v>
      </c>
      <c r="F15" s="1498"/>
      <c r="G15" s="502">
        <f>Y15</f>
        <v>0</v>
      </c>
      <c r="H15" s="512" t="s">
        <v>1339</v>
      </c>
      <c r="I15" s="1511"/>
      <c r="J15" s="501"/>
      <c r="K15" s="1511"/>
      <c r="L15" s="1511"/>
      <c r="M15" s="1498"/>
      <c r="N15" s="1498"/>
      <c r="O15" s="1498"/>
      <c r="P15" s="508"/>
      <c r="Q15" s="507"/>
      <c r="T15" s="1512" t="s">
        <v>1344</v>
      </c>
      <c r="U15" s="513">
        <v>50</v>
      </c>
      <c r="V15" s="1512">
        <f>'作(5)'!L39</f>
        <v>0</v>
      </c>
      <c r="W15" s="514" t="s">
        <v>1345</v>
      </c>
      <c r="X15" s="514">
        <f>VLOOKUP('作(5)'!F6,AB:BC,28,0)</f>
        <v>1</v>
      </c>
      <c r="Y15" s="515">
        <f>U15*$V$15*X15/1000</f>
        <v>0</v>
      </c>
    </row>
    <row r="16" spans="1:76" ht="20.100000000000001" customHeight="1">
      <c r="A16" s="1500"/>
      <c r="B16" s="501">
        <v>5</v>
      </c>
      <c r="C16" s="1507"/>
      <c r="D16" s="1508"/>
      <c r="E16" s="1498" t="str">
        <f>W16</f>
        <v>UA4032</v>
      </c>
      <c r="F16" s="1498"/>
      <c r="G16" s="502">
        <f>Y16</f>
        <v>0</v>
      </c>
      <c r="H16" s="512" t="s">
        <v>1339</v>
      </c>
      <c r="I16" s="1511"/>
      <c r="J16" s="501"/>
      <c r="K16" s="1522" t="s">
        <v>1346</v>
      </c>
      <c r="L16" s="1523"/>
      <c r="M16" s="1523"/>
      <c r="N16" s="1523"/>
      <c r="O16" s="1523"/>
      <c r="P16" s="1524"/>
      <c r="Q16" s="507"/>
      <c r="T16" s="1513"/>
      <c r="U16" s="513">
        <v>80</v>
      </c>
      <c r="V16" s="1513"/>
      <c r="W16" s="514" t="s">
        <v>1347</v>
      </c>
      <c r="X16" s="514">
        <v>1</v>
      </c>
      <c r="Y16" s="515">
        <f>U16*$V$15*X16/1000</f>
        <v>0</v>
      </c>
    </row>
    <row r="17" spans="1:25" ht="20.100000000000001" customHeight="1">
      <c r="A17" s="1500"/>
      <c r="B17" s="501">
        <v>6</v>
      </c>
      <c r="C17" s="1507"/>
      <c r="D17" s="1508"/>
      <c r="E17" s="1498"/>
      <c r="F17" s="1498"/>
      <c r="G17" s="502"/>
      <c r="H17" s="512"/>
      <c r="I17" s="1511"/>
      <c r="J17" s="501"/>
      <c r="K17" s="1525"/>
      <c r="L17" s="1526"/>
      <c r="M17" s="1526"/>
      <c r="N17" s="1526"/>
      <c r="O17" s="1526"/>
      <c r="P17" s="1527"/>
      <c r="Q17" s="507"/>
      <c r="T17" s="1514"/>
      <c r="U17" s="513"/>
      <c r="V17" s="1514"/>
      <c r="W17" s="514"/>
      <c r="X17" s="514"/>
      <c r="Y17" s="515"/>
    </row>
    <row r="18" spans="1:25" ht="20.100000000000001" customHeight="1">
      <c r="A18" s="1500"/>
      <c r="B18" s="501">
        <v>7</v>
      </c>
      <c r="C18" s="1509"/>
      <c r="D18" s="1510"/>
      <c r="E18" s="1531"/>
      <c r="F18" s="1532"/>
      <c r="G18" s="502"/>
      <c r="H18" s="512"/>
      <c r="I18" s="1511"/>
      <c r="J18" s="501"/>
      <c r="K18" s="1525"/>
      <c r="L18" s="1526"/>
      <c r="M18" s="1526"/>
      <c r="N18" s="1526"/>
      <c r="O18" s="1526"/>
      <c r="P18" s="1527"/>
      <c r="Q18" s="507"/>
      <c r="T18" s="516"/>
      <c r="U18" s="516"/>
      <c r="V18" s="516"/>
      <c r="W18" s="517"/>
      <c r="X18" s="518"/>
      <c r="Y18" s="519"/>
    </row>
    <row r="19" spans="1:25" ht="20.100000000000001" customHeight="1">
      <c r="A19" s="1500"/>
      <c r="B19" s="501">
        <v>8</v>
      </c>
      <c r="C19" s="1505" t="s">
        <v>1348</v>
      </c>
      <c r="D19" s="1506"/>
      <c r="E19" s="1498" t="str">
        <f>+IF(OR('作(5)'!F6='料单 (5)'!U4,'作(5)'!F6='料单 (5)'!U5,'作(5)'!F6='料单 (5)'!U6),"",'料单 (5)'!W19)</f>
        <v>主剂PD3200</v>
      </c>
      <c r="F19" s="1498"/>
      <c r="G19" s="502">
        <f>IF(E19="","",Y19)</f>
        <v>0</v>
      </c>
      <c r="H19" s="512" t="str">
        <f>IF(E19="","","千克")</f>
        <v>千克</v>
      </c>
      <c r="I19" s="1511"/>
      <c r="J19" s="501"/>
      <c r="K19" s="1525"/>
      <c r="L19" s="1526"/>
      <c r="M19" s="1526"/>
      <c r="N19" s="1526"/>
      <c r="O19" s="1526"/>
      <c r="P19" s="1527"/>
      <c r="Q19" s="507"/>
      <c r="T19" s="1512" t="str">
        <f>C19</f>
        <v>PU清底（手工喷涂）</v>
      </c>
      <c r="U19" s="1512">
        <f>VLOOKUP('作(5)'!F6,AB:BU,46,0)</f>
        <v>323</v>
      </c>
      <c r="V19" s="1512">
        <f>'作(5)'!O38</f>
        <v>0</v>
      </c>
      <c r="W19" s="514" t="str">
        <f>VLOOKUP('作(5)'!F6,AB:BM,38,0)</f>
        <v>主剂PD3200</v>
      </c>
      <c r="X19" s="514">
        <f>VLOOKUP('作(5)'!F6,AB:BP,41,0)</f>
        <v>1</v>
      </c>
      <c r="Y19" s="515">
        <f>V$19*(U$19/(X$19+X$20+X$21))*X19/1000</f>
        <v>0</v>
      </c>
    </row>
    <row r="20" spans="1:25" ht="20.100000000000001" customHeight="1">
      <c r="A20" s="1500"/>
      <c r="B20" s="501">
        <v>9</v>
      </c>
      <c r="C20" s="1507"/>
      <c r="D20" s="1508"/>
      <c r="E20" s="1498" t="str">
        <f>+IF(OR('作(5)'!F6='料单 (5)'!U4,'作(5)'!F6='料单 (5)'!U5,'作(5)'!F6='料单 (5)'!U6),"",'料单 (5)'!W20)</f>
        <v>固化剂PR66</v>
      </c>
      <c r="F20" s="1498"/>
      <c r="G20" s="502">
        <f>IF(E20="","",Y20)</f>
        <v>0</v>
      </c>
      <c r="H20" s="512" t="str">
        <f>IF(E20="","","千克")</f>
        <v>千克</v>
      </c>
      <c r="I20" s="1511"/>
      <c r="J20" s="501"/>
      <c r="K20" s="1525"/>
      <c r="L20" s="1526"/>
      <c r="M20" s="1526"/>
      <c r="N20" s="1526"/>
      <c r="O20" s="1526"/>
      <c r="P20" s="1527"/>
      <c r="Q20" s="507"/>
      <c r="T20" s="1513"/>
      <c r="U20" s="1513"/>
      <c r="V20" s="1513"/>
      <c r="W20" s="514" t="str">
        <f>VLOOKUP('作(5)'!F6,AB:BN,39,0)</f>
        <v>固化剂PR66</v>
      </c>
      <c r="X20" s="514">
        <f>VLOOKUP('作(5)'!F6,AB:BQ,42,0)</f>
        <v>0.5</v>
      </c>
      <c r="Y20" s="515">
        <f>V$19*(U$19/(X$19+X$20+X$21))*X20/1000</f>
        <v>0</v>
      </c>
    </row>
    <row r="21" spans="1:25" ht="20.100000000000001" customHeight="1">
      <c r="A21" s="1500"/>
      <c r="B21" s="501">
        <v>10</v>
      </c>
      <c r="C21" s="1507"/>
      <c r="D21" s="1508"/>
      <c r="E21" s="1498" t="str">
        <f>+IF(OR('作(5)'!F6='料单 (5)'!U4,'作(5)'!F6='料单 (5)'!U5,'作(5)'!F6='料单 (5)'!U6),"",'料单 (5)'!W21)</f>
        <v>稀料PX705/PX707</v>
      </c>
      <c r="F21" s="1498"/>
      <c r="G21" s="502">
        <f>IF(E21="","",IF(E22="",Y21,Y21/1.3*1))</f>
        <v>0</v>
      </c>
      <c r="H21" s="512" t="str">
        <f>IF(E21="","","千克")</f>
        <v>千克</v>
      </c>
      <c r="I21" s="1511"/>
      <c r="J21" s="501"/>
      <c r="K21" s="1525"/>
      <c r="L21" s="1526"/>
      <c r="M21" s="1526"/>
      <c r="N21" s="1526"/>
      <c r="O21" s="1526"/>
      <c r="P21" s="1527"/>
      <c r="Q21" s="507"/>
      <c r="T21" s="1514"/>
      <c r="U21" s="1514"/>
      <c r="V21" s="1514"/>
      <c r="W21" s="514" t="str">
        <f>VLOOKUP('作(5)'!F6,AB:BO,40,0)</f>
        <v>稀料PX705/PX707</v>
      </c>
      <c r="X21" s="514">
        <f>VLOOKUP('作(5)'!F6,AB:BR,43,0)</f>
        <v>0.5</v>
      </c>
      <c r="Y21" s="515">
        <f>V$19*(U$19/(X$19+X$20+X$21))*X21/1000</f>
        <v>0</v>
      </c>
    </row>
    <row r="22" spans="1:25" ht="20.100000000000001" customHeight="1">
      <c r="A22" s="1500"/>
      <c r="B22" s="501">
        <v>11</v>
      </c>
      <c r="C22" s="1509"/>
      <c r="D22" s="1510"/>
      <c r="E22" s="1498" t="str">
        <f>+IF(OR('作(5)'!F6='料单 (5)'!U4,'作(5)'!F6='料单 (5)'!U5,'作(5)'!F6='料单 (5)'!U6),"",'料单 (5)'!W22)</f>
        <v>慢干水PZ807</v>
      </c>
      <c r="F22" s="1498"/>
      <c r="G22" s="502">
        <f>IF(E22="","",G21*0.3)</f>
        <v>0</v>
      </c>
      <c r="H22" s="512" t="str">
        <f>IF(E22="","","千克")</f>
        <v>千克</v>
      </c>
      <c r="I22" s="1511"/>
      <c r="J22" s="501"/>
      <c r="K22" s="1525"/>
      <c r="L22" s="1526"/>
      <c r="M22" s="1526"/>
      <c r="N22" s="1526"/>
      <c r="O22" s="1526"/>
      <c r="P22" s="1527"/>
      <c r="Q22" s="507"/>
      <c r="T22" s="520"/>
      <c r="U22" s="520"/>
      <c r="V22" s="520"/>
      <c r="W22" s="514" t="str">
        <f>IF($S$1=$T$2,"慢干水PZ807","")</f>
        <v>慢干水PZ807</v>
      </c>
      <c r="X22" s="514"/>
      <c r="Y22" s="515">
        <f>IF(W22="","",Y21*0.34)</f>
        <v>0</v>
      </c>
    </row>
    <row r="23" spans="1:25" ht="20.100000000000001" customHeight="1">
      <c r="A23" s="1500"/>
      <c r="B23" s="501">
        <v>12</v>
      </c>
      <c r="C23" s="1505" t="s">
        <v>1349</v>
      </c>
      <c r="D23" s="1506"/>
      <c r="E23" s="1498" t="str">
        <f>W23</f>
        <v>主剂GT2024</v>
      </c>
      <c r="F23" s="1498"/>
      <c r="G23" s="502">
        <f>Y23</f>
        <v>0</v>
      </c>
      <c r="H23" s="512" t="s">
        <v>1339</v>
      </c>
      <c r="I23" s="1511"/>
      <c r="J23" s="501"/>
      <c r="K23" s="1525"/>
      <c r="L23" s="1526"/>
      <c r="M23" s="1526"/>
      <c r="N23" s="1526"/>
      <c r="O23" s="1526"/>
      <c r="P23" s="1527"/>
      <c r="Q23" s="507"/>
      <c r="T23" s="1512" t="str">
        <f>C23</f>
        <v>修色 面漆</v>
      </c>
      <c r="U23" s="1512">
        <f>VLOOKUP('作(5)'!F6,AB:AP,15,0)</f>
        <v>280</v>
      </c>
      <c r="V23" s="1512">
        <f>+'作(5)'!K39</f>
        <v>0</v>
      </c>
      <c r="W23" s="514" t="str">
        <f>VLOOKUP('作(5)'!F6,AB:AF,5,0)</f>
        <v>主剂GT2024</v>
      </c>
      <c r="X23" s="514">
        <f>VLOOKUP('作(5)'!F6,AB:AJ,9,0)</f>
        <v>1</v>
      </c>
      <c r="Y23" s="515">
        <f>V$23*(U$23/(X$23+X$24+X$25+X26))*X23/1000</f>
        <v>0</v>
      </c>
    </row>
    <row r="24" spans="1:25" ht="20.100000000000001" customHeight="1">
      <c r="A24" s="1500"/>
      <c r="B24" s="501">
        <v>13</v>
      </c>
      <c r="C24" s="1507"/>
      <c r="D24" s="1508"/>
      <c r="E24" s="1498" t="str">
        <f>W24</f>
        <v>固化剂PR50</v>
      </c>
      <c r="F24" s="1498"/>
      <c r="G24" s="502">
        <f>Y24</f>
        <v>0</v>
      </c>
      <c r="H24" s="512" t="s">
        <v>1339</v>
      </c>
      <c r="I24" s="1511"/>
      <c r="J24" s="501"/>
      <c r="K24" s="1528"/>
      <c r="L24" s="1529"/>
      <c r="M24" s="1529"/>
      <c r="N24" s="1529"/>
      <c r="O24" s="1529"/>
      <c r="P24" s="1530"/>
      <c r="Q24" s="521"/>
      <c r="T24" s="1513"/>
      <c r="U24" s="1513"/>
      <c r="V24" s="1513"/>
      <c r="W24" s="514" t="str">
        <f>VLOOKUP('作(5)'!F6,AB:AG,6,0)</f>
        <v>固化剂PR50</v>
      </c>
      <c r="X24" s="514">
        <f>VLOOKUP('作(5)'!F6,AB:AK,10,0)</f>
        <v>0.5</v>
      </c>
      <c r="Y24" s="515">
        <f>V$23*(U$23/(X$23+X$24+X$25+X26))*X24/1000</f>
        <v>0</v>
      </c>
    </row>
    <row r="25" spans="1:25" ht="20.100000000000001" customHeight="1">
      <c r="A25" s="1500"/>
      <c r="B25" s="501">
        <v>14</v>
      </c>
      <c r="C25" s="1507"/>
      <c r="D25" s="1508"/>
      <c r="E25" s="1498" t="str">
        <f>W25</f>
        <v>稀料PX903/PX904</v>
      </c>
      <c r="F25" s="1498"/>
      <c r="G25" s="502">
        <f>IF(E27="",Y25,Y25/1.3*1)</f>
        <v>0</v>
      </c>
      <c r="H25" s="512" t="s">
        <v>1339</v>
      </c>
      <c r="I25" s="1511"/>
      <c r="J25" s="501"/>
      <c r="K25" s="1537"/>
      <c r="L25" s="1538"/>
      <c r="M25" s="1498"/>
      <c r="N25" s="1498"/>
      <c r="O25" s="1498"/>
      <c r="P25" s="508"/>
      <c r="Q25" s="507"/>
      <c r="T25" s="1513"/>
      <c r="U25" s="1513"/>
      <c r="V25" s="1513"/>
      <c r="W25" s="514" t="str">
        <f>VLOOKUP('作(5)'!F6,AB:AH,7,0)</f>
        <v>稀料PX903/PX904</v>
      </c>
      <c r="X25" s="514">
        <f>VLOOKUP('作(5)'!F6,AB:AL,11,0)</f>
        <v>2</v>
      </c>
      <c r="Y25" s="515">
        <f>V$23*(U$23/(X$23+X$24+X$25+X26))*X25/1000</f>
        <v>0</v>
      </c>
    </row>
    <row r="26" spans="1:25" ht="20.100000000000001" customHeight="1">
      <c r="A26" s="1500"/>
      <c r="B26" s="501">
        <v>15</v>
      </c>
      <c r="C26" s="1507"/>
      <c r="D26" s="1508"/>
      <c r="E26" s="1531" t="str">
        <f>W26</f>
        <v>PBJ3992</v>
      </c>
      <c r="F26" s="1532"/>
      <c r="G26" s="502">
        <f>+Y26</f>
        <v>0</v>
      </c>
      <c r="H26" s="512" t="s">
        <v>1339</v>
      </c>
      <c r="I26" s="1511"/>
      <c r="J26" s="501"/>
      <c r="K26" s="522"/>
      <c r="L26" s="511"/>
      <c r="M26" s="1498"/>
      <c r="N26" s="1498"/>
      <c r="O26" s="1498"/>
      <c r="P26" s="508"/>
      <c r="Q26" s="507"/>
      <c r="T26" s="1513"/>
      <c r="U26" s="1514"/>
      <c r="V26" s="520"/>
      <c r="W26" s="514" t="str">
        <f>VLOOKUP('作(5)'!F6,AB:AI,8,0)</f>
        <v>PBJ3992</v>
      </c>
      <c r="X26" s="514">
        <f>VLOOKUP('作(5)'!F6,AB:AM,12,0)</f>
        <v>0.15</v>
      </c>
      <c r="Y26" s="515">
        <f>V$23*(U$23/(X$23+X$24+X$25+X26))*X26/1000</f>
        <v>0</v>
      </c>
    </row>
    <row r="27" spans="1:25" ht="20.100000000000001" customHeight="1">
      <c r="A27" s="1500"/>
      <c r="B27" s="501">
        <v>16</v>
      </c>
      <c r="C27" s="1509"/>
      <c r="D27" s="1510"/>
      <c r="E27" s="1531" t="str">
        <f>IF($S$1=$T$2,"慢干水PZ807","")</f>
        <v>慢干水PZ807</v>
      </c>
      <c r="F27" s="1532"/>
      <c r="G27" s="502">
        <f>IF(E27="","",G25*0.3)</f>
        <v>0</v>
      </c>
      <c r="H27" s="512" t="str">
        <f>IF(E27="","","千克")</f>
        <v>千克</v>
      </c>
      <c r="I27" s="1511"/>
      <c r="J27" s="501"/>
      <c r="K27" s="1511"/>
      <c r="L27" s="1511"/>
      <c r="M27" s="1498"/>
      <c r="N27" s="1498"/>
      <c r="O27" s="1498"/>
      <c r="P27" s="508"/>
      <c r="Q27" s="507"/>
      <c r="T27" s="1514"/>
      <c r="U27" s="523"/>
      <c r="V27" s="523"/>
      <c r="W27" s="514" t="s">
        <v>1350</v>
      </c>
      <c r="X27" s="514"/>
      <c r="Y27" s="515"/>
    </row>
    <row r="28" spans="1:25" ht="20.100000000000001" customHeight="1">
      <c r="A28" s="1500"/>
      <c r="B28" s="501">
        <v>17</v>
      </c>
      <c r="C28" s="1511" t="s">
        <v>1351</v>
      </c>
      <c r="D28" s="1511"/>
      <c r="E28" s="1498" t="str">
        <f>W28</f>
        <v>主剂P86003</v>
      </c>
      <c r="F28" s="1498"/>
      <c r="G28" s="502">
        <f>Y28</f>
        <v>0</v>
      </c>
      <c r="H28" s="501" t="s">
        <v>1339</v>
      </c>
      <c r="I28" s="1499" t="s">
        <v>1336</v>
      </c>
      <c r="J28" s="501">
        <v>1</v>
      </c>
      <c r="K28" s="1511" t="str">
        <f>+IF(OR('作(5)'!F6='料单 (5)'!U4,'作(5)'!F6='料单 (5)'!U5),"UV辊面","")</f>
        <v/>
      </c>
      <c r="L28" s="1511"/>
      <c r="M28" s="1498" t="str">
        <f>+IF(OR('作(5)'!F6='料单 (5)'!U4,'作(5)'!F6='料单 (5)'!U5),"主剂UA69225","")</f>
        <v/>
      </c>
      <c r="N28" s="1498"/>
      <c r="O28" s="1498"/>
      <c r="P28" s="508" t="str">
        <f>IF(M28="","",Y33)</f>
        <v/>
      </c>
      <c r="Q28" s="507" t="str">
        <f>IF(M28="","","千克")</f>
        <v/>
      </c>
      <c r="T28" s="1533" t="str">
        <f>C28</f>
        <v>PU面漆（手工喷涂）</v>
      </c>
      <c r="U28" s="1533">
        <f>VLOOKUP('作(5)'!F6,AB:AY,24,0)</f>
        <v>315</v>
      </c>
      <c r="V28" s="1533">
        <f>+'作(5)'!K39</f>
        <v>0</v>
      </c>
      <c r="W28" s="524" t="str">
        <f>VLOOKUP('作(5)'!F6,AB:AQ,16,0)</f>
        <v>主剂P86003</v>
      </c>
      <c r="X28" s="524">
        <f>VLOOKUP('作(5)'!F6,AB:AJ,9,0)</f>
        <v>1</v>
      </c>
      <c r="Y28" s="525">
        <f>V$28*(U$28/(X$28+X$29+X$30))*X28/1000</f>
        <v>0</v>
      </c>
    </row>
    <row r="29" spans="1:25" ht="20.100000000000001" customHeight="1">
      <c r="A29" s="1500"/>
      <c r="B29" s="501">
        <v>18</v>
      </c>
      <c r="C29" s="1511"/>
      <c r="D29" s="1511"/>
      <c r="E29" s="1498" t="str">
        <f>W29</f>
        <v>固化剂PR86</v>
      </c>
      <c r="F29" s="1498"/>
      <c r="G29" s="502">
        <f>Y29</f>
        <v>0</v>
      </c>
      <c r="H29" s="501" t="s">
        <v>1339</v>
      </c>
      <c r="I29" s="1500"/>
      <c r="J29" s="501"/>
      <c r="K29" s="1511"/>
      <c r="L29" s="1511"/>
      <c r="M29" s="1498"/>
      <c r="N29" s="1498"/>
      <c r="O29" s="1498"/>
      <c r="P29" s="508"/>
      <c r="Q29" s="507"/>
      <c r="T29" s="1534"/>
      <c r="U29" s="1534"/>
      <c r="V29" s="1534"/>
      <c r="W29" s="524" t="str">
        <f>VLOOKUP('作(5)'!F6,AB:AR,17,0)</f>
        <v>固化剂PR86</v>
      </c>
      <c r="X29" s="524">
        <f>VLOOKUP('作(5)'!F6,AB:AU,20,0)</f>
        <v>0.5</v>
      </c>
      <c r="Y29" s="525">
        <f>V$28*(U$28/(X$28+X$29+X$30))*X29/1000</f>
        <v>0</v>
      </c>
    </row>
    <row r="30" spans="1:25" ht="20.100000000000001" customHeight="1">
      <c r="A30" s="1500"/>
      <c r="B30" s="501">
        <v>19</v>
      </c>
      <c r="C30" s="1511"/>
      <c r="D30" s="1511"/>
      <c r="E30" s="1498" t="str">
        <f>W30</f>
        <v>稀料PX903/PX904</v>
      </c>
      <c r="F30" s="1498"/>
      <c r="G30" s="502">
        <f>IF(E31="",Y30,Y30/1.3*1)</f>
        <v>0</v>
      </c>
      <c r="H30" s="501" t="s">
        <v>1339</v>
      </c>
      <c r="I30" s="1500"/>
      <c r="J30" s="501"/>
      <c r="K30" s="1498"/>
      <c r="L30" s="1498"/>
      <c r="M30" s="1498"/>
      <c r="N30" s="1498"/>
      <c r="O30" s="1498"/>
      <c r="P30" s="508"/>
      <c r="Q30" s="507"/>
      <c r="T30" s="1534"/>
      <c r="U30" s="1534"/>
      <c r="V30" s="1534"/>
      <c r="W30" s="524" t="str">
        <f>VLOOKUP('作(5)'!F6,AB:AS,18,0)</f>
        <v>稀料PX903/PX904</v>
      </c>
      <c r="X30" s="524">
        <f>VLOOKUP('作(5)'!F6,AB:AV,21,0)</f>
        <v>0.7</v>
      </c>
      <c r="Y30" s="525">
        <f>V$28*(U$28/(X$28+X$29+X$30))*X30/1000</f>
        <v>0</v>
      </c>
    </row>
    <row r="31" spans="1:25" ht="20.100000000000001" customHeight="1" thickBot="1">
      <c r="A31" s="1536"/>
      <c r="B31" s="501">
        <v>20</v>
      </c>
      <c r="C31" s="1547"/>
      <c r="D31" s="1547"/>
      <c r="E31" s="1543" t="str">
        <f>IF($S$1=$T$2,"慢干水PZ807","")</f>
        <v>慢干水PZ807</v>
      </c>
      <c r="F31" s="1544"/>
      <c r="G31" s="526">
        <f>IF(E31="","",G30*0.3)</f>
        <v>0</v>
      </c>
      <c r="H31" s="527" t="str">
        <f>H27</f>
        <v>千克</v>
      </c>
      <c r="I31" s="1536"/>
      <c r="J31" s="527"/>
      <c r="K31" s="1545"/>
      <c r="L31" s="1545"/>
      <c r="M31" s="1545"/>
      <c r="N31" s="1545"/>
      <c r="O31" s="1545"/>
      <c r="P31" s="526"/>
      <c r="Q31" s="528"/>
      <c r="T31" s="1535"/>
      <c r="U31" s="1535"/>
      <c r="V31" s="1535"/>
      <c r="W31" s="524" t="str">
        <f>E31</f>
        <v>慢干水PZ807</v>
      </c>
      <c r="X31" s="524"/>
      <c r="Y31" s="525">
        <f>Y30*0.3</f>
        <v>0</v>
      </c>
    </row>
    <row r="32" spans="1:25" ht="15" customHeight="1">
      <c r="A32" s="529"/>
      <c r="B32" s="529"/>
      <c r="C32" s="529"/>
      <c r="D32" s="529"/>
      <c r="E32" s="529"/>
      <c r="F32" s="529"/>
      <c r="G32" s="530"/>
      <c r="H32" s="529"/>
      <c r="I32" s="529"/>
      <c r="J32" s="529"/>
      <c r="K32" s="529"/>
      <c r="L32" s="529"/>
      <c r="M32" s="531"/>
      <c r="N32" s="531"/>
      <c r="O32" s="531"/>
      <c r="P32" s="532"/>
      <c r="Q32" s="531"/>
      <c r="T32" s="525" t="s">
        <v>1352</v>
      </c>
      <c r="U32" s="524">
        <f>VLOOKUP('作(5)'!F6,AB:BL,37,0)</f>
        <v>140</v>
      </c>
      <c r="V32" s="524">
        <f>'作(5)'!O38</f>
        <v>0</v>
      </c>
      <c r="W32" s="524" t="str">
        <f>VLOOKUP('作(5)'!F6,AB:BI,34,0)</f>
        <v>主剂UA5002</v>
      </c>
      <c r="X32" s="525"/>
      <c r="Y32" s="525">
        <f>V32*U32/1000</f>
        <v>0</v>
      </c>
    </row>
    <row r="33" spans="1:25" ht="15" customHeight="1">
      <c r="A33" s="1546"/>
      <c r="B33" s="1546"/>
      <c r="C33" s="529"/>
      <c r="D33" s="1539" t="s">
        <v>1353</v>
      </c>
      <c r="E33" s="1539"/>
      <c r="F33" s="1542" t="s">
        <v>1481</v>
      </c>
      <c r="G33" s="1542"/>
      <c r="H33" s="1542"/>
      <c r="I33" s="533"/>
      <c r="J33" s="534"/>
      <c r="K33" s="533"/>
      <c r="L33" s="535" t="s">
        <v>1354</v>
      </c>
      <c r="M33" s="1542"/>
      <c r="N33" s="1542"/>
      <c r="O33" s="531"/>
      <c r="P33" s="536"/>
      <c r="Q33" s="531"/>
      <c r="T33" s="537" t="s">
        <v>1355</v>
      </c>
      <c r="U33" s="538">
        <f>VLOOKUP('作(5)'!F6,AB:BX,49,0)</f>
        <v>0</v>
      </c>
      <c r="V33" s="539">
        <f>'作(5)'!O38</f>
        <v>0</v>
      </c>
      <c r="W33" s="538" t="s">
        <v>1356</v>
      </c>
      <c r="X33" s="537"/>
      <c r="Y33" s="540">
        <f>V33*U33/1000</f>
        <v>0</v>
      </c>
    </row>
    <row r="34" spans="1:25" ht="15" customHeight="1">
      <c r="A34" s="541"/>
      <c r="B34" s="541"/>
      <c r="C34" s="529"/>
      <c r="D34" s="535"/>
      <c r="E34" s="535"/>
      <c r="F34" s="535"/>
      <c r="G34" s="542"/>
      <c r="H34" s="543"/>
      <c r="I34" s="533"/>
      <c r="J34" s="534"/>
      <c r="K34" s="533"/>
      <c r="L34" s="535"/>
      <c r="M34" s="544"/>
      <c r="N34" s="544"/>
      <c r="O34" s="531"/>
      <c r="P34" s="532"/>
      <c r="Q34" s="531"/>
    </row>
    <row r="35" spans="1:25" ht="15" customHeight="1">
      <c r="A35" s="541"/>
      <c r="B35" s="541"/>
      <c r="C35" s="529"/>
      <c r="D35" s="1539" t="s">
        <v>1357</v>
      </c>
      <c r="E35" s="1539"/>
      <c r="F35" s="1540"/>
      <c r="G35" s="1540"/>
      <c r="H35" s="1540"/>
      <c r="I35" s="533"/>
      <c r="J35" s="534"/>
      <c r="K35" s="1541" t="s">
        <v>1358</v>
      </c>
      <c r="L35" s="1541"/>
      <c r="M35" s="1542"/>
      <c r="N35" s="1542"/>
      <c r="O35" s="531"/>
      <c r="P35" s="532"/>
      <c r="Q35" s="531"/>
    </row>
    <row r="36" spans="1:25">
      <c r="A36" s="398"/>
      <c r="B36" s="398"/>
      <c r="C36" s="398"/>
      <c r="D36" s="398"/>
      <c r="E36" s="398"/>
      <c r="F36" s="398"/>
      <c r="G36" s="399"/>
      <c r="H36" s="398"/>
      <c r="I36" s="398"/>
      <c r="J36" s="398"/>
      <c r="K36" s="398"/>
      <c r="L36" s="398"/>
      <c r="M36" s="398"/>
      <c r="N36" s="398"/>
      <c r="O36" s="398"/>
      <c r="P36" s="399"/>
      <c r="Q36" s="398"/>
    </row>
  </sheetData>
  <mergeCells count="117">
    <mergeCell ref="A33:B33"/>
    <mergeCell ref="D33:E33"/>
    <mergeCell ref="F33:H33"/>
    <mergeCell ref="M33:N33"/>
    <mergeCell ref="A12:A31"/>
    <mergeCell ref="C28:D31"/>
    <mergeCell ref="C19:D22"/>
    <mergeCell ref="E27:F27"/>
    <mergeCell ref="K27:L27"/>
    <mergeCell ref="M27:O27"/>
    <mergeCell ref="K14:L14"/>
    <mergeCell ref="M14:O14"/>
    <mergeCell ref="E19:F19"/>
    <mergeCell ref="T19:T21"/>
    <mergeCell ref="E24:F24"/>
    <mergeCell ref="K25:L25"/>
    <mergeCell ref="M25:O25"/>
    <mergeCell ref="E26:F26"/>
    <mergeCell ref="M26:O26"/>
    <mergeCell ref="D35:E35"/>
    <mergeCell ref="F35:H35"/>
    <mergeCell ref="K35:L35"/>
    <mergeCell ref="M35:N35"/>
    <mergeCell ref="M30:O30"/>
    <mergeCell ref="E31:F31"/>
    <mergeCell ref="K31:L31"/>
    <mergeCell ref="M31:O31"/>
    <mergeCell ref="E20:F20"/>
    <mergeCell ref="E21:F21"/>
    <mergeCell ref="E22:F22"/>
    <mergeCell ref="K28:L28"/>
    <mergeCell ref="M28:O28"/>
    <mergeCell ref="T28:T31"/>
    <mergeCell ref="U28:U31"/>
    <mergeCell ref="V28:V31"/>
    <mergeCell ref="E29:F29"/>
    <mergeCell ref="K29:L29"/>
    <mergeCell ref="M29:O29"/>
    <mergeCell ref="E30:F30"/>
    <mergeCell ref="K30:L30"/>
    <mergeCell ref="E28:F28"/>
    <mergeCell ref="I28:I31"/>
    <mergeCell ref="T14:Y14"/>
    <mergeCell ref="C15:D18"/>
    <mergeCell ref="E15:F15"/>
    <mergeCell ref="K15:L15"/>
    <mergeCell ref="M15:O15"/>
    <mergeCell ref="T15:T17"/>
    <mergeCell ref="V15:V17"/>
    <mergeCell ref="E16:F16"/>
    <mergeCell ref="C12:D14"/>
    <mergeCell ref="E12:F12"/>
    <mergeCell ref="E13:F13"/>
    <mergeCell ref="E14:F14"/>
    <mergeCell ref="I14:I27"/>
    <mergeCell ref="E25:F25"/>
    <mergeCell ref="C23:D27"/>
    <mergeCell ref="E23:F23"/>
    <mergeCell ref="T23:T27"/>
    <mergeCell ref="U23:U26"/>
    <mergeCell ref="V23:V25"/>
    <mergeCell ref="K16:P24"/>
    <mergeCell ref="E17:F17"/>
    <mergeCell ref="E18:F18"/>
    <mergeCell ref="U19:U21"/>
    <mergeCell ref="V19:V21"/>
    <mergeCell ref="C9:D9"/>
    <mergeCell ref="E9:F9"/>
    <mergeCell ref="I9:I11"/>
    <mergeCell ref="K9:L9"/>
    <mergeCell ref="M9:O9"/>
    <mergeCell ref="E7:F7"/>
    <mergeCell ref="K7:L7"/>
    <mergeCell ref="A8:A9"/>
    <mergeCell ref="C8:D8"/>
    <mergeCell ref="E8:F8"/>
    <mergeCell ref="K8:L8"/>
    <mergeCell ref="A10:A11"/>
    <mergeCell ref="C10:D10"/>
    <mergeCell ref="E10:F10"/>
    <mergeCell ref="K10:L10"/>
    <mergeCell ref="M10:O10"/>
    <mergeCell ref="C11:D11"/>
    <mergeCell ref="E11:F11"/>
    <mergeCell ref="K11:L11"/>
    <mergeCell ref="M11:O11"/>
    <mergeCell ref="C5:D5"/>
    <mergeCell ref="E5:F5"/>
    <mergeCell ref="K5:L5"/>
    <mergeCell ref="M5:O5"/>
    <mergeCell ref="A6:A7"/>
    <mergeCell ref="C6:D6"/>
    <mergeCell ref="E6:F6"/>
    <mergeCell ref="I6:I8"/>
    <mergeCell ref="K6:L6"/>
    <mergeCell ref="C7:D7"/>
    <mergeCell ref="M8:O8"/>
    <mergeCell ref="A1:Q1"/>
    <mergeCell ref="A2:C2"/>
    <mergeCell ref="D2:G2"/>
    <mergeCell ref="H2:I2"/>
    <mergeCell ref="J2:M2"/>
    <mergeCell ref="N2:O2"/>
    <mergeCell ref="P2:Q2"/>
    <mergeCell ref="L3:M3"/>
    <mergeCell ref="N3:O4"/>
    <mergeCell ref="P3:Q4"/>
    <mergeCell ref="A4:C4"/>
    <mergeCell ref="D4:E4"/>
    <mergeCell ref="J4:K4"/>
    <mergeCell ref="L4:M4"/>
    <mergeCell ref="A3:C3"/>
    <mergeCell ref="D3:E3"/>
    <mergeCell ref="F3:G4"/>
    <mergeCell ref="H3:H4"/>
    <mergeCell ref="I3:I4"/>
    <mergeCell ref="J3:K3"/>
  </mergeCells>
  <phoneticPr fontId="83" type="noConversion"/>
  <dataValidations count="1">
    <dataValidation type="list" allowBlank="1" showInputMessage="1" showErrorMessage="1" sqref="S1">
      <formula1>$T$1:$T$3</formula1>
    </dataValidation>
  </dataValidations>
  <pageMargins left="7.874015748031496E-2" right="7.874015748031496E-2" top="0.59055118110236227" bottom="0.98425196850393704" header="0.51181102362204722" footer="0.51181102362204722"/>
  <pageSetup paperSize="9" scale="84" orientation="portrait" r:id="rId1"/>
  <headerFooter alignWithMargins="0"/>
  <colBreaks count="1" manualBreakCount="1">
    <brk id="17" max="1048575" man="1"/>
  </colBreaks>
</worksheet>
</file>

<file path=xl/worksheets/sheet19.xml><?xml version="1.0" encoding="utf-8"?>
<worksheet xmlns="http://schemas.openxmlformats.org/spreadsheetml/2006/main" xmlns:r="http://schemas.openxmlformats.org/officeDocument/2006/relationships">
  <sheetPr>
    <tabColor rgb="FFFF0000"/>
  </sheetPr>
  <dimension ref="A1:K951"/>
  <sheetViews>
    <sheetView view="pageBreakPreview" zoomScale="85" zoomScaleSheetLayoutView="85" workbookViewId="0">
      <selection activeCell="F18" sqref="F18:H18"/>
    </sheetView>
  </sheetViews>
  <sheetFormatPr defaultRowHeight="14.25"/>
  <cols>
    <col min="1" max="1" width="9.75" style="554" customWidth="1"/>
    <col min="2" max="2" width="8.625" style="554" customWidth="1"/>
    <col min="3" max="3" width="4.625" style="554" customWidth="1"/>
    <col min="4" max="4" width="9.75" style="554" customWidth="1"/>
    <col min="5" max="5" width="10.875" style="554" customWidth="1"/>
    <col min="6" max="6" width="6" style="554" customWidth="1"/>
    <col min="7" max="7" width="5.625" style="554" customWidth="1"/>
    <col min="8" max="8" width="10.125" style="554" customWidth="1"/>
    <col min="9" max="9" width="15" style="554" customWidth="1"/>
    <col min="10" max="16384" width="9" style="554"/>
  </cols>
  <sheetData>
    <row r="1" spans="1:11">
      <c r="A1" s="553"/>
      <c r="B1" s="553"/>
      <c r="C1" s="553"/>
      <c r="D1" s="553"/>
      <c r="E1" s="553"/>
      <c r="F1" s="553"/>
    </row>
    <row r="2" spans="1:11">
      <c r="A2" s="555"/>
      <c r="B2" s="555"/>
      <c r="C2" s="555"/>
      <c r="D2" s="555"/>
      <c r="E2" s="553"/>
      <c r="F2" s="553"/>
      <c r="H2" s="1550" t="s">
        <v>1478</v>
      </c>
      <c r="I2" s="1550"/>
    </row>
    <row r="3" spans="1:11" ht="21">
      <c r="A3" s="1551" t="s">
        <v>1426</v>
      </c>
      <c r="B3" s="1552"/>
      <c r="C3" s="1552"/>
      <c r="D3" s="1552"/>
      <c r="E3" s="1552"/>
      <c r="F3" s="1552"/>
      <c r="G3" s="1552"/>
      <c r="H3" s="1552"/>
      <c r="I3" s="1552"/>
      <c r="K3" s="556" t="s">
        <v>1427</v>
      </c>
    </row>
    <row r="4" spans="1:11" ht="20.100000000000001" customHeight="1">
      <c r="A4" s="556" t="s">
        <v>1428</v>
      </c>
      <c r="B4" s="1553" t="s">
        <v>1429</v>
      </c>
      <c r="C4" s="1553"/>
      <c r="D4" s="1553"/>
      <c r="E4" s="557" t="s">
        <v>1430</v>
      </c>
      <c r="F4" s="1553" t="str">
        <f>下料单!C2</f>
        <v>杜鹃</v>
      </c>
      <c r="G4" s="1553"/>
      <c r="H4" s="558" t="s">
        <v>1431</v>
      </c>
      <c r="I4" s="559" t="str">
        <f>SUM(E10:E33)&amp;"块"</f>
        <v>0块</v>
      </c>
    </row>
    <row r="5" spans="1:11" ht="20.100000000000001" customHeight="1">
      <c r="A5" s="554" t="s">
        <v>1432</v>
      </c>
      <c r="B5" s="1553" t="str">
        <f>下料单!H2</f>
        <v>S400383705</v>
      </c>
      <c r="C5" s="1554"/>
      <c r="D5" s="1554"/>
      <c r="E5" s="557" t="s">
        <v>1433</v>
      </c>
      <c r="F5" s="1555"/>
      <c r="G5" s="1555"/>
      <c r="H5" s="558" t="s">
        <v>1434</v>
      </c>
      <c r="I5" s="560"/>
    </row>
    <row r="6" spans="1:11" ht="20.100000000000001" customHeight="1">
      <c r="A6" s="561" t="s">
        <v>1435</v>
      </c>
      <c r="B6" s="1553" t="s">
        <v>1429</v>
      </c>
      <c r="C6" s="1553"/>
      <c r="D6" s="1553"/>
      <c r="E6" s="562" t="s">
        <v>1436</v>
      </c>
      <c r="F6" s="1556">
        <v>89251111</v>
      </c>
      <c r="G6" s="1556"/>
      <c r="H6" s="558" t="s">
        <v>1437</v>
      </c>
      <c r="I6" s="559">
        <v>89251111</v>
      </c>
    </row>
    <row r="7" spans="1:11" ht="20.100000000000001" customHeight="1">
      <c r="A7" s="563" t="s">
        <v>1438</v>
      </c>
      <c r="B7" s="1557"/>
      <c r="C7" s="1556"/>
      <c r="D7" s="1556"/>
      <c r="E7" s="562" t="s">
        <v>1439</v>
      </c>
      <c r="F7" s="1556">
        <v>80529723</v>
      </c>
      <c r="G7" s="1556"/>
      <c r="H7" s="558" t="s">
        <v>1440</v>
      </c>
      <c r="I7" s="564">
        <v>80529723</v>
      </c>
    </row>
    <row r="8" spans="1:11" ht="20.100000000000001" customHeight="1">
      <c r="A8" s="561" t="s">
        <v>1441</v>
      </c>
      <c r="B8" s="1557" t="s">
        <v>1442</v>
      </c>
      <c r="C8" s="1556"/>
      <c r="D8" s="1556"/>
      <c r="E8" s="1556"/>
      <c r="F8" s="1556"/>
      <c r="G8" s="1556"/>
      <c r="H8" s="563" t="s">
        <v>1443</v>
      </c>
      <c r="I8" s="559" t="s">
        <v>1444</v>
      </c>
    </row>
    <row r="9" spans="1:11" ht="20.100000000000001" customHeight="1">
      <c r="A9" s="565" t="s">
        <v>1001</v>
      </c>
      <c r="B9" s="565" t="s">
        <v>851</v>
      </c>
      <c r="C9" s="565" t="s">
        <v>1445</v>
      </c>
      <c r="D9" s="565" t="s">
        <v>1002</v>
      </c>
      <c r="E9" s="566" t="s">
        <v>1003</v>
      </c>
      <c r="F9" s="1549" t="s">
        <v>1446</v>
      </c>
      <c r="G9" s="1549"/>
      <c r="H9" s="1549"/>
      <c r="I9" s="565" t="s">
        <v>1168</v>
      </c>
    </row>
    <row r="10" spans="1:11" ht="20.100000000000001" customHeight="1">
      <c r="A10" s="567"/>
      <c r="B10" s="568"/>
      <c r="C10" s="565" t="s">
        <v>1445</v>
      </c>
      <c r="D10" s="568"/>
      <c r="E10" s="568"/>
      <c r="F10" s="1549"/>
      <c r="G10" s="1549"/>
      <c r="H10" s="1549"/>
      <c r="I10" s="565"/>
      <c r="J10" s="569">
        <f>B10*D10*E10/1000000</f>
        <v>0</v>
      </c>
    </row>
    <row r="11" spans="1:11" ht="20.100000000000001" customHeight="1">
      <c r="A11" s="567"/>
      <c r="B11" s="568"/>
      <c r="C11" s="565" t="s">
        <v>1445</v>
      </c>
      <c r="D11" s="568"/>
      <c r="E11" s="568"/>
      <c r="F11" s="1549"/>
      <c r="G11" s="1549"/>
      <c r="H11" s="1549"/>
      <c r="I11" s="565"/>
      <c r="J11" s="569">
        <f t="shared" ref="J11:J33" si="0">B11*D11*E11/1000000</f>
        <v>0</v>
      </c>
    </row>
    <row r="12" spans="1:11" ht="20.100000000000001" customHeight="1">
      <c r="A12" s="567"/>
      <c r="B12" s="568"/>
      <c r="C12" s="565" t="s">
        <v>1445</v>
      </c>
      <c r="D12" s="568"/>
      <c r="E12" s="568"/>
      <c r="F12" s="1549"/>
      <c r="G12" s="1549"/>
      <c r="H12" s="1549"/>
      <c r="I12" s="565"/>
      <c r="J12" s="569">
        <f t="shared" si="0"/>
        <v>0</v>
      </c>
    </row>
    <row r="13" spans="1:11" ht="20.100000000000001" customHeight="1">
      <c r="A13" s="567"/>
      <c r="B13" s="568"/>
      <c r="C13" s="565" t="s">
        <v>1445</v>
      </c>
      <c r="D13" s="568"/>
      <c r="E13" s="568"/>
      <c r="F13" s="1549"/>
      <c r="G13" s="1549"/>
      <c r="H13" s="1549"/>
      <c r="I13" s="565"/>
      <c r="J13" s="569">
        <f t="shared" si="0"/>
        <v>0</v>
      </c>
    </row>
    <row r="14" spans="1:11" ht="20.100000000000001" customHeight="1">
      <c r="A14" s="567"/>
      <c r="B14" s="570"/>
      <c r="C14" s="565" t="s">
        <v>1445</v>
      </c>
      <c r="D14" s="570"/>
      <c r="E14" s="568"/>
      <c r="F14" s="1549"/>
      <c r="G14" s="1549"/>
      <c r="H14" s="1549"/>
      <c r="I14" s="565"/>
      <c r="J14" s="569">
        <f t="shared" si="0"/>
        <v>0</v>
      </c>
    </row>
    <row r="15" spans="1:11" ht="20.100000000000001" customHeight="1">
      <c r="A15" s="567"/>
      <c r="B15" s="570"/>
      <c r="C15" s="565" t="s">
        <v>1445</v>
      </c>
      <c r="D15" s="570"/>
      <c r="E15" s="568"/>
      <c r="F15" s="1549"/>
      <c r="G15" s="1549"/>
      <c r="H15" s="1549"/>
      <c r="I15" s="565"/>
      <c r="J15" s="569">
        <f t="shared" si="0"/>
        <v>0</v>
      </c>
    </row>
    <row r="16" spans="1:11" ht="20.100000000000001" customHeight="1">
      <c r="A16" s="567"/>
      <c r="B16" s="570"/>
      <c r="C16" s="565" t="s">
        <v>1445</v>
      </c>
      <c r="D16" s="570"/>
      <c r="E16" s="568"/>
      <c r="F16" s="1549"/>
      <c r="G16" s="1549"/>
      <c r="H16" s="1549"/>
      <c r="I16" s="565"/>
      <c r="J16" s="569">
        <f t="shared" si="0"/>
        <v>0</v>
      </c>
    </row>
    <row r="17" spans="1:10" ht="20.100000000000001" customHeight="1">
      <c r="A17" s="567"/>
      <c r="B17" s="570"/>
      <c r="C17" s="565" t="s">
        <v>1445</v>
      </c>
      <c r="D17" s="570"/>
      <c r="E17" s="568"/>
      <c r="F17" s="1549"/>
      <c r="G17" s="1549"/>
      <c r="H17" s="1549"/>
      <c r="I17" s="565"/>
      <c r="J17" s="569">
        <f t="shared" si="0"/>
        <v>0</v>
      </c>
    </row>
    <row r="18" spans="1:10" ht="20.100000000000001" customHeight="1">
      <c r="A18" s="567"/>
      <c r="B18" s="570"/>
      <c r="C18" s="565" t="s">
        <v>1445</v>
      </c>
      <c r="D18" s="570"/>
      <c r="E18" s="568"/>
      <c r="F18" s="1549"/>
      <c r="G18" s="1549"/>
      <c r="H18" s="1549"/>
      <c r="I18" s="565"/>
      <c r="J18" s="569">
        <f t="shared" si="0"/>
        <v>0</v>
      </c>
    </row>
    <row r="19" spans="1:10" ht="20.100000000000001" customHeight="1">
      <c r="A19" s="567"/>
      <c r="B19" s="570"/>
      <c r="C19" s="565" t="s">
        <v>1445</v>
      </c>
      <c r="D19" s="570"/>
      <c r="E19" s="570"/>
      <c r="F19" s="1549"/>
      <c r="G19" s="1549"/>
      <c r="H19" s="1549"/>
      <c r="I19" s="565"/>
      <c r="J19" s="569">
        <f t="shared" si="0"/>
        <v>0</v>
      </c>
    </row>
    <row r="20" spans="1:10" ht="20.100000000000001" customHeight="1">
      <c r="A20" s="571"/>
      <c r="B20" s="570"/>
      <c r="C20" s="565" t="s">
        <v>1445</v>
      </c>
      <c r="D20" s="570"/>
      <c r="E20" s="568"/>
      <c r="F20" s="1549"/>
      <c r="G20" s="1549"/>
      <c r="H20" s="1549"/>
      <c r="I20" s="565"/>
      <c r="J20" s="569">
        <f t="shared" si="0"/>
        <v>0</v>
      </c>
    </row>
    <row r="21" spans="1:10" ht="20.100000000000001" customHeight="1">
      <c r="A21" s="571"/>
      <c r="B21" s="570"/>
      <c r="C21" s="565" t="s">
        <v>1445</v>
      </c>
      <c r="D21" s="570"/>
      <c r="E21" s="568"/>
      <c r="F21" s="1549"/>
      <c r="G21" s="1549"/>
      <c r="H21" s="1549"/>
      <c r="I21" s="565"/>
      <c r="J21" s="569">
        <f t="shared" si="0"/>
        <v>0</v>
      </c>
    </row>
    <row r="22" spans="1:10" ht="20.100000000000001" customHeight="1">
      <c r="A22" s="572"/>
      <c r="B22" s="570"/>
      <c r="C22" s="565" t="s">
        <v>1445</v>
      </c>
      <c r="D22" s="570"/>
      <c r="E22" s="570"/>
      <c r="F22" s="1549"/>
      <c r="G22" s="1549"/>
      <c r="H22" s="1549"/>
      <c r="I22" s="565"/>
      <c r="J22" s="569">
        <f t="shared" si="0"/>
        <v>0</v>
      </c>
    </row>
    <row r="23" spans="1:10" ht="20.100000000000001" customHeight="1">
      <c r="A23" s="572"/>
      <c r="B23" s="570"/>
      <c r="C23" s="565" t="s">
        <v>1445</v>
      </c>
      <c r="D23" s="568"/>
      <c r="E23" s="570"/>
      <c r="F23" s="1549"/>
      <c r="G23" s="1549"/>
      <c r="H23" s="1549"/>
      <c r="I23" s="565"/>
      <c r="J23" s="569">
        <f t="shared" si="0"/>
        <v>0</v>
      </c>
    </row>
    <row r="24" spans="1:10" ht="20.100000000000001" customHeight="1">
      <c r="A24" s="573"/>
      <c r="B24" s="570"/>
      <c r="C24" s="565" t="s">
        <v>1445</v>
      </c>
      <c r="D24" s="568"/>
      <c r="E24" s="570"/>
      <c r="F24" s="1549"/>
      <c r="G24" s="1549"/>
      <c r="H24" s="1549"/>
      <c r="I24" s="565"/>
      <c r="J24" s="569">
        <f t="shared" si="0"/>
        <v>0</v>
      </c>
    </row>
    <row r="25" spans="1:10" ht="20.100000000000001" customHeight="1">
      <c r="A25" s="572"/>
      <c r="B25" s="570"/>
      <c r="C25" s="565" t="s">
        <v>1445</v>
      </c>
      <c r="D25" s="570"/>
      <c r="E25" s="568"/>
      <c r="F25" s="1549"/>
      <c r="G25" s="1549"/>
      <c r="H25" s="1549"/>
      <c r="I25" s="565"/>
      <c r="J25" s="569">
        <f t="shared" si="0"/>
        <v>0</v>
      </c>
    </row>
    <row r="26" spans="1:10" ht="20.100000000000001" customHeight="1">
      <c r="A26" s="572"/>
      <c r="B26" s="570"/>
      <c r="C26" s="565" t="s">
        <v>1445</v>
      </c>
      <c r="D26" s="570"/>
      <c r="E26" s="568"/>
      <c r="F26" s="1549"/>
      <c r="G26" s="1549"/>
      <c r="H26" s="1549"/>
      <c r="I26" s="565"/>
      <c r="J26" s="569">
        <f t="shared" si="0"/>
        <v>0</v>
      </c>
    </row>
    <row r="27" spans="1:10" ht="20.100000000000001" customHeight="1">
      <c r="A27" s="572"/>
      <c r="B27" s="570"/>
      <c r="C27" s="565" t="s">
        <v>1445</v>
      </c>
      <c r="D27" s="570"/>
      <c r="E27" s="568"/>
      <c r="F27" s="1549"/>
      <c r="G27" s="1549"/>
      <c r="H27" s="1549"/>
      <c r="I27" s="565"/>
      <c r="J27" s="569">
        <f t="shared" si="0"/>
        <v>0</v>
      </c>
    </row>
    <row r="28" spans="1:10" ht="20.100000000000001" customHeight="1">
      <c r="A28" s="574" t="s">
        <v>1447</v>
      </c>
      <c r="B28" s="575">
        <v>50</v>
      </c>
      <c r="C28" s="576" t="s">
        <v>1445</v>
      </c>
      <c r="D28" s="575">
        <v>720</v>
      </c>
      <c r="E28" s="577"/>
      <c r="F28" s="1559"/>
      <c r="G28" s="1559"/>
      <c r="H28" s="1559"/>
      <c r="I28" s="565"/>
      <c r="J28" s="569">
        <f t="shared" si="0"/>
        <v>0</v>
      </c>
    </row>
    <row r="29" spans="1:10" ht="20.100000000000001" customHeight="1">
      <c r="A29" s="574" t="s">
        <v>1447</v>
      </c>
      <c r="B29" s="576">
        <v>50</v>
      </c>
      <c r="C29" s="576" t="s">
        <v>1445</v>
      </c>
      <c r="D29" s="576">
        <v>820</v>
      </c>
      <c r="E29" s="578"/>
      <c r="F29" s="1559" t="s">
        <v>1448</v>
      </c>
      <c r="G29" s="1559"/>
      <c r="H29" s="1559"/>
      <c r="I29" s="565"/>
      <c r="J29" s="569">
        <f t="shared" si="0"/>
        <v>0</v>
      </c>
    </row>
    <row r="30" spans="1:10" ht="20.100000000000001" customHeight="1">
      <c r="A30" s="574" t="s">
        <v>1449</v>
      </c>
      <c r="B30" s="576">
        <v>2400</v>
      </c>
      <c r="C30" s="576" t="s">
        <v>1445</v>
      </c>
      <c r="D30" s="576"/>
      <c r="E30" s="578"/>
      <c r="F30" s="1559" t="s">
        <v>1450</v>
      </c>
      <c r="G30" s="1559"/>
      <c r="H30" s="1559"/>
      <c r="I30" s="565"/>
      <c r="J30" s="569">
        <f>B30*D30*E30/1000000</f>
        <v>0</v>
      </c>
    </row>
    <row r="31" spans="1:10" ht="20.100000000000001" customHeight="1">
      <c r="A31" s="579" t="s">
        <v>1451</v>
      </c>
      <c r="B31" s="565">
        <v>2400</v>
      </c>
      <c r="C31" s="565" t="s">
        <v>1445</v>
      </c>
      <c r="D31" s="565">
        <v>80</v>
      </c>
      <c r="E31" s="580"/>
      <c r="F31" s="1549"/>
      <c r="G31" s="1549"/>
      <c r="H31" s="1549"/>
      <c r="I31" s="565"/>
      <c r="J31" s="569">
        <f>B31*D31*E31/1000000</f>
        <v>0</v>
      </c>
    </row>
    <row r="32" spans="1:10" ht="20.100000000000001" customHeight="1">
      <c r="A32" s="581" t="s">
        <v>1452</v>
      </c>
      <c r="B32" s="582">
        <v>2400</v>
      </c>
      <c r="C32" s="582" t="s">
        <v>1445</v>
      </c>
      <c r="D32" s="582">
        <v>80</v>
      </c>
      <c r="E32" s="583"/>
      <c r="F32" s="1558"/>
      <c r="G32" s="1558"/>
      <c r="H32" s="1558"/>
      <c r="I32" s="582">
        <v>2</v>
      </c>
      <c r="J32" s="569">
        <f t="shared" si="0"/>
        <v>0</v>
      </c>
    </row>
    <row r="33" spans="1:10" ht="20.100000000000001" customHeight="1">
      <c r="A33" s="581" t="s">
        <v>1453</v>
      </c>
      <c r="B33" s="582">
        <v>2400</v>
      </c>
      <c r="C33" s="582" t="s">
        <v>1445</v>
      </c>
      <c r="D33" s="582"/>
      <c r="E33" s="584"/>
      <c r="F33" s="1558"/>
      <c r="G33" s="1558"/>
      <c r="H33" s="1558"/>
      <c r="I33" s="582">
        <v>2</v>
      </c>
      <c r="J33" s="569">
        <f t="shared" si="0"/>
        <v>0</v>
      </c>
    </row>
    <row r="34" spans="1:10" ht="20.100000000000001" customHeight="1">
      <c r="A34" s="1560" t="s">
        <v>1454</v>
      </c>
      <c r="B34" s="1561"/>
      <c r="C34" s="1561"/>
      <c r="D34" s="1561"/>
      <c r="E34" s="1561"/>
      <c r="F34" s="1561"/>
      <c r="G34" s="1561"/>
      <c r="H34" s="1561"/>
      <c r="I34" s="1561"/>
    </row>
    <row r="35" spans="1:10" ht="20.100000000000001" customHeight="1">
      <c r="A35" s="1562"/>
      <c r="B35" s="1562"/>
      <c r="C35" s="1562"/>
      <c r="D35" s="1562"/>
      <c r="E35" s="1562"/>
      <c r="F35" s="1562"/>
      <c r="G35" s="1562"/>
      <c r="H35" s="1562"/>
      <c r="I35" s="1562"/>
    </row>
    <row r="36" spans="1:10" ht="20.100000000000001" customHeight="1">
      <c r="A36" s="1563" t="s">
        <v>1455</v>
      </c>
      <c r="B36" s="1564"/>
      <c r="C36" s="1564"/>
      <c r="D36" s="1564"/>
      <c r="E36" s="1564"/>
      <c r="F36" s="1564"/>
      <c r="G36" s="1564"/>
      <c r="H36" s="1564"/>
      <c r="I36" s="1564"/>
    </row>
    <row r="37" spans="1:10" ht="20.100000000000001" customHeight="1">
      <c r="A37" s="585"/>
      <c r="B37" s="586"/>
      <c r="C37" s="587"/>
      <c r="D37" s="587"/>
      <c r="E37" s="587"/>
      <c r="F37" s="588"/>
      <c r="G37" s="589"/>
      <c r="H37" s="588"/>
      <c r="I37" s="590"/>
    </row>
    <row r="38" spans="1:10" s="587" customFormat="1" ht="20.100000000000001" customHeight="1">
      <c r="A38" s="591" t="s">
        <v>1017</v>
      </c>
      <c r="B38" s="1565" t="s">
        <v>1482</v>
      </c>
      <c r="C38" s="1565"/>
      <c r="D38" s="557"/>
      <c r="E38" s="592"/>
      <c r="F38" s="1566" t="s">
        <v>1456</v>
      </c>
      <c r="G38" s="1566"/>
      <c r="H38" s="557"/>
      <c r="I38" s="590"/>
    </row>
    <row r="39" spans="1:10" ht="20.100000000000001" customHeight="1">
      <c r="A39" s="593"/>
      <c r="B39" s="1567"/>
      <c r="C39" s="1568"/>
      <c r="D39" s="594"/>
      <c r="E39" s="590"/>
      <c r="F39" s="594"/>
      <c r="G39" s="595"/>
      <c r="H39" s="594"/>
      <c r="I39" s="596"/>
    </row>
    <row r="40" spans="1:10" ht="20.100000000000001" customHeight="1">
      <c r="A40" s="593"/>
      <c r="B40" s="594"/>
      <c r="C40" s="588"/>
      <c r="D40" s="594"/>
      <c r="E40" s="590"/>
      <c r="F40" s="594"/>
      <c r="G40" s="595"/>
      <c r="H40" s="594"/>
      <c r="I40" s="596"/>
    </row>
    <row r="41" spans="1:10" ht="21.75" customHeight="1">
      <c r="A41" s="593"/>
      <c r="B41" s="594"/>
      <c r="C41" s="588"/>
      <c r="D41" s="594"/>
      <c r="E41" s="590"/>
      <c r="F41" s="594"/>
      <c r="G41" s="595"/>
      <c r="H41" s="594"/>
      <c r="I41" s="596"/>
    </row>
    <row r="42" spans="1:10" ht="21.75" customHeight="1">
      <c r="A42" s="593"/>
      <c r="B42" s="594"/>
      <c r="C42" s="588"/>
      <c r="D42" s="594"/>
      <c r="E42" s="590"/>
      <c r="F42" s="594"/>
      <c r="G42" s="595"/>
      <c r="H42" s="594"/>
      <c r="I42" s="596"/>
    </row>
    <row r="43" spans="1:10" ht="21.75" customHeight="1">
      <c r="A43" s="593"/>
      <c r="B43" s="594"/>
      <c r="C43" s="588"/>
      <c r="D43" s="594"/>
      <c r="E43" s="590"/>
      <c r="F43" s="594"/>
      <c r="G43" s="595"/>
      <c r="H43" s="594"/>
      <c r="I43" s="596"/>
    </row>
    <row r="44" spans="1:10" ht="21.75" customHeight="1">
      <c r="A44" s="593"/>
      <c r="B44" s="594"/>
      <c r="C44" s="588"/>
      <c r="D44" s="594"/>
      <c r="E44" s="590"/>
      <c r="F44" s="594"/>
      <c r="G44" s="595"/>
      <c r="H44" s="594"/>
      <c r="I44" s="596"/>
    </row>
    <row r="45" spans="1:10" ht="21.75" customHeight="1">
      <c r="A45" s="593"/>
      <c r="B45" s="594"/>
      <c r="C45" s="594"/>
      <c r="D45" s="594"/>
      <c r="E45" s="596"/>
      <c r="F45" s="594"/>
      <c r="G45" s="595"/>
      <c r="H45" s="594"/>
      <c r="I45" s="596"/>
    </row>
    <row r="46" spans="1:10" ht="20.25">
      <c r="A46" s="597"/>
      <c r="B46" s="598"/>
      <c r="C46" s="597"/>
      <c r="E46" s="597"/>
      <c r="F46" s="597"/>
      <c r="G46" s="597"/>
      <c r="H46" s="597"/>
      <c r="I46" s="597"/>
    </row>
    <row r="47" spans="1:10" ht="20.25">
      <c r="A47" s="597"/>
      <c r="B47" s="597"/>
      <c r="C47" s="597"/>
      <c r="D47" s="597"/>
      <c r="E47" s="597"/>
      <c r="F47" s="597"/>
      <c r="G47" s="597"/>
      <c r="H47" s="597"/>
      <c r="I47" s="597"/>
    </row>
    <row r="48" spans="1:10" ht="20.25">
      <c r="A48" s="597"/>
      <c r="B48" s="597"/>
      <c r="C48" s="597"/>
      <c r="D48" s="597"/>
      <c r="E48" s="597"/>
      <c r="F48" s="597"/>
      <c r="G48" s="597"/>
      <c r="H48" s="597"/>
      <c r="I48" s="597"/>
    </row>
    <row r="49" spans="1:9" ht="20.25">
      <c r="A49" s="597"/>
      <c r="B49" s="597"/>
      <c r="C49" s="597"/>
      <c r="D49" s="597"/>
      <c r="E49" s="597"/>
      <c r="F49" s="597"/>
      <c r="G49" s="597"/>
      <c r="H49" s="597"/>
      <c r="I49" s="597"/>
    </row>
    <row r="50" spans="1:9" ht="20.25">
      <c r="A50" s="597"/>
      <c r="B50" s="597"/>
      <c r="C50" s="597"/>
      <c r="D50" s="597"/>
      <c r="E50" s="597"/>
      <c r="F50" s="597"/>
      <c r="G50" s="597"/>
      <c r="H50" s="597"/>
      <c r="I50" s="597"/>
    </row>
    <row r="51" spans="1:9" ht="20.25">
      <c r="A51" s="597"/>
      <c r="B51" s="597"/>
      <c r="C51" s="597"/>
      <c r="D51" s="597"/>
      <c r="E51" s="597"/>
      <c r="F51" s="597"/>
      <c r="G51" s="597"/>
      <c r="H51" s="597"/>
      <c r="I51" s="597"/>
    </row>
    <row r="52" spans="1:9" ht="20.25">
      <c r="A52" s="597"/>
      <c r="B52" s="597"/>
      <c r="C52" s="597"/>
      <c r="D52" s="597"/>
      <c r="E52" s="597"/>
      <c r="F52" s="597"/>
      <c r="G52" s="597"/>
      <c r="H52" s="597"/>
      <c r="I52" s="597"/>
    </row>
    <row r="53" spans="1:9" ht="20.25">
      <c r="A53" s="597"/>
      <c r="B53" s="597"/>
      <c r="C53" s="597"/>
      <c r="D53" s="597"/>
      <c r="E53" s="597"/>
      <c r="F53" s="597"/>
      <c r="G53" s="597"/>
      <c r="H53" s="597"/>
      <c r="I53" s="597"/>
    </row>
    <row r="54" spans="1:9" ht="20.25">
      <c r="A54" s="597"/>
      <c r="B54" s="597"/>
      <c r="C54" s="597"/>
      <c r="D54" s="597"/>
      <c r="E54" s="597"/>
      <c r="F54" s="597"/>
      <c r="G54" s="597"/>
      <c r="H54" s="597"/>
      <c r="I54" s="597"/>
    </row>
    <row r="55" spans="1:9" ht="20.25">
      <c r="A55" s="597"/>
      <c r="B55" s="597"/>
      <c r="C55" s="597"/>
      <c r="D55" s="597"/>
      <c r="E55" s="597"/>
      <c r="F55" s="597"/>
      <c r="G55" s="597"/>
      <c r="H55" s="597"/>
      <c r="I55" s="597"/>
    </row>
    <row r="56" spans="1:9" ht="20.25">
      <c r="A56" s="597"/>
      <c r="B56" s="597"/>
      <c r="C56" s="597"/>
      <c r="D56" s="597"/>
      <c r="E56" s="597"/>
      <c r="F56" s="597"/>
      <c r="G56" s="597"/>
      <c r="H56" s="597"/>
      <c r="I56" s="597"/>
    </row>
    <row r="57" spans="1:9" ht="20.25">
      <c r="A57" s="597"/>
      <c r="B57" s="597"/>
      <c r="C57" s="597"/>
      <c r="D57" s="597"/>
      <c r="E57" s="597"/>
      <c r="F57" s="597"/>
      <c r="G57" s="597"/>
      <c r="H57" s="597"/>
      <c r="I57" s="597"/>
    </row>
    <row r="58" spans="1:9" ht="20.25">
      <c r="A58" s="597"/>
      <c r="B58" s="597"/>
      <c r="C58" s="597"/>
      <c r="D58" s="597"/>
      <c r="E58" s="597"/>
      <c r="F58" s="597"/>
      <c r="G58" s="597"/>
      <c r="H58" s="597"/>
      <c r="I58" s="597"/>
    </row>
    <row r="59" spans="1:9" ht="20.25">
      <c r="A59" s="597"/>
      <c r="B59" s="597"/>
      <c r="C59" s="597"/>
      <c r="D59" s="597"/>
      <c r="E59" s="597"/>
      <c r="F59" s="597"/>
      <c r="G59" s="597"/>
      <c r="H59" s="597"/>
      <c r="I59" s="597"/>
    </row>
    <row r="60" spans="1:9" ht="20.25">
      <c r="A60" s="597"/>
      <c r="B60" s="597"/>
      <c r="C60" s="597"/>
      <c r="D60" s="597"/>
      <c r="E60" s="597"/>
      <c r="F60" s="597"/>
      <c r="G60" s="597"/>
      <c r="H60" s="597"/>
      <c r="I60" s="597"/>
    </row>
    <row r="61" spans="1:9" ht="20.25">
      <c r="A61" s="597"/>
      <c r="B61" s="597"/>
      <c r="C61" s="597"/>
      <c r="D61" s="597"/>
      <c r="E61" s="597"/>
      <c r="F61" s="597"/>
      <c r="G61" s="597"/>
      <c r="H61" s="597"/>
      <c r="I61" s="597"/>
    </row>
    <row r="62" spans="1:9" ht="20.25">
      <c r="A62" s="597"/>
      <c r="B62" s="597"/>
      <c r="C62" s="597"/>
      <c r="D62" s="597"/>
      <c r="E62" s="597"/>
      <c r="F62" s="597"/>
      <c r="G62" s="597"/>
      <c r="H62" s="597"/>
      <c r="I62" s="597"/>
    </row>
    <row r="63" spans="1:9" ht="20.25">
      <c r="A63" s="597"/>
      <c r="B63" s="597"/>
      <c r="C63" s="597"/>
      <c r="D63" s="597"/>
      <c r="E63" s="597"/>
      <c r="F63" s="597"/>
      <c r="G63" s="597"/>
      <c r="H63" s="597"/>
      <c r="I63" s="597"/>
    </row>
    <row r="64" spans="1:9" ht="20.25">
      <c r="A64" s="597"/>
      <c r="B64" s="597"/>
      <c r="C64" s="597"/>
      <c r="D64" s="597"/>
      <c r="E64" s="597"/>
      <c r="F64" s="597"/>
      <c r="G64" s="597"/>
      <c r="H64" s="597"/>
      <c r="I64" s="597"/>
    </row>
    <row r="65" spans="1:9" ht="20.25">
      <c r="A65" s="597"/>
      <c r="B65" s="597"/>
      <c r="C65" s="597"/>
      <c r="D65" s="597"/>
      <c r="E65" s="597"/>
      <c r="F65" s="597"/>
      <c r="G65" s="597"/>
      <c r="H65" s="597"/>
      <c r="I65" s="597"/>
    </row>
    <row r="66" spans="1:9" ht="20.25">
      <c r="A66" s="597"/>
      <c r="B66" s="597"/>
      <c r="C66" s="597"/>
      <c r="D66" s="597"/>
      <c r="E66" s="597"/>
      <c r="F66" s="597"/>
      <c r="G66" s="597"/>
      <c r="H66" s="597"/>
      <c r="I66" s="597"/>
    </row>
    <row r="67" spans="1:9" ht="20.25">
      <c r="A67" s="597"/>
      <c r="B67" s="597"/>
      <c r="C67" s="597"/>
      <c r="D67" s="597"/>
      <c r="E67" s="597"/>
      <c r="F67" s="597"/>
      <c r="G67" s="597"/>
      <c r="H67" s="597"/>
      <c r="I67" s="597"/>
    </row>
    <row r="68" spans="1:9" ht="20.25">
      <c r="A68" s="597"/>
      <c r="B68" s="597"/>
      <c r="C68" s="597"/>
      <c r="D68" s="597"/>
      <c r="E68" s="597"/>
      <c r="F68" s="597"/>
      <c r="G68" s="597"/>
      <c r="H68" s="597"/>
      <c r="I68" s="597"/>
    </row>
    <row r="69" spans="1:9" ht="20.25">
      <c r="A69" s="597"/>
      <c r="B69" s="597"/>
      <c r="C69" s="597"/>
      <c r="D69" s="597"/>
      <c r="E69" s="597"/>
      <c r="F69" s="597"/>
      <c r="G69" s="597"/>
      <c r="H69" s="597"/>
      <c r="I69" s="597"/>
    </row>
    <row r="70" spans="1:9" ht="20.25">
      <c r="A70" s="597"/>
      <c r="B70" s="597"/>
      <c r="C70" s="597"/>
      <c r="D70" s="597"/>
      <c r="E70" s="597"/>
      <c r="F70" s="597"/>
      <c r="G70" s="597"/>
      <c r="H70" s="597"/>
      <c r="I70" s="597"/>
    </row>
    <row r="71" spans="1:9" ht="20.25">
      <c r="A71" s="597"/>
      <c r="B71" s="597"/>
      <c r="C71" s="597"/>
      <c r="D71" s="597"/>
      <c r="E71" s="597"/>
      <c r="F71" s="597"/>
      <c r="G71" s="597"/>
      <c r="H71" s="597"/>
      <c r="I71" s="597"/>
    </row>
    <row r="72" spans="1:9" ht="20.25">
      <c r="A72" s="597"/>
      <c r="B72" s="597"/>
      <c r="C72" s="597"/>
      <c r="D72" s="597"/>
      <c r="E72" s="597"/>
      <c r="F72" s="597"/>
      <c r="G72" s="597"/>
      <c r="H72" s="597"/>
      <c r="I72" s="597"/>
    </row>
    <row r="73" spans="1:9" ht="20.25">
      <c r="A73" s="597"/>
      <c r="B73" s="597"/>
      <c r="C73" s="597"/>
      <c r="D73" s="597"/>
      <c r="E73" s="597"/>
      <c r="F73" s="597"/>
      <c r="G73" s="597"/>
      <c r="H73" s="597"/>
      <c r="I73" s="597"/>
    </row>
    <row r="74" spans="1:9" ht="20.25">
      <c r="A74" s="597"/>
      <c r="B74" s="597"/>
      <c r="C74" s="597"/>
      <c r="D74" s="597"/>
      <c r="E74" s="597"/>
      <c r="F74" s="597"/>
      <c r="G74" s="597"/>
      <c r="H74" s="597"/>
      <c r="I74" s="597"/>
    </row>
    <row r="75" spans="1:9" ht="20.25">
      <c r="A75" s="597"/>
      <c r="B75" s="597"/>
      <c r="C75" s="597"/>
      <c r="D75" s="597"/>
      <c r="E75" s="597"/>
      <c r="F75" s="597"/>
      <c r="G75" s="597"/>
      <c r="H75" s="597"/>
      <c r="I75" s="597"/>
    </row>
    <row r="76" spans="1:9" ht="20.25">
      <c r="A76" s="597"/>
      <c r="B76" s="597"/>
      <c r="C76" s="597"/>
      <c r="D76" s="597"/>
      <c r="E76" s="597"/>
      <c r="F76" s="597"/>
      <c r="G76" s="597"/>
      <c r="H76" s="597"/>
      <c r="I76" s="597"/>
    </row>
    <row r="77" spans="1:9" ht="20.25">
      <c r="A77" s="597"/>
      <c r="B77" s="597"/>
      <c r="C77" s="597"/>
      <c r="D77" s="597"/>
      <c r="E77" s="597"/>
      <c r="F77" s="597"/>
      <c r="G77" s="597"/>
      <c r="H77" s="597"/>
      <c r="I77" s="597"/>
    </row>
    <row r="78" spans="1:9" ht="20.25">
      <c r="A78" s="597"/>
      <c r="B78" s="597"/>
      <c r="C78" s="597"/>
      <c r="D78" s="597"/>
      <c r="E78" s="597"/>
      <c r="F78" s="597"/>
      <c r="G78" s="597"/>
      <c r="H78" s="597"/>
      <c r="I78" s="597"/>
    </row>
    <row r="79" spans="1:9" ht="20.25">
      <c r="A79" s="597"/>
      <c r="B79" s="597"/>
      <c r="C79" s="597"/>
      <c r="D79" s="597"/>
      <c r="E79" s="597"/>
      <c r="F79" s="597"/>
      <c r="G79" s="597"/>
      <c r="H79" s="597"/>
      <c r="I79" s="597"/>
    </row>
    <row r="80" spans="1:9" ht="20.25">
      <c r="A80" s="597"/>
      <c r="B80" s="597"/>
      <c r="C80" s="597"/>
      <c r="D80" s="597"/>
      <c r="E80" s="597"/>
      <c r="F80" s="597"/>
      <c r="G80" s="597"/>
      <c r="H80" s="597"/>
      <c r="I80" s="597"/>
    </row>
    <row r="81" spans="1:9" ht="20.25">
      <c r="A81" s="597"/>
      <c r="B81" s="597"/>
      <c r="C81" s="597"/>
      <c r="D81" s="597"/>
      <c r="E81" s="597"/>
      <c r="F81" s="597"/>
      <c r="G81" s="597"/>
      <c r="H81" s="597"/>
      <c r="I81" s="597"/>
    </row>
    <row r="82" spans="1:9" ht="20.25">
      <c r="A82" s="597"/>
      <c r="B82" s="597"/>
      <c r="C82" s="597"/>
      <c r="D82" s="597"/>
      <c r="E82" s="597"/>
      <c r="F82" s="597"/>
      <c r="G82" s="597"/>
      <c r="H82" s="597"/>
      <c r="I82" s="597"/>
    </row>
    <row r="83" spans="1:9" ht="20.25">
      <c r="A83" s="597"/>
      <c r="B83" s="597"/>
      <c r="C83" s="597"/>
      <c r="D83" s="597"/>
      <c r="E83" s="597"/>
      <c r="F83" s="597"/>
      <c r="G83" s="597"/>
      <c r="H83" s="597"/>
      <c r="I83" s="597"/>
    </row>
    <row r="84" spans="1:9" ht="20.25">
      <c r="A84" s="597"/>
      <c r="B84" s="597"/>
      <c r="C84" s="597"/>
      <c r="D84" s="597"/>
      <c r="E84" s="597"/>
      <c r="F84" s="597"/>
      <c r="G84" s="597"/>
      <c r="H84" s="597"/>
      <c r="I84" s="597"/>
    </row>
    <row r="85" spans="1:9" ht="20.25">
      <c r="A85" s="597"/>
      <c r="B85" s="597"/>
      <c r="C85" s="597"/>
      <c r="D85" s="597"/>
      <c r="E85" s="597"/>
      <c r="F85" s="597"/>
      <c r="G85" s="597"/>
      <c r="H85" s="597"/>
      <c r="I85" s="597"/>
    </row>
    <row r="86" spans="1:9" ht="20.25">
      <c r="A86" s="597"/>
      <c r="B86" s="597"/>
      <c r="C86" s="597"/>
      <c r="D86" s="597"/>
      <c r="E86" s="597"/>
      <c r="F86" s="597"/>
      <c r="G86" s="597"/>
      <c r="H86" s="597"/>
      <c r="I86" s="597"/>
    </row>
    <row r="87" spans="1:9" ht="20.25">
      <c r="A87" s="597"/>
      <c r="B87" s="597"/>
      <c r="C87" s="597"/>
      <c r="D87" s="597"/>
      <c r="E87" s="597"/>
      <c r="F87" s="597"/>
      <c r="G87" s="597"/>
      <c r="H87" s="597"/>
      <c r="I87" s="597"/>
    </row>
    <row r="88" spans="1:9" ht="20.25">
      <c r="A88" s="597"/>
      <c r="B88" s="597"/>
      <c r="C88" s="597"/>
      <c r="D88" s="597"/>
      <c r="E88" s="597"/>
      <c r="F88" s="597"/>
      <c r="G88" s="597"/>
      <c r="H88" s="597"/>
      <c r="I88" s="597"/>
    </row>
    <row r="89" spans="1:9" ht="20.25">
      <c r="A89" s="597"/>
      <c r="B89" s="597"/>
      <c r="C89" s="597"/>
      <c r="D89" s="597"/>
      <c r="E89" s="597"/>
      <c r="F89" s="597"/>
      <c r="G89" s="597"/>
      <c r="H89" s="597"/>
      <c r="I89" s="597"/>
    </row>
    <row r="90" spans="1:9" ht="20.25">
      <c r="A90" s="597"/>
      <c r="B90" s="597"/>
      <c r="C90" s="597"/>
      <c r="D90" s="597"/>
      <c r="E90" s="597"/>
      <c r="F90" s="597"/>
      <c r="G90" s="597"/>
      <c r="H90" s="597"/>
      <c r="I90" s="597"/>
    </row>
    <row r="91" spans="1:9" ht="20.25">
      <c r="A91" s="597"/>
      <c r="B91" s="597"/>
      <c r="C91" s="597"/>
      <c r="D91" s="597"/>
      <c r="E91" s="597"/>
      <c r="F91" s="597"/>
      <c r="G91" s="597"/>
      <c r="H91" s="597"/>
      <c r="I91" s="597"/>
    </row>
    <row r="92" spans="1:9" ht="20.25">
      <c r="A92" s="597"/>
      <c r="B92" s="597"/>
      <c r="C92" s="597"/>
      <c r="D92" s="597"/>
      <c r="E92" s="597"/>
      <c r="F92" s="597"/>
      <c r="G92" s="597"/>
      <c r="H92" s="597"/>
      <c r="I92" s="597"/>
    </row>
    <row r="93" spans="1:9" ht="20.25">
      <c r="A93" s="597"/>
      <c r="B93" s="597"/>
      <c r="C93" s="597"/>
      <c r="D93" s="597"/>
      <c r="E93" s="597"/>
      <c r="F93" s="597"/>
      <c r="G93" s="597"/>
      <c r="H93" s="597"/>
      <c r="I93" s="597"/>
    </row>
    <row r="94" spans="1:9" ht="20.25">
      <c r="A94" s="597"/>
      <c r="B94" s="597"/>
      <c r="C94" s="597"/>
      <c r="D94" s="597"/>
      <c r="E94" s="597"/>
      <c r="F94" s="597"/>
      <c r="G94" s="597"/>
      <c r="H94" s="597"/>
      <c r="I94" s="597"/>
    </row>
    <row r="95" spans="1:9" ht="20.25">
      <c r="A95" s="597"/>
      <c r="B95" s="597"/>
      <c r="C95" s="597"/>
      <c r="D95" s="597"/>
      <c r="E95" s="597"/>
      <c r="F95" s="597"/>
      <c r="G95" s="597"/>
      <c r="H95" s="597"/>
      <c r="I95" s="597"/>
    </row>
    <row r="96" spans="1:9" ht="20.25">
      <c r="A96" s="597"/>
      <c r="B96" s="597"/>
      <c r="C96" s="597"/>
      <c r="D96" s="597"/>
      <c r="E96" s="597"/>
      <c r="F96" s="597"/>
      <c r="G96" s="597"/>
      <c r="H96" s="597"/>
      <c r="I96" s="597"/>
    </row>
    <row r="97" spans="1:9" ht="20.25">
      <c r="A97" s="597"/>
      <c r="B97" s="597"/>
      <c r="C97" s="597"/>
      <c r="D97" s="597"/>
      <c r="E97" s="597"/>
      <c r="F97" s="597"/>
      <c r="G97" s="597"/>
      <c r="H97" s="597"/>
      <c r="I97" s="597"/>
    </row>
    <row r="98" spans="1:9" ht="20.25">
      <c r="A98" s="597"/>
      <c r="B98" s="597"/>
      <c r="C98" s="597"/>
      <c r="D98" s="597"/>
      <c r="E98" s="597"/>
      <c r="F98" s="597"/>
      <c r="G98" s="597"/>
      <c r="H98" s="597"/>
      <c r="I98" s="597"/>
    </row>
    <row r="99" spans="1:9" ht="20.25">
      <c r="A99" s="597"/>
      <c r="B99" s="597"/>
      <c r="C99" s="597"/>
      <c r="D99" s="597"/>
      <c r="E99" s="597"/>
      <c r="F99" s="597"/>
      <c r="G99" s="597"/>
      <c r="H99" s="597"/>
      <c r="I99" s="597"/>
    </row>
    <row r="100" spans="1:9" ht="20.25">
      <c r="A100" s="597"/>
      <c r="B100" s="597"/>
      <c r="C100" s="597"/>
      <c r="D100" s="597"/>
      <c r="E100" s="597"/>
      <c r="F100" s="597"/>
      <c r="G100" s="597"/>
      <c r="H100" s="597"/>
      <c r="I100" s="597"/>
    </row>
    <row r="101" spans="1:9" ht="20.25">
      <c r="A101" s="597"/>
      <c r="B101" s="597"/>
      <c r="C101" s="597"/>
      <c r="D101" s="597"/>
      <c r="E101" s="597"/>
      <c r="F101" s="597"/>
      <c r="G101" s="597"/>
      <c r="H101" s="597"/>
      <c r="I101" s="597"/>
    </row>
    <row r="102" spans="1:9" ht="20.25">
      <c r="A102" s="597"/>
      <c r="B102" s="597"/>
      <c r="C102" s="597"/>
      <c r="D102" s="597"/>
      <c r="E102" s="597"/>
      <c r="F102" s="597"/>
      <c r="G102" s="597"/>
      <c r="H102" s="597"/>
      <c r="I102" s="597"/>
    </row>
    <row r="103" spans="1:9" ht="20.25">
      <c r="A103" s="597"/>
      <c r="B103" s="597"/>
      <c r="C103" s="597"/>
      <c r="D103" s="597"/>
      <c r="E103" s="597"/>
      <c r="F103" s="597"/>
      <c r="G103" s="597"/>
      <c r="H103" s="597"/>
      <c r="I103" s="597"/>
    </row>
    <row r="104" spans="1:9" ht="20.25">
      <c r="A104" s="597"/>
      <c r="B104" s="597"/>
      <c r="C104" s="597"/>
      <c r="D104" s="597"/>
      <c r="E104" s="597"/>
      <c r="F104" s="597"/>
      <c r="G104" s="597"/>
      <c r="H104" s="597"/>
      <c r="I104" s="597"/>
    </row>
    <row r="105" spans="1:9" ht="20.25">
      <c r="A105" s="597"/>
      <c r="B105" s="597"/>
      <c r="C105" s="597"/>
      <c r="D105" s="597"/>
      <c r="E105" s="597"/>
      <c r="F105" s="597"/>
      <c r="G105" s="597"/>
      <c r="H105" s="597"/>
      <c r="I105" s="597"/>
    </row>
    <row r="106" spans="1:9" ht="20.25">
      <c r="A106" s="597"/>
      <c r="B106" s="597"/>
      <c r="C106" s="597"/>
      <c r="D106" s="597"/>
      <c r="E106" s="597"/>
      <c r="F106" s="597"/>
      <c r="G106" s="597"/>
      <c r="H106" s="597"/>
      <c r="I106" s="597"/>
    </row>
    <row r="107" spans="1:9" ht="20.25">
      <c r="A107" s="597"/>
      <c r="B107" s="597"/>
      <c r="C107" s="597"/>
      <c r="D107" s="597"/>
      <c r="E107" s="597"/>
      <c r="F107" s="597"/>
      <c r="G107" s="597"/>
      <c r="H107" s="597"/>
      <c r="I107" s="597"/>
    </row>
    <row r="108" spans="1:9" ht="20.25">
      <c r="A108" s="597"/>
      <c r="B108" s="597"/>
      <c r="C108" s="597"/>
      <c r="D108" s="597"/>
      <c r="E108" s="597"/>
      <c r="F108" s="597"/>
      <c r="G108" s="597"/>
      <c r="H108" s="597"/>
      <c r="I108" s="597"/>
    </row>
    <row r="109" spans="1:9" ht="20.25">
      <c r="A109" s="597"/>
      <c r="B109" s="597"/>
      <c r="C109" s="597"/>
      <c r="D109" s="597"/>
      <c r="E109" s="597"/>
      <c r="F109" s="597"/>
      <c r="G109" s="597"/>
      <c r="H109" s="597"/>
      <c r="I109" s="597"/>
    </row>
    <row r="110" spans="1:9" ht="20.25">
      <c r="A110" s="597"/>
      <c r="B110" s="597"/>
      <c r="C110" s="597"/>
      <c r="D110" s="597"/>
      <c r="E110" s="597"/>
      <c r="F110" s="597"/>
      <c r="G110" s="597"/>
      <c r="H110" s="597"/>
      <c r="I110" s="597"/>
    </row>
    <row r="111" spans="1:9" ht="20.25">
      <c r="A111" s="597"/>
      <c r="B111" s="597"/>
      <c r="C111" s="597"/>
      <c r="D111" s="597"/>
      <c r="E111" s="597"/>
      <c r="F111" s="597"/>
      <c r="G111" s="597"/>
      <c r="H111" s="597"/>
      <c r="I111" s="597"/>
    </row>
    <row r="112" spans="1:9" ht="20.25">
      <c r="A112" s="597"/>
      <c r="B112" s="597"/>
      <c r="C112" s="597"/>
      <c r="D112" s="597"/>
      <c r="E112" s="597"/>
      <c r="F112" s="597"/>
      <c r="G112" s="597"/>
      <c r="H112" s="597"/>
      <c r="I112" s="597"/>
    </row>
    <row r="113" spans="1:9" ht="20.25">
      <c r="A113" s="597"/>
      <c r="B113" s="597"/>
      <c r="C113" s="597"/>
      <c r="D113" s="597"/>
      <c r="E113" s="597"/>
      <c r="F113" s="597"/>
      <c r="G113" s="597"/>
      <c r="H113" s="597"/>
      <c r="I113" s="597"/>
    </row>
    <row r="114" spans="1:9" ht="20.25">
      <c r="A114" s="597"/>
      <c r="B114" s="597"/>
      <c r="C114" s="597"/>
      <c r="D114" s="597"/>
      <c r="E114" s="597"/>
      <c r="F114" s="597"/>
      <c r="G114" s="597"/>
      <c r="H114" s="597"/>
      <c r="I114" s="597"/>
    </row>
    <row r="115" spans="1:9" ht="20.25">
      <c r="A115" s="597"/>
      <c r="B115" s="597"/>
      <c r="C115" s="597"/>
      <c r="D115" s="597"/>
      <c r="E115" s="597"/>
      <c r="F115" s="597"/>
      <c r="G115" s="597"/>
      <c r="H115" s="597"/>
      <c r="I115" s="597"/>
    </row>
    <row r="116" spans="1:9" ht="20.25">
      <c r="A116" s="597"/>
      <c r="B116" s="597"/>
      <c r="C116" s="597"/>
      <c r="D116" s="597"/>
      <c r="E116" s="597"/>
      <c r="F116" s="597"/>
      <c r="G116" s="597"/>
      <c r="H116" s="597"/>
      <c r="I116" s="597"/>
    </row>
    <row r="117" spans="1:9" ht="20.25">
      <c r="A117" s="597"/>
      <c r="B117" s="597"/>
      <c r="C117" s="597"/>
      <c r="D117" s="597"/>
      <c r="E117" s="597"/>
      <c r="F117" s="597"/>
      <c r="G117" s="597"/>
      <c r="H117" s="597"/>
      <c r="I117" s="597"/>
    </row>
    <row r="118" spans="1:9" ht="20.25">
      <c r="A118" s="597"/>
      <c r="B118" s="597"/>
      <c r="C118" s="597"/>
      <c r="D118" s="597"/>
      <c r="E118" s="597"/>
      <c r="F118" s="597"/>
      <c r="G118" s="597"/>
      <c r="H118" s="597"/>
      <c r="I118" s="597"/>
    </row>
    <row r="119" spans="1:9" ht="20.25">
      <c r="A119" s="597"/>
      <c r="B119" s="597"/>
      <c r="C119" s="597"/>
      <c r="D119" s="597"/>
      <c r="E119" s="597"/>
      <c r="F119" s="597"/>
      <c r="G119" s="597"/>
      <c r="H119" s="597"/>
      <c r="I119" s="597"/>
    </row>
    <row r="120" spans="1:9" ht="20.25">
      <c r="A120" s="597"/>
      <c r="B120" s="597"/>
      <c r="C120" s="597"/>
      <c r="D120" s="597"/>
      <c r="E120" s="597"/>
      <c r="F120" s="597"/>
      <c r="G120" s="597"/>
      <c r="H120" s="597"/>
      <c r="I120" s="597"/>
    </row>
    <row r="121" spans="1:9" ht="20.25">
      <c r="A121" s="597"/>
      <c r="B121" s="597"/>
      <c r="C121" s="597"/>
      <c r="D121" s="597"/>
      <c r="E121" s="597"/>
      <c r="F121" s="597"/>
      <c r="G121" s="597"/>
      <c r="H121" s="597"/>
      <c r="I121" s="597"/>
    </row>
    <row r="122" spans="1:9" ht="20.25">
      <c r="A122" s="597"/>
      <c r="B122" s="597"/>
      <c r="C122" s="597"/>
      <c r="D122" s="597"/>
      <c r="E122" s="597"/>
      <c r="F122" s="597"/>
      <c r="G122" s="597"/>
      <c r="H122" s="597"/>
      <c r="I122" s="597"/>
    </row>
    <row r="123" spans="1:9" ht="20.25">
      <c r="A123" s="597"/>
      <c r="B123" s="597"/>
      <c r="C123" s="597"/>
      <c r="D123" s="597"/>
      <c r="E123" s="597"/>
      <c r="F123" s="597"/>
      <c r="G123" s="597"/>
      <c r="H123" s="597"/>
      <c r="I123" s="597"/>
    </row>
    <row r="124" spans="1:9" ht="20.25">
      <c r="A124" s="597"/>
      <c r="B124" s="597"/>
      <c r="C124" s="597"/>
      <c r="D124" s="597"/>
      <c r="E124" s="597"/>
      <c r="F124" s="597"/>
      <c r="G124" s="597"/>
      <c r="H124" s="597"/>
      <c r="I124" s="597"/>
    </row>
    <row r="125" spans="1:9" ht="20.25">
      <c r="A125" s="597"/>
      <c r="B125" s="597"/>
      <c r="C125" s="597"/>
      <c r="D125" s="597"/>
      <c r="E125" s="597"/>
      <c r="F125" s="597"/>
      <c r="G125" s="597"/>
      <c r="H125" s="597"/>
      <c r="I125" s="597"/>
    </row>
    <row r="126" spans="1:9" ht="20.25">
      <c r="A126" s="597"/>
      <c r="B126" s="597"/>
      <c r="C126" s="597"/>
      <c r="D126" s="597"/>
      <c r="E126" s="597"/>
      <c r="F126" s="597"/>
      <c r="G126" s="597"/>
      <c r="H126" s="597"/>
      <c r="I126" s="597"/>
    </row>
    <row r="127" spans="1:9" ht="20.25">
      <c r="A127" s="597"/>
      <c r="B127" s="597"/>
      <c r="C127" s="597"/>
      <c r="D127" s="597"/>
      <c r="E127" s="597"/>
      <c r="F127" s="597"/>
      <c r="G127" s="597"/>
      <c r="H127" s="597"/>
      <c r="I127" s="597"/>
    </row>
    <row r="128" spans="1:9" ht="20.25">
      <c r="A128" s="597"/>
      <c r="B128" s="597"/>
      <c r="C128" s="597"/>
      <c r="D128" s="597"/>
      <c r="E128" s="597"/>
      <c r="F128" s="597"/>
      <c r="G128" s="597"/>
      <c r="H128" s="597"/>
      <c r="I128" s="597"/>
    </row>
    <row r="129" spans="1:9" ht="20.25">
      <c r="A129" s="597"/>
      <c r="B129" s="597"/>
      <c r="C129" s="597"/>
      <c r="D129" s="597"/>
      <c r="E129" s="597"/>
      <c r="F129" s="597"/>
      <c r="G129" s="597"/>
      <c r="H129" s="597"/>
      <c r="I129" s="597"/>
    </row>
    <row r="130" spans="1:9" ht="20.25">
      <c r="A130" s="597"/>
      <c r="B130" s="597"/>
      <c r="C130" s="597"/>
      <c r="D130" s="597"/>
      <c r="E130" s="597"/>
      <c r="F130" s="597"/>
      <c r="G130" s="597"/>
      <c r="H130" s="597"/>
      <c r="I130" s="597"/>
    </row>
    <row r="131" spans="1:9" ht="20.25">
      <c r="A131" s="597"/>
      <c r="B131" s="597"/>
      <c r="C131" s="597"/>
      <c r="D131" s="597"/>
      <c r="E131" s="597"/>
      <c r="F131" s="597"/>
      <c r="G131" s="597"/>
      <c r="H131" s="597"/>
      <c r="I131" s="597"/>
    </row>
    <row r="132" spans="1:9" ht="20.25">
      <c r="A132" s="597"/>
      <c r="B132" s="597"/>
      <c r="C132" s="597"/>
      <c r="D132" s="597"/>
      <c r="E132" s="597"/>
      <c r="F132" s="597"/>
      <c r="G132" s="597"/>
      <c r="H132" s="597"/>
      <c r="I132" s="597"/>
    </row>
    <row r="133" spans="1:9" ht="20.25">
      <c r="A133" s="597"/>
      <c r="B133" s="597"/>
      <c r="C133" s="597"/>
      <c r="D133" s="597"/>
      <c r="E133" s="597"/>
      <c r="F133" s="597"/>
      <c r="G133" s="597"/>
      <c r="H133" s="597"/>
      <c r="I133" s="597"/>
    </row>
    <row r="134" spans="1:9" ht="20.25">
      <c r="A134" s="597"/>
      <c r="B134" s="597"/>
      <c r="C134" s="597"/>
      <c r="D134" s="597"/>
      <c r="E134" s="597"/>
      <c r="F134" s="597"/>
      <c r="G134" s="597"/>
      <c r="H134" s="597"/>
      <c r="I134" s="597"/>
    </row>
    <row r="135" spans="1:9" ht="20.25">
      <c r="A135" s="597"/>
      <c r="B135" s="597"/>
      <c r="C135" s="597"/>
      <c r="D135" s="597"/>
      <c r="E135" s="597"/>
      <c r="F135" s="597"/>
      <c r="G135" s="597"/>
      <c r="H135" s="597"/>
      <c r="I135" s="597"/>
    </row>
    <row r="136" spans="1:9" ht="20.25">
      <c r="A136" s="597"/>
      <c r="B136" s="597"/>
      <c r="C136" s="597"/>
      <c r="D136" s="597"/>
      <c r="E136" s="597"/>
      <c r="F136" s="597"/>
      <c r="G136" s="597"/>
      <c r="H136" s="597"/>
      <c r="I136" s="597"/>
    </row>
    <row r="137" spans="1:9" ht="20.25">
      <c r="A137" s="597"/>
      <c r="B137" s="597"/>
      <c r="C137" s="597"/>
      <c r="D137" s="597"/>
      <c r="E137" s="597"/>
      <c r="F137" s="597"/>
      <c r="G137" s="597"/>
      <c r="H137" s="597"/>
      <c r="I137" s="597"/>
    </row>
    <row r="138" spans="1:9" ht="20.25">
      <c r="A138" s="597"/>
      <c r="B138" s="597"/>
      <c r="C138" s="597"/>
      <c r="D138" s="597"/>
      <c r="E138" s="597"/>
      <c r="F138" s="597"/>
      <c r="G138" s="597"/>
      <c r="H138" s="597"/>
      <c r="I138" s="597"/>
    </row>
    <row r="139" spans="1:9" ht="20.25">
      <c r="A139" s="597"/>
      <c r="B139" s="597"/>
      <c r="C139" s="597"/>
      <c r="D139" s="597"/>
      <c r="E139" s="597"/>
      <c r="F139" s="597"/>
      <c r="G139" s="597"/>
      <c r="H139" s="597"/>
      <c r="I139" s="597"/>
    </row>
    <row r="140" spans="1:9" ht="20.25">
      <c r="A140" s="597"/>
      <c r="B140" s="597"/>
      <c r="C140" s="597"/>
      <c r="D140" s="597"/>
      <c r="E140" s="597"/>
      <c r="F140" s="597"/>
      <c r="G140" s="597"/>
      <c r="H140" s="597"/>
      <c r="I140" s="597"/>
    </row>
    <row r="141" spans="1:9" ht="20.25">
      <c r="A141" s="597"/>
      <c r="B141" s="597"/>
      <c r="C141" s="597"/>
      <c r="D141" s="597"/>
      <c r="E141" s="597"/>
      <c r="F141" s="597"/>
      <c r="G141" s="597"/>
      <c r="H141" s="597"/>
      <c r="I141" s="597"/>
    </row>
    <row r="142" spans="1:9" ht="20.25">
      <c r="A142" s="597"/>
      <c r="B142" s="597"/>
      <c r="C142" s="597"/>
      <c r="D142" s="597"/>
      <c r="E142" s="597"/>
      <c r="F142" s="597"/>
      <c r="G142" s="597"/>
      <c r="H142" s="597"/>
      <c r="I142" s="597"/>
    </row>
    <row r="143" spans="1:9" ht="20.25">
      <c r="A143" s="597"/>
      <c r="B143" s="597"/>
      <c r="C143" s="597"/>
      <c r="D143" s="597"/>
      <c r="E143" s="597"/>
      <c r="F143" s="597"/>
      <c r="G143" s="597"/>
      <c r="H143" s="597"/>
      <c r="I143" s="597"/>
    </row>
    <row r="144" spans="1:9" ht="20.25">
      <c r="A144" s="597"/>
      <c r="B144" s="597"/>
      <c r="C144" s="597"/>
      <c r="D144" s="597"/>
      <c r="E144" s="597"/>
      <c r="F144" s="597"/>
      <c r="G144" s="597"/>
      <c r="H144" s="597"/>
      <c r="I144" s="597"/>
    </row>
    <row r="145" spans="1:9" ht="20.25">
      <c r="A145" s="597"/>
      <c r="B145" s="597"/>
      <c r="C145" s="597"/>
      <c r="D145" s="597"/>
      <c r="E145" s="597"/>
      <c r="F145" s="597"/>
      <c r="G145" s="597"/>
      <c r="H145" s="597"/>
      <c r="I145" s="597"/>
    </row>
    <row r="146" spans="1:9" ht="20.25">
      <c r="A146" s="597"/>
      <c r="B146" s="597"/>
      <c r="C146" s="597"/>
      <c r="D146" s="597"/>
      <c r="E146" s="597"/>
      <c r="F146" s="597"/>
      <c r="G146" s="597"/>
      <c r="H146" s="597"/>
      <c r="I146" s="597"/>
    </row>
    <row r="147" spans="1:9" ht="20.25">
      <c r="A147" s="597"/>
      <c r="B147" s="597"/>
      <c r="C147" s="597"/>
      <c r="D147" s="597"/>
      <c r="E147" s="597"/>
      <c r="F147" s="597"/>
      <c r="G147" s="597"/>
      <c r="H147" s="597"/>
      <c r="I147" s="597"/>
    </row>
    <row r="148" spans="1:9" ht="20.25">
      <c r="A148" s="597"/>
      <c r="B148" s="597"/>
      <c r="C148" s="597"/>
      <c r="D148" s="597"/>
      <c r="E148" s="597"/>
      <c r="F148" s="597"/>
      <c r="G148" s="597"/>
      <c r="H148" s="597"/>
      <c r="I148" s="597"/>
    </row>
    <row r="149" spans="1:9" ht="20.25">
      <c r="A149" s="597"/>
      <c r="B149" s="597"/>
      <c r="C149" s="597"/>
      <c r="D149" s="597"/>
      <c r="E149" s="597"/>
      <c r="F149" s="597"/>
      <c r="G149" s="597"/>
      <c r="H149" s="597"/>
      <c r="I149" s="597"/>
    </row>
    <row r="150" spans="1:9" ht="20.25">
      <c r="A150" s="597"/>
      <c r="B150" s="597"/>
      <c r="C150" s="597"/>
      <c r="D150" s="597"/>
      <c r="E150" s="597"/>
      <c r="F150" s="597"/>
      <c r="G150" s="597"/>
      <c r="H150" s="597"/>
      <c r="I150" s="597"/>
    </row>
    <row r="151" spans="1:9" ht="20.25">
      <c r="A151" s="597"/>
      <c r="B151" s="597"/>
      <c r="C151" s="597"/>
      <c r="D151" s="597"/>
      <c r="E151" s="597"/>
      <c r="F151" s="597"/>
      <c r="G151" s="597"/>
      <c r="H151" s="597"/>
      <c r="I151" s="597"/>
    </row>
    <row r="152" spans="1:9" ht="20.25">
      <c r="A152" s="597"/>
      <c r="B152" s="597"/>
      <c r="C152" s="597"/>
      <c r="D152" s="597"/>
      <c r="E152" s="597"/>
      <c r="F152" s="597"/>
      <c r="G152" s="597"/>
      <c r="H152" s="597"/>
      <c r="I152" s="597"/>
    </row>
    <row r="153" spans="1:9" ht="20.25">
      <c r="A153" s="597"/>
      <c r="B153" s="597"/>
      <c r="C153" s="597"/>
      <c r="D153" s="597"/>
      <c r="E153" s="597"/>
      <c r="F153" s="597"/>
      <c r="G153" s="597"/>
      <c r="H153" s="597"/>
      <c r="I153" s="597"/>
    </row>
    <row r="154" spans="1:9" ht="20.25">
      <c r="A154" s="597"/>
      <c r="B154" s="597"/>
      <c r="C154" s="597"/>
      <c r="D154" s="597"/>
      <c r="E154" s="597"/>
      <c r="F154" s="597"/>
      <c r="G154" s="597"/>
      <c r="H154" s="597"/>
      <c r="I154" s="597"/>
    </row>
    <row r="155" spans="1:9" ht="20.25">
      <c r="A155" s="597"/>
      <c r="B155" s="597"/>
      <c r="C155" s="597"/>
      <c r="D155" s="597"/>
      <c r="E155" s="597"/>
      <c r="F155" s="597"/>
      <c r="G155" s="597"/>
      <c r="H155" s="597"/>
      <c r="I155" s="597"/>
    </row>
    <row r="156" spans="1:9" ht="20.25">
      <c r="A156" s="597"/>
      <c r="B156" s="597"/>
      <c r="C156" s="597"/>
      <c r="D156" s="597"/>
      <c r="E156" s="597"/>
      <c r="F156" s="597"/>
      <c r="G156" s="597"/>
      <c r="H156" s="597"/>
      <c r="I156" s="597"/>
    </row>
    <row r="157" spans="1:9" ht="20.25">
      <c r="A157" s="597"/>
      <c r="B157" s="597"/>
      <c r="C157" s="597"/>
      <c r="D157" s="597"/>
      <c r="E157" s="597"/>
      <c r="F157" s="597"/>
      <c r="G157" s="597"/>
      <c r="H157" s="597"/>
      <c r="I157" s="597"/>
    </row>
    <row r="158" spans="1:9" ht="20.25">
      <c r="A158" s="597"/>
      <c r="B158" s="597"/>
      <c r="C158" s="597"/>
      <c r="D158" s="597"/>
      <c r="E158" s="597"/>
      <c r="F158" s="597"/>
      <c r="G158" s="597"/>
      <c r="H158" s="597"/>
      <c r="I158" s="597"/>
    </row>
    <row r="159" spans="1:9" ht="20.25">
      <c r="A159" s="597"/>
      <c r="B159" s="597"/>
      <c r="C159" s="597"/>
      <c r="D159" s="597"/>
      <c r="E159" s="597"/>
      <c r="F159" s="597"/>
      <c r="G159" s="597"/>
      <c r="H159" s="597"/>
      <c r="I159" s="597"/>
    </row>
    <row r="160" spans="1:9" ht="20.25">
      <c r="A160" s="597"/>
      <c r="B160" s="597"/>
      <c r="C160" s="597"/>
      <c r="D160" s="597"/>
      <c r="E160" s="597"/>
      <c r="F160" s="597"/>
      <c r="G160" s="597"/>
      <c r="H160" s="597"/>
      <c r="I160" s="597"/>
    </row>
    <row r="161" spans="1:9" ht="20.25">
      <c r="A161" s="597"/>
      <c r="B161" s="597"/>
      <c r="C161" s="597"/>
      <c r="D161" s="597"/>
      <c r="E161" s="597"/>
      <c r="F161" s="597"/>
      <c r="G161" s="597"/>
      <c r="H161" s="597"/>
      <c r="I161" s="597"/>
    </row>
    <row r="162" spans="1:9" ht="20.25">
      <c r="A162" s="597"/>
      <c r="B162" s="597"/>
      <c r="C162" s="597"/>
      <c r="D162" s="597"/>
      <c r="E162" s="597"/>
      <c r="F162" s="597"/>
      <c r="G162" s="597"/>
      <c r="H162" s="597"/>
      <c r="I162" s="597"/>
    </row>
    <row r="163" spans="1:9" ht="20.25">
      <c r="A163" s="597"/>
      <c r="B163" s="597"/>
      <c r="C163" s="597"/>
      <c r="D163" s="597"/>
      <c r="E163" s="597"/>
      <c r="F163" s="597"/>
      <c r="G163" s="597"/>
      <c r="H163" s="597"/>
      <c r="I163" s="597"/>
    </row>
    <row r="164" spans="1:9" ht="20.25">
      <c r="A164" s="597"/>
      <c r="B164" s="597"/>
      <c r="C164" s="597"/>
      <c r="D164" s="597"/>
      <c r="E164" s="597"/>
      <c r="F164" s="597"/>
      <c r="G164" s="597"/>
      <c r="H164" s="597"/>
      <c r="I164" s="597"/>
    </row>
    <row r="165" spans="1:9" ht="20.25">
      <c r="A165" s="597"/>
      <c r="B165" s="597"/>
      <c r="C165" s="597"/>
      <c r="D165" s="597"/>
      <c r="E165" s="597"/>
      <c r="F165" s="597"/>
      <c r="G165" s="597"/>
      <c r="H165" s="597"/>
      <c r="I165" s="597"/>
    </row>
    <row r="166" spans="1:9" ht="20.25">
      <c r="A166" s="597"/>
      <c r="B166" s="597"/>
      <c r="C166" s="597"/>
      <c r="D166" s="597"/>
      <c r="E166" s="597"/>
      <c r="F166" s="597"/>
      <c r="G166" s="597"/>
      <c r="H166" s="597"/>
      <c r="I166" s="597"/>
    </row>
    <row r="167" spans="1:9" ht="20.25">
      <c r="A167" s="597"/>
      <c r="B167" s="597"/>
      <c r="C167" s="597"/>
      <c r="D167" s="597"/>
      <c r="E167" s="597"/>
      <c r="F167" s="597"/>
      <c r="G167" s="597"/>
      <c r="H167" s="597"/>
      <c r="I167" s="597"/>
    </row>
    <row r="168" spans="1:9" ht="20.25">
      <c r="A168" s="597"/>
      <c r="B168" s="597"/>
      <c r="C168" s="597"/>
      <c r="D168" s="597"/>
      <c r="E168" s="597"/>
      <c r="F168" s="597"/>
      <c r="G168" s="597"/>
      <c r="H168" s="597"/>
      <c r="I168" s="597"/>
    </row>
    <row r="169" spans="1:9" ht="20.25">
      <c r="A169" s="597"/>
      <c r="B169" s="597"/>
      <c r="C169" s="597"/>
      <c r="D169" s="597"/>
      <c r="E169" s="597"/>
      <c r="F169" s="597"/>
      <c r="G169" s="597"/>
      <c r="H169" s="597"/>
      <c r="I169" s="597"/>
    </row>
    <row r="170" spans="1:9" ht="20.25">
      <c r="A170" s="597"/>
      <c r="B170" s="597"/>
      <c r="C170" s="597"/>
      <c r="D170" s="597"/>
      <c r="E170" s="597"/>
      <c r="F170" s="597"/>
      <c r="G170" s="597"/>
      <c r="H170" s="597"/>
      <c r="I170" s="597"/>
    </row>
    <row r="171" spans="1:9" ht="20.25">
      <c r="A171" s="597"/>
      <c r="B171" s="597"/>
      <c r="C171" s="597"/>
      <c r="D171" s="597"/>
      <c r="E171" s="597"/>
      <c r="F171" s="597"/>
      <c r="G171" s="597"/>
      <c r="H171" s="597"/>
      <c r="I171" s="597"/>
    </row>
    <row r="172" spans="1:9" ht="20.25">
      <c r="A172" s="597"/>
      <c r="B172" s="597"/>
      <c r="C172" s="597"/>
      <c r="D172" s="597"/>
      <c r="E172" s="597"/>
      <c r="F172" s="597"/>
      <c r="G172" s="597"/>
      <c r="H172" s="597"/>
      <c r="I172" s="597"/>
    </row>
    <row r="173" spans="1:9" ht="20.25">
      <c r="A173" s="597"/>
      <c r="B173" s="597"/>
      <c r="C173" s="597"/>
      <c r="D173" s="597"/>
      <c r="E173" s="597"/>
      <c r="F173" s="597"/>
      <c r="G173" s="597"/>
      <c r="H173" s="597"/>
      <c r="I173" s="597"/>
    </row>
    <row r="174" spans="1:9" ht="20.25">
      <c r="A174" s="597"/>
      <c r="B174" s="597"/>
      <c r="C174" s="597"/>
      <c r="D174" s="597"/>
      <c r="E174" s="597"/>
      <c r="F174" s="597"/>
      <c r="G174" s="597"/>
      <c r="H174" s="597"/>
      <c r="I174" s="597"/>
    </row>
    <row r="175" spans="1:9" ht="20.25">
      <c r="A175" s="597"/>
      <c r="B175" s="597"/>
      <c r="C175" s="597"/>
      <c r="D175" s="597"/>
      <c r="E175" s="597"/>
      <c r="F175" s="597"/>
      <c r="G175" s="597"/>
      <c r="H175" s="597"/>
      <c r="I175" s="597"/>
    </row>
    <row r="176" spans="1:9" ht="20.25">
      <c r="A176" s="597"/>
      <c r="B176" s="597"/>
      <c r="C176" s="597"/>
      <c r="D176" s="597"/>
      <c r="E176" s="597"/>
      <c r="F176" s="597"/>
      <c r="G176" s="597"/>
      <c r="H176" s="597"/>
      <c r="I176" s="597"/>
    </row>
    <row r="177" spans="1:9" ht="20.25">
      <c r="A177" s="597"/>
      <c r="B177" s="597"/>
      <c r="C177" s="597"/>
      <c r="D177" s="597"/>
      <c r="E177" s="597"/>
      <c r="F177" s="597"/>
      <c r="G177" s="597"/>
      <c r="H177" s="597"/>
      <c r="I177" s="597"/>
    </row>
    <row r="178" spans="1:9" ht="20.25">
      <c r="A178" s="597"/>
      <c r="B178" s="597"/>
      <c r="C178" s="597"/>
      <c r="D178" s="597"/>
      <c r="E178" s="597"/>
      <c r="F178" s="597"/>
      <c r="G178" s="597"/>
      <c r="H178" s="597"/>
      <c r="I178" s="597"/>
    </row>
    <row r="179" spans="1:9" ht="20.25">
      <c r="A179" s="597"/>
      <c r="B179" s="597"/>
      <c r="C179" s="597"/>
      <c r="D179" s="597"/>
      <c r="E179" s="597"/>
      <c r="F179" s="597"/>
      <c r="G179" s="597"/>
      <c r="H179" s="597"/>
      <c r="I179" s="597"/>
    </row>
    <row r="180" spans="1:9" ht="20.25">
      <c r="A180" s="597"/>
      <c r="B180" s="597"/>
      <c r="C180" s="597"/>
      <c r="D180" s="597"/>
      <c r="E180" s="597"/>
      <c r="F180" s="597"/>
      <c r="G180" s="597"/>
      <c r="H180" s="597"/>
      <c r="I180" s="597"/>
    </row>
    <row r="181" spans="1:9" ht="20.25">
      <c r="A181" s="597"/>
      <c r="B181" s="597"/>
      <c r="C181" s="597"/>
      <c r="D181" s="597"/>
      <c r="E181" s="597"/>
      <c r="F181" s="597"/>
      <c r="G181" s="597"/>
      <c r="H181" s="597"/>
      <c r="I181" s="597"/>
    </row>
    <row r="182" spans="1:9" ht="20.25">
      <c r="A182" s="597"/>
      <c r="B182" s="597"/>
      <c r="C182" s="597"/>
      <c r="D182" s="597"/>
      <c r="E182" s="597"/>
      <c r="F182" s="597"/>
      <c r="G182" s="597"/>
      <c r="H182" s="597"/>
      <c r="I182" s="597"/>
    </row>
    <row r="183" spans="1:9" ht="20.25">
      <c r="A183" s="597"/>
      <c r="B183" s="597"/>
      <c r="C183" s="597"/>
      <c r="D183" s="597"/>
      <c r="E183" s="597"/>
      <c r="F183" s="597"/>
      <c r="G183" s="597"/>
      <c r="H183" s="597"/>
      <c r="I183" s="597"/>
    </row>
    <row r="184" spans="1:9" ht="20.25">
      <c r="A184" s="597"/>
      <c r="B184" s="597"/>
      <c r="C184" s="597"/>
      <c r="D184" s="597"/>
      <c r="E184" s="597"/>
      <c r="F184" s="597"/>
      <c r="G184" s="597"/>
      <c r="H184" s="597"/>
      <c r="I184" s="597"/>
    </row>
    <row r="185" spans="1:9" ht="20.25">
      <c r="A185" s="597"/>
      <c r="B185" s="597"/>
      <c r="C185" s="597"/>
      <c r="D185" s="597"/>
      <c r="E185" s="597"/>
      <c r="F185" s="597"/>
      <c r="G185" s="597"/>
      <c r="H185" s="597"/>
      <c r="I185" s="597"/>
    </row>
    <row r="186" spans="1:9" ht="20.25">
      <c r="A186" s="597"/>
      <c r="B186" s="597"/>
      <c r="C186" s="597"/>
      <c r="D186" s="597"/>
      <c r="E186" s="597"/>
      <c r="F186" s="597"/>
      <c r="G186" s="597"/>
      <c r="H186" s="597"/>
      <c r="I186" s="597"/>
    </row>
    <row r="187" spans="1:9" ht="20.25">
      <c r="A187" s="597"/>
      <c r="B187" s="597"/>
      <c r="C187" s="597"/>
      <c r="D187" s="597"/>
      <c r="E187" s="597"/>
      <c r="F187" s="597"/>
      <c r="G187" s="597"/>
      <c r="H187" s="597"/>
      <c r="I187" s="597"/>
    </row>
    <row r="188" spans="1:9" ht="20.25">
      <c r="A188" s="597"/>
      <c r="B188" s="597"/>
      <c r="C188" s="597"/>
      <c r="D188" s="597"/>
      <c r="E188" s="597"/>
      <c r="F188" s="597"/>
      <c r="G188" s="597"/>
      <c r="H188" s="597"/>
      <c r="I188" s="597"/>
    </row>
    <row r="189" spans="1:9" ht="20.25">
      <c r="A189" s="597"/>
      <c r="B189" s="597"/>
      <c r="C189" s="597"/>
      <c r="D189" s="597"/>
      <c r="E189" s="597"/>
      <c r="F189" s="597"/>
      <c r="G189" s="597"/>
      <c r="H189" s="597"/>
      <c r="I189" s="597"/>
    </row>
    <row r="190" spans="1:9" ht="20.25">
      <c r="A190" s="597"/>
      <c r="B190" s="597"/>
      <c r="C190" s="597"/>
      <c r="D190" s="597"/>
      <c r="E190" s="597"/>
      <c r="F190" s="597"/>
      <c r="G190" s="597"/>
      <c r="H190" s="597"/>
      <c r="I190" s="597"/>
    </row>
    <row r="191" spans="1:9" ht="20.25">
      <c r="A191" s="597"/>
      <c r="B191" s="597"/>
      <c r="C191" s="597"/>
      <c r="D191" s="597"/>
      <c r="E191" s="597"/>
      <c r="F191" s="597"/>
      <c r="G191" s="597"/>
      <c r="H191" s="597"/>
      <c r="I191" s="597"/>
    </row>
    <row r="192" spans="1:9" ht="20.25">
      <c r="A192" s="597"/>
      <c r="B192" s="597"/>
      <c r="C192" s="597"/>
      <c r="D192" s="597"/>
      <c r="E192" s="597"/>
      <c r="F192" s="597"/>
      <c r="G192" s="597"/>
      <c r="H192" s="597"/>
      <c r="I192" s="597"/>
    </row>
    <row r="193" spans="1:9" ht="20.25">
      <c r="A193" s="597"/>
      <c r="B193" s="597"/>
      <c r="C193" s="597"/>
      <c r="D193" s="597"/>
      <c r="E193" s="597"/>
      <c r="F193" s="597"/>
      <c r="G193" s="597"/>
      <c r="H193" s="597"/>
      <c r="I193" s="597"/>
    </row>
    <row r="194" spans="1:9" ht="20.25">
      <c r="A194" s="597"/>
      <c r="B194" s="597"/>
      <c r="C194" s="597"/>
      <c r="D194" s="597"/>
      <c r="E194" s="597"/>
      <c r="F194" s="597"/>
      <c r="G194" s="597"/>
      <c r="H194" s="597"/>
      <c r="I194" s="597"/>
    </row>
    <row r="195" spans="1:9" ht="20.25">
      <c r="A195" s="597"/>
      <c r="B195" s="597"/>
      <c r="C195" s="597"/>
      <c r="D195" s="597"/>
      <c r="E195" s="597"/>
      <c r="F195" s="597"/>
      <c r="G195" s="597"/>
      <c r="H195" s="597"/>
      <c r="I195" s="597"/>
    </row>
    <row r="196" spans="1:9" ht="20.25">
      <c r="A196" s="597"/>
      <c r="B196" s="597"/>
      <c r="C196" s="597"/>
      <c r="D196" s="597"/>
      <c r="E196" s="597"/>
      <c r="F196" s="597"/>
      <c r="G196" s="597"/>
      <c r="H196" s="597"/>
      <c r="I196" s="597"/>
    </row>
    <row r="197" spans="1:9" ht="20.25">
      <c r="A197" s="597"/>
      <c r="B197" s="597"/>
      <c r="C197" s="597"/>
      <c r="D197" s="597"/>
      <c r="E197" s="597"/>
      <c r="F197" s="597"/>
      <c r="G197" s="597"/>
      <c r="H197" s="597"/>
      <c r="I197" s="597"/>
    </row>
    <row r="198" spans="1:9" ht="20.25">
      <c r="A198" s="597"/>
      <c r="B198" s="597"/>
      <c r="C198" s="597"/>
      <c r="D198" s="597"/>
      <c r="E198" s="597"/>
      <c r="F198" s="597"/>
      <c r="G198" s="597"/>
      <c r="H198" s="597"/>
      <c r="I198" s="597"/>
    </row>
    <row r="199" spans="1:9" ht="20.25">
      <c r="A199" s="597"/>
      <c r="B199" s="597"/>
      <c r="C199" s="597"/>
      <c r="D199" s="597"/>
      <c r="E199" s="597"/>
      <c r="F199" s="597"/>
      <c r="G199" s="597"/>
      <c r="H199" s="597"/>
      <c r="I199" s="597"/>
    </row>
    <row r="200" spans="1:9" ht="20.25">
      <c r="A200" s="597"/>
      <c r="B200" s="597"/>
      <c r="C200" s="597"/>
      <c r="D200" s="597"/>
      <c r="E200" s="597"/>
      <c r="F200" s="597"/>
      <c r="G200" s="597"/>
      <c r="H200" s="597"/>
      <c r="I200" s="597"/>
    </row>
    <row r="201" spans="1:9" ht="20.25">
      <c r="A201" s="597"/>
      <c r="B201" s="597"/>
      <c r="C201" s="597"/>
      <c r="D201" s="597"/>
      <c r="E201" s="597"/>
      <c r="F201" s="597"/>
      <c r="G201" s="597"/>
      <c r="H201" s="597"/>
      <c r="I201" s="597"/>
    </row>
    <row r="202" spans="1:9" ht="20.25">
      <c r="A202" s="597"/>
      <c r="B202" s="597"/>
      <c r="C202" s="597"/>
      <c r="D202" s="597"/>
      <c r="E202" s="597"/>
      <c r="F202" s="597"/>
      <c r="G202" s="597"/>
      <c r="H202" s="597"/>
      <c r="I202" s="597"/>
    </row>
    <row r="203" spans="1:9" ht="20.25">
      <c r="A203" s="597"/>
      <c r="B203" s="597"/>
      <c r="C203" s="597"/>
      <c r="D203" s="597"/>
      <c r="E203" s="597"/>
      <c r="F203" s="597"/>
      <c r="G203" s="597"/>
      <c r="H203" s="597"/>
      <c r="I203" s="597"/>
    </row>
    <row r="204" spans="1:9" ht="20.25">
      <c r="A204" s="597"/>
      <c r="B204" s="597"/>
      <c r="C204" s="597"/>
      <c r="D204" s="597"/>
      <c r="E204" s="597"/>
      <c r="F204" s="597"/>
      <c r="G204" s="597"/>
      <c r="H204" s="597"/>
      <c r="I204" s="597"/>
    </row>
    <row r="205" spans="1:9" ht="20.25">
      <c r="A205" s="597"/>
      <c r="B205" s="597"/>
      <c r="C205" s="597"/>
      <c r="D205" s="597"/>
      <c r="E205" s="597"/>
      <c r="F205" s="597"/>
      <c r="G205" s="597"/>
      <c r="H205" s="597"/>
      <c r="I205" s="597"/>
    </row>
    <row r="206" spans="1:9" ht="20.25">
      <c r="A206" s="597"/>
      <c r="B206" s="597"/>
      <c r="C206" s="597"/>
      <c r="D206" s="597"/>
      <c r="E206" s="597"/>
      <c r="F206" s="597"/>
      <c r="G206" s="597"/>
      <c r="H206" s="597"/>
      <c r="I206" s="597"/>
    </row>
    <row r="207" spans="1:9" ht="20.25">
      <c r="A207" s="597"/>
      <c r="B207" s="597"/>
      <c r="C207" s="597"/>
      <c r="D207" s="597"/>
      <c r="E207" s="597"/>
      <c r="F207" s="597"/>
      <c r="G207" s="597"/>
      <c r="H207" s="597"/>
      <c r="I207" s="597"/>
    </row>
    <row r="208" spans="1:9" ht="20.25">
      <c r="A208" s="597"/>
      <c r="B208" s="597"/>
      <c r="C208" s="597"/>
      <c r="D208" s="597"/>
      <c r="E208" s="597"/>
      <c r="F208" s="597"/>
      <c r="G208" s="597"/>
      <c r="H208" s="597"/>
      <c r="I208" s="597"/>
    </row>
    <row r="209" spans="1:9" ht="20.25">
      <c r="A209" s="597"/>
      <c r="B209" s="597"/>
      <c r="C209" s="597"/>
      <c r="D209" s="597"/>
      <c r="E209" s="597"/>
      <c r="F209" s="597"/>
      <c r="G209" s="597"/>
      <c r="H209" s="597"/>
      <c r="I209" s="597"/>
    </row>
    <row r="210" spans="1:9" ht="20.25">
      <c r="A210" s="597"/>
      <c r="B210" s="597"/>
      <c r="C210" s="597"/>
      <c r="D210" s="597"/>
      <c r="E210" s="597"/>
      <c r="F210" s="597"/>
      <c r="G210" s="597"/>
      <c r="H210" s="597"/>
      <c r="I210" s="597"/>
    </row>
    <row r="211" spans="1:9" ht="20.25">
      <c r="A211" s="597"/>
      <c r="B211" s="597"/>
      <c r="C211" s="597"/>
      <c r="D211" s="597"/>
      <c r="E211" s="597"/>
      <c r="F211" s="597"/>
      <c r="G211" s="597"/>
      <c r="H211" s="597"/>
      <c r="I211" s="597"/>
    </row>
    <row r="212" spans="1:9" ht="20.25">
      <c r="A212" s="597"/>
      <c r="B212" s="597"/>
      <c r="C212" s="597"/>
      <c r="D212" s="597"/>
      <c r="E212" s="597"/>
      <c r="F212" s="597"/>
      <c r="G212" s="597"/>
      <c r="H212" s="597"/>
      <c r="I212" s="597"/>
    </row>
    <row r="213" spans="1:9" ht="20.25">
      <c r="A213" s="597"/>
      <c r="B213" s="597"/>
      <c r="C213" s="597"/>
      <c r="D213" s="597"/>
      <c r="E213" s="597"/>
      <c r="F213" s="597"/>
      <c r="G213" s="597"/>
      <c r="H213" s="597"/>
      <c r="I213" s="597"/>
    </row>
    <row r="214" spans="1:9" ht="20.25">
      <c r="A214" s="597"/>
      <c r="B214" s="597"/>
      <c r="C214" s="597"/>
      <c r="D214" s="597"/>
      <c r="E214" s="597"/>
      <c r="F214" s="597"/>
      <c r="G214" s="597"/>
      <c r="H214" s="597"/>
      <c r="I214" s="597"/>
    </row>
    <row r="215" spans="1:9" ht="20.25">
      <c r="A215" s="597"/>
      <c r="B215" s="597"/>
      <c r="C215" s="597"/>
      <c r="D215" s="597"/>
      <c r="E215" s="597"/>
      <c r="F215" s="597"/>
      <c r="G215" s="597"/>
      <c r="H215" s="597"/>
      <c r="I215" s="597"/>
    </row>
    <row r="216" spans="1:9" ht="20.25">
      <c r="A216" s="597"/>
      <c r="B216" s="597"/>
      <c r="C216" s="597"/>
      <c r="D216" s="597"/>
      <c r="E216" s="597"/>
      <c r="F216" s="597"/>
      <c r="G216" s="597"/>
      <c r="H216" s="597"/>
      <c r="I216" s="597"/>
    </row>
    <row r="217" spans="1:9" ht="20.25">
      <c r="A217" s="597"/>
      <c r="B217" s="597"/>
      <c r="C217" s="597"/>
      <c r="D217" s="597"/>
      <c r="E217" s="597"/>
      <c r="F217" s="597"/>
      <c r="G217" s="597"/>
      <c r="H217" s="597"/>
      <c r="I217" s="597"/>
    </row>
    <row r="218" spans="1:9" ht="20.25">
      <c r="A218" s="597"/>
      <c r="B218" s="597"/>
      <c r="C218" s="597"/>
      <c r="D218" s="597"/>
      <c r="E218" s="597"/>
      <c r="F218" s="597"/>
      <c r="G218" s="597"/>
      <c r="H218" s="597"/>
      <c r="I218" s="597"/>
    </row>
    <row r="219" spans="1:9" ht="20.25">
      <c r="A219" s="597"/>
      <c r="B219" s="597"/>
      <c r="C219" s="597"/>
      <c r="D219" s="597"/>
      <c r="E219" s="597"/>
      <c r="F219" s="597"/>
      <c r="G219" s="597"/>
      <c r="H219" s="597"/>
      <c r="I219" s="597"/>
    </row>
    <row r="220" spans="1:9" ht="20.25">
      <c r="A220" s="597"/>
      <c r="B220" s="597"/>
      <c r="C220" s="597"/>
      <c r="D220" s="597"/>
      <c r="E220" s="597"/>
      <c r="F220" s="597"/>
      <c r="G220" s="597"/>
      <c r="H220" s="597"/>
      <c r="I220" s="597"/>
    </row>
    <row r="221" spans="1:9" ht="20.25">
      <c r="A221" s="597"/>
      <c r="B221" s="597"/>
      <c r="C221" s="597"/>
      <c r="D221" s="597"/>
      <c r="E221" s="597"/>
      <c r="F221" s="597"/>
      <c r="G221" s="597"/>
      <c r="H221" s="597"/>
      <c r="I221" s="597"/>
    </row>
    <row r="222" spans="1:9" ht="20.25">
      <c r="A222" s="597"/>
      <c r="B222" s="597"/>
      <c r="C222" s="597"/>
      <c r="D222" s="597"/>
      <c r="E222" s="597"/>
      <c r="F222" s="597"/>
      <c r="G222" s="597"/>
      <c r="H222" s="597"/>
      <c r="I222" s="597"/>
    </row>
    <row r="223" spans="1:9" ht="20.25">
      <c r="A223" s="597"/>
      <c r="B223" s="597"/>
      <c r="C223" s="597"/>
      <c r="D223" s="597"/>
      <c r="E223" s="597"/>
      <c r="F223" s="597"/>
      <c r="G223" s="597"/>
      <c r="H223" s="597"/>
      <c r="I223" s="597"/>
    </row>
    <row r="224" spans="1:9" ht="20.25">
      <c r="A224" s="597"/>
      <c r="B224" s="597"/>
      <c r="C224" s="597"/>
      <c r="D224" s="597"/>
      <c r="E224" s="597"/>
      <c r="F224" s="597"/>
      <c r="G224" s="597"/>
      <c r="H224" s="597"/>
      <c r="I224" s="597"/>
    </row>
    <row r="225" spans="1:9" ht="20.25">
      <c r="A225" s="597"/>
      <c r="B225" s="597"/>
      <c r="C225" s="597"/>
      <c r="D225" s="597"/>
      <c r="E225" s="597"/>
      <c r="F225" s="597"/>
      <c r="G225" s="597"/>
      <c r="H225" s="597"/>
      <c r="I225" s="597"/>
    </row>
    <row r="226" spans="1:9" ht="20.25">
      <c r="A226" s="597"/>
      <c r="B226" s="597"/>
      <c r="C226" s="597"/>
      <c r="D226" s="597"/>
      <c r="E226" s="597"/>
      <c r="F226" s="597"/>
      <c r="G226" s="597"/>
      <c r="H226" s="597"/>
      <c r="I226" s="597"/>
    </row>
    <row r="227" spans="1:9" ht="20.25">
      <c r="A227" s="597"/>
      <c r="B227" s="597"/>
      <c r="C227" s="597"/>
      <c r="D227" s="597"/>
      <c r="E227" s="597"/>
      <c r="F227" s="597"/>
      <c r="G227" s="597"/>
      <c r="H227" s="597"/>
      <c r="I227" s="597"/>
    </row>
    <row r="228" spans="1:9" ht="20.25">
      <c r="A228" s="597"/>
      <c r="B228" s="597"/>
      <c r="C228" s="597"/>
      <c r="D228" s="597"/>
      <c r="E228" s="597"/>
      <c r="F228" s="597"/>
      <c r="G228" s="597"/>
      <c r="H228" s="597"/>
      <c r="I228" s="597"/>
    </row>
    <row r="229" spans="1:9" ht="20.25">
      <c r="A229" s="597"/>
      <c r="B229" s="597"/>
      <c r="C229" s="597"/>
      <c r="D229" s="597"/>
      <c r="E229" s="597"/>
      <c r="F229" s="597"/>
      <c r="G229" s="597"/>
      <c r="H229" s="597"/>
      <c r="I229" s="597"/>
    </row>
    <row r="230" spans="1:9" ht="20.25">
      <c r="A230" s="597"/>
      <c r="B230" s="597"/>
      <c r="C230" s="597"/>
      <c r="D230" s="597"/>
      <c r="E230" s="597"/>
      <c r="F230" s="597"/>
      <c r="G230" s="597"/>
      <c r="H230" s="597"/>
      <c r="I230" s="597"/>
    </row>
    <row r="231" spans="1:9" ht="20.25">
      <c r="A231" s="597"/>
      <c r="B231" s="597"/>
      <c r="C231" s="597"/>
      <c r="D231" s="597"/>
      <c r="E231" s="597"/>
      <c r="F231" s="597"/>
      <c r="G231" s="597"/>
      <c r="H231" s="597"/>
      <c r="I231" s="597"/>
    </row>
    <row r="232" spans="1:9" ht="20.25">
      <c r="A232" s="597"/>
      <c r="B232" s="597"/>
      <c r="C232" s="597"/>
      <c r="D232" s="597"/>
      <c r="E232" s="597"/>
      <c r="F232" s="597"/>
      <c r="G232" s="597"/>
      <c r="H232" s="597"/>
      <c r="I232" s="597"/>
    </row>
    <row r="233" spans="1:9" ht="20.25">
      <c r="A233" s="597"/>
      <c r="B233" s="597"/>
      <c r="C233" s="597"/>
      <c r="D233" s="597"/>
      <c r="E233" s="597"/>
      <c r="F233" s="597"/>
      <c r="G233" s="597"/>
      <c r="H233" s="597"/>
      <c r="I233" s="597"/>
    </row>
    <row r="234" spans="1:9" ht="20.25">
      <c r="A234" s="597"/>
      <c r="B234" s="597"/>
      <c r="C234" s="597"/>
      <c r="D234" s="597"/>
      <c r="E234" s="597"/>
      <c r="F234" s="597"/>
      <c r="G234" s="597"/>
      <c r="H234" s="597"/>
      <c r="I234" s="597"/>
    </row>
    <row r="235" spans="1:9" ht="20.25">
      <c r="A235" s="597"/>
      <c r="B235" s="597"/>
      <c r="C235" s="597"/>
      <c r="D235" s="597"/>
      <c r="E235" s="597"/>
      <c r="F235" s="597"/>
      <c r="G235" s="597"/>
      <c r="H235" s="597"/>
      <c r="I235" s="597"/>
    </row>
    <row r="236" spans="1:9" ht="20.25">
      <c r="A236" s="597"/>
      <c r="B236" s="597"/>
      <c r="C236" s="597"/>
      <c r="D236" s="597"/>
      <c r="E236" s="597"/>
      <c r="F236" s="597"/>
      <c r="G236" s="597"/>
      <c r="H236" s="597"/>
      <c r="I236" s="597"/>
    </row>
    <row r="237" spans="1:9" ht="20.25">
      <c r="A237" s="597"/>
      <c r="B237" s="597"/>
      <c r="C237" s="597"/>
      <c r="D237" s="597"/>
      <c r="E237" s="597"/>
      <c r="F237" s="597"/>
      <c r="G237" s="597"/>
      <c r="H237" s="597"/>
      <c r="I237" s="597"/>
    </row>
    <row r="238" spans="1:9" ht="20.25">
      <c r="A238" s="597"/>
      <c r="B238" s="597"/>
      <c r="C238" s="597"/>
      <c r="D238" s="597"/>
      <c r="E238" s="597"/>
      <c r="F238" s="597"/>
      <c r="G238" s="597"/>
      <c r="H238" s="597"/>
      <c r="I238" s="597"/>
    </row>
    <row r="239" spans="1:9" ht="20.25">
      <c r="A239" s="597"/>
      <c r="B239" s="597"/>
      <c r="C239" s="597"/>
      <c r="D239" s="597"/>
      <c r="E239" s="597"/>
      <c r="F239" s="597"/>
      <c r="G239" s="597"/>
      <c r="H239" s="597"/>
      <c r="I239" s="597"/>
    </row>
    <row r="240" spans="1:9" ht="20.25">
      <c r="A240" s="597"/>
      <c r="B240" s="597"/>
      <c r="C240" s="597"/>
      <c r="D240" s="597"/>
      <c r="E240" s="597"/>
      <c r="F240" s="597"/>
      <c r="G240" s="597"/>
      <c r="H240" s="597"/>
      <c r="I240" s="597"/>
    </row>
    <row r="241" spans="1:9" ht="20.25">
      <c r="A241" s="597"/>
      <c r="B241" s="597"/>
      <c r="C241" s="597"/>
      <c r="D241" s="597"/>
      <c r="E241" s="597"/>
      <c r="F241" s="597"/>
      <c r="G241" s="597"/>
      <c r="H241" s="597"/>
      <c r="I241" s="597"/>
    </row>
    <row r="242" spans="1:9" ht="20.25">
      <c r="A242" s="597"/>
      <c r="B242" s="597"/>
      <c r="C242" s="597"/>
      <c r="D242" s="597"/>
      <c r="E242" s="597"/>
      <c r="F242" s="597"/>
      <c r="G242" s="597"/>
      <c r="H242" s="597"/>
      <c r="I242" s="597"/>
    </row>
    <row r="243" spans="1:9" ht="20.25">
      <c r="A243" s="597"/>
      <c r="B243" s="597"/>
      <c r="C243" s="597"/>
      <c r="D243" s="597"/>
      <c r="E243" s="597"/>
      <c r="F243" s="597"/>
      <c r="G243" s="597"/>
      <c r="H243" s="597"/>
      <c r="I243" s="597"/>
    </row>
    <row r="244" spans="1:9" ht="20.25">
      <c r="A244" s="597"/>
      <c r="B244" s="597"/>
      <c r="C244" s="597"/>
      <c r="D244" s="597"/>
      <c r="E244" s="597"/>
      <c r="F244" s="597"/>
      <c r="G244" s="597"/>
      <c r="H244" s="597"/>
      <c r="I244" s="597"/>
    </row>
    <row r="245" spans="1:9" ht="20.25">
      <c r="A245" s="597"/>
      <c r="B245" s="597"/>
      <c r="C245" s="597"/>
      <c r="D245" s="597"/>
      <c r="E245" s="597"/>
      <c r="F245" s="597"/>
      <c r="G245" s="597"/>
      <c r="H245" s="597"/>
      <c r="I245" s="597"/>
    </row>
    <row r="246" spans="1:9" ht="20.25">
      <c r="A246" s="597"/>
      <c r="B246" s="597"/>
      <c r="C246" s="597"/>
      <c r="D246" s="597"/>
      <c r="E246" s="597"/>
      <c r="F246" s="597"/>
      <c r="G246" s="597"/>
      <c r="H246" s="597"/>
      <c r="I246" s="597"/>
    </row>
    <row r="247" spans="1:9" ht="20.25">
      <c r="A247" s="597"/>
      <c r="B247" s="597"/>
      <c r="C247" s="597"/>
      <c r="D247" s="597"/>
      <c r="E247" s="597"/>
      <c r="F247" s="597"/>
      <c r="G247" s="597"/>
      <c r="H247" s="597"/>
      <c r="I247" s="597"/>
    </row>
    <row r="248" spans="1:9" ht="20.25">
      <c r="A248" s="597"/>
      <c r="B248" s="597"/>
      <c r="C248" s="597"/>
      <c r="D248" s="597"/>
      <c r="E248" s="597"/>
      <c r="F248" s="597"/>
      <c r="G248" s="597"/>
      <c r="H248" s="597"/>
      <c r="I248" s="597"/>
    </row>
    <row r="249" spans="1:9" ht="20.25">
      <c r="A249" s="597"/>
      <c r="B249" s="597"/>
      <c r="C249" s="597"/>
      <c r="D249" s="597"/>
      <c r="E249" s="597"/>
      <c r="F249" s="597"/>
      <c r="G249" s="597"/>
      <c r="H249" s="597"/>
      <c r="I249" s="597"/>
    </row>
    <row r="250" spans="1:9" ht="20.25">
      <c r="A250" s="597"/>
      <c r="B250" s="597"/>
      <c r="C250" s="597"/>
      <c r="D250" s="597"/>
      <c r="E250" s="597"/>
      <c r="F250" s="597"/>
      <c r="G250" s="597"/>
      <c r="H250" s="597"/>
      <c r="I250" s="597"/>
    </row>
    <row r="251" spans="1:9" ht="20.25">
      <c r="A251" s="597"/>
      <c r="B251" s="597"/>
      <c r="C251" s="597"/>
      <c r="D251" s="597"/>
      <c r="E251" s="597"/>
      <c r="F251" s="597"/>
      <c r="G251" s="597"/>
      <c r="H251" s="597"/>
      <c r="I251" s="597"/>
    </row>
    <row r="252" spans="1:9" ht="20.25">
      <c r="A252" s="597"/>
      <c r="B252" s="597"/>
      <c r="C252" s="597"/>
      <c r="D252" s="597"/>
      <c r="E252" s="597"/>
      <c r="F252" s="597"/>
      <c r="G252" s="597"/>
      <c r="H252" s="597"/>
      <c r="I252" s="597"/>
    </row>
    <row r="253" spans="1:9" ht="20.25">
      <c r="A253" s="597"/>
      <c r="B253" s="597"/>
      <c r="C253" s="597"/>
      <c r="D253" s="597"/>
      <c r="E253" s="597"/>
      <c r="F253" s="597"/>
      <c r="G253" s="597"/>
      <c r="H253" s="597"/>
      <c r="I253" s="597"/>
    </row>
    <row r="254" spans="1:9" ht="20.25">
      <c r="A254" s="597"/>
      <c r="B254" s="597"/>
      <c r="C254" s="597"/>
      <c r="D254" s="597"/>
      <c r="E254" s="597"/>
      <c r="F254" s="597"/>
      <c r="G254" s="597"/>
      <c r="H254" s="597"/>
      <c r="I254" s="597"/>
    </row>
    <row r="255" spans="1:9" ht="20.25">
      <c r="A255" s="597"/>
      <c r="B255" s="597"/>
      <c r="C255" s="597"/>
      <c r="D255" s="597"/>
      <c r="E255" s="597"/>
      <c r="F255" s="597"/>
      <c r="G255" s="597"/>
      <c r="H255" s="597"/>
      <c r="I255" s="597"/>
    </row>
    <row r="256" spans="1:9" ht="20.25">
      <c r="A256" s="597"/>
      <c r="B256" s="597"/>
      <c r="C256" s="597"/>
      <c r="D256" s="597"/>
      <c r="E256" s="597"/>
      <c r="F256" s="597"/>
      <c r="G256" s="597"/>
      <c r="H256" s="597"/>
      <c r="I256" s="597"/>
    </row>
    <row r="257" spans="1:9" ht="20.25">
      <c r="A257" s="597"/>
      <c r="B257" s="597"/>
      <c r="C257" s="597"/>
      <c r="D257" s="597"/>
      <c r="E257" s="597"/>
      <c r="F257" s="597"/>
      <c r="G257" s="597"/>
      <c r="H257" s="597"/>
      <c r="I257" s="597"/>
    </row>
    <row r="258" spans="1:9" ht="20.25">
      <c r="A258" s="597"/>
      <c r="B258" s="597"/>
      <c r="C258" s="597"/>
      <c r="D258" s="597"/>
      <c r="E258" s="597"/>
      <c r="F258" s="597"/>
      <c r="G258" s="597"/>
      <c r="H258" s="597"/>
      <c r="I258" s="597"/>
    </row>
    <row r="259" spans="1:9" ht="20.25">
      <c r="A259" s="597"/>
      <c r="B259" s="597"/>
      <c r="C259" s="597"/>
      <c r="D259" s="597"/>
      <c r="E259" s="597"/>
      <c r="F259" s="597"/>
      <c r="G259" s="597"/>
      <c r="H259" s="597"/>
      <c r="I259" s="597"/>
    </row>
    <row r="260" spans="1:9" ht="20.25">
      <c r="A260" s="597"/>
      <c r="B260" s="597"/>
      <c r="C260" s="597"/>
      <c r="D260" s="597"/>
      <c r="E260" s="597"/>
      <c r="F260" s="597"/>
      <c r="G260" s="597"/>
      <c r="H260" s="597"/>
      <c r="I260" s="597"/>
    </row>
    <row r="261" spans="1:9" ht="20.25">
      <c r="A261" s="597"/>
      <c r="B261" s="597"/>
      <c r="C261" s="597"/>
      <c r="D261" s="597"/>
      <c r="E261" s="597"/>
      <c r="F261" s="597"/>
      <c r="G261" s="597"/>
      <c r="H261" s="597"/>
      <c r="I261" s="597"/>
    </row>
    <row r="262" spans="1:9" ht="20.25">
      <c r="A262" s="597"/>
      <c r="B262" s="597"/>
      <c r="C262" s="597"/>
      <c r="D262" s="597"/>
      <c r="E262" s="597"/>
      <c r="F262" s="597"/>
      <c r="G262" s="597"/>
      <c r="H262" s="597"/>
      <c r="I262" s="597"/>
    </row>
    <row r="263" spans="1:9" ht="20.25">
      <c r="A263" s="597"/>
      <c r="B263" s="597"/>
      <c r="C263" s="597"/>
      <c r="D263" s="597"/>
      <c r="E263" s="597"/>
      <c r="F263" s="597"/>
      <c r="G263" s="597"/>
      <c r="H263" s="597"/>
      <c r="I263" s="597"/>
    </row>
    <row r="264" spans="1:9" ht="20.25">
      <c r="A264" s="597"/>
      <c r="B264" s="597"/>
      <c r="C264" s="597"/>
      <c r="D264" s="597"/>
      <c r="E264" s="597"/>
      <c r="F264" s="597"/>
      <c r="G264" s="597"/>
      <c r="H264" s="597"/>
      <c r="I264" s="597"/>
    </row>
    <row r="265" spans="1:9" ht="20.25">
      <c r="A265" s="597"/>
      <c r="B265" s="597"/>
      <c r="C265" s="597"/>
      <c r="D265" s="597"/>
      <c r="E265" s="597"/>
      <c r="F265" s="597"/>
      <c r="G265" s="597"/>
      <c r="H265" s="597"/>
      <c r="I265" s="597"/>
    </row>
    <row r="266" spans="1:9" ht="20.25">
      <c r="A266" s="597"/>
      <c r="B266" s="597"/>
      <c r="C266" s="597"/>
      <c r="D266" s="597"/>
      <c r="E266" s="597"/>
      <c r="F266" s="597"/>
      <c r="G266" s="597"/>
      <c r="H266" s="597"/>
      <c r="I266" s="597"/>
    </row>
    <row r="267" spans="1:9" ht="20.25">
      <c r="A267" s="597"/>
      <c r="B267" s="597"/>
      <c r="C267" s="597"/>
      <c r="D267" s="597"/>
      <c r="E267" s="597"/>
      <c r="F267" s="597"/>
      <c r="G267" s="597"/>
      <c r="H267" s="597"/>
      <c r="I267" s="597"/>
    </row>
    <row r="268" spans="1:9" ht="20.25">
      <c r="A268" s="597"/>
      <c r="B268" s="597"/>
      <c r="C268" s="597"/>
      <c r="D268" s="597"/>
      <c r="E268" s="597"/>
      <c r="F268" s="597"/>
      <c r="G268" s="597"/>
      <c r="H268" s="597"/>
      <c r="I268" s="597"/>
    </row>
    <row r="269" spans="1:9" ht="20.25">
      <c r="A269" s="597"/>
      <c r="B269" s="597"/>
      <c r="C269" s="597"/>
      <c r="D269" s="597"/>
      <c r="E269" s="597"/>
      <c r="F269" s="597"/>
      <c r="G269" s="597"/>
      <c r="H269" s="597"/>
      <c r="I269" s="597"/>
    </row>
    <row r="270" spans="1:9" ht="20.25">
      <c r="A270" s="597"/>
      <c r="B270" s="597"/>
      <c r="C270" s="597"/>
      <c r="D270" s="597"/>
      <c r="E270" s="597"/>
      <c r="F270" s="597"/>
      <c r="G270" s="597"/>
      <c r="H270" s="597"/>
      <c r="I270" s="597"/>
    </row>
    <row r="271" spans="1:9" ht="20.25">
      <c r="A271" s="597"/>
      <c r="B271" s="597"/>
      <c r="C271" s="597"/>
      <c r="D271" s="597"/>
      <c r="E271" s="597"/>
      <c r="F271" s="597"/>
      <c r="G271" s="597"/>
      <c r="H271" s="597"/>
      <c r="I271" s="597"/>
    </row>
    <row r="272" spans="1:9" ht="20.25">
      <c r="A272" s="597"/>
      <c r="B272" s="597"/>
      <c r="C272" s="597"/>
      <c r="D272" s="597"/>
      <c r="E272" s="597"/>
      <c r="F272" s="597"/>
      <c r="G272" s="597"/>
      <c r="H272" s="597"/>
      <c r="I272" s="597"/>
    </row>
    <row r="273" spans="1:9" ht="20.25">
      <c r="A273" s="597"/>
      <c r="B273" s="597"/>
      <c r="C273" s="597"/>
      <c r="D273" s="597"/>
      <c r="E273" s="597"/>
      <c r="F273" s="597"/>
      <c r="G273" s="597"/>
      <c r="H273" s="597"/>
      <c r="I273" s="597"/>
    </row>
    <row r="274" spans="1:9" ht="20.25">
      <c r="A274" s="597"/>
      <c r="B274" s="597"/>
      <c r="C274" s="597"/>
      <c r="D274" s="597"/>
      <c r="E274" s="597"/>
      <c r="F274" s="597"/>
      <c r="G274" s="597"/>
      <c r="H274" s="597"/>
      <c r="I274" s="597"/>
    </row>
    <row r="275" spans="1:9" ht="20.25">
      <c r="A275" s="597"/>
      <c r="B275" s="597"/>
      <c r="C275" s="597"/>
      <c r="D275" s="597"/>
      <c r="E275" s="597"/>
      <c r="F275" s="597"/>
      <c r="G275" s="597"/>
      <c r="H275" s="597"/>
      <c r="I275" s="597"/>
    </row>
    <row r="276" spans="1:9" ht="20.25">
      <c r="A276" s="597"/>
      <c r="B276" s="597"/>
      <c r="C276" s="597"/>
      <c r="D276" s="597"/>
      <c r="E276" s="597"/>
      <c r="F276" s="597"/>
      <c r="G276" s="597"/>
      <c r="H276" s="597"/>
      <c r="I276" s="597"/>
    </row>
    <row r="277" spans="1:9" ht="20.25">
      <c r="A277" s="597"/>
      <c r="B277" s="597"/>
      <c r="C277" s="597"/>
      <c r="D277" s="597"/>
      <c r="E277" s="597"/>
      <c r="F277" s="597"/>
      <c r="G277" s="597"/>
      <c r="H277" s="597"/>
      <c r="I277" s="597"/>
    </row>
    <row r="278" spans="1:9" ht="20.25">
      <c r="A278" s="597"/>
      <c r="B278" s="597"/>
      <c r="C278" s="597"/>
      <c r="D278" s="597"/>
      <c r="E278" s="597"/>
      <c r="F278" s="597"/>
      <c r="G278" s="597"/>
      <c r="H278" s="597"/>
      <c r="I278" s="597"/>
    </row>
    <row r="279" spans="1:9" ht="20.25">
      <c r="A279" s="597"/>
      <c r="B279" s="597"/>
      <c r="C279" s="597"/>
      <c r="D279" s="597"/>
      <c r="E279" s="597"/>
      <c r="F279" s="597"/>
      <c r="G279" s="597"/>
      <c r="H279" s="597"/>
      <c r="I279" s="597"/>
    </row>
    <row r="280" spans="1:9" ht="20.25">
      <c r="A280" s="597"/>
      <c r="B280" s="597"/>
      <c r="C280" s="597"/>
      <c r="D280" s="597"/>
      <c r="E280" s="597"/>
      <c r="F280" s="597"/>
      <c r="G280" s="597"/>
      <c r="H280" s="597"/>
      <c r="I280" s="597"/>
    </row>
    <row r="281" spans="1:9" ht="20.25">
      <c r="A281" s="597"/>
      <c r="B281" s="597"/>
      <c r="C281" s="597"/>
      <c r="D281" s="597"/>
      <c r="E281" s="597"/>
      <c r="F281" s="597"/>
      <c r="G281" s="597"/>
      <c r="H281" s="597"/>
      <c r="I281" s="597"/>
    </row>
    <row r="282" spans="1:9" ht="20.25">
      <c r="A282" s="597"/>
      <c r="B282" s="597"/>
      <c r="C282" s="597"/>
      <c r="D282" s="597"/>
      <c r="E282" s="597"/>
      <c r="F282" s="597"/>
      <c r="G282" s="597"/>
      <c r="H282" s="597"/>
      <c r="I282" s="597"/>
    </row>
    <row r="283" spans="1:9" ht="20.25">
      <c r="A283" s="597"/>
      <c r="B283" s="597"/>
      <c r="C283" s="597"/>
      <c r="D283" s="597"/>
      <c r="E283" s="597"/>
      <c r="F283" s="597"/>
      <c r="G283" s="597"/>
      <c r="H283" s="597"/>
      <c r="I283" s="597"/>
    </row>
    <row r="284" spans="1:9" ht="20.25">
      <c r="A284" s="597"/>
      <c r="B284" s="597"/>
      <c r="C284" s="597"/>
      <c r="D284" s="597"/>
      <c r="E284" s="597"/>
      <c r="F284" s="597"/>
      <c r="G284" s="597"/>
      <c r="H284" s="597"/>
      <c r="I284" s="597"/>
    </row>
    <row r="285" spans="1:9" ht="20.25">
      <c r="A285" s="597"/>
      <c r="B285" s="597"/>
      <c r="C285" s="597"/>
      <c r="D285" s="597"/>
      <c r="E285" s="597"/>
      <c r="F285" s="597"/>
      <c r="G285" s="597"/>
      <c r="H285" s="597"/>
      <c r="I285" s="597"/>
    </row>
    <row r="286" spans="1:9" ht="20.25">
      <c r="A286" s="597"/>
      <c r="B286" s="597"/>
      <c r="C286" s="597"/>
      <c r="D286" s="597"/>
      <c r="E286" s="597"/>
      <c r="F286" s="597"/>
      <c r="G286" s="597"/>
      <c r="H286" s="597"/>
      <c r="I286" s="597"/>
    </row>
    <row r="287" spans="1:9" ht="20.25">
      <c r="A287" s="597"/>
      <c r="B287" s="597"/>
      <c r="C287" s="597"/>
      <c r="D287" s="597"/>
      <c r="E287" s="597"/>
      <c r="F287" s="597"/>
      <c r="G287" s="597"/>
      <c r="H287" s="597"/>
      <c r="I287" s="597"/>
    </row>
    <row r="288" spans="1:9" ht="20.25">
      <c r="A288" s="597"/>
      <c r="B288" s="597"/>
      <c r="C288" s="597"/>
      <c r="D288" s="597"/>
      <c r="E288" s="597"/>
      <c r="F288" s="597"/>
      <c r="G288" s="597"/>
      <c r="H288" s="597"/>
      <c r="I288" s="597"/>
    </row>
    <row r="289" spans="1:9" ht="20.25">
      <c r="A289" s="597"/>
      <c r="B289" s="597"/>
      <c r="C289" s="597"/>
      <c r="D289" s="597"/>
      <c r="E289" s="597"/>
      <c r="F289" s="597"/>
      <c r="G289" s="597"/>
      <c r="H289" s="597"/>
      <c r="I289" s="597"/>
    </row>
    <row r="290" spans="1:9" ht="20.25">
      <c r="A290" s="597"/>
      <c r="B290" s="597"/>
      <c r="C290" s="597"/>
      <c r="D290" s="597"/>
      <c r="E290" s="597"/>
      <c r="F290" s="597"/>
      <c r="G290" s="597"/>
      <c r="H290" s="597"/>
      <c r="I290" s="597"/>
    </row>
    <row r="291" spans="1:9" ht="20.25">
      <c r="A291" s="597"/>
      <c r="B291" s="597"/>
      <c r="C291" s="597"/>
      <c r="D291" s="597"/>
      <c r="E291" s="597"/>
      <c r="F291" s="597"/>
      <c r="G291" s="597"/>
      <c r="H291" s="597"/>
      <c r="I291" s="597"/>
    </row>
    <row r="292" spans="1:9" ht="20.25">
      <c r="A292" s="597"/>
      <c r="B292" s="597"/>
      <c r="C292" s="597"/>
      <c r="D292" s="597"/>
      <c r="E292" s="597"/>
      <c r="F292" s="597"/>
      <c r="G292" s="597"/>
      <c r="H292" s="597"/>
      <c r="I292" s="597"/>
    </row>
    <row r="293" spans="1:9" ht="20.25">
      <c r="A293" s="597"/>
      <c r="B293" s="597"/>
      <c r="C293" s="597"/>
      <c r="D293" s="597"/>
      <c r="E293" s="597"/>
      <c r="F293" s="597"/>
      <c r="G293" s="597"/>
      <c r="H293" s="597"/>
      <c r="I293" s="597"/>
    </row>
    <row r="294" spans="1:9" ht="20.25">
      <c r="A294" s="597"/>
      <c r="B294" s="597"/>
      <c r="C294" s="597"/>
      <c r="D294" s="597"/>
      <c r="E294" s="597"/>
      <c r="F294" s="597"/>
      <c r="G294" s="597"/>
      <c r="H294" s="597"/>
      <c r="I294" s="597"/>
    </row>
    <row r="295" spans="1:9" ht="20.25">
      <c r="A295" s="597"/>
      <c r="B295" s="597"/>
      <c r="C295" s="597"/>
      <c r="D295" s="597"/>
      <c r="E295" s="597"/>
      <c r="F295" s="597"/>
      <c r="G295" s="597"/>
      <c r="H295" s="597"/>
      <c r="I295" s="597"/>
    </row>
    <row r="296" spans="1:9" ht="20.25">
      <c r="A296" s="597"/>
      <c r="B296" s="597"/>
      <c r="C296" s="597"/>
      <c r="D296" s="597"/>
      <c r="E296" s="597"/>
      <c r="F296" s="597"/>
      <c r="G296" s="597"/>
      <c r="H296" s="597"/>
      <c r="I296" s="597"/>
    </row>
    <row r="297" spans="1:9" ht="20.25">
      <c r="A297" s="597"/>
      <c r="B297" s="597"/>
      <c r="C297" s="597"/>
      <c r="D297" s="597"/>
      <c r="E297" s="597"/>
      <c r="F297" s="597"/>
      <c r="G297" s="597"/>
      <c r="H297" s="597"/>
      <c r="I297" s="597"/>
    </row>
    <row r="298" spans="1:9" ht="20.25">
      <c r="A298" s="597"/>
      <c r="B298" s="597"/>
      <c r="C298" s="597"/>
      <c r="D298" s="597"/>
      <c r="E298" s="597"/>
      <c r="F298" s="597"/>
      <c r="G298" s="597"/>
      <c r="H298" s="597"/>
      <c r="I298" s="597"/>
    </row>
    <row r="299" spans="1:9" ht="20.25">
      <c r="A299" s="597"/>
      <c r="B299" s="597"/>
      <c r="C299" s="597"/>
      <c r="D299" s="597"/>
      <c r="E299" s="597"/>
      <c r="F299" s="597"/>
      <c r="G299" s="597"/>
      <c r="H299" s="597"/>
      <c r="I299" s="597"/>
    </row>
    <row r="300" spans="1:9" ht="20.25">
      <c r="A300" s="597"/>
      <c r="B300" s="597"/>
      <c r="C300" s="597"/>
      <c r="D300" s="597"/>
      <c r="E300" s="597"/>
      <c r="F300" s="597"/>
      <c r="G300" s="597"/>
      <c r="H300" s="597"/>
      <c r="I300" s="597"/>
    </row>
    <row r="301" spans="1:9" ht="20.25">
      <c r="A301" s="597"/>
      <c r="B301" s="597"/>
      <c r="C301" s="597"/>
      <c r="D301" s="597"/>
      <c r="E301" s="597"/>
      <c r="F301" s="597"/>
      <c r="G301" s="597"/>
      <c r="H301" s="597"/>
      <c r="I301" s="597"/>
    </row>
    <row r="302" spans="1:9" ht="20.25">
      <c r="A302" s="597"/>
      <c r="B302" s="597"/>
      <c r="C302" s="597"/>
      <c r="D302" s="597"/>
      <c r="E302" s="597"/>
      <c r="F302" s="597"/>
      <c r="G302" s="597"/>
      <c r="H302" s="597"/>
      <c r="I302" s="597"/>
    </row>
    <row r="303" spans="1:9" ht="20.25">
      <c r="A303" s="597"/>
      <c r="B303" s="597"/>
      <c r="C303" s="597"/>
      <c r="D303" s="597"/>
      <c r="E303" s="597"/>
      <c r="F303" s="597"/>
      <c r="G303" s="597"/>
      <c r="H303" s="597"/>
      <c r="I303" s="597"/>
    </row>
    <row r="304" spans="1:9" ht="20.25">
      <c r="A304" s="597"/>
      <c r="B304" s="597"/>
      <c r="C304" s="597"/>
      <c r="D304" s="597"/>
      <c r="E304" s="597"/>
      <c r="F304" s="597"/>
      <c r="G304" s="597"/>
      <c r="H304" s="597"/>
      <c r="I304" s="597"/>
    </row>
    <row r="305" spans="1:9" ht="20.25">
      <c r="A305" s="597"/>
      <c r="B305" s="597"/>
      <c r="C305" s="597"/>
      <c r="D305" s="597"/>
      <c r="E305" s="597"/>
      <c r="F305" s="597"/>
      <c r="G305" s="597"/>
      <c r="H305" s="597"/>
      <c r="I305" s="597"/>
    </row>
    <row r="306" spans="1:9" ht="20.25">
      <c r="A306" s="597"/>
      <c r="B306" s="597"/>
      <c r="C306" s="597"/>
      <c r="D306" s="597"/>
      <c r="E306" s="597"/>
      <c r="F306" s="597"/>
      <c r="G306" s="597"/>
      <c r="H306" s="597"/>
      <c r="I306" s="597"/>
    </row>
    <row r="307" spans="1:9" ht="20.25">
      <c r="A307" s="597"/>
      <c r="B307" s="597"/>
      <c r="C307" s="597"/>
      <c r="D307" s="597"/>
      <c r="E307" s="597"/>
      <c r="F307" s="597"/>
      <c r="G307" s="597"/>
      <c r="H307" s="597"/>
      <c r="I307" s="597"/>
    </row>
    <row r="308" spans="1:9" ht="20.25">
      <c r="A308" s="597"/>
      <c r="B308" s="597"/>
      <c r="C308" s="597"/>
      <c r="D308" s="597"/>
      <c r="E308" s="597"/>
      <c r="F308" s="597"/>
      <c r="G308" s="597"/>
      <c r="H308" s="597"/>
      <c r="I308" s="597"/>
    </row>
    <row r="309" spans="1:9" ht="20.25">
      <c r="A309" s="597"/>
      <c r="B309" s="597"/>
      <c r="C309" s="597"/>
      <c r="D309" s="597"/>
      <c r="E309" s="597"/>
      <c r="F309" s="597"/>
      <c r="G309" s="597"/>
      <c r="H309" s="597"/>
      <c r="I309" s="597"/>
    </row>
    <row r="310" spans="1:9" ht="20.25">
      <c r="A310" s="597"/>
      <c r="B310" s="597"/>
      <c r="C310" s="597"/>
      <c r="D310" s="597"/>
      <c r="E310" s="597"/>
      <c r="F310" s="597"/>
      <c r="G310" s="597"/>
      <c r="H310" s="597"/>
      <c r="I310" s="597"/>
    </row>
    <row r="311" spans="1:9" ht="20.25">
      <c r="A311" s="597"/>
      <c r="B311" s="597"/>
      <c r="C311" s="597"/>
      <c r="D311" s="597"/>
      <c r="E311" s="597"/>
      <c r="F311" s="597"/>
      <c r="G311" s="597"/>
      <c r="H311" s="597"/>
      <c r="I311" s="597"/>
    </row>
    <row r="312" spans="1:9" ht="20.25">
      <c r="A312" s="597"/>
      <c r="B312" s="597"/>
      <c r="C312" s="597"/>
      <c r="D312" s="597"/>
      <c r="E312" s="597"/>
      <c r="F312" s="597"/>
      <c r="G312" s="597"/>
      <c r="H312" s="597"/>
      <c r="I312" s="597"/>
    </row>
    <row r="313" spans="1:9" ht="20.25">
      <c r="A313" s="597"/>
      <c r="B313" s="597"/>
      <c r="C313" s="597"/>
      <c r="D313" s="597"/>
      <c r="E313" s="597"/>
      <c r="F313" s="597"/>
      <c r="G313" s="597"/>
      <c r="H313" s="597"/>
      <c r="I313" s="597"/>
    </row>
    <row r="314" spans="1:9" ht="20.25">
      <c r="A314" s="597"/>
      <c r="B314" s="597"/>
      <c r="C314" s="597"/>
      <c r="D314" s="597"/>
      <c r="E314" s="597"/>
      <c r="F314" s="597"/>
      <c r="G314" s="597"/>
      <c r="H314" s="597"/>
      <c r="I314" s="597"/>
    </row>
    <row r="315" spans="1:9" ht="20.25">
      <c r="A315" s="597"/>
      <c r="B315" s="597"/>
      <c r="C315" s="597"/>
      <c r="D315" s="597"/>
      <c r="E315" s="597"/>
      <c r="F315" s="597"/>
      <c r="G315" s="597"/>
      <c r="H315" s="597"/>
      <c r="I315" s="597"/>
    </row>
    <row r="316" spans="1:9" ht="20.25">
      <c r="A316" s="597"/>
      <c r="B316" s="597"/>
      <c r="C316" s="597"/>
      <c r="D316" s="597"/>
      <c r="E316" s="597"/>
      <c r="F316" s="597"/>
      <c r="G316" s="597"/>
      <c r="H316" s="597"/>
      <c r="I316" s="597"/>
    </row>
    <row r="317" spans="1:9" ht="20.25">
      <c r="A317" s="597"/>
      <c r="B317" s="597"/>
      <c r="C317" s="597"/>
      <c r="D317" s="597"/>
      <c r="E317" s="597"/>
      <c r="F317" s="597"/>
      <c r="G317" s="597"/>
      <c r="H317" s="597"/>
      <c r="I317" s="597"/>
    </row>
    <row r="318" spans="1:9" ht="20.25">
      <c r="A318" s="597"/>
      <c r="B318" s="597"/>
      <c r="C318" s="597"/>
      <c r="D318" s="597"/>
      <c r="E318" s="597"/>
      <c r="F318" s="597"/>
      <c r="G318" s="597"/>
      <c r="H318" s="597"/>
      <c r="I318" s="597"/>
    </row>
    <row r="319" spans="1:9" ht="20.25">
      <c r="A319" s="597"/>
      <c r="B319" s="597"/>
      <c r="C319" s="597"/>
      <c r="D319" s="597"/>
      <c r="E319" s="597"/>
      <c r="F319" s="597"/>
      <c r="G319" s="597"/>
      <c r="H319" s="597"/>
      <c r="I319" s="597"/>
    </row>
    <row r="320" spans="1:9" ht="20.25">
      <c r="A320" s="597"/>
      <c r="B320" s="597"/>
      <c r="C320" s="597"/>
      <c r="D320" s="597"/>
      <c r="E320" s="597"/>
      <c r="F320" s="597"/>
      <c r="G320" s="597"/>
      <c r="H320" s="597"/>
      <c r="I320" s="597"/>
    </row>
    <row r="321" spans="1:9" ht="20.25">
      <c r="A321" s="597"/>
      <c r="B321" s="597"/>
      <c r="C321" s="597"/>
      <c r="D321" s="597"/>
      <c r="E321" s="597"/>
      <c r="F321" s="597"/>
      <c r="G321" s="597"/>
      <c r="H321" s="597"/>
      <c r="I321" s="597"/>
    </row>
    <row r="322" spans="1:9" ht="20.25">
      <c r="A322" s="597"/>
      <c r="B322" s="597"/>
      <c r="C322" s="597"/>
      <c r="D322" s="597"/>
      <c r="E322" s="597"/>
      <c r="F322" s="597"/>
      <c r="G322" s="597"/>
      <c r="H322" s="597"/>
      <c r="I322" s="597"/>
    </row>
    <row r="323" spans="1:9" ht="20.25">
      <c r="A323" s="597"/>
      <c r="B323" s="597"/>
      <c r="C323" s="597"/>
      <c r="D323" s="597"/>
      <c r="E323" s="597"/>
      <c r="F323" s="597"/>
      <c r="G323" s="597"/>
      <c r="H323" s="597"/>
      <c r="I323" s="597"/>
    </row>
    <row r="324" spans="1:9" ht="20.25">
      <c r="A324" s="597"/>
      <c r="B324" s="597"/>
      <c r="C324" s="597"/>
      <c r="D324" s="597"/>
      <c r="E324" s="597"/>
      <c r="F324" s="597"/>
      <c r="G324" s="597"/>
      <c r="H324" s="597"/>
      <c r="I324" s="597"/>
    </row>
    <row r="325" spans="1:9" ht="20.25">
      <c r="A325" s="597"/>
      <c r="B325" s="597"/>
      <c r="C325" s="597"/>
      <c r="D325" s="597"/>
      <c r="E325" s="597"/>
      <c r="F325" s="597"/>
      <c r="G325" s="597"/>
      <c r="H325" s="597"/>
      <c r="I325" s="597"/>
    </row>
    <row r="326" spans="1:9" ht="20.25">
      <c r="A326" s="597"/>
      <c r="B326" s="597"/>
      <c r="C326" s="597"/>
      <c r="D326" s="597"/>
      <c r="E326" s="597"/>
      <c r="F326" s="597"/>
      <c r="G326" s="597"/>
      <c r="H326" s="597"/>
      <c r="I326" s="597"/>
    </row>
    <row r="327" spans="1:9" ht="20.25">
      <c r="A327" s="597"/>
      <c r="B327" s="597"/>
      <c r="C327" s="597"/>
      <c r="D327" s="597"/>
      <c r="E327" s="597"/>
      <c r="F327" s="597"/>
      <c r="G327" s="597"/>
      <c r="H327" s="597"/>
      <c r="I327" s="597"/>
    </row>
    <row r="328" spans="1:9" ht="20.25">
      <c r="A328" s="597"/>
      <c r="B328" s="597"/>
      <c r="C328" s="597"/>
      <c r="D328" s="597"/>
      <c r="E328" s="597"/>
      <c r="F328" s="597"/>
      <c r="G328" s="597"/>
      <c r="H328" s="597"/>
      <c r="I328" s="597"/>
    </row>
    <row r="329" spans="1:9" ht="20.25">
      <c r="A329" s="597"/>
      <c r="B329" s="597"/>
      <c r="C329" s="597"/>
      <c r="D329" s="597"/>
      <c r="E329" s="597"/>
      <c r="F329" s="597"/>
      <c r="G329" s="597"/>
      <c r="H329" s="597"/>
      <c r="I329" s="597"/>
    </row>
    <row r="330" spans="1:9" ht="20.25">
      <c r="A330" s="597"/>
      <c r="B330" s="597"/>
      <c r="C330" s="597"/>
      <c r="D330" s="597"/>
      <c r="E330" s="597"/>
      <c r="F330" s="597"/>
      <c r="G330" s="597"/>
      <c r="H330" s="597"/>
      <c r="I330" s="597"/>
    </row>
    <row r="331" spans="1:9" ht="20.25">
      <c r="A331" s="597"/>
      <c r="B331" s="597"/>
      <c r="C331" s="597"/>
      <c r="D331" s="597"/>
      <c r="E331" s="597"/>
      <c r="F331" s="597"/>
      <c r="G331" s="597"/>
      <c r="H331" s="597"/>
      <c r="I331" s="597"/>
    </row>
    <row r="332" spans="1:9" ht="20.25">
      <c r="A332" s="597"/>
      <c r="B332" s="597"/>
      <c r="C332" s="597"/>
      <c r="D332" s="597"/>
      <c r="E332" s="597"/>
      <c r="F332" s="597"/>
      <c r="G332" s="597"/>
      <c r="H332" s="597"/>
      <c r="I332" s="597"/>
    </row>
    <row r="333" spans="1:9" ht="20.25">
      <c r="A333" s="597"/>
      <c r="B333" s="597"/>
      <c r="C333" s="597"/>
      <c r="D333" s="597"/>
      <c r="E333" s="597"/>
      <c r="F333" s="597"/>
      <c r="G333" s="597"/>
      <c r="H333" s="597"/>
      <c r="I333" s="597"/>
    </row>
    <row r="334" spans="1:9" ht="20.25">
      <c r="A334" s="597"/>
      <c r="B334" s="597"/>
      <c r="C334" s="597"/>
      <c r="D334" s="597"/>
      <c r="E334" s="597"/>
      <c r="F334" s="597"/>
      <c r="G334" s="597"/>
      <c r="H334" s="597"/>
      <c r="I334" s="597"/>
    </row>
    <row r="335" spans="1:9" ht="20.25">
      <c r="A335" s="597"/>
      <c r="B335" s="597"/>
      <c r="C335" s="597"/>
      <c r="D335" s="597"/>
      <c r="E335" s="597"/>
      <c r="F335" s="597"/>
      <c r="G335" s="597"/>
      <c r="H335" s="597"/>
      <c r="I335" s="597"/>
    </row>
    <row r="336" spans="1:9" ht="20.25">
      <c r="A336" s="597"/>
      <c r="B336" s="597"/>
      <c r="C336" s="597"/>
      <c r="D336" s="597"/>
      <c r="E336" s="597"/>
      <c r="F336" s="597"/>
      <c r="G336" s="597"/>
      <c r="H336" s="597"/>
      <c r="I336" s="597"/>
    </row>
    <row r="337" spans="1:9" ht="20.25">
      <c r="A337" s="597"/>
      <c r="B337" s="597"/>
      <c r="C337" s="597"/>
      <c r="D337" s="597"/>
      <c r="E337" s="597"/>
      <c r="F337" s="597"/>
      <c r="G337" s="597"/>
      <c r="H337" s="597"/>
      <c r="I337" s="597"/>
    </row>
    <row r="338" spans="1:9" ht="20.25">
      <c r="A338" s="597"/>
      <c r="B338" s="597"/>
      <c r="C338" s="597"/>
      <c r="D338" s="597"/>
      <c r="E338" s="597"/>
      <c r="F338" s="597"/>
      <c r="G338" s="597"/>
      <c r="H338" s="597"/>
      <c r="I338" s="597"/>
    </row>
    <row r="339" spans="1:9" ht="20.25">
      <c r="A339" s="597"/>
      <c r="B339" s="597"/>
      <c r="C339" s="597"/>
      <c r="D339" s="597"/>
      <c r="E339" s="597"/>
      <c r="F339" s="597"/>
      <c r="G339" s="597"/>
      <c r="H339" s="597"/>
      <c r="I339" s="597"/>
    </row>
    <row r="340" spans="1:9" ht="20.25">
      <c r="A340" s="597"/>
      <c r="B340" s="597"/>
      <c r="C340" s="597"/>
      <c r="D340" s="597"/>
      <c r="E340" s="597"/>
      <c r="F340" s="597"/>
      <c r="G340" s="597"/>
      <c r="H340" s="597"/>
      <c r="I340" s="597"/>
    </row>
    <row r="341" spans="1:9" ht="20.25">
      <c r="A341" s="597"/>
      <c r="B341" s="597"/>
      <c r="C341" s="597"/>
      <c r="D341" s="597"/>
      <c r="E341" s="597"/>
      <c r="F341" s="597"/>
      <c r="G341" s="597"/>
      <c r="H341" s="597"/>
      <c r="I341" s="597"/>
    </row>
    <row r="342" spans="1:9" ht="20.25">
      <c r="A342" s="597"/>
      <c r="B342" s="597"/>
      <c r="C342" s="597"/>
      <c r="D342" s="597"/>
      <c r="E342" s="597"/>
      <c r="F342" s="597"/>
      <c r="G342" s="597"/>
      <c r="H342" s="597"/>
      <c r="I342" s="597"/>
    </row>
    <row r="343" spans="1:9" ht="20.25">
      <c r="A343" s="597"/>
      <c r="B343" s="597"/>
      <c r="C343" s="597"/>
      <c r="D343" s="597"/>
      <c r="E343" s="597"/>
      <c r="F343" s="597"/>
      <c r="G343" s="597"/>
      <c r="H343" s="597"/>
      <c r="I343" s="597"/>
    </row>
    <row r="344" spans="1:9" ht="20.25">
      <c r="A344" s="597"/>
      <c r="B344" s="597"/>
      <c r="C344" s="597"/>
      <c r="D344" s="597"/>
      <c r="E344" s="597"/>
      <c r="F344" s="597"/>
      <c r="G344" s="597"/>
      <c r="H344" s="597"/>
      <c r="I344" s="597"/>
    </row>
    <row r="345" spans="1:9" ht="20.25">
      <c r="A345" s="597"/>
      <c r="B345" s="597"/>
      <c r="C345" s="597"/>
      <c r="D345" s="597"/>
      <c r="E345" s="597"/>
      <c r="F345" s="597"/>
      <c r="G345" s="597"/>
      <c r="H345" s="597"/>
      <c r="I345" s="597"/>
    </row>
    <row r="346" spans="1:9" ht="20.25">
      <c r="A346" s="597"/>
      <c r="B346" s="597"/>
      <c r="C346" s="597"/>
      <c r="D346" s="597"/>
      <c r="E346" s="597"/>
      <c r="F346" s="597"/>
      <c r="G346" s="597"/>
      <c r="H346" s="597"/>
      <c r="I346" s="597"/>
    </row>
    <row r="347" spans="1:9" ht="20.25">
      <c r="A347" s="597"/>
      <c r="B347" s="597"/>
      <c r="C347" s="597"/>
      <c r="D347" s="597"/>
      <c r="E347" s="597"/>
      <c r="F347" s="597"/>
      <c r="G347" s="597"/>
      <c r="H347" s="597"/>
      <c r="I347" s="597"/>
    </row>
    <row r="348" spans="1:9" ht="20.25">
      <c r="A348" s="597"/>
      <c r="B348" s="597"/>
      <c r="C348" s="597"/>
      <c r="D348" s="597"/>
      <c r="E348" s="597"/>
      <c r="F348" s="597"/>
      <c r="G348" s="597"/>
      <c r="H348" s="597"/>
      <c r="I348" s="597"/>
    </row>
    <row r="349" spans="1:9" ht="20.25">
      <c r="A349" s="597"/>
      <c r="B349" s="597"/>
      <c r="C349" s="597"/>
      <c r="D349" s="597"/>
      <c r="E349" s="597"/>
      <c r="F349" s="597"/>
      <c r="G349" s="597"/>
      <c r="H349" s="597"/>
      <c r="I349" s="597"/>
    </row>
    <row r="350" spans="1:9" ht="20.25">
      <c r="A350" s="597"/>
      <c r="B350" s="597"/>
      <c r="C350" s="597"/>
      <c r="D350" s="597"/>
      <c r="E350" s="597"/>
      <c r="F350" s="597"/>
      <c r="G350" s="597"/>
      <c r="H350" s="597"/>
      <c r="I350" s="597"/>
    </row>
    <row r="351" spans="1:9" ht="20.25">
      <c r="A351" s="597"/>
      <c r="B351" s="597"/>
      <c r="C351" s="597"/>
      <c r="D351" s="597"/>
      <c r="E351" s="597"/>
      <c r="F351" s="597"/>
      <c r="G351" s="597"/>
      <c r="H351" s="597"/>
      <c r="I351" s="597"/>
    </row>
    <row r="352" spans="1:9" ht="20.25">
      <c r="A352" s="597"/>
      <c r="B352" s="597"/>
      <c r="C352" s="597"/>
      <c r="D352" s="597"/>
      <c r="E352" s="597"/>
      <c r="F352" s="597"/>
      <c r="G352" s="597"/>
      <c r="H352" s="597"/>
      <c r="I352" s="597"/>
    </row>
    <row r="353" spans="1:9" ht="20.25">
      <c r="A353" s="597"/>
      <c r="B353" s="597"/>
      <c r="C353" s="597"/>
      <c r="D353" s="597"/>
      <c r="E353" s="597"/>
      <c r="F353" s="597"/>
      <c r="G353" s="597"/>
      <c r="H353" s="597"/>
      <c r="I353" s="597"/>
    </row>
    <row r="354" spans="1:9" ht="20.25">
      <c r="A354" s="597"/>
      <c r="B354" s="597"/>
      <c r="C354" s="597"/>
      <c r="D354" s="597"/>
      <c r="E354" s="597"/>
      <c r="F354" s="597"/>
      <c r="G354" s="597"/>
      <c r="H354" s="597"/>
      <c r="I354" s="597"/>
    </row>
    <row r="355" spans="1:9" ht="20.25">
      <c r="A355" s="597"/>
      <c r="B355" s="597"/>
      <c r="C355" s="597"/>
      <c r="D355" s="597"/>
      <c r="E355" s="597"/>
      <c r="F355" s="597"/>
      <c r="G355" s="597"/>
      <c r="H355" s="597"/>
      <c r="I355" s="597"/>
    </row>
    <row r="356" spans="1:9" ht="20.25">
      <c r="A356" s="597"/>
      <c r="B356" s="597"/>
      <c r="C356" s="597"/>
      <c r="D356" s="597"/>
      <c r="E356" s="597"/>
      <c r="F356" s="597"/>
      <c r="G356" s="597"/>
      <c r="H356" s="597"/>
      <c r="I356" s="597"/>
    </row>
    <row r="357" spans="1:9" ht="20.25">
      <c r="A357" s="597"/>
      <c r="B357" s="597"/>
      <c r="C357" s="597"/>
      <c r="D357" s="597"/>
      <c r="E357" s="597"/>
      <c r="F357" s="597"/>
      <c r="G357" s="597"/>
      <c r="H357" s="597"/>
      <c r="I357" s="597"/>
    </row>
    <row r="358" spans="1:9" ht="20.25">
      <c r="A358" s="597"/>
      <c r="B358" s="597"/>
      <c r="C358" s="597"/>
      <c r="D358" s="597"/>
      <c r="E358" s="597"/>
      <c r="F358" s="597"/>
      <c r="G358" s="597"/>
      <c r="H358" s="597"/>
      <c r="I358" s="597"/>
    </row>
    <row r="359" spans="1:9" ht="20.25">
      <c r="A359" s="597"/>
      <c r="B359" s="597"/>
      <c r="C359" s="597"/>
      <c r="D359" s="597"/>
      <c r="E359" s="597"/>
      <c r="F359" s="597"/>
      <c r="G359" s="597"/>
      <c r="H359" s="597"/>
      <c r="I359" s="597"/>
    </row>
    <row r="360" spans="1:9" ht="20.25">
      <c r="A360" s="597"/>
      <c r="B360" s="597"/>
      <c r="C360" s="597"/>
      <c r="D360" s="597"/>
      <c r="E360" s="597"/>
      <c r="F360" s="597"/>
      <c r="G360" s="597"/>
      <c r="H360" s="597"/>
      <c r="I360" s="597"/>
    </row>
    <row r="361" spans="1:9" ht="20.25">
      <c r="A361" s="597"/>
      <c r="B361" s="597"/>
      <c r="C361" s="597"/>
      <c r="D361" s="597"/>
      <c r="E361" s="597"/>
      <c r="F361" s="597"/>
      <c r="G361" s="597"/>
      <c r="H361" s="597"/>
      <c r="I361" s="597"/>
    </row>
    <row r="362" spans="1:9" ht="20.25">
      <c r="A362" s="597"/>
      <c r="B362" s="597"/>
      <c r="C362" s="597"/>
      <c r="D362" s="597"/>
      <c r="E362" s="597"/>
      <c r="F362" s="597"/>
      <c r="G362" s="597"/>
      <c r="H362" s="597"/>
      <c r="I362" s="597"/>
    </row>
    <row r="363" spans="1:9" ht="20.25">
      <c r="A363" s="597"/>
      <c r="B363" s="597"/>
      <c r="C363" s="597"/>
      <c r="D363" s="597"/>
      <c r="E363" s="597"/>
      <c r="F363" s="597"/>
      <c r="G363" s="597"/>
      <c r="H363" s="597"/>
      <c r="I363" s="597"/>
    </row>
    <row r="364" spans="1:9" ht="20.25">
      <c r="A364" s="597"/>
      <c r="B364" s="597"/>
      <c r="C364" s="597"/>
      <c r="D364" s="597"/>
      <c r="E364" s="597"/>
      <c r="F364" s="597"/>
      <c r="G364" s="597"/>
      <c r="H364" s="597"/>
      <c r="I364" s="597"/>
    </row>
    <row r="365" spans="1:9" ht="20.25">
      <c r="A365" s="597"/>
      <c r="B365" s="597"/>
      <c r="C365" s="597"/>
      <c r="D365" s="597"/>
      <c r="E365" s="597"/>
      <c r="F365" s="597"/>
      <c r="G365" s="597"/>
      <c r="H365" s="597"/>
      <c r="I365" s="597"/>
    </row>
    <row r="366" spans="1:9" ht="20.25">
      <c r="A366" s="597"/>
      <c r="B366" s="597"/>
      <c r="C366" s="597"/>
      <c r="D366" s="597"/>
      <c r="E366" s="597"/>
      <c r="F366" s="597"/>
      <c r="G366" s="597"/>
      <c r="H366" s="597"/>
      <c r="I366" s="597"/>
    </row>
    <row r="367" spans="1:9" ht="20.25">
      <c r="A367" s="597"/>
      <c r="B367" s="597"/>
      <c r="C367" s="597"/>
      <c r="D367" s="597"/>
      <c r="E367" s="597"/>
      <c r="F367" s="597"/>
      <c r="G367" s="597"/>
      <c r="H367" s="597"/>
      <c r="I367" s="597"/>
    </row>
    <row r="368" spans="1:9" ht="20.25">
      <c r="A368" s="597"/>
      <c r="B368" s="597"/>
      <c r="C368" s="597"/>
      <c r="D368" s="597"/>
      <c r="E368" s="597"/>
      <c r="F368" s="597"/>
      <c r="G368" s="597"/>
      <c r="H368" s="597"/>
      <c r="I368" s="597"/>
    </row>
    <row r="369" spans="1:9" ht="20.25">
      <c r="A369" s="597"/>
      <c r="B369" s="597"/>
      <c r="C369" s="597"/>
      <c r="D369" s="597"/>
      <c r="E369" s="597"/>
      <c r="F369" s="597"/>
      <c r="G369" s="597"/>
      <c r="H369" s="597"/>
      <c r="I369" s="597"/>
    </row>
    <row r="370" spans="1:9" ht="20.25">
      <c r="A370" s="597"/>
      <c r="B370" s="597"/>
      <c r="C370" s="597"/>
      <c r="D370" s="597"/>
      <c r="E370" s="597"/>
      <c r="F370" s="597"/>
      <c r="G370" s="597"/>
      <c r="H370" s="597"/>
      <c r="I370" s="597"/>
    </row>
    <row r="371" spans="1:9" ht="20.25">
      <c r="A371" s="597"/>
      <c r="B371" s="597"/>
      <c r="C371" s="597"/>
      <c r="D371" s="597"/>
      <c r="E371" s="597"/>
      <c r="F371" s="597"/>
      <c r="G371" s="597"/>
      <c r="H371" s="597"/>
      <c r="I371" s="597"/>
    </row>
    <row r="372" spans="1:9" ht="20.25">
      <c r="A372" s="597"/>
      <c r="B372" s="597"/>
      <c r="C372" s="597"/>
      <c r="D372" s="597"/>
      <c r="E372" s="597"/>
      <c r="F372" s="597"/>
      <c r="G372" s="597"/>
      <c r="H372" s="597"/>
      <c r="I372" s="597"/>
    </row>
    <row r="373" spans="1:9" ht="20.25">
      <c r="A373" s="597"/>
      <c r="B373" s="597"/>
      <c r="C373" s="597"/>
      <c r="D373" s="597"/>
      <c r="E373" s="597"/>
      <c r="F373" s="597"/>
      <c r="G373" s="597"/>
      <c r="H373" s="597"/>
      <c r="I373" s="597"/>
    </row>
    <row r="374" spans="1:9" ht="20.25">
      <c r="A374" s="597"/>
      <c r="B374" s="597"/>
      <c r="C374" s="597"/>
      <c r="D374" s="597"/>
      <c r="E374" s="597"/>
      <c r="F374" s="597"/>
      <c r="G374" s="597"/>
      <c r="H374" s="597"/>
      <c r="I374" s="597"/>
    </row>
    <row r="375" spans="1:9" ht="20.25">
      <c r="A375" s="597"/>
      <c r="B375" s="597"/>
      <c r="C375" s="597"/>
      <c r="D375" s="597"/>
      <c r="E375" s="597"/>
      <c r="F375" s="597"/>
      <c r="G375" s="597"/>
      <c r="H375" s="597"/>
      <c r="I375" s="597"/>
    </row>
    <row r="376" spans="1:9" ht="20.25">
      <c r="A376" s="597"/>
      <c r="B376" s="597"/>
      <c r="C376" s="597"/>
      <c r="D376" s="597"/>
      <c r="E376" s="597"/>
      <c r="F376" s="597"/>
      <c r="G376" s="597"/>
      <c r="H376" s="597"/>
      <c r="I376" s="597"/>
    </row>
    <row r="377" spans="1:9" ht="20.25">
      <c r="A377" s="597"/>
      <c r="B377" s="597"/>
      <c r="C377" s="597"/>
      <c r="D377" s="597"/>
      <c r="E377" s="597"/>
      <c r="F377" s="597"/>
      <c r="G377" s="597"/>
      <c r="H377" s="597"/>
      <c r="I377" s="597"/>
    </row>
    <row r="378" spans="1:9" ht="20.25">
      <c r="A378" s="597"/>
      <c r="B378" s="597"/>
      <c r="C378" s="597"/>
      <c r="D378" s="597"/>
      <c r="E378" s="597"/>
      <c r="F378" s="597"/>
      <c r="G378" s="597"/>
      <c r="H378" s="597"/>
      <c r="I378" s="597"/>
    </row>
    <row r="379" spans="1:9" ht="20.25">
      <c r="A379" s="597"/>
      <c r="B379" s="597"/>
      <c r="C379" s="597"/>
      <c r="D379" s="597"/>
      <c r="E379" s="597"/>
      <c r="F379" s="597"/>
      <c r="G379" s="597"/>
      <c r="H379" s="597"/>
      <c r="I379" s="597"/>
    </row>
    <row r="380" spans="1:9" ht="20.25">
      <c r="A380" s="597"/>
      <c r="B380" s="597"/>
      <c r="C380" s="597"/>
      <c r="D380" s="597"/>
      <c r="E380" s="597"/>
      <c r="F380" s="597"/>
      <c r="G380" s="597"/>
      <c r="H380" s="597"/>
      <c r="I380" s="597"/>
    </row>
    <row r="381" spans="1:9" ht="20.25">
      <c r="A381" s="597"/>
      <c r="B381" s="597"/>
      <c r="C381" s="597"/>
      <c r="D381" s="597"/>
      <c r="E381" s="597"/>
      <c r="F381" s="597"/>
      <c r="G381" s="597"/>
      <c r="H381" s="597"/>
      <c r="I381" s="597"/>
    </row>
    <row r="382" spans="1:9" ht="20.25">
      <c r="A382" s="597"/>
      <c r="B382" s="597"/>
      <c r="C382" s="597"/>
      <c r="D382" s="597"/>
      <c r="E382" s="597"/>
      <c r="F382" s="597"/>
      <c r="G382" s="597"/>
      <c r="H382" s="597"/>
      <c r="I382" s="597"/>
    </row>
    <row r="383" spans="1:9" ht="20.25">
      <c r="A383" s="597"/>
      <c r="B383" s="597"/>
      <c r="C383" s="597"/>
      <c r="D383" s="597"/>
      <c r="E383" s="597"/>
      <c r="F383" s="597"/>
      <c r="G383" s="597"/>
      <c r="H383" s="597"/>
      <c r="I383" s="597"/>
    </row>
    <row r="384" spans="1:9" ht="20.25">
      <c r="A384" s="597"/>
      <c r="B384" s="597"/>
      <c r="C384" s="597"/>
      <c r="D384" s="597"/>
      <c r="E384" s="597"/>
      <c r="F384" s="597"/>
      <c r="G384" s="597"/>
      <c r="H384" s="597"/>
      <c r="I384" s="597"/>
    </row>
    <row r="385" spans="1:9" ht="20.25">
      <c r="A385" s="597"/>
      <c r="B385" s="597"/>
      <c r="C385" s="597"/>
      <c r="D385" s="597"/>
      <c r="E385" s="597"/>
      <c r="F385" s="597"/>
      <c r="G385" s="597"/>
      <c r="H385" s="597"/>
      <c r="I385" s="597"/>
    </row>
    <row r="386" spans="1:9" ht="20.25">
      <c r="A386" s="597"/>
      <c r="B386" s="597"/>
      <c r="C386" s="597"/>
      <c r="D386" s="597"/>
      <c r="E386" s="597"/>
      <c r="F386" s="597"/>
      <c r="G386" s="597"/>
      <c r="H386" s="597"/>
      <c r="I386" s="597"/>
    </row>
    <row r="387" spans="1:9" ht="20.25">
      <c r="A387" s="597"/>
      <c r="B387" s="597"/>
      <c r="C387" s="597"/>
      <c r="D387" s="597"/>
      <c r="E387" s="597"/>
      <c r="F387" s="597"/>
      <c r="G387" s="597"/>
      <c r="H387" s="597"/>
      <c r="I387" s="597"/>
    </row>
    <row r="388" spans="1:9" ht="20.25">
      <c r="A388" s="597"/>
      <c r="B388" s="597"/>
      <c r="C388" s="597"/>
      <c r="D388" s="597"/>
      <c r="E388" s="597"/>
      <c r="F388" s="597"/>
      <c r="G388" s="597"/>
      <c r="H388" s="597"/>
      <c r="I388" s="597"/>
    </row>
    <row r="389" spans="1:9" ht="20.25">
      <c r="A389" s="597"/>
      <c r="B389" s="597"/>
      <c r="C389" s="597"/>
      <c r="D389" s="597"/>
      <c r="E389" s="597"/>
      <c r="F389" s="597"/>
      <c r="G389" s="597"/>
      <c r="H389" s="597"/>
      <c r="I389" s="597"/>
    </row>
    <row r="390" spans="1:9" ht="20.25">
      <c r="A390" s="597"/>
      <c r="B390" s="597"/>
      <c r="C390" s="597"/>
      <c r="D390" s="597"/>
      <c r="E390" s="597"/>
      <c r="F390" s="597"/>
      <c r="G390" s="597"/>
      <c r="H390" s="597"/>
      <c r="I390" s="597"/>
    </row>
    <row r="391" spans="1:9" ht="20.25">
      <c r="A391" s="597"/>
      <c r="B391" s="597"/>
      <c r="C391" s="597"/>
      <c r="D391" s="597"/>
      <c r="E391" s="597"/>
      <c r="F391" s="597"/>
      <c r="G391" s="597"/>
      <c r="H391" s="597"/>
      <c r="I391" s="597"/>
    </row>
    <row r="392" spans="1:9" ht="20.25">
      <c r="A392" s="597"/>
      <c r="B392" s="597"/>
      <c r="C392" s="597"/>
      <c r="D392" s="597"/>
      <c r="E392" s="597"/>
      <c r="F392" s="597"/>
      <c r="G392" s="597"/>
      <c r="H392" s="597"/>
      <c r="I392" s="597"/>
    </row>
    <row r="393" spans="1:9" ht="20.25">
      <c r="A393" s="597"/>
      <c r="B393" s="597"/>
      <c r="C393" s="597"/>
      <c r="D393" s="597"/>
      <c r="E393" s="597"/>
      <c r="F393" s="597"/>
      <c r="G393" s="597"/>
      <c r="H393" s="597"/>
      <c r="I393" s="597"/>
    </row>
    <row r="394" spans="1:9" ht="20.25">
      <c r="A394" s="597"/>
      <c r="B394" s="597"/>
      <c r="C394" s="597"/>
      <c r="D394" s="597"/>
      <c r="E394" s="597"/>
      <c r="F394" s="597"/>
      <c r="G394" s="597"/>
      <c r="H394" s="597"/>
      <c r="I394" s="597"/>
    </row>
    <row r="395" spans="1:9" ht="20.25">
      <c r="A395" s="597"/>
      <c r="B395" s="597"/>
      <c r="C395" s="597"/>
      <c r="D395" s="597"/>
      <c r="E395" s="597"/>
      <c r="F395" s="597"/>
      <c r="G395" s="597"/>
      <c r="H395" s="597"/>
      <c r="I395" s="597"/>
    </row>
    <row r="396" spans="1:9" ht="20.25">
      <c r="A396" s="597"/>
      <c r="B396" s="597"/>
      <c r="C396" s="597"/>
      <c r="D396" s="597"/>
      <c r="E396" s="597"/>
      <c r="F396" s="597"/>
      <c r="G396" s="597"/>
      <c r="H396" s="597"/>
      <c r="I396" s="597"/>
    </row>
    <row r="397" spans="1:9" ht="20.25">
      <c r="A397" s="597"/>
      <c r="B397" s="597"/>
      <c r="C397" s="597"/>
      <c r="D397" s="597"/>
      <c r="E397" s="597"/>
      <c r="F397" s="597"/>
      <c r="G397" s="597"/>
      <c r="H397" s="597"/>
      <c r="I397" s="597"/>
    </row>
    <row r="398" spans="1:9" ht="20.25">
      <c r="A398" s="597"/>
      <c r="B398" s="597"/>
      <c r="C398" s="597"/>
      <c r="D398" s="597"/>
      <c r="E398" s="597"/>
      <c r="F398" s="597"/>
      <c r="G398" s="597"/>
      <c r="H398" s="597"/>
      <c r="I398" s="597"/>
    </row>
    <row r="399" spans="1:9" ht="20.25">
      <c r="A399" s="597"/>
      <c r="B399" s="597"/>
      <c r="C399" s="597"/>
      <c r="D399" s="597"/>
      <c r="E399" s="597"/>
      <c r="F399" s="597"/>
      <c r="G399" s="597"/>
      <c r="H399" s="597"/>
      <c r="I399" s="597"/>
    </row>
    <row r="400" spans="1:9" ht="20.25">
      <c r="A400" s="597"/>
      <c r="B400" s="597"/>
      <c r="C400" s="597"/>
      <c r="D400" s="597"/>
      <c r="E400" s="597"/>
      <c r="F400" s="597"/>
      <c r="G400" s="597"/>
      <c r="H400" s="597"/>
      <c r="I400" s="597"/>
    </row>
    <row r="401" spans="1:9" ht="20.25">
      <c r="A401" s="597"/>
      <c r="B401" s="597"/>
      <c r="C401" s="597"/>
      <c r="D401" s="597"/>
      <c r="E401" s="597"/>
      <c r="F401" s="597"/>
      <c r="G401" s="597"/>
      <c r="H401" s="597"/>
      <c r="I401" s="597"/>
    </row>
    <row r="402" spans="1:9" ht="20.25">
      <c r="A402" s="597"/>
      <c r="B402" s="597"/>
      <c r="C402" s="597"/>
      <c r="D402" s="597"/>
      <c r="E402" s="597"/>
      <c r="F402" s="597"/>
      <c r="G402" s="597"/>
      <c r="H402" s="597"/>
      <c r="I402" s="597"/>
    </row>
    <row r="403" spans="1:9" ht="20.25">
      <c r="A403" s="597"/>
      <c r="B403" s="597"/>
      <c r="C403" s="597"/>
      <c r="D403" s="597"/>
      <c r="E403" s="597"/>
      <c r="F403" s="597"/>
      <c r="G403" s="597"/>
      <c r="H403" s="597"/>
      <c r="I403" s="597"/>
    </row>
    <row r="404" spans="1:9" ht="20.25">
      <c r="A404" s="597"/>
      <c r="B404" s="597"/>
      <c r="C404" s="597"/>
      <c r="D404" s="597"/>
      <c r="E404" s="597"/>
      <c r="F404" s="597"/>
      <c r="G404" s="597"/>
      <c r="H404" s="597"/>
      <c r="I404" s="597"/>
    </row>
    <row r="405" spans="1:9" ht="20.25">
      <c r="A405" s="597"/>
      <c r="B405" s="597"/>
      <c r="C405" s="597"/>
      <c r="D405" s="597"/>
      <c r="E405" s="597"/>
      <c r="F405" s="597"/>
      <c r="G405" s="597"/>
      <c r="H405" s="597"/>
      <c r="I405" s="597"/>
    </row>
    <row r="406" spans="1:9" ht="20.25">
      <c r="A406" s="597"/>
      <c r="B406" s="597"/>
      <c r="C406" s="597"/>
      <c r="D406" s="597"/>
      <c r="E406" s="597"/>
      <c r="F406" s="597"/>
      <c r="G406" s="597"/>
      <c r="H406" s="597"/>
      <c r="I406" s="597"/>
    </row>
    <row r="407" spans="1:9" ht="20.25">
      <c r="A407" s="597"/>
      <c r="B407" s="597"/>
      <c r="C407" s="597"/>
      <c r="D407" s="597"/>
      <c r="E407" s="597"/>
      <c r="F407" s="597"/>
      <c r="G407" s="597"/>
      <c r="H407" s="597"/>
      <c r="I407" s="597"/>
    </row>
    <row r="408" spans="1:9" ht="20.25">
      <c r="A408" s="597"/>
      <c r="B408" s="597"/>
      <c r="C408" s="597"/>
      <c r="D408" s="597"/>
      <c r="E408" s="597"/>
      <c r="F408" s="597"/>
      <c r="G408" s="597"/>
      <c r="H408" s="597"/>
      <c r="I408" s="597"/>
    </row>
    <row r="409" spans="1:9" ht="20.25">
      <c r="A409" s="597"/>
      <c r="B409" s="597"/>
      <c r="C409" s="597"/>
      <c r="D409" s="597"/>
      <c r="E409" s="597"/>
      <c r="F409" s="597"/>
      <c r="G409" s="597"/>
      <c r="H409" s="597"/>
      <c r="I409" s="597"/>
    </row>
    <row r="410" spans="1:9" ht="20.25">
      <c r="A410" s="597"/>
      <c r="B410" s="597"/>
      <c r="C410" s="597"/>
      <c r="D410" s="597"/>
      <c r="E410" s="597"/>
      <c r="F410" s="597"/>
      <c r="G410" s="597"/>
      <c r="H410" s="597"/>
      <c r="I410" s="597"/>
    </row>
    <row r="411" spans="1:9" ht="20.25">
      <c r="A411" s="597"/>
      <c r="B411" s="597"/>
      <c r="C411" s="597"/>
      <c r="D411" s="597"/>
      <c r="E411" s="597"/>
      <c r="F411" s="597"/>
      <c r="G411" s="597"/>
      <c r="H411" s="597"/>
      <c r="I411" s="597"/>
    </row>
    <row r="412" spans="1:9" ht="20.25">
      <c r="A412" s="597"/>
      <c r="B412" s="597"/>
      <c r="C412" s="597"/>
      <c r="D412" s="597"/>
      <c r="E412" s="597"/>
      <c r="F412" s="597"/>
      <c r="G412" s="597"/>
      <c r="H412" s="597"/>
      <c r="I412" s="597"/>
    </row>
    <row r="413" spans="1:9" ht="20.25">
      <c r="A413" s="597"/>
      <c r="B413" s="597"/>
      <c r="C413" s="597"/>
      <c r="D413" s="597"/>
      <c r="E413" s="597"/>
      <c r="F413" s="597"/>
      <c r="G413" s="597"/>
      <c r="H413" s="597"/>
      <c r="I413" s="597"/>
    </row>
    <row r="414" spans="1:9" ht="20.25">
      <c r="A414" s="597"/>
      <c r="B414" s="597"/>
      <c r="C414" s="597"/>
      <c r="D414" s="597"/>
      <c r="E414" s="597"/>
      <c r="F414" s="597"/>
      <c r="G414" s="597"/>
      <c r="H414" s="597"/>
      <c r="I414" s="597"/>
    </row>
    <row r="415" spans="1:9" ht="20.25">
      <c r="A415" s="597"/>
      <c r="B415" s="597"/>
      <c r="C415" s="597"/>
      <c r="D415" s="597"/>
      <c r="E415" s="597"/>
      <c r="F415" s="597"/>
      <c r="G415" s="597"/>
      <c r="H415" s="597"/>
      <c r="I415" s="597"/>
    </row>
    <row r="416" spans="1:9" ht="20.25">
      <c r="A416" s="597"/>
      <c r="B416" s="597"/>
      <c r="C416" s="597"/>
      <c r="D416" s="597"/>
      <c r="E416" s="597"/>
      <c r="F416" s="597"/>
      <c r="G416" s="597"/>
      <c r="H416" s="597"/>
      <c r="I416" s="597"/>
    </row>
    <row r="417" spans="1:9" ht="20.25">
      <c r="A417" s="597"/>
      <c r="B417" s="597"/>
      <c r="C417" s="597"/>
      <c r="D417" s="597"/>
      <c r="E417" s="597"/>
      <c r="F417" s="597"/>
      <c r="G417" s="597"/>
      <c r="H417" s="597"/>
      <c r="I417" s="597"/>
    </row>
    <row r="418" spans="1:9" ht="20.25">
      <c r="A418" s="597"/>
      <c r="B418" s="597"/>
      <c r="C418" s="597"/>
      <c r="D418" s="597"/>
      <c r="E418" s="597"/>
      <c r="F418" s="597"/>
      <c r="G418" s="597"/>
      <c r="H418" s="597"/>
      <c r="I418" s="597"/>
    </row>
    <row r="419" spans="1:9" ht="20.25">
      <c r="A419" s="597"/>
      <c r="B419" s="597"/>
      <c r="C419" s="597"/>
      <c r="D419" s="597"/>
      <c r="E419" s="597"/>
      <c r="F419" s="597"/>
      <c r="G419" s="597"/>
      <c r="H419" s="597"/>
      <c r="I419" s="597"/>
    </row>
    <row r="420" spans="1:9" ht="20.25">
      <c r="A420" s="597"/>
      <c r="B420" s="597"/>
      <c r="C420" s="597"/>
      <c r="D420" s="597"/>
      <c r="E420" s="597"/>
      <c r="F420" s="597"/>
      <c r="G420" s="597"/>
      <c r="H420" s="597"/>
      <c r="I420" s="597"/>
    </row>
    <row r="421" spans="1:9" ht="20.25">
      <c r="A421" s="597"/>
      <c r="B421" s="597"/>
      <c r="C421" s="597"/>
      <c r="D421" s="597"/>
      <c r="E421" s="597"/>
      <c r="F421" s="597"/>
      <c r="G421" s="597"/>
      <c r="H421" s="597"/>
      <c r="I421" s="597"/>
    </row>
    <row r="422" spans="1:9" ht="20.25">
      <c r="A422" s="597"/>
      <c r="B422" s="597"/>
      <c r="C422" s="597"/>
      <c r="D422" s="597"/>
      <c r="E422" s="597"/>
      <c r="F422" s="597"/>
      <c r="G422" s="597"/>
      <c r="H422" s="597"/>
      <c r="I422" s="597"/>
    </row>
    <row r="423" spans="1:9" ht="20.25">
      <c r="A423" s="597"/>
      <c r="B423" s="597"/>
      <c r="C423" s="597"/>
      <c r="D423" s="597"/>
      <c r="E423" s="597"/>
      <c r="F423" s="597"/>
      <c r="G423" s="597"/>
      <c r="H423" s="597"/>
      <c r="I423" s="597"/>
    </row>
    <row r="424" spans="1:9" ht="20.25">
      <c r="A424" s="597"/>
      <c r="B424" s="597"/>
      <c r="C424" s="597"/>
      <c r="D424" s="597"/>
      <c r="E424" s="597"/>
      <c r="F424" s="597"/>
      <c r="G424" s="597"/>
      <c r="H424" s="597"/>
      <c r="I424" s="597"/>
    </row>
    <row r="425" spans="1:9" ht="20.25">
      <c r="A425" s="597"/>
      <c r="B425" s="597"/>
      <c r="C425" s="597"/>
      <c r="D425" s="597"/>
      <c r="E425" s="597"/>
      <c r="F425" s="597"/>
      <c r="G425" s="597"/>
      <c r="H425" s="597"/>
      <c r="I425" s="597"/>
    </row>
    <row r="426" spans="1:9" ht="20.25">
      <c r="A426" s="597"/>
      <c r="B426" s="597"/>
      <c r="C426" s="597"/>
      <c r="D426" s="597"/>
      <c r="E426" s="597"/>
      <c r="F426" s="597"/>
      <c r="G426" s="597"/>
      <c r="H426" s="597"/>
      <c r="I426" s="597"/>
    </row>
    <row r="427" spans="1:9" ht="20.25">
      <c r="A427" s="597"/>
      <c r="B427" s="597"/>
      <c r="C427" s="597"/>
      <c r="D427" s="597"/>
      <c r="E427" s="597"/>
      <c r="F427" s="597"/>
      <c r="G427" s="597"/>
      <c r="H427" s="597"/>
      <c r="I427" s="597"/>
    </row>
    <row r="428" spans="1:9" ht="20.25">
      <c r="A428" s="597"/>
      <c r="B428" s="597"/>
      <c r="C428" s="597"/>
      <c r="D428" s="597"/>
      <c r="E428" s="597"/>
      <c r="F428" s="597"/>
      <c r="G428" s="597"/>
      <c r="H428" s="597"/>
      <c r="I428" s="597"/>
    </row>
    <row r="429" spans="1:9" ht="20.25">
      <c r="A429" s="597"/>
      <c r="B429" s="597"/>
      <c r="C429" s="597"/>
      <c r="D429" s="597"/>
      <c r="E429" s="597"/>
      <c r="F429" s="597"/>
      <c r="G429" s="597"/>
      <c r="H429" s="597"/>
      <c r="I429" s="597"/>
    </row>
    <row r="430" spans="1:9" ht="20.25">
      <c r="A430" s="597"/>
      <c r="B430" s="597"/>
      <c r="C430" s="597"/>
      <c r="D430" s="597"/>
      <c r="E430" s="597"/>
      <c r="F430" s="597"/>
      <c r="G430" s="597"/>
      <c r="H430" s="597"/>
      <c r="I430" s="597"/>
    </row>
    <row r="431" spans="1:9" ht="20.25">
      <c r="A431" s="597"/>
      <c r="B431" s="597"/>
      <c r="C431" s="597"/>
      <c r="D431" s="597"/>
      <c r="E431" s="597"/>
      <c r="F431" s="597"/>
      <c r="G431" s="597"/>
      <c r="H431" s="597"/>
      <c r="I431" s="597"/>
    </row>
    <row r="432" spans="1:9" ht="20.25">
      <c r="A432" s="597"/>
      <c r="B432" s="597"/>
      <c r="C432" s="597"/>
      <c r="D432" s="597"/>
      <c r="E432" s="597"/>
      <c r="F432" s="597"/>
      <c r="G432" s="597"/>
      <c r="H432" s="597"/>
      <c r="I432" s="597"/>
    </row>
    <row r="433" spans="1:9" ht="20.25">
      <c r="A433" s="597"/>
      <c r="B433" s="597"/>
      <c r="C433" s="597"/>
      <c r="D433" s="597"/>
      <c r="E433" s="597"/>
      <c r="F433" s="597"/>
      <c r="G433" s="597"/>
      <c r="H433" s="597"/>
      <c r="I433" s="597"/>
    </row>
    <row r="434" spans="1:9" ht="20.25">
      <c r="A434" s="597"/>
      <c r="B434" s="597"/>
      <c r="C434" s="597"/>
      <c r="D434" s="597"/>
      <c r="E434" s="597"/>
      <c r="F434" s="597"/>
      <c r="G434" s="597"/>
      <c r="H434" s="597"/>
      <c r="I434" s="597"/>
    </row>
    <row r="435" spans="1:9" ht="20.25">
      <c r="A435" s="597"/>
      <c r="B435" s="597"/>
      <c r="C435" s="597"/>
      <c r="D435" s="597"/>
      <c r="E435" s="597"/>
      <c r="F435" s="597"/>
      <c r="G435" s="597"/>
      <c r="H435" s="597"/>
      <c r="I435" s="597"/>
    </row>
    <row r="436" spans="1:9" ht="20.25">
      <c r="A436" s="597"/>
      <c r="B436" s="597"/>
      <c r="C436" s="597"/>
      <c r="D436" s="597"/>
      <c r="E436" s="597"/>
      <c r="F436" s="597"/>
      <c r="G436" s="597"/>
      <c r="H436" s="597"/>
      <c r="I436" s="597"/>
    </row>
    <row r="437" spans="1:9" ht="20.25">
      <c r="A437" s="597"/>
      <c r="B437" s="597"/>
      <c r="C437" s="597"/>
      <c r="D437" s="597"/>
      <c r="E437" s="597"/>
      <c r="F437" s="597"/>
      <c r="G437" s="597"/>
      <c r="H437" s="597"/>
      <c r="I437" s="597"/>
    </row>
    <row r="438" spans="1:9" ht="20.25">
      <c r="A438" s="597"/>
      <c r="B438" s="597"/>
      <c r="C438" s="597"/>
      <c r="D438" s="597"/>
      <c r="E438" s="597"/>
      <c r="F438" s="597"/>
      <c r="G438" s="597"/>
      <c r="H438" s="597"/>
      <c r="I438" s="597"/>
    </row>
    <row r="439" spans="1:9" ht="20.25">
      <c r="A439" s="597"/>
      <c r="B439" s="597"/>
      <c r="C439" s="597"/>
      <c r="D439" s="597"/>
      <c r="E439" s="597"/>
      <c r="F439" s="597"/>
      <c r="G439" s="597"/>
      <c r="H439" s="597"/>
      <c r="I439" s="597"/>
    </row>
    <row r="440" spans="1:9" ht="20.25">
      <c r="A440" s="597"/>
      <c r="B440" s="597"/>
      <c r="C440" s="597"/>
      <c r="D440" s="597"/>
      <c r="E440" s="597"/>
      <c r="F440" s="597"/>
      <c r="G440" s="597"/>
      <c r="H440" s="597"/>
      <c r="I440" s="597"/>
    </row>
    <row r="441" spans="1:9" ht="20.25">
      <c r="A441" s="597"/>
      <c r="B441" s="597"/>
      <c r="C441" s="597"/>
      <c r="D441" s="597"/>
      <c r="E441" s="597"/>
      <c r="F441" s="597"/>
      <c r="G441" s="597"/>
      <c r="H441" s="597"/>
      <c r="I441" s="597"/>
    </row>
    <row r="442" spans="1:9" ht="20.25">
      <c r="A442" s="597"/>
      <c r="B442" s="597"/>
      <c r="C442" s="597"/>
      <c r="D442" s="597"/>
      <c r="E442" s="597"/>
      <c r="F442" s="597"/>
      <c r="G442" s="597"/>
      <c r="H442" s="597"/>
      <c r="I442" s="597"/>
    </row>
    <row r="443" spans="1:9" ht="20.25">
      <c r="A443" s="597"/>
      <c r="B443" s="597"/>
      <c r="C443" s="597"/>
      <c r="D443" s="597"/>
      <c r="E443" s="597"/>
      <c r="F443" s="597"/>
      <c r="G443" s="597"/>
      <c r="H443" s="597"/>
      <c r="I443" s="597"/>
    </row>
    <row r="444" spans="1:9" ht="20.25">
      <c r="A444" s="597"/>
      <c r="B444" s="597"/>
      <c r="C444" s="597"/>
      <c r="D444" s="597"/>
      <c r="E444" s="597"/>
      <c r="F444" s="597"/>
      <c r="G444" s="597"/>
      <c r="H444" s="597"/>
      <c r="I444" s="597"/>
    </row>
    <row r="445" spans="1:9" ht="20.25">
      <c r="A445" s="597"/>
      <c r="B445" s="597"/>
      <c r="C445" s="597"/>
      <c r="D445" s="597"/>
      <c r="E445" s="597"/>
      <c r="F445" s="597"/>
      <c r="G445" s="597"/>
      <c r="H445" s="597"/>
      <c r="I445" s="597"/>
    </row>
    <row r="446" spans="1:9" ht="20.25">
      <c r="A446" s="597"/>
      <c r="B446" s="597"/>
      <c r="C446" s="597"/>
      <c r="D446" s="597"/>
      <c r="E446" s="597"/>
      <c r="F446" s="597"/>
      <c r="G446" s="597"/>
      <c r="H446" s="597"/>
      <c r="I446" s="597"/>
    </row>
    <row r="447" spans="1:9" ht="20.25">
      <c r="A447" s="597"/>
      <c r="B447" s="597"/>
      <c r="C447" s="597"/>
      <c r="D447" s="597"/>
      <c r="E447" s="597"/>
      <c r="F447" s="597"/>
      <c r="G447" s="597"/>
      <c r="H447" s="597"/>
      <c r="I447" s="597"/>
    </row>
    <row r="448" spans="1:9" ht="20.25">
      <c r="A448" s="597"/>
      <c r="B448" s="597"/>
      <c r="C448" s="597"/>
      <c r="D448" s="597"/>
      <c r="E448" s="597"/>
      <c r="F448" s="597"/>
      <c r="G448" s="597"/>
      <c r="H448" s="597"/>
      <c r="I448" s="597"/>
    </row>
    <row r="449" spans="1:9" ht="20.25">
      <c r="A449" s="597"/>
      <c r="B449" s="597"/>
      <c r="C449" s="597"/>
      <c r="D449" s="597"/>
      <c r="E449" s="597"/>
      <c r="F449" s="597"/>
      <c r="G449" s="597"/>
      <c r="H449" s="597"/>
      <c r="I449" s="597"/>
    </row>
    <row r="450" spans="1:9" ht="20.25">
      <c r="A450" s="597"/>
      <c r="B450" s="597"/>
      <c r="C450" s="597"/>
      <c r="D450" s="597"/>
      <c r="E450" s="597"/>
      <c r="F450" s="597"/>
      <c r="G450" s="597"/>
      <c r="H450" s="597"/>
      <c r="I450" s="597"/>
    </row>
    <row r="451" spans="1:9" ht="20.25">
      <c r="A451" s="597"/>
      <c r="B451" s="597"/>
      <c r="C451" s="597"/>
      <c r="D451" s="597"/>
      <c r="E451" s="597"/>
      <c r="F451" s="597"/>
      <c r="G451" s="597"/>
      <c r="H451" s="597"/>
      <c r="I451" s="597"/>
    </row>
    <row r="452" spans="1:9" ht="20.25">
      <c r="A452" s="597"/>
      <c r="B452" s="597"/>
      <c r="C452" s="597"/>
      <c r="D452" s="597"/>
      <c r="E452" s="597"/>
      <c r="F452" s="597"/>
      <c r="G452" s="597"/>
      <c r="H452" s="597"/>
      <c r="I452" s="597"/>
    </row>
    <row r="453" spans="1:9" ht="20.25">
      <c r="A453" s="597"/>
      <c r="B453" s="597"/>
      <c r="C453" s="597"/>
      <c r="D453" s="597"/>
      <c r="E453" s="597"/>
      <c r="F453" s="597"/>
      <c r="G453" s="597"/>
      <c r="H453" s="597"/>
      <c r="I453" s="597"/>
    </row>
    <row r="454" spans="1:9" ht="20.25">
      <c r="A454" s="597"/>
      <c r="B454" s="597"/>
      <c r="C454" s="597"/>
      <c r="D454" s="597"/>
      <c r="E454" s="597"/>
      <c r="F454" s="597"/>
      <c r="G454" s="597"/>
      <c r="H454" s="597"/>
      <c r="I454" s="597"/>
    </row>
    <row r="455" spans="1:9" ht="20.25">
      <c r="A455" s="597"/>
      <c r="B455" s="597"/>
      <c r="C455" s="597"/>
      <c r="D455" s="597"/>
      <c r="E455" s="597"/>
      <c r="F455" s="597"/>
      <c r="G455" s="597"/>
      <c r="H455" s="597"/>
      <c r="I455" s="597"/>
    </row>
    <row r="456" spans="1:9" ht="20.25">
      <c r="A456" s="597"/>
      <c r="B456" s="597"/>
      <c r="C456" s="597"/>
      <c r="D456" s="597"/>
      <c r="E456" s="597"/>
      <c r="F456" s="597"/>
      <c r="G456" s="597"/>
      <c r="H456" s="597"/>
      <c r="I456" s="597"/>
    </row>
    <row r="457" spans="1:9" ht="20.25">
      <c r="A457" s="597"/>
      <c r="B457" s="597"/>
      <c r="C457" s="597"/>
      <c r="D457" s="597"/>
      <c r="E457" s="597"/>
      <c r="F457" s="597"/>
      <c r="G457" s="597"/>
      <c r="H457" s="597"/>
      <c r="I457" s="597"/>
    </row>
    <row r="458" spans="1:9" ht="20.25">
      <c r="A458" s="597"/>
      <c r="B458" s="597"/>
      <c r="C458" s="597"/>
      <c r="D458" s="597"/>
      <c r="E458" s="597"/>
      <c r="F458" s="597"/>
      <c r="G458" s="597"/>
      <c r="H458" s="597"/>
      <c r="I458" s="597"/>
    </row>
    <row r="459" spans="1:9" ht="20.25">
      <c r="A459" s="597"/>
      <c r="B459" s="597"/>
      <c r="C459" s="597"/>
      <c r="D459" s="597"/>
      <c r="E459" s="597"/>
      <c r="F459" s="597"/>
      <c r="G459" s="597"/>
      <c r="H459" s="597"/>
      <c r="I459" s="597"/>
    </row>
    <row r="460" spans="1:9" ht="20.25">
      <c r="A460" s="597"/>
      <c r="B460" s="597"/>
      <c r="C460" s="597"/>
      <c r="D460" s="597"/>
      <c r="E460" s="597"/>
      <c r="F460" s="597"/>
      <c r="G460" s="597"/>
      <c r="H460" s="597"/>
      <c r="I460" s="597"/>
    </row>
    <row r="461" spans="1:9" ht="20.25">
      <c r="A461" s="597"/>
      <c r="B461" s="597"/>
      <c r="C461" s="597"/>
      <c r="D461" s="597"/>
      <c r="E461" s="597"/>
      <c r="F461" s="597"/>
      <c r="G461" s="597"/>
      <c r="H461" s="597"/>
      <c r="I461" s="597"/>
    </row>
    <row r="462" spans="1:9" ht="20.25">
      <c r="A462" s="597"/>
      <c r="B462" s="597"/>
      <c r="C462" s="597"/>
      <c r="D462" s="597"/>
      <c r="E462" s="597"/>
      <c r="F462" s="597"/>
      <c r="G462" s="597"/>
      <c r="H462" s="597"/>
      <c r="I462" s="597"/>
    </row>
    <row r="463" spans="1:9" ht="20.25">
      <c r="A463" s="597"/>
      <c r="B463" s="597"/>
      <c r="C463" s="597"/>
      <c r="D463" s="597"/>
      <c r="E463" s="597"/>
      <c r="F463" s="597"/>
      <c r="G463" s="597"/>
      <c r="H463" s="597"/>
      <c r="I463" s="597"/>
    </row>
    <row r="464" spans="1:9" ht="20.25">
      <c r="A464" s="597"/>
      <c r="B464" s="597"/>
      <c r="C464" s="597"/>
      <c r="D464" s="597"/>
      <c r="E464" s="597"/>
      <c r="F464" s="597"/>
      <c r="G464" s="597"/>
      <c r="H464" s="597"/>
      <c r="I464" s="597"/>
    </row>
    <row r="465" spans="1:9" ht="20.25">
      <c r="A465" s="597"/>
      <c r="B465" s="597"/>
      <c r="C465" s="597"/>
      <c r="D465" s="597"/>
      <c r="E465" s="597"/>
      <c r="F465" s="597"/>
      <c r="G465" s="597"/>
      <c r="H465" s="597"/>
      <c r="I465" s="597"/>
    </row>
    <row r="466" spans="1:9" ht="20.25">
      <c r="A466" s="597"/>
      <c r="B466" s="597"/>
      <c r="C466" s="597"/>
      <c r="D466" s="597"/>
      <c r="E466" s="597"/>
      <c r="F466" s="597"/>
      <c r="G466" s="597"/>
      <c r="H466" s="597"/>
      <c r="I466" s="597"/>
    </row>
    <row r="467" spans="1:9" ht="20.25">
      <c r="A467" s="597"/>
      <c r="B467" s="597"/>
      <c r="C467" s="597"/>
      <c r="D467" s="597"/>
      <c r="E467" s="597"/>
      <c r="F467" s="597"/>
      <c r="G467" s="597"/>
      <c r="H467" s="597"/>
      <c r="I467" s="597"/>
    </row>
    <row r="468" spans="1:9" ht="20.25">
      <c r="A468" s="597"/>
      <c r="B468" s="597"/>
      <c r="C468" s="597"/>
      <c r="D468" s="597"/>
      <c r="E468" s="597"/>
      <c r="F468" s="597"/>
      <c r="G468" s="597"/>
      <c r="H468" s="597"/>
      <c r="I468" s="597"/>
    </row>
    <row r="469" spans="1:9" ht="20.25">
      <c r="A469" s="597"/>
      <c r="B469" s="597"/>
      <c r="C469" s="597"/>
      <c r="D469" s="597"/>
      <c r="E469" s="597"/>
      <c r="F469" s="597"/>
      <c r="G469" s="597"/>
      <c r="H469" s="597"/>
      <c r="I469" s="597"/>
    </row>
    <row r="470" spans="1:9" ht="20.25">
      <c r="A470" s="597"/>
      <c r="B470" s="597"/>
      <c r="C470" s="597"/>
      <c r="D470" s="597"/>
      <c r="E470" s="597"/>
      <c r="F470" s="597"/>
      <c r="G470" s="597"/>
      <c r="H470" s="597"/>
      <c r="I470" s="597"/>
    </row>
    <row r="471" spans="1:9" ht="20.25">
      <c r="A471" s="597"/>
      <c r="B471" s="597"/>
      <c r="C471" s="597"/>
      <c r="D471" s="597"/>
      <c r="E471" s="597"/>
      <c r="F471" s="597"/>
      <c r="G471" s="597"/>
      <c r="H471" s="597"/>
      <c r="I471" s="597"/>
    </row>
    <row r="472" spans="1:9" ht="20.25">
      <c r="A472" s="597"/>
      <c r="B472" s="597"/>
      <c r="C472" s="597"/>
      <c r="D472" s="597"/>
      <c r="E472" s="597"/>
      <c r="F472" s="597"/>
      <c r="G472" s="597"/>
      <c r="H472" s="597"/>
      <c r="I472" s="597"/>
    </row>
    <row r="473" spans="1:9" ht="20.25">
      <c r="A473" s="597"/>
      <c r="B473" s="597"/>
      <c r="C473" s="597"/>
      <c r="D473" s="597"/>
      <c r="E473" s="597"/>
      <c r="F473" s="597"/>
      <c r="G473" s="597"/>
      <c r="H473" s="597"/>
      <c r="I473" s="597"/>
    </row>
    <row r="474" spans="1:9" ht="20.25">
      <c r="A474" s="597"/>
      <c r="B474" s="597"/>
      <c r="C474" s="597"/>
      <c r="D474" s="597"/>
      <c r="E474" s="597"/>
      <c r="F474" s="597"/>
      <c r="G474" s="597"/>
      <c r="H474" s="597"/>
      <c r="I474" s="597"/>
    </row>
    <row r="475" spans="1:9" ht="20.25">
      <c r="A475" s="597"/>
      <c r="B475" s="597"/>
      <c r="C475" s="597"/>
      <c r="D475" s="597"/>
      <c r="E475" s="597"/>
      <c r="F475" s="597"/>
      <c r="G475" s="597"/>
      <c r="H475" s="597"/>
      <c r="I475" s="597"/>
    </row>
    <row r="476" spans="1:9" ht="20.25">
      <c r="A476" s="597"/>
      <c r="B476" s="597"/>
      <c r="C476" s="597"/>
      <c r="D476" s="597"/>
      <c r="E476" s="597"/>
      <c r="F476" s="597"/>
      <c r="G476" s="597"/>
      <c r="H476" s="597"/>
      <c r="I476" s="597"/>
    </row>
    <row r="477" spans="1:9" ht="20.25">
      <c r="A477" s="597"/>
      <c r="B477" s="597"/>
      <c r="C477" s="597"/>
      <c r="D477" s="597"/>
      <c r="E477" s="597"/>
      <c r="F477" s="597"/>
      <c r="G477" s="597"/>
      <c r="H477" s="597"/>
      <c r="I477" s="597"/>
    </row>
    <row r="478" spans="1:9" ht="20.25">
      <c r="A478" s="597"/>
      <c r="B478" s="597"/>
      <c r="C478" s="597"/>
      <c r="D478" s="597"/>
      <c r="E478" s="597"/>
      <c r="F478" s="597"/>
      <c r="G478" s="597"/>
      <c r="H478" s="597"/>
      <c r="I478" s="597"/>
    </row>
    <row r="479" spans="1:9" ht="20.25">
      <c r="A479" s="597"/>
      <c r="B479" s="597"/>
      <c r="C479" s="597"/>
      <c r="D479" s="597"/>
      <c r="E479" s="597"/>
      <c r="F479" s="597"/>
      <c r="G479" s="597"/>
      <c r="H479" s="597"/>
      <c r="I479" s="597"/>
    </row>
    <row r="480" spans="1:9" ht="20.25">
      <c r="A480" s="597"/>
      <c r="B480" s="597"/>
      <c r="C480" s="597"/>
      <c r="D480" s="597"/>
      <c r="E480" s="597"/>
      <c r="F480" s="597"/>
      <c r="G480" s="597"/>
      <c r="H480" s="597"/>
      <c r="I480" s="597"/>
    </row>
    <row r="481" spans="1:9" ht="20.25">
      <c r="A481" s="597"/>
      <c r="B481" s="597"/>
      <c r="C481" s="597"/>
      <c r="D481" s="597"/>
      <c r="E481" s="597"/>
      <c r="F481" s="597"/>
      <c r="G481" s="597"/>
      <c r="H481" s="597"/>
      <c r="I481" s="597"/>
    </row>
    <row r="482" spans="1:9" ht="20.25">
      <c r="A482" s="597"/>
      <c r="B482" s="597"/>
      <c r="C482" s="597"/>
      <c r="D482" s="597"/>
      <c r="E482" s="597"/>
      <c r="F482" s="597"/>
      <c r="G482" s="597"/>
      <c r="H482" s="597"/>
      <c r="I482" s="597"/>
    </row>
    <row r="483" spans="1:9" ht="20.25">
      <c r="A483" s="597"/>
      <c r="B483" s="597"/>
      <c r="C483" s="597"/>
      <c r="D483" s="597"/>
      <c r="E483" s="597"/>
      <c r="F483" s="597"/>
      <c r="G483" s="597"/>
      <c r="H483" s="597"/>
      <c r="I483" s="597"/>
    </row>
    <row r="484" spans="1:9" ht="20.25">
      <c r="A484" s="597"/>
      <c r="B484" s="597"/>
      <c r="C484" s="597"/>
      <c r="D484" s="597"/>
      <c r="E484" s="597"/>
      <c r="F484" s="597"/>
      <c r="G484" s="597"/>
      <c r="H484" s="597"/>
      <c r="I484" s="597"/>
    </row>
    <row r="485" spans="1:9" ht="20.25">
      <c r="A485" s="597"/>
      <c r="B485" s="597"/>
      <c r="C485" s="597"/>
      <c r="D485" s="597"/>
      <c r="E485" s="597"/>
      <c r="F485" s="597"/>
      <c r="G485" s="597"/>
      <c r="H485" s="597"/>
      <c r="I485" s="597"/>
    </row>
    <row r="486" spans="1:9" ht="20.25">
      <c r="A486" s="597"/>
      <c r="B486" s="597"/>
      <c r="C486" s="597"/>
      <c r="D486" s="597"/>
      <c r="E486" s="597"/>
      <c r="F486" s="597"/>
      <c r="G486" s="597"/>
      <c r="H486" s="597"/>
      <c r="I486" s="597"/>
    </row>
    <row r="487" spans="1:9" ht="20.25">
      <c r="A487" s="597"/>
      <c r="B487" s="597"/>
      <c r="C487" s="597"/>
      <c r="D487" s="597"/>
      <c r="E487" s="597"/>
      <c r="F487" s="597"/>
      <c r="G487" s="597"/>
      <c r="H487" s="597"/>
      <c r="I487" s="597"/>
    </row>
    <row r="488" spans="1:9" ht="20.25">
      <c r="A488" s="597"/>
      <c r="B488" s="597"/>
      <c r="C488" s="597"/>
      <c r="D488" s="597"/>
      <c r="E488" s="597"/>
      <c r="F488" s="597"/>
      <c r="G488" s="597"/>
      <c r="H488" s="597"/>
      <c r="I488" s="597"/>
    </row>
    <row r="489" spans="1:9" ht="20.25">
      <c r="A489" s="597"/>
      <c r="B489" s="597"/>
      <c r="C489" s="597"/>
      <c r="D489" s="597"/>
      <c r="E489" s="597"/>
      <c r="F489" s="597"/>
      <c r="G489" s="597"/>
      <c r="H489" s="597"/>
      <c r="I489" s="597"/>
    </row>
    <row r="490" spans="1:9" ht="20.25">
      <c r="A490" s="597"/>
      <c r="B490" s="597"/>
      <c r="C490" s="597"/>
      <c r="D490" s="597"/>
      <c r="E490" s="597"/>
      <c r="F490" s="597"/>
      <c r="G490" s="597"/>
      <c r="H490" s="597"/>
      <c r="I490" s="597"/>
    </row>
    <row r="491" spans="1:9" ht="20.25">
      <c r="A491" s="597"/>
      <c r="B491" s="597"/>
      <c r="C491" s="597"/>
      <c r="D491" s="597"/>
      <c r="E491" s="597"/>
      <c r="F491" s="597"/>
      <c r="G491" s="597"/>
      <c r="H491" s="597"/>
      <c r="I491" s="597"/>
    </row>
    <row r="492" spans="1:9" ht="20.25">
      <c r="A492" s="597"/>
      <c r="B492" s="597"/>
      <c r="C492" s="597"/>
      <c r="D492" s="597"/>
      <c r="E492" s="597"/>
      <c r="F492" s="597"/>
      <c r="G492" s="597"/>
      <c r="H492" s="597"/>
      <c r="I492" s="597"/>
    </row>
    <row r="493" spans="1:9" ht="20.25">
      <c r="A493" s="597"/>
      <c r="B493" s="597"/>
      <c r="C493" s="597"/>
      <c r="D493" s="597"/>
      <c r="E493" s="597"/>
      <c r="F493" s="597"/>
      <c r="G493" s="597"/>
      <c r="H493" s="597"/>
      <c r="I493" s="597"/>
    </row>
    <row r="494" spans="1:9" ht="20.25">
      <c r="A494" s="597"/>
      <c r="B494" s="597"/>
      <c r="C494" s="597"/>
      <c r="D494" s="597"/>
      <c r="E494" s="597"/>
      <c r="F494" s="597"/>
      <c r="G494" s="597"/>
      <c r="H494" s="597"/>
      <c r="I494" s="597"/>
    </row>
    <row r="495" spans="1:9" ht="20.25">
      <c r="A495" s="597"/>
      <c r="B495" s="597"/>
      <c r="C495" s="597"/>
      <c r="D495" s="597"/>
      <c r="E495" s="597"/>
      <c r="F495" s="597"/>
      <c r="G495" s="597"/>
      <c r="H495" s="597"/>
      <c r="I495" s="597"/>
    </row>
    <row r="496" spans="1:9" ht="20.25">
      <c r="A496" s="597"/>
      <c r="B496" s="597"/>
      <c r="C496" s="597"/>
      <c r="D496" s="597"/>
      <c r="E496" s="597"/>
      <c r="F496" s="597"/>
      <c r="G496" s="597"/>
      <c r="H496" s="597"/>
      <c r="I496" s="597"/>
    </row>
    <row r="497" spans="1:9" ht="20.25">
      <c r="A497" s="597"/>
      <c r="B497" s="597"/>
      <c r="C497" s="597"/>
      <c r="D497" s="597"/>
      <c r="E497" s="597"/>
      <c r="F497" s="597"/>
      <c r="G497" s="597"/>
      <c r="H497" s="597"/>
      <c r="I497" s="597"/>
    </row>
    <row r="498" spans="1:9" ht="20.25">
      <c r="A498" s="597"/>
      <c r="B498" s="597"/>
      <c r="C498" s="597"/>
      <c r="D498" s="597"/>
      <c r="E498" s="597"/>
      <c r="F498" s="597"/>
      <c r="G498" s="597"/>
      <c r="H498" s="597"/>
      <c r="I498" s="597"/>
    </row>
    <row r="499" spans="1:9" ht="20.25">
      <c r="A499" s="597"/>
      <c r="B499" s="597"/>
      <c r="C499" s="597"/>
      <c r="D499" s="597"/>
      <c r="E499" s="597"/>
      <c r="F499" s="597"/>
      <c r="G499" s="597"/>
      <c r="H499" s="597"/>
      <c r="I499" s="597"/>
    </row>
    <row r="500" spans="1:9" ht="20.25">
      <c r="A500" s="597"/>
      <c r="B500" s="597"/>
      <c r="C500" s="597"/>
      <c r="D500" s="597"/>
      <c r="E500" s="597"/>
      <c r="F500" s="597"/>
      <c r="G500" s="597"/>
      <c r="H500" s="597"/>
      <c r="I500" s="597"/>
    </row>
    <row r="501" spans="1:9" ht="20.25">
      <c r="A501" s="597"/>
      <c r="B501" s="597"/>
      <c r="C501" s="597"/>
      <c r="D501" s="597"/>
      <c r="E501" s="597"/>
      <c r="F501" s="597"/>
      <c r="G501" s="597"/>
      <c r="H501" s="597"/>
      <c r="I501" s="597"/>
    </row>
    <row r="502" spans="1:9" ht="20.25">
      <c r="A502" s="597"/>
      <c r="B502" s="597"/>
      <c r="C502" s="597"/>
      <c r="D502" s="597"/>
      <c r="E502" s="597"/>
      <c r="F502" s="597"/>
      <c r="G502" s="597"/>
      <c r="H502" s="597"/>
      <c r="I502" s="597"/>
    </row>
    <row r="503" spans="1:9" ht="20.25">
      <c r="A503" s="597"/>
      <c r="B503" s="597"/>
      <c r="C503" s="597"/>
      <c r="D503" s="597"/>
      <c r="E503" s="597"/>
      <c r="F503" s="597"/>
      <c r="G503" s="597"/>
      <c r="H503" s="597"/>
      <c r="I503" s="597"/>
    </row>
    <row r="504" spans="1:9" ht="20.25">
      <c r="A504" s="597"/>
      <c r="B504" s="597"/>
      <c r="C504" s="597"/>
      <c r="D504" s="597"/>
      <c r="E504" s="597"/>
      <c r="F504" s="597"/>
      <c r="G504" s="597"/>
      <c r="H504" s="597"/>
      <c r="I504" s="597"/>
    </row>
    <row r="505" spans="1:9" ht="20.25">
      <c r="A505" s="597"/>
      <c r="B505" s="597"/>
      <c r="C505" s="597"/>
      <c r="D505" s="597"/>
      <c r="E505" s="597"/>
      <c r="F505" s="597"/>
      <c r="G505" s="597"/>
      <c r="H505" s="597"/>
      <c r="I505" s="597"/>
    </row>
    <row r="506" spans="1:9" ht="20.25">
      <c r="A506" s="597"/>
      <c r="B506" s="597"/>
      <c r="C506" s="597"/>
      <c r="D506" s="597"/>
      <c r="E506" s="597"/>
      <c r="F506" s="597"/>
      <c r="G506" s="597"/>
      <c r="H506" s="597"/>
      <c r="I506" s="597"/>
    </row>
    <row r="507" spans="1:9" ht="20.25">
      <c r="A507" s="597"/>
      <c r="B507" s="597"/>
      <c r="C507" s="597"/>
      <c r="D507" s="597"/>
      <c r="E507" s="597"/>
      <c r="F507" s="597"/>
      <c r="G507" s="597"/>
      <c r="H507" s="597"/>
      <c r="I507" s="597"/>
    </row>
    <row r="508" spans="1:9" ht="20.25">
      <c r="A508" s="597"/>
      <c r="B508" s="597"/>
      <c r="C508" s="597"/>
      <c r="D508" s="597"/>
      <c r="E508" s="597"/>
      <c r="F508" s="597"/>
      <c r="G508" s="597"/>
      <c r="H508" s="597"/>
      <c r="I508" s="597"/>
    </row>
    <row r="509" spans="1:9" ht="20.25">
      <c r="A509" s="597"/>
      <c r="B509" s="597"/>
      <c r="C509" s="597"/>
      <c r="D509" s="597"/>
      <c r="E509" s="597"/>
      <c r="F509" s="597"/>
      <c r="G509" s="597"/>
      <c r="H509" s="597"/>
      <c r="I509" s="597"/>
    </row>
    <row r="510" spans="1:9" ht="20.25">
      <c r="A510" s="597"/>
      <c r="B510" s="597"/>
      <c r="C510" s="597"/>
      <c r="D510" s="597"/>
      <c r="E510" s="597"/>
      <c r="F510" s="597"/>
      <c r="G510" s="597"/>
      <c r="H510" s="597"/>
      <c r="I510" s="597"/>
    </row>
    <row r="511" spans="1:9" ht="20.25">
      <c r="A511" s="597"/>
      <c r="B511" s="597"/>
      <c r="C511" s="597"/>
      <c r="D511" s="597"/>
      <c r="E511" s="597"/>
      <c r="F511" s="597"/>
      <c r="G511" s="597"/>
      <c r="H511" s="597"/>
      <c r="I511" s="597"/>
    </row>
    <row r="512" spans="1:9" ht="20.25">
      <c r="A512" s="597"/>
      <c r="B512" s="597"/>
      <c r="C512" s="597"/>
      <c r="D512" s="597"/>
      <c r="E512" s="597"/>
      <c r="F512" s="597"/>
      <c r="G512" s="597"/>
      <c r="H512" s="597"/>
      <c r="I512" s="597"/>
    </row>
    <row r="513" spans="1:9" ht="20.25">
      <c r="A513" s="597"/>
      <c r="B513" s="597"/>
      <c r="C513" s="597"/>
      <c r="D513" s="597"/>
      <c r="E513" s="597"/>
      <c r="F513" s="597"/>
      <c r="G513" s="597"/>
      <c r="H513" s="597"/>
      <c r="I513" s="597"/>
    </row>
    <row r="514" spans="1:9" ht="20.25">
      <c r="A514" s="597"/>
      <c r="B514" s="597"/>
      <c r="C514" s="597"/>
      <c r="D514" s="597"/>
      <c r="E514" s="597"/>
      <c r="F514" s="597"/>
      <c r="G514" s="597"/>
      <c r="H514" s="597"/>
      <c r="I514" s="597"/>
    </row>
    <row r="515" spans="1:9" ht="20.25">
      <c r="A515" s="597"/>
      <c r="B515" s="597"/>
      <c r="C515" s="597"/>
      <c r="D515" s="597"/>
      <c r="E515" s="597"/>
      <c r="F515" s="597"/>
      <c r="G515" s="597"/>
      <c r="H515" s="597"/>
      <c r="I515" s="597"/>
    </row>
    <row r="516" spans="1:9" ht="20.25">
      <c r="A516" s="597"/>
      <c r="B516" s="597"/>
      <c r="C516" s="597"/>
      <c r="D516" s="597"/>
      <c r="E516" s="597"/>
      <c r="F516" s="597"/>
      <c r="G516" s="597"/>
      <c r="H516" s="597"/>
      <c r="I516" s="597"/>
    </row>
    <row r="517" spans="1:9" ht="20.25">
      <c r="A517" s="597"/>
      <c r="B517" s="597"/>
      <c r="C517" s="597"/>
      <c r="D517" s="597"/>
      <c r="E517" s="597"/>
      <c r="F517" s="597"/>
      <c r="G517" s="597"/>
      <c r="H517" s="597"/>
      <c r="I517" s="597"/>
    </row>
    <row r="518" spans="1:9" ht="20.25">
      <c r="A518" s="597"/>
      <c r="B518" s="597"/>
      <c r="C518" s="597"/>
      <c r="D518" s="597"/>
      <c r="E518" s="597"/>
      <c r="F518" s="597"/>
      <c r="G518" s="597"/>
      <c r="H518" s="597"/>
      <c r="I518" s="597"/>
    </row>
    <row r="519" spans="1:9" ht="20.25">
      <c r="A519" s="597"/>
      <c r="B519" s="597"/>
      <c r="C519" s="597"/>
      <c r="D519" s="597"/>
      <c r="E519" s="597"/>
      <c r="F519" s="597"/>
      <c r="G519" s="597"/>
      <c r="H519" s="597"/>
      <c r="I519" s="597"/>
    </row>
    <row r="520" spans="1:9" ht="20.25">
      <c r="A520" s="597"/>
      <c r="B520" s="597"/>
      <c r="C520" s="597"/>
      <c r="D520" s="597"/>
      <c r="E520" s="597"/>
      <c r="F520" s="597"/>
      <c r="G520" s="597"/>
      <c r="H520" s="597"/>
      <c r="I520" s="597"/>
    </row>
    <row r="521" spans="1:9" ht="20.25">
      <c r="A521" s="597"/>
      <c r="B521" s="597"/>
      <c r="C521" s="597"/>
      <c r="D521" s="597"/>
      <c r="E521" s="597"/>
      <c r="F521" s="597"/>
      <c r="G521" s="597"/>
      <c r="H521" s="597"/>
      <c r="I521" s="597"/>
    </row>
    <row r="522" spans="1:9" ht="20.25">
      <c r="A522" s="597"/>
      <c r="B522" s="597"/>
      <c r="C522" s="597"/>
      <c r="D522" s="597"/>
      <c r="E522" s="597"/>
      <c r="F522" s="597"/>
      <c r="G522" s="597"/>
      <c r="H522" s="597"/>
      <c r="I522" s="597"/>
    </row>
    <row r="523" spans="1:9" ht="20.25">
      <c r="A523" s="597"/>
      <c r="B523" s="597"/>
      <c r="C523" s="597"/>
      <c r="D523" s="597"/>
      <c r="E523" s="597"/>
      <c r="F523" s="597"/>
      <c r="G523" s="597"/>
      <c r="H523" s="597"/>
      <c r="I523" s="597"/>
    </row>
    <row r="524" spans="1:9" ht="20.25">
      <c r="A524" s="597"/>
      <c r="B524" s="597"/>
      <c r="C524" s="597"/>
      <c r="D524" s="597"/>
      <c r="E524" s="597"/>
      <c r="F524" s="597"/>
      <c r="G524" s="597"/>
      <c r="H524" s="597"/>
      <c r="I524" s="597"/>
    </row>
    <row r="525" spans="1:9" ht="20.25">
      <c r="A525" s="597"/>
      <c r="B525" s="597"/>
      <c r="C525" s="597"/>
      <c r="D525" s="597"/>
      <c r="E525" s="597"/>
      <c r="F525" s="597"/>
      <c r="G525" s="597"/>
      <c r="H525" s="597"/>
      <c r="I525" s="597"/>
    </row>
    <row r="526" spans="1:9" ht="20.25">
      <c r="A526" s="597"/>
      <c r="B526" s="597"/>
      <c r="C526" s="597"/>
      <c r="D526" s="597"/>
      <c r="E526" s="597"/>
      <c r="F526" s="597"/>
      <c r="G526" s="597"/>
      <c r="H526" s="597"/>
      <c r="I526" s="597"/>
    </row>
    <row r="527" spans="1:9" ht="20.25">
      <c r="A527" s="597"/>
      <c r="B527" s="597"/>
      <c r="C527" s="597"/>
      <c r="D527" s="597"/>
      <c r="E527" s="597"/>
      <c r="F527" s="597"/>
      <c r="G527" s="597"/>
      <c r="H527" s="597"/>
      <c r="I527" s="597"/>
    </row>
    <row r="528" spans="1:9" ht="20.25">
      <c r="A528" s="597"/>
      <c r="B528" s="597"/>
      <c r="C528" s="597"/>
      <c r="D528" s="597"/>
      <c r="E528" s="597"/>
      <c r="F528" s="597"/>
      <c r="G528" s="597"/>
      <c r="H528" s="597"/>
      <c r="I528" s="597"/>
    </row>
    <row r="529" spans="1:9" ht="20.25">
      <c r="A529" s="597"/>
      <c r="B529" s="597"/>
      <c r="C529" s="597"/>
      <c r="D529" s="597"/>
      <c r="E529" s="597"/>
      <c r="F529" s="597"/>
      <c r="G529" s="597"/>
      <c r="H529" s="597"/>
      <c r="I529" s="597"/>
    </row>
    <row r="530" spans="1:9" ht="20.25">
      <c r="A530" s="597"/>
      <c r="B530" s="597"/>
      <c r="C530" s="597"/>
      <c r="D530" s="597"/>
      <c r="E530" s="597"/>
      <c r="F530" s="597"/>
      <c r="G530" s="597"/>
      <c r="H530" s="597"/>
      <c r="I530" s="597"/>
    </row>
    <row r="531" spans="1:9" ht="20.25">
      <c r="A531" s="597"/>
      <c r="B531" s="597"/>
      <c r="C531" s="597"/>
      <c r="D531" s="597"/>
      <c r="E531" s="597"/>
      <c r="F531" s="597"/>
      <c r="G531" s="597"/>
      <c r="H531" s="597"/>
      <c r="I531" s="597"/>
    </row>
    <row r="532" spans="1:9" ht="20.25">
      <c r="A532" s="597"/>
      <c r="B532" s="597"/>
      <c r="C532" s="597"/>
      <c r="D532" s="597"/>
      <c r="E532" s="597"/>
      <c r="F532" s="597"/>
      <c r="G532" s="597"/>
      <c r="H532" s="597"/>
      <c r="I532" s="597"/>
    </row>
    <row r="533" spans="1:9" ht="20.25">
      <c r="A533" s="597"/>
      <c r="B533" s="597"/>
      <c r="C533" s="597"/>
      <c r="D533" s="597"/>
      <c r="E533" s="597"/>
      <c r="F533" s="597"/>
      <c r="G533" s="597"/>
      <c r="H533" s="597"/>
      <c r="I533" s="597"/>
    </row>
    <row r="534" spans="1:9" ht="20.25">
      <c r="A534" s="597"/>
      <c r="B534" s="597"/>
      <c r="C534" s="597"/>
      <c r="D534" s="597"/>
      <c r="E534" s="597"/>
      <c r="F534" s="597"/>
      <c r="G534" s="597"/>
      <c r="H534" s="597"/>
      <c r="I534" s="597"/>
    </row>
    <row r="535" spans="1:9" ht="20.25">
      <c r="A535" s="597"/>
      <c r="B535" s="597"/>
      <c r="C535" s="597"/>
      <c r="D535" s="597"/>
      <c r="E535" s="597"/>
      <c r="F535" s="597"/>
      <c r="G535" s="597"/>
      <c r="H535" s="597"/>
      <c r="I535" s="597"/>
    </row>
    <row r="536" spans="1:9" ht="20.25">
      <c r="A536" s="597"/>
      <c r="B536" s="597"/>
      <c r="C536" s="597"/>
      <c r="D536" s="597"/>
      <c r="E536" s="597"/>
      <c r="F536" s="597"/>
      <c r="G536" s="597"/>
      <c r="H536" s="597"/>
      <c r="I536" s="597"/>
    </row>
    <row r="537" spans="1:9" ht="20.25">
      <c r="A537" s="597"/>
      <c r="B537" s="597"/>
      <c r="C537" s="597"/>
      <c r="D537" s="597"/>
      <c r="E537" s="597"/>
      <c r="F537" s="597"/>
      <c r="G537" s="597"/>
      <c r="H537" s="597"/>
      <c r="I537" s="597"/>
    </row>
    <row r="538" spans="1:9" ht="20.25">
      <c r="A538" s="597"/>
      <c r="B538" s="597"/>
      <c r="C538" s="597"/>
      <c r="D538" s="597"/>
      <c r="E538" s="597"/>
      <c r="F538" s="597"/>
      <c r="G538" s="597"/>
      <c r="H538" s="597"/>
      <c r="I538" s="597"/>
    </row>
    <row r="539" spans="1:9" ht="20.25">
      <c r="A539" s="597"/>
      <c r="B539" s="597"/>
      <c r="C539" s="597"/>
      <c r="D539" s="597"/>
      <c r="E539" s="597"/>
      <c r="F539" s="597"/>
      <c r="G539" s="597"/>
      <c r="H539" s="597"/>
      <c r="I539" s="597"/>
    </row>
    <row r="540" spans="1:9" ht="20.25">
      <c r="A540" s="597"/>
      <c r="B540" s="597"/>
      <c r="C540" s="597"/>
      <c r="D540" s="597"/>
      <c r="E540" s="597"/>
      <c r="F540" s="597"/>
      <c r="G540" s="597"/>
      <c r="H540" s="597"/>
      <c r="I540" s="597"/>
    </row>
    <row r="541" spans="1:9" ht="20.25">
      <c r="A541" s="597"/>
      <c r="B541" s="597"/>
      <c r="C541" s="597"/>
      <c r="D541" s="597"/>
      <c r="E541" s="597"/>
      <c r="F541" s="597"/>
      <c r="G541" s="597"/>
      <c r="H541" s="597"/>
      <c r="I541" s="597"/>
    </row>
    <row r="542" spans="1:9" ht="20.25">
      <c r="A542" s="597"/>
      <c r="B542" s="597"/>
      <c r="C542" s="597"/>
      <c r="D542" s="597"/>
      <c r="E542" s="597"/>
      <c r="F542" s="597"/>
      <c r="G542" s="597"/>
      <c r="H542" s="597"/>
      <c r="I542" s="597"/>
    </row>
    <row r="543" spans="1:9" ht="20.25">
      <c r="A543" s="597"/>
      <c r="B543" s="597"/>
      <c r="C543" s="597"/>
      <c r="D543" s="597"/>
      <c r="E543" s="597"/>
      <c r="F543" s="597"/>
      <c r="G543" s="597"/>
      <c r="H543" s="597"/>
      <c r="I543" s="597"/>
    </row>
    <row r="544" spans="1:9" ht="20.25">
      <c r="A544" s="597"/>
      <c r="B544" s="597"/>
      <c r="C544" s="597"/>
      <c r="D544" s="597"/>
      <c r="E544" s="597"/>
      <c r="F544" s="597"/>
      <c r="G544" s="597"/>
      <c r="H544" s="597"/>
      <c r="I544" s="597"/>
    </row>
    <row r="545" spans="1:9" ht="20.25">
      <c r="A545" s="597"/>
      <c r="B545" s="597"/>
      <c r="C545" s="597"/>
      <c r="D545" s="597"/>
      <c r="E545" s="597"/>
      <c r="F545" s="597"/>
      <c r="G545" s="597"/>
      <c r="H545" s="597"/>
      <c r="I545" s="597"/>
    </row>
    <row r="546" spans="1:9" ht="20.25">
      <c r="A546" s="597"/>
      <c r="B546" s="597"/>
      <c r="C546" s="597"/>
      <c r="D546" s="597"/>
      <c r="E546" s="597"/>
      <c r="F546" s="597"/>
      <c r="G546" s="597"/>
      <c r="H546" s="597"/>
      <c r="I546" s="597"/>
    </row>
    <row r="547" spans="1:9" ht="20.25">
      <c r="A547" s="597"/>
      <c r="B547" s="597"/>
      <c r="C547" s="597"/>
      <c r="D547" s="597"/>
      <c r="E547" s="597"/>
      <c r="F547" s="597"/>
      <c r="G547" s="597"/>
      <c r="H547" s="597"/>
      <c r="I547" s="597"/>
    </row>
    <row r="548" spans="1:9" ht="20.25">
      <c r="A548" s="597"/>
      <c r="B548" s="597"/>
      <c r="C548" s="597"/>
      <c r="D548" s="597"/>
      <c r="E548" s="597"/>
      <c r="F548" s="597"/>
      <c r="G548" s="597"/>
      <c r="H548" s="597"/>
      <c r="I548" s="597"/>
    </row>
    <row r="549" spans="1:9" ht="20.25">
      <c r="A549" s="597"/>
      <c r="B549" s="597"/>
      <c r="C549" s="597"/>
      <c r="D549" s="597"/>
      <c r="E549" s="597"/>
      <c r="F549" s="597"/>
      <c r="G549" s="597"/>
      <c r="H549" s="597"/>
      <c r="I549" s="597"/>
    </row>
    <row r="550" spans="1:9" ht="20.25">
      <c r="A550" s="597"/>
      <c r="B550" s="597"/>
      <c r="C550" s="597"/>
      <c r="D550" s="597"/>
      <c r="E550" s="597"/>
      <c r="F550" s="597"/>
      <c r="G550" s="597"/>
      <c r="H550" s="597"/>
      <c r="I550" s="597"/>
    </row>
    <row r="551" spans="1:9" ht="20.25">
      <c r="A551" s="597"/>
      <c r="B551" s="597"/>
      <c r="C551" s="597"/>
      <c r="D551" s="597"/>
      <c r="E551" s="597"/>
      <c r="F551" s="597"/>
      <c r="G551" s="597"/>
      <c r="H551" s="597"/>
      <c r="I551" s="597"/>
    </row>
    <row r="552" spans="1:9" ht="20.25">
      <c r="A552" s="597"/>
      <c r="B552" s="597"/>
      <c r="C552" s="597"/>
      <c r="D552" s="597"/>
      <c r="E552" s="597"/>
      <c r="F552" s="597"/>
      <c r="G552" s="597"/>
      <c r="H552" s="597"/>
      <c r="I552" s="597"/>
    </row>
    <row r="553" spans="1:9" ht="20.25">
      <c r="A553" s="597"/>
      <c r="B553" s="597"/>
      <c r="C553" s="597"/>
      <c r="D553" s="597"/>
      <c r="E553" s="597"/>
      <c r="F553" s="597"/>
      <c r="G553" s="597"/>
      <c r="H553" s="597"/>
      <c r="I553" s="597"/>
    </row>
    <row r="554" spans="1:9" ht="20.25">
      <c r="A554" s="597"/>
      <c r="B554" s="597"/>
      <c r="C554" s="597"/>
      <c r="D554" s="597"/>
      <c r="E554" s="597"/>
      <c r="F554" s="597"/>
      <c r="G554" s="597"/>
      <c r="H554" s="597"/>
      <c r="I554" s="597"/>
    </row>
    <row r="555" spans="1:9" ht="20.25">
      <c r="A555" s="597"/>
      <c r="B555" s="597"/>
      <c r="C555" s="597"/>
      <c r="D555" s="597"/>
      <c r="E555" s="597"/>
      <c r="F555" s="597"/>
      <c r="G555" s="597"/>
      <c r="H555" s="597"/>
      <c r="I555" s="597"/>
    </row>
    <row r="556" spans="1:9" ht="20.25">
      <c r="A556" s="597"/>
      <c r="B556" s="597"/>
      <c r="C556" s="597"/>
      <c r="D556" s="597"/>
      <c r="E556" s="597"/>
      <c r="F556" s="597"/>
      <c r="G556" s="597"/>
      <c r="H556" s="597"/>
      <c r="I556" s="597"/>
    </row>
    <row r="557" spans="1:9" ht="20.25">
      <c r="A557" s="597"/>
      <c r="B557" s="597"/>
      <c r="C557" s="597"/>
      <c r="D557" s="597"/>
      <c r="E557" s="597"/>
      <c r="F557" s="597"/>
      <c r="G557" s="597"/>
      <c r="H557" s="597"/>
      <c r="I557" s="597"/>
    </row>
    <row r="558" spans="1:9" ht="20.25">
      <c r="A558" s="597"/>
      <c r="B558" s="597"/>
      <c r="C558" s="597"/>
      <c r="D558" s="597"/>
      <c r="E558" s="597"/>
      <c r="F558" s="597"/>
      <c r="G558" s="597"/>
      <c r="H558" s="597"/>
      <c r="I558" s="597"/>
    </row>
    <row r="559" spans="1:9" ht="20.25">
      <c r="A559" s="597"/>
      <c r="B559" s="597"/>
      <c r="C559" s="597"/>
      <c r="D559" s="597"/>
      <c r="E559" s="597"/>
      <c r="F559" s="597"/>
      <c r="G559" s="597"/>
      <c r="H559" s="597"/>
      <c r="I559" s="597"/>
    </row>
    <row r="560" spans="1:9" ht="20.25">
      <c r="A560" s="597"/>
      <c r="B560" s="597"/>
      <c r="C560" s="597"/>
      <c r="D560" s="597"/>
      <c r="E560" s="597"/>
      <c r="F560" s="597"/>
      <c r="G560" s="597"/>
      <c r="H560" s="597"/>
      <c r="I560" s="597"/>
    </row>
    <row r="561" spans="1:9" ht="20.25">
      <c r="A561" s="597"/>
      <c r="B561" s="597"/>
      <c r="C561" s="597"/>
      <c r="D561" s="597"/>
      <c r="E561" s="597"/>
      <c r="F561" s="597"/>
      <c r="G561" s="597"/>
      <c r="H561" s="597"/>
      <c r="I561" s="597"/>
    </row>
    <row r="562" spans="1:9" ht="20.25">
      <c r="A562" s="597"/>
      <c r="B562" s="597"/>
      <c r="C562" s="597"/>
      <c r="D562" s="597"/>
      <c r="E562" s="597"/>
      <c r="F562" s="597"/>
      <c r="G562" s="597"/>
      <c r="H562" s="597"/>
      <c r="I562" s="597"/>
    </row>
    <row r="563" spans="1:9" ht="20.25">
      <c r="A563" s="597"/>
      <c r="B563" s="597"/>
      <c r="C563" s="597"/>
      <c r="D563" s="597"/>
      <c r="E563" s="597"/>
      <c r="F563" s="597"/>
      <c r="G563" s="597"/>
      <c r="H563" s="597"/>
      <c r="I563" s="597"/>
    </row>
    <row r="564" spans="1:9" ht="20.25">
      <c r="A564" s="597"/>
      <c r="B564" s="597"/>
      <c r="C564" s="597"/>
      <c r="D564" s="597"/>
      <c r="E564" s="597"/>
      <c r="F564" s="597"/>
      <c r="G564" s="597"/>
      <c r="H564" s="597"/>
      <c r="I564" s="597"/>
    </row>
    <row r="565" spans="1:9" ht="20.25">
      <c r="A565" s="597"/>
      <c r="B565" s="597"/>
      <c r="C565" s="597"/>
      <c r="D565" s="597"/>
      <c r="E565" s="597"/>
      <c r="F565" s="597"/>
      <c r="G565" s="597"/>
      <c r="H565" s="597"/>
      <c r="I565" s="597"/>
    </row>
    <row r="566" spans="1:9" ht="20.25">
      <c r="A566" s="597"/>
      <c r="B566" s="597"/>
      <c r="C566" s="597"/>
      <c r="D566" s="597"/>
      <c r="E566" s="597"/>
      <c r="F566" s="597"/>
      <c r="G566" s="597"/>
      <c r="H566" s="597"/>
      <c r="I566" s="597"/>
    </row>
    <row r="567" spans="1:9" ht="20.25">
      <c r="A567" s="597"/>
      <c r="B567" s="597"/>
      <c r="C567" s="597"/>
      <c r="D567" s="597"/>
      <c r="E567" s="597"/>
      <c r="F567" s="597"/>
      <c r="G567" s="597"/>
      <c r="H567" s="597"/>
      <c r="I567" s="597"/>
    </row>
    <row r="568" spans="1:9" ht="20.25">
      <c r="A568" s="597"/>
      <c r="B568" s="597"/>
      <c r="C568" s="597"/>
      <c r="D568" s="597"/>
      <c r="E568" s="597"/>
      <c r="F568" s="597"/>
      <c r="G568" s="597"/>
      <c r="H568" s="597"/>
      <c r="I568" s="597"/>
    </row>
    <row r="569" spans="1:9" ht="20.25">
      <c r="A569" s="597"/>
      <c r="B569" s="597"/>
      <c r="C569" s="597"/>
      <c r="D569" s="597"/>
      <c r="E569" s="597"/>
      <c r="F569" s="597"/>
      <c r="G569" s="597"/>
      <c r="H569" s="597"/>
      <c r="I569" s="597"/>
    </row>
    <row r="570" spans="1:9" ht="20.25">
      <c r="A570" s="597"/>
      <c r="B570" s="597"/>
      <c r="C570" s="597"/>
      <c r="D570" s="597"/>
      <c r="E570" s="597"/>
      <c r="F570" s="597"/>
      <c r="G570" s="597"/>
      <c r="H570" s="597"/>
      <c r="I570" s="597"/>
    </row>
    <row r="571" spans="1:9" ht="20.25">
      <c r="A571" s="597"/>
      <c r="B571" s="597"/>
      <c r="C571" s="597"/>
      <c r="D571" s="597"/>
      <c r="E571" s="597"/>
      <c r="F571" s="597"/>
      <c r="G571" s="597"/>
      <c r="H571" s="597"/>
      <c r="I571" s="597"/>
    </row>
    <row r="572" spans="1:9" ht="20.25">
      <c r="A572" s="597"/>
      <c r="B572" s="597"/>
      <c r="C572" s="597"/>
      <c r="D572" s="597"/>
      <c r="E572" s="597"/>
      <c r="F572" s="597"/>
      <c r="G572" s="597"/>
      <c r="H572" s="597"/>
      <c r="I572" s="597"/>
    </row>
    <row r="573" spans="1:9" ht="20.25">
      <c r="A573" s="597"/>
      <c r="B573" s="597"/>
      <c r="C573" s="597"/>
      <c r="D573" s="597"/>
      <c r="E573" s="597"/>
      <c r="F573" s="597"/>
      <c r="G573" s="597"/>
      <c r="H573" s="597"/>
      <c r="I573" s="597"/>
    </row>
    <row r="574" spans="1:9" ht="20.25">
      <c r="A574" s="597"/>
      <c r="B574" s="597"/>
      <c r="C574" s="597"/>
      <c r="D574" s="597"/>
      <c r="E574" s="597"/>
      <c r="F574" s="597"/>
      <c r="G574" s="597"/>
      <c r="H574" s="597"/>
      <c r="I574" s="597"/>
    </row>
    <row r="575" spans="1:9" ht="20.25">
      <c r="A575" s="597"/>
      <c r="B575" s="597"/>
      <c r="C575" s="597"/>
      <c r="D575" s="597"/>
      <c r="E575" s="597"/>
      <c r="F575" s="597"/>
      <c r="G575" s="597"/>
      <c r="H575" s="597"/>
      <c r="I575" s="597"/>
    </row>
    <row r="576" spans="1:9" ht="20.25">
      <c r="A576" s="597"/>
      <c r="B576" s="597"/>
      <c r="C576" s="597"/>
      <c r="D576" s="597"/>
      <c r="E576" s="597"/>
      <c r="F576" s="597"/>
      <c r="G576" s="597"/>
      <c r="H576" s="597"/>
      <c r="I576" s="597"/>
    </row>
    <row r="577" spans="1:9" ht="20.25">
      <c r="A577" s="597"/>
      <c r="B577" s="597"/>
      <c r="C577" s="597"/>
      <c r="D577" s="597"/>
      <c r="E577" s="597"/>
      <c r="F577" s="597"/>
      <c r="G577" s="597"/>
      <c r="H577" s="597"/>
      <c r="I577" s="597"/>
    </row>
    <row r="578" spans="1:9" ht="20.25">
      <c r="A578" s="597"/>
      <c r="B578" s="597"/>
      <c r="C578" s="597"/>
      <c r="D578" s="597"/>
      <c r="E578" s="597"/>
      <c r="F578" s="597"/>
      <c r="G578" s="597"/>
      <c r="H578" s="597"/>
      <c r="I578" s="597"/>
    </row>
    <row r="579" spans="1:9" ht="20.25">
      <c r="A579" s="597"/>
      <c r="B579" s="597"/>
      <c r="C579" s="597"/>
      <c r="D579" s="597"/>
      <c r="E579" s="597"/>
      <c r="F579" s="597"/>
      <c r="G579" s="597"/>
      <c r="H579" s="597"/>
      <c r="I579" s="597"/>
    </row>
    <row r="580" spans="1:9" ht="20.25">
      <c r="A580" s="597"/>
      <c r="B580" s="597"/>
      <c r="C580" s="597"/>
      <c r="D580" s="597"/>
      <c r="E580" s="597"/>
      <c r="F580" s="597"/>
      <c r="G580" s="597"/>
      <c r="H580" s="597"/>
      <c r="I580" s="597"/>
    </row>
    <row r="581" spans="1:9" ht="20.25">
      <c r="A581" s="597"/>
      <c r="B581" s="597"/>
      <c r="C581" s="597"/>
      <c r="D581" s="597"/>
      <c r="E581" s="597"/>
      <c r="F581" s="597"/>
      <c r="G581" s="597"/>
      <c r="H581" s="597"/>
      <c r="I581" s="597"/>
    </row>
    <row r="582" spans="1:9" ht="20.25">
      <c r="A582" s="597"/>
      <c r="B582" s="597"/>
      <c r="C582" s="597"/>
      <c r="D582" s="597"/>
      <c r="E582" s="597"/>
      <c r="F582" s="597"/>
      <c r="G582" s="597"/>
      <c r="H582" s="597"/>
      <c r="I582" s="597"/>
    </row>
    <row r="583" spans="1:9" ht="20.25">
      <c r="A583" s="597"/>
      <c r="B583" s="597"/>
      <c r="C583" s="597"/>
      <c r="D583" s="597"/>
      <c r="E583" s="597"/>
      <c r="F583" s="597"/>
      <c r="G583" s="597"/>
      <c r="H583" s="597"/>
      <c r="I583" s="597"/>
    </row>
    <row r="584" spans="1:9" ht="20.25">
      <c r="A584" s="597"/>
      <c r="B584" s="597"/>
      <c r="C584" s="597"/>
      <c r="D584" s="597"/>
      <c r="E584" s="597"/>
      <c r="F584" s="597"/>
      <c r="G584" s="597"/>
      <c r="H584" s="597"/>
      <c r="I584" s="597"/>
    </row>
    <row r="585" spans="1:9" ht="20.25">
      <c r="A585" s="597"/>
      <c r="B585" s="597"/>
      <c r="C585" s="597"/>
      <c r="D585" s="597"/>
      <c r="E585" s="597"/>
      <c r="F585" s="597"/>
      <c r="G585" s="597"/>
      <c r="H585" s="597"/>
      <c r="I585" s="597"/>
    </row>
    <row r="586" spans="1:9" ht="20.25">
      <c r="A586" s="597"/>
      <c r="B586" s="597"/>
      <c r="C586" s="597"/>
      <c r="D586" s="597"/>
      <c r="E586" s="597"/>
      <c r="F586" s="597"/>
      <c r="G586" s="597"/>
      <c r="H586" s="597"/>
      <c r="I586" s="597"/>
    </row>
    <row r="587" spans="1:9" ht="20.25">
      <c r="A587" s="597"/>
      <c r="B587" s="597"/>
      <c r="C587" s="597"/>
      <c r="D587" s="597"/>
      <c r="E587" s="597"/>
      <c r="F587" s="597"/>
      <c r="G587" s="597"/>
      <c r="H587" s="597"/>
      <c r="I587" s="597"/>
    </row>
    <row r="588" spans="1:9" ht="20.25">
      <c r="A588" s="597"/>
      <c r="B588" s="597"/>
      <c r="C588" s="597"/>
      <c r="D588" s="597"/>
      <c r="E588" s="597"/>
      <c r="F588" s="597"/>
      <c r="G588" s="597"/>
      <c r="H588" s="597"/>
      <c r="I588" s="597"/>
    </row>
    <row r="589" spans="1:9" ht="20.25">
      <c r="A589" s="597"/>
      <c r="B589" s="597"/>
      <c r="C589" s="597"/>
      <c r="D589" s="597"/>
      <c r="E589" s="597"/>
      <c r="F589" s="597"/>
      <c r="G589" s="597"/>
      <c r="H589" s="597"/>
      <c r="I589" s="597"/>
    </row>
    <row r="590" spans="1:9" ht="20.25">
      <c r="A590" s="597"/>
      <c r="B590" s="597"/>
      <c r="C590" s="597"/>
      <c r="D590" s="597"/>
      <c r="E590" s="597"/>
      <c r="F590" s="597"/>
      <c r="G590" s="597"/>
      <c r="H590" s="597"/>
      <c r="I590" s="597"/>
    </row>
    <row r="591" spans="1:9" ht="20.25">
      <c r="A591" s="597"/>
      <c r="B591" s="597"/>
      <c r="C591" s="597"/>
      <c r="D591" s="597"/>
      <c r="E591" s="597"/>
      <c r="F591" s="597"/>
      <c r="G591" s="597"/>
      <c r="H591" s="597"/>
      <c r="I591" s="597"/>
    </row>
    <row r="592" spans="1:9" ht="20.25">
      <c r="A592" s="597"/>
      <c r="B592" s="597"/>
      <c r="C592" s="597"/>
      <c r="D592" s="597"/>
      <c r="E592" s="597"/>
      <c r="F592" s="597"/>
      <c r="G592" s="597"/>
      <c r="H592" s="597"/>
      <c r="I592" s="597"/>
    </row>
    <row r="593" spans="1:9" ht="20.25">
      <c r="A593" s="597"/>
      <c r="B593" s="597"/>
      <c r="C593" s="597"/>
      <c r="D593" s="597"/>
      <c r="E593" s="597"/>
      <c r="F593" s="597"/>
      <c r="G593" s="597"/>
      <c r="H593" s="597"/>
      <c r="I593" s="597"/>
    </row>
    <row r="594" spans="1:9" ht="20.25">
      <c r="A594" s="597"/>
      <c r="B594" s="597"/>
      <c r="C594" s="597"/>
      <c r="D594" s="597"/>
      <c r="E594" s="597"/>
      <c r="F594" s="597"/>
      <c r="G594" s="597"/>
      <c r="H594" s="597"/>
      <c r="I594" s="597"/>
    </row>
    <row r="595" spans="1:9" ht="20.25">
      <c r="A595" s="597"/>
      <c r="B595" s="597"/>
      <c r="C595" s="597"/>
      <c r="D595" s="597"/>
      <c r="E595" s="597"/>
      <c r="F595" s="597"/>
      <c r="G595" s="597"/>
      <c r="H595" s="597"/>
      <c r="I595" s="597"/>
    </row>
    <row r="596" spans="1:9" ht="20.25">
      <c r="A596" s="597"/>
      <c r="B596" s="597"/>
      <c r="C596" s="597"/>
      <c r="D596" s="597"/>
      <c r="E596" s="597"/>
      <c r="F596" s="597"/>
      <c r="G596" s="597"/>
      <c r="H596" s="597"/>
      <c r="I596" s="597"/>
    </row>
    <row r="597" spans="1:9" ht="20.25">
      <c r="A597" s="597"/>
      <c r="B597" s="597"/>
      <c r="C597" s="597"/>
      <c r="D597" s="597"/>
      <c r="E597" s="597"/>
      <c r="F597" s="597"/>
      <c r="G597" s="597"/>
      <c r="H597" s="597"/>
      <c r="I597" s="597"/>
    </row>
    <row r="598" spans="1:9" ht="20.25">
      <c r="A598" s="597"/>
      <c r="B598" s="597"/>
      <c r="C598" s="597"/>
      <c r="D598" s="597"/>
      <c r="E598" s="597"/>
      <c r="F598" s="597"/>
      <c r="G598" s="597"/>
      <c r="H598" s="597"/>
      <c r="I598" s="597"/>
    </row>
    <row r="599" spans="1:9" ht="20.25">
      <c r="A599" s="597"/>
      <c r="B599" s="597"/>
      <c r="C599" s="597"/>
      <c r="D599" s="597"/>
      <c r="E599" s="597"/>
      <c r="F599" s="597"/>
      <c r="G599" s="597"/>
      <c r="H599" s="597"/>
      <c r="I599" s="597"/>
    </row>
    <row r="600" spans="1:9" ht="20.25">
      <c r="A600" s="597"/>
      <c r="B600" s="597"/>
      <c r="C600" s="597"/>
      <c r="D600" s="597"/>
      <c r="E600" s="597"/>
      <c r="F600" s="597"/>
      <c r="G600" s="597"/>
      <c r="H600" s="597"/>
      <c r="I600" s="597"/>
    </row>
    <row r="601" spans="1:9" ht="20.25">
      <c r="A601" s="597"/>
      <c r="B601" s="597"/>
      <c r="C601" s="597"/>
      <c r="D601" s="597"/>
      <c r="E601" s="597"/>
      <c r="F601" s="597"/>
      <c r="G601" s="597"/>
      <c r="H601" s="597"/>
      <c r="I601" s="597"/>
    </row>
    <row r="602" spans="1:9" ht="20.25">
      <c r="A602" s="597"/>
      <c r="B602" s="597"/>
      <c r="C602" s="597"/>
      <c r="D602" s="597"/>
      <c r="E602" s="597"/>
      <c r="F602" s="597"/>
      <c r="G602" s="597"/>
      <c r="H602" s="597"/>
      <c r="I602" s="597"/>
    </row>
    <row r="603" spans="1:9" ht="20.25">
      <c r="A603" s="597"/>
      <c r="B603" s="597"/>
      <c r="C603" s="597"/>
      <c r="D603" s="597"/>
      <c r="E603" s="597"/>
      <c r="F603" s="597"/>
      <c r="G603" s="597"/>
      <c r="H603" s="597"/>
      <c r="I603" s="597"/>
    </row>
    <row r="604" spans="1:9" ht="20.25">
      <c r="A604" s="597"/>
      <c r="B604" s="597"/>
      <c r="C604" s="597"/>
      <c r="D604" s="597"/>
      <c r="E604" s="597"/>
      <c r="F604" s="597"/>
      <c r="G604" s="597"/>
      <c r="H604" s="597"/>
      <c r="I604" s="597"/>
    </row>
    <row r="605" spans="1:9" ht="20.25">
      <c r="A605" s="597"/>
      <c r="B605" s="597"/>
      <c r="C605" s="597"/>
      <c r="D605" s="597"/>
      <c r="E605" s="597"/>
      <c r="F605" s="597"/>
      <c r="G605" s="597"/>
      <c r="H605" s="597"/>
      <c r="I605" s="597"/>
    </row>
    <row r="606" spans="1:9" ht="20.25">
      <c r="A606" s="597"/>
      <c r="B606" s="597"/>
      <c r="C606" s="597"/>
      <c r="D606" s="597"/>
      <c r="E606" s="597"/>
      <c r="F606" s="597"/>
      <c r="G606" s="597"/>
      <c r="H606" s="597"/>
      <c r="I606" s="597"/>
    </row>
    <row r="607" spans="1:9" ht="20.25">
      <c r="A607" s="597"/>
      <c r="B607" s="597"/>
      <c r="C607" s="597"/>
      <c r="D607" s="597"/>
      <c r="E607" s="597"/>
      <c r="F607" s="597"/>
      <c r="G607" s="597"/>
      <c r="H607" s="597"/>
      <c r="I607" s="597"/>
    </row>
    <row r="608" spans="1:9" ht="20.25">
      <c r="A608" s="597"/>
      <c r="B608" s="597"/>
      <c r="C608" s="597"/>
      <c r="D608" s="597"/>
      <c r="E608" s="597"/>
      <c r="F608" s="597"/>
      <c r="G608" s="597"/>
      <c r="H608" s="597"/>
      <c r="I608" s="597"/>
    </row>
    <row r="609" spans="1:9" ht="20.25">
      <c r="A609" s="597"/>
      <c r="B609" s="597"/>
      <c r="C609" s="597"/>
      <c r="D609" s="597"/>
      <c r="E609" s="597"/>
      <c r="F609" s="597"/>
      <c r="G609" s="597"/>
      <c r="H609" s="597"/>
      <c r="I609" s="597"/>
    </row>
    <row r="610" spans="1:9" ht="20.25">
      <c r="A610" s="597"/>
      <c r="B610" s="597"/>
      <c r="C610" s="597"/>
      <c r="D610" s="597"/>
      <c r="E610" s="597"/>
      <c r="F610" s="597"/>
      <c r="G610" s="597"/>
      <c r="H610" s="597"/>
      <c r="I610" s="597"/>
    </row>
    <row r="611" spans="1:9" ht="20.25">
      <c r="A611" s="597"/>
      <c r="B611" s="597"/>
      <c r="C611" s="597"/>
      <c r="D611" s="597"/>
      <c r="E611" s="597"/>
      <c r="F611" s="597"/>
      <c r="G611" s="597"/>
      <c r="H611" s="597"/>
      <c r="I611" s="597"/>
    </row>
    <row r="612" spans="1:9" ht="20.25">
      <c r="A612" s="597"/>
      <c r="B612" s="597"/>
      <c r="C612" s="597"/>
      <c r="D612" s="597"/>
      <c r="E612" s="597"/>
      <c r="F612" s="597"/>
      <c r="G612" s="597"/>
      <c r="H612" s="597"/>
      <c r="I612" s="597"/>
    </row>
    <row r="613" spans="1:9" ht="20.25">
      <c r="A613" s="597"/>
      <c r="B613" s="597"/>
      <c r="C613" s="597"/>
      <c r="D613" s="597"/>
      <c r="E613" s="597"/>
      <c r="F613" s="597"/>
      <c r="G613" s="597"/>
      <c r="H613" s="597"/>
      <c r="I613" s="597"/>
    </row>
    <row r="614" spans="1:9" ht="20.25">
      <c r="A614" s="597"/>
      <c r="B614" s="597"/>
      <c r="C614" s="597"/>
      <c r="D614" s="597"/>
      <c r="E614" s="597"/>
      <c r="F614" s="597"/>
      <c r="G614" s="597"/>
      <c r="H614" s="597"/>
      <c r="I614" s="597"/>
    </row>
    <row r="615" spans="1:9" ht="20.25">
      <c r="A615" s="597"/>
      <c r="B615" s="597"/>
      <c r="C615" s="597"/>
      <c r="D615" s="597"/>
      <c r="E615" s="597"/>
      <c r="F615" s="597"/>
      <c r="G615" s="597"/>
      <c r="H615" s="597"/>
      <c r="I615" s="597"/>
    </row>
    <row r="616" spans="1:9" ht="20.25">
      <c r="A616" s="597"/>
      <c r="B616" s="597"/>
      <c r="C616" s="597"/>
      <c r="D616" s="597"/>
      <c r="E616" s="597"/>
      <c r="F616" s="597"/>
      <c r="G616" s="597"/>
      <c r="H616" s="597"/>
      <c r="I616" s="597"/>
    </row>
    <row r="617" spans="1:9" ht="20.25">
      <c r="A617" s="597"/>
      <c r="B617" s="597"/>
      <c r="C617" s="597"/>
      <c r="D617" s="597"/>
      <c r="E617" s="597"/>
      <c r="F617" s="597"/>
      <c r="G617" s="597"/>
      <c r="H617" s="597"/>
      <c r="I617" s="597"/>
    </row>
    <row r="618" spans="1:9" ht="20.25">
      <c r="A618" s="597"/>
      <c r="B618" s="597"/>
      <c r="C618" s="597"/>
      <c r="D618" s="597"/>
      <c r="E618" s="597"/>
      <c r="F618" s="597"/>
      <c r="G618" s="597"/>
      <c r="H618" s="597"/>
      <c r="I618" s="597"/>
    </row>
    <row r="619" spans="1:9" ht="20.25">
      <c r="A619" s="597"/>
      <c r="B619" s="597"/>
      <c r="C619" s="597"/>
      <c r="D619" s="597"/>
      <c r="E619" s="597"/>
      <c r="F619" s="597"/>
      <c r="G619" s="597"/>
      <c r="H619" s="597"/>
      <c r="I619" s="597"/>
    </row>
    <row r="620" spans="1:9" ht="20.25">
      <c r="A620" s="597"/>
      <c r="B620" s="597"/>
      <c r="C620" s="597"/>
      <c r="D620" s="597"/>
      <c r="E620" s="597"/>
      <c r="F620" s="597"/>
      <c r="G620" s="597"/>
      <c r="H620" s="597"/>
      <c r="I620" s="597"/>
    </row>
    <row r="621" spans="1:9" ht="20.25">
      <c r="A621" s="597"/>
      <c r="B621" s="597"/>
      <c r="C621" s="597"/>
      <c r="D621" s="597"/>
      <c r="E621" s="597"/>
      <c r="F621" s="597"/>
      <c r="G621" s="597"/>
      <c r="H621" s="597"/>
      <c r="I621" s="597"/>
    </row>
    <row r="622" spans="1:9" ht="20.25">
      <c r="A622" s="597"/>
      <c r="B622" s="597"/>
      <c r="C622" s="597"/>
      <c r="D622" s="597"/>
      <c r="E622" s="597"/>
      <c r="F622" s="597"/>
      <c r="G622" s="597"/>
      <c r="H622" s="597"/>
      <c r="I622" s="597"/>
    </row>
    <row r="623" spans="1:9" ht="20.25">
      <c r="A623" s="597"/>
      <c r="B623" s="597"/>
      <c r="C623" s="597"/>
      <c r="D623" s="597"/>
      <c r="E623" s="597"/>
      <c r="F623" s="597"/>
      <c r="G623" s="597"/>
      <c r="H623" s="597"/>
      <c r="I623" s="597"/>
    </row>
    <row r="624" spans="1:9" ht="20.25">
      <c r="A624" s="597"/>
      <c r="B624" s="597"/>
      <c r="C624" s="597"/>
      <c r="D624" s="597"/>
      <c r="E624" s="597"/>
      <c r="F624" s="597"/>
      <c r="G624" s="597"/>
      <c r="H624" s="597"/>
      <c r="I624" s="597"/>
    </row>
    <row r="625" spans="1:9" ht="20.25">
      <c r="A625" s="597"/>
      <c r="B625" s="597"/>
      <c r="C625" s="597"/>
      <c r="D625" s="597"/>
      <c r="E625" s="597"/>
      <c r="F625" s="597"/>
      <c r="G625" s="597"/>
      <c r="H625" s="597"/>
      <c r="I625" s="597"/>
    </row>
    <row r="626" spans="1:9" ht="20.25">
      <c r="A626" s="597"/>
      <c r="B626" s="597"/>
      <c r="C626" s="597"/>
      <c r="D626" s="597"/>
      <c r="E626" s="597"/>
      <c r="F626" s="597"/>
      <c r="G626" s="597"/>
      <c r="H626" s="597"/>
      <c r="I626" s="597"/>
    </row>
    <row r="627" spans="1:9" ht="20.25">
      <c r="A627" s="597"/>
      <c r="B627" s="597"/>
      <c r="C627" s="597"/>
      <c r="D627" s="597"/>
      <c r="E627" s="597"/>
      <c r="F627" s="597"/>
      <c r="G627" s="597"/>
      <c r="H627" s="597"/>
      <c r="I627" s="597"/>
    </row>
    <row r="628" spans="1:9" ht="20.25">
      <c r="A628" s="597"/>
      <c r="B628" s="597"/>
      <c r="C628" s="597"/>
      <c r="D628" s="597"/>
      <c r="E628" s="597"/>
      <c r="F628" s="597"/>
      <c r="G628" s="597"/>
      <c r="H628" s="597"/>
      <c r="I628" s="597"/>
    </row>
    <row r="629" spans="1:9" ht="20.25">
      <c r="A629" s="597"/>
      <c r="B629" s="597"/>
      <c r="C629" s="597"/>
      <c r="D629" s="597"/>
      <c r="E629" s="597"/>
      <c r="F629" s="597"/>
      <c r="G629" s="597"/>
      <c r="H629" s="597"/>
      <c r="I629" s="597"/>
    </row>
    <row r="630" spans="1:9" ht="20.25">
      <c r="A630" s="597"/>
      <c r="B630" s="597"/>
      <c r="C630" s="597"/>
      <c r="D630" s="597"/>
      <c r="E630" s="597"/>
      <c r="F630" s="597"/>
      <c r="G630" s="597"/>
      <c r="H630" s="597"/>
      <c r="I630" s="597"/>
    </row>
    <row r="631" spans="1:9" ht="20.25">
      <c r="A631" s="597"/>
      <c r="B631" s="597"/>
      <c r="C631" s="597"/>
      <c r="D631" s="597"/>
      <c r="E631" s="597"/>
      <c r="F631" s="597"/>
      <c r="G631" s="597"/>
      <c r="H631" s="597"/>
      <c r="I631" s="597"/>
    </row>
    <row r="632" spans="1:9" ht="20.25">
      <c r="A632" s="597"/>
      <c r="B632" s="597"/>
      <c r="C632" s="597"/>
      <c r="D632" s="597"/>
      <c r="E632" s="597"/>
      <c r="F632" s="597"/>
      <c r="G632" s="597"/>
      <c r="H632" s="597"/>
      <c r="I632" s="597"/>
    </row>
    <row r="633" spans="1:9" ht="20.25">
      <c r="A633" s="597"/>
      <c r="B633" s="597"/>
      <c r="C633" s="597"/>
      <c r="D633" s="597"/>
      <c r="E633" s="597"/>
      <c r="F633" s="597"/>
      <c r="G633" s="597"/>
      <c r="H633" s="597"/>
      <c r="I633" s="597"/>
    </row>
    <row r="634" spans="1:9" ht="20.25">
      <c r="A634" s="597"/>
      <c r="B634" s="597"/>
      <c r="C634" s="597"/>
      <c r="D634" s="597"/>
      <c r="E634" s="597"/>
      <c r="F634" s="597"/>
      <c r="G634" s="597"/>
      <c r="H634" s="597"/>
      <c r="I634" s="597"/>
    </row>
    <row r="635" spans="1:9" ht="20.25">
      <c r="A635" s="597"/>
      <c r="B635" s="597"/>
      <c r="C635" s="597"/>
      <c r="D635" s="597"/>
      <c r="E635" s="597"/>
      <c r="F635" s="597"/>
      <c r="G635" s="597"/>
      <c r="H635" s="597"/>
      <c r="I635" s="597"/>
    </row>
    <row r="636" spans="1:9" ht="20.25">
      <c r="A636" s="597"/>
      <c r="B636" s="597"/>
      <c r="C636" s="597"/>
      <c r="D636" s="597"/>
      <c r="E636" s="597"/>
      <c r="F636" s="597"/>
      <c r="G636" s="597"/>
      <c r="H636" s="597"/>
      <c r="I636" s="597"/>
    </row>
    <row r="637" spans="1:9" ht="20.25">
      <c r="A637" s="597"/>
      <c r="B637" s="597"/>
      <c r="C637" s="597"/>
      <c r="D637" s="597"/>
      <c r="E637" s="597"/>
      <c r="F637" s="597"/>
      <c r="G637" s="597"/>
      <c r="H637" s="597"/>
      <c r="I637" s="597"/>
    </row>
    <row r="638" spans="1:9" ht="20.25">
      <c r="A638" s="597"/>
      <c r="B638" s="597"/>
      <c r="C638" s="597"/>
      <c r="D638" s="597"/>
      <c r="E638" s="597"/>
      <c r="F638" s="597"/>
      <c r="G638" s="597"/>
      <c r="H638" s="597"/>
      <c r="I638" s="597"/>
    </row>
    <row r="639" spans="1:9" ht="20.25">
      <c r="A639" s="597"/>
      <c r="B639" s="597"/>
      <c r="C639" s="597"/>
      <c r="D639" s="597"/>
      <c r="E639" s="597"/>
      <c r="F639" s="597"/>
      <c r="G639" s="597"/>
      <c r="H639" s="597"/>
      <c r="I639" s="597"/>
    </row>
    <row r="640" spans="1:9" ht="20.25">
      <c r="A640" s="597"/>
      <c r="B640" s="597"/>
      <c r="C640" s="597"/>
      <c r="D640" s="597"/>
      <c r="E640" s="597"/>
      <c r="F640" s="597"/>
      <c r="G640" s="597"/>
      <c r="H640" s="597"/>
      <c r="I640" s="597"/>
    </row>
    <row r="641" spans="1:9" ht="20.25">
      <c r="A641" s="597"/>
      <c r="B641" s="597"/>
      <c r="C641" s="597"/>
      <c r="D641" s="597"/>
      <c r="E641" s="597"/>
      <c r="F641" s="597"/>
      <c r="G641" s="597"/>
      <c r="H641" s="597"/>
      <c r="I641" s="597"/>
    </row>
    <row r="642" spans="1:9" ht="20.25">
      <c r="A642" s="597"/>
      <c r="B642" s="597"/>
      <c r="C642" s="597"/>
      <c r="D642" s="597"/>
      <c r="E642" s="597"/>
      <c r="F642" s="597"/>
      <c r="G642" s="597"/>
      <c r="H642" s="597"/>
      <c r="I642" s="597"/>
    </row>
    <row r="643" spans="1:9" ht="20.25">
      <c r="A643" s="597"/>
      <c r="B643" s="597"/>
      <c r="C643" s="597"/>
      <c r="D643" s="597"/>
      <c r="E643" s="597"/>
      <c r="F643" s="597"/>
      <c r="G643" s="597"/>
      <c r="H643" s="597"/>
      <c r="I643" s="597"/>
    </row>
    <row r="644" spans="1:9" ht="20.25">
      <c r="A644" s="597"/>
      <c r="B644" s="597"/>
      <c r="C644" s="597"/>
      <c r="D644" s="597"/>
      <c r="E644" s="597"/>
      <c r="F644" s="597"/>
      <c r="G644" s="597"/>
      <c r="H644" s="597"/>
      <c r="I644" s="597"/>
    </row>
    <row r="645" spans="1:9" ht="20.25">
      <c r="A645" s="597"/>
      <c r="B645" s="597"/>
      <c r="C645" s="597"/>
      <c r="D645" s="597"/>
      <c r="E645" s="597"/>
      <c r="F645" s="597"/>
      <c r="G645" s="597"/>
      <c r="H645" s="597"/>
      <c r="I645" s="597"/>
    </row>
    <row r="646" spans="1:9" ht="20.25">
      <c r="A646" s="597"/>
      <c r="B646" s="597"/>
      <c r="C646" s="597"/>
      <c r="D646" s="597"/>
      <c r="E646" s="597"/>
      <c r="F646" s="597"/>
      <c r="G646" s="597"/>
      <c r="H646" s="597"/>
      <c r="I646" s="597"/>
    </row>
    <row r="647" spans="1:9" ht="20.25">
      <c r="A647" s="597"/>
      <c r="B647" s="597"/>
      <c r="C647" s="597"/>
      <c r="D647" s="597"/>
      <c r="E647" s="597"/>
      <c r="F647" s="597"/>
      <c r="G647" s="597"/>
      <c r="H647" s="597"/>
      <c r="I647" s="597"/>
    </row>
    <row r="648" spans="1:9" ht="20.25">
      <c r="A648" s="597"/>
      <c r="B648" s="597"/>
      <c r="C648" s="597"/>
      <c r="D648" s="597"/>
      <c r="E648" s="597"/>
      <c r="F648" s="597"/>
      <c r="G648" s="597"/>
      <c r="H648" s="597"/>
      <c r="I648" s="597"/>
    </row>
    <row r="649" spans="1:9" ht="20.25">
      <c r="A649" s="597"/>
      <c r="B649" s="597"/>
      <c r="C649" s="597"/>
      <c r="D649" s="597"/>
      <c r="E649" s="597"/>
      <c r="F649" s="597"/>
      <c r="G649" s="597"/>
      <c r="H649" s="597"/>
      <c r="I649" s="597"/>
    </row>
    <row r="650" spans="1:9" ht="20.25">
      <c r="A650" s="597"/>
      <c r="B650" s="597"/>
      <c r="C650" s="597"/>
      <c r="D650" s="597"/>
      <c r="E650" s="597"/>
      <c r="F650" s="597"/>
      <c r="G650" s="597"/>
      <c r="H650" s="597"/>
      <c r="I650" s="597"/>
    </row>
    <row r="651" spans="1:9" ht="20.25">
      <c r="A651" s="597"/>
      <c r="B651" s="597"/>
      <c r="C651" s="597"/>
      <c r="D651" s="597"/>
      <c r="E651" s="597"/>
      <c r="F651" s="597"/>
      <c r="G651" s="597"/>
      <c r="H651" s="597"/>
      <c r="I651" s="597"/>
    </row>
    <row r="652" spans="1:9" ht="20.25">
      <c r="A652" s="597"/>
      <c r="B652" s="597"/>
      <c r="C652" s="597"/>
      <c r="D652" s="597"/>
      <c r="E652" s="597"/>
      <c r="F652" s="597"/>
      <c r="G652" s="597"/>
      <c r="H652" s="597"/>
      <c r="I652" s="597"/>
    </row>
    <row r="653" spans="1:9" ht="20.25">
      <c r="A653" s="597"/>
      <c r="B653" s="597"/>
      <c r="C653" s="597"/>
      <c r="D653" s="597"/>
      <c r="E653" s="597"/>
      <c r="F653" s="597"/>
      <c r="G653" s="597"/>
      <c r="H653" s="597"/>
      <c r="I653" s="597"/>
    </row>
    <row r="654" spans="1:9" ht="20.25">
      <c r="A654" s="597"/>
      <c r="B654" s="597"/>
      <c r="C654" s="597"/>
      <c r="D654" s="597"/>
      <c r="E654" s="597"/>
      <c r="F654" s="597"/>
      <c r="G654" s="597"/>
      <c r="H654" s="597"/>
      <c r="I654" s="597"/>
    </row>
    <row r="655" spans="1:9" ht="20.25">
      <c r="A655" s="597"/>
      <c r="B655" s="597"/>
      <c r="C655" s="597"/>
      <c r="D655" s="597"/>
      <c r="E655" s="597"/>
      <c r="F655" s="597"/>
      <c r="G655" s="597"/>
      <c r="H655" s="597"/>
      <c r="I655" s="597"/>
    </row>
    <row r="656" spans="1:9" ht="20.25">
      <c r="A656" s="597"/>
      <c r="B656" s="597"/>
      <c r="C656" s="597"/>
      <c r="D656" s="597"/>
      <c r="E656" s="597"/>
      <c r="F656" s="597"/>
      <c r="G656" s="597"/>
      <c r="H656" s="597"/>
      <c r="I656" s="597"/>
    </row>
    <row r="657" spans="1:9" ht="20.25">
      <c r="A657" s="597"/>
      <c r="B657" s="597"/>
      <c r="C657" s="597"/>
      <c r="D657" s="597"/>
      <c r="E657" s="597"/>
      <c r="F657" s="597"/>
      <c r="G657" s="597"/>
      <c r="H657" s="597"/>
      <c r="I657" s="597"/>
    </row>
    <row r="658" spans="1:9" ht="20.25">
      <c r="A658" s="597"/>
      <c r="B658" s="597"/>
      <c r="C658" s="597"/>
      <c r="D658" s="597"/>
      <c r="E658" s="597"/>
      <c r="F658" s="597"/>
      <c r="G658" s="597"/>
      <c r="H658" s="597"/>
      <c r="I658" s="597"/>
    </row>
    <row r="659" spans="1:9" ht="20.25">
      <c r="A659" s="597"/>
      <c r="B659" s="597"/>
      <c r="C659" s="597"/>
      <c r="D659" s="597"/>
      <c r="E659" s="597"/>
      <c r="F659" s="597"/>
      <c r="G659" s="597"/>
      <c r="H659" s="597"/>
      <c r="I659" s="597"/>
    </row>
    <row r="660" spans="1:9" ht="20.25">
      <c r="A660" s="597"/>
      <c r="B660" s="597"/>
      <c r="C660" s="597"/>
      <c r="D660" s="597"/>
      <c r="E660" s="597"/>
      <c r="F660" s="597"/>
      <c r="G660" s="597"/>
      <c r="H660" s="597"/>
      <c r="I660" s="597"/>
    </row>
    <row r="661" spans="1:9" ht="20.25">
      <c r="A661" s="597"/>
      <c r="B661" s="597"/>
      <c r="C661" s="597"/>
      <c r="D661" s="597"/>
      <c r="E661" s="597"/>
      <c r="F661" s="597"/>
      <c r="G661" s="597"/>
      <c r="H661" s="597"/>
      <c r="I661" s="597"/>
    </row>
    <row r="662" spans="1:9" ht="20.25">
      <c r="A662" s="597"/>
      <c r="B662" s="597"/>
      <c r="C662" s="597"/>
      <c r="D662" s="597"/>
      <c r="E662" s="597"/>
      <c r="F662" s="597"/>
      <c r="G662" s="597"/>
      <c r="H662" s="597"/>
      <c r="I662" s="597"/>
    </row>
    <row r="663" spans="1:9" ht="20.25">
      <c r="A663" s="597"/>
      <c r="B663" s="597"/>
      <c r="C663" s="597"/>
      <c r="D663" s="597"/>
      <c r="E663" s="597"/>
      <c r="F663" s="597"/>
      <c r="G663" s="597"/>
      <c r="H663" s="597"/>
      <c r="I663" s="597"/>
    </row>
    <row r="664" spans="1:9" ht="20.25">
      <c r="A664" s="597"/>
      <c r="B664" s="597"/>
      <c r="C664" s="597"/>
      <c r="D664" s="597"/>
      <c r="E664" s="597"/>
      <c r="F664" s="597"/>
      <c r="G664" s="597"/>
      <c r="H664" s="597"/>
      <c r="I664" s="597"/>
    </row>
    <row r="665" spans="1:9" ht="20.25">
      <c r="A665" s="597"/>
      <c r="B665" s="597"/>
      <c r="C665" s="597"/>
      <c r="D665" s="597"/>
      <c r="E665" s="597"/>
      <c r="F665" s="597"/>
      <c r="G665" s="597"/>
      <c r="H665" s="597"/>
      <c r="I665" s="597"/>
    </row>
    <row r="666" spans="1:9" ht="20.25">
      <c r="A666" s="597"/>
      <c r="B666" s="597"/>
      <c r="C666" s="597"/>
      <c r="D666" s="597"/>
      <c r="E666" s="597"/>
      <c r="F666" s="597"/>
      <c r="G666" s="597"/>
      <c r="H666" s="597"/>
      <c r="I666" s="597"/>
    </row>
    <row r="667" spans="1:9" ht="20.25">
      <c r="A667" s="597"/>
      <c r="B667" s="597"/>
      <c r="C667" s="597"/>
      <c r="D667" s="597"/>
      <c r="E667" s="597"/>
      <c r="F667" s="597"/>
      <c r="G667" s="597"/>
      <c r="H667" s="597"/>
      <c r="I667" s="597"/>
    </row>
    <row r="668" spans="1:9" ht="20.25">
      <c r="A668" s="597"/>
      <c r="B668" s="597"/>
      <c r="C668" s="597"/>
      <c r="D668" s="597"/>
      <c r="E668" s="597"/>
      <c r="F668" s="597"/>
      <c r="G668" s="597"/>
      <c r="H668" s="597"/>
      <c r="I668" s="597"/>
    </row>
    <row r="669" spans="1:9" ht="20.25">
      <c r="A669" s="597"/>
      <c r="B669" s="597"/>
      <c r="C669" s="597"/>
      <c r="D669" s="597"/>
      <c r="E669" s="597"/>
      <c r="F669" s="597"/>
      <c r="G669" s="597"/>
      <c r="H669" s="597"/>
      <c r="I669" s="597"/>
    </row>
    <row r="670" spans="1:9" ht="20.25">
      <c r="A670" s="597"/>
      <c r="B670" s="597"/>
      <c r="C670" s="597"/>
      <c r="D670" s="597"/>
      <c r="E670" s="597"/>
      <c r="F670" s="597"/>
      <c r="G670" s="597"/>
      <c r="H670" s="597"/>
      <c r="I670" s="597"/>
    </row>
    <row r="671" spans="1:9" ht="20.25">
      <c r="A671" s="597"/>
      <c r="B671" s="597"/>
      <c r="C671" s="597"/>
      <c r="D671" s="597"/>
      <c r="E671" s="597"/>
      <c r="F671" s="597"/>
      <c r="G671" s="597"/>
      <c r="H671" s="597"/>
      <c r="I671" s="597"/>
    </row>
    <row r="672" spans="1:9" ht="20.25">
      <c r="A672" s="597"/>
      <c r="B672" s="597"/>
      <c r="C672" s="597"/>
      <c r="D672" s="597"/>
      <c r="E672" s="597"/>
      <c r="F672" s="597"/>
      <c r="G672" s="597"/>
      <c r="H672" s="597"/>
      <c r="I672" s="597"/>
    </row>
    <row r="673" spans="1:9" ht="20.25">
      <c r="A673" s="597"/>
      <c r="B673" s="597"/>
      <c r="C673" s="597"/>
      <c r="D673" s="597"/>
      <c r="E673" s="597"/>
      <c r="F673" s="597"/>
      <c r="G673" s="597"/>
      <c r="H673" s="597"/>
      <c r="I673" s="597"/>
    </row>
    <row r="674" spans="1:9" ht="20.25">
      <c r="A674" s="597"/>
      <c r="B674" s="597"/>
      <c r="C674" s="597"/>
      <c r="D674" s="597"/>
      <c r="E674" s="597"/>
      <c r="F674" s="597"/>
      <c r="G674" s="597"/>
      <c r="H674" s="597"/>
      <c r="I674" s="597"/>
    </row>
    <row r="675" spans="1:9" ht="20.25">
      <c r="A675" s="597"/>
      <c r="B675" s="597"/>
      <c r="C675" s="597"/>
      <c r="D675" s="597"/>
      <c r="E675" s="597"/>
      <c r="F675" s="597"/>
      <c r="G675" s="597"/>
      <c r="H675" s="597"/>
      <c r="I675" s="597"/>
    </row>
    <row r="676" spans="1:9" ht="20.25">
      <c r="A676" s="597"/>
      <c r="B676" s="597"/>
      <c r="C676" s="597"/>
      <c r="D676" s="597"/>
      <c r="E676" s="597"/>
      <c r="F676" s="597"/>
      <c r="G676" s="597"/>
      <c r="H676" s="597"/>
      <c r="I676" s="597"/>
    </row>
    <row r="677" spans="1:9" ht="20.25">
      <c r="A677" s="597"/>
      <c r="B677" s="597"/>
      <c r="C677" s="597"/>
      <c r="D677" s="597"/>
      <c r="E677" s="597"/>
      <c r="F677" s="597"/>
      <c r="G677" s="597"/>
      <c r="H677" s="597"/>
      <c r="I677" s="597"/>
    </row>
    <row r="678" spans="1:9" ht="20.25">
      <c r="A678" s="597"/>
      <c r="B678" s="597"/>
      <c r="C678" s="597"/>
      <c r="D678" s="597"/>
      <c r="E678" s="597"/>
      <c r="F678" s="597"/>
      <c r="G678" s="597"/>
      <c r="H678" s="597"/>
      <c r="I678" s="597"/>
    </row>
    <row r="679" spans="1:9" ht="20.25">
      <c r="A679" s="597"/>
      <c r="B679" s="597"/>
      <c r="C679" s="597"/>
      <c r="D679" s="597"/>
      <c r="E679" s="597"/>
      <c r="F679" s="597"/>
      <c r="G679" s="597"/>
      <c r="H679" s="597"/>
      <c r="I679" s="597"/>
    </row>
    <row r="680" spans="1:9" ht="20.25">
      <c r="A680" s="597"/>
      <c r="B680" s="597"/>
      <c r="C680" s="597"/>
      <c r="D680" s="597"/>
      <c r="E680" s="597"/>
      <c r="F680" s="597"/>
      <c r="G680" s="597"/>
      <c r="H680" s="597"/>
      <c r="I680" s="597"/>
    </row>
    <row r="681" spans="1:9" ht="20.25">
      <c r="A681" s="597"/>
      <c r="B681" s="597"/>
      <c r="C681" s="597"/>
      <c r="D681" s="597"/>
      <c r="E681" s="597"/>
      <c r="F681" s="597"/>
      <c r="G681" s="597"/>
      <c r="H681" s="597"/>
      <c r="I681" s="597"/>
    </row>
    <row r="682" spans="1:9" ht="20.25">
      <c r="A682" s="597"/>
      <c r="B682" s="597"/>
      <c r="C682" s="597"/>
      <c r="D682" s="597"/>
      <c r="E682" s="597"/>
      <c r="F682" s="597"/>
      <c r="G682" s="597"/>
      <c r="H682" s="597"/>
      <c r="I682" s="597"/>
    </row>
    <row r="683" spans="1:9" ht="20.25">
      <c r="A683" s="597"/>
      <c r="B683" s="597"/>
      <c r="C683" s="597"/>
      <c r="D683" s="597"/>
      <c r="E683" s="597"/>
      <c r="F683" s="597"/>
      <c r="G683" s="597"/>
      <c r="H683" s="597"/>
      <c r="I683" s="597"/>
    </row>
    <row r="684" spans="1:9" ht="20.25">
      <c r="A684" s="597"/>
      <c r="B684" s="597"/>
      <c r="C684" s="597"/>
      <c r="D684" s="597"/>
      <c r="E684" s="597"/>
      <c r="F684" s="597"/>
      <c r="G684" s="597"/>
      <c r="H684" s="597"/>
      <c r="I684" s="597"/>
    </row>
    <row r="685" spans="1:9" ht="20.25">
      <c r="A685" s="597"/>
      <c r="B685" s="597"/>
      <c r="C685" s="597"/>
      <c r="D685" s="597"/>
      <c r="E685" s="597"/>
      <c r="F685" s="597"/>
      <c r="G685" s="597"/>
      <c r="H685" s="597"/>
      <c r="I685" s="597"/>
    </row>
    <row r="686" spans="1:9" ht="20.25">
      <c r="A686" s="597"/>
      <c r="B686" s="597"/>
      <c r="C686" s="597"/>
      <c r="D686" s="597"/>
      <c r="E686" s="597"/>
      <c r="F686" s="597"/>
      <c r="G686" s="597"/>
      <c r="H686" s="597"/>
      <c r="I686" s="597"/>
    </row>
    <row r="687" spans="1:9" ht="20.25">
      <c r="A687" s="597"/>
      <c r="B687" s="597"/>
      <c r="C687" s="597"/>
      <c r="D687" s="597"/>
      <c r="E687" s="597"/>
      <c r="F687" s="597"/>
      <c r="G687" s="597"/>
      <c r="H687" s="597"/>
      <c r="I687" s="597"/>
    </row>
    <row r="688" spans="1:9" ht="20.25">
      <c r="A688" s="597"/>
      <c r="B688" s="597"/>
      <c r="C688" s="597"/>
      <c r="D688" s="597"/>
      <c r="E688" s="597"/>
      <c r="F688" s="597"/>
      <c r="G688" s="597"/>
      <c r="H688" s="597"/>
      <c r="I688" s="597"/>
    </row>
    <row r="689" spans="1:9" ht="20.25">
      <c r="A689" s="597"/>
      <c r="B689" s="597"/>
      <c r="C689" s="597"/>
      <c r="D689" s="597"/>
      <c r="E689" s="597"/>
      <c r="F689" s="597"/>
      <c r="G689" s="597"/>
      <c r="H689" s="597"/>
      <c r="I689" s="597"/>
    </row>
    <row r="690" spans="1:9" ht="20.25">
      <c r="A690" s="597"/>
      <c r="B690" s="597"/>
      <c r="C690" s="597"/>
      <c r="D690" s="597"/>
      <c r="E690" s="597"/>
      <c r="F690" s="597"/>
      <c r="G690" s="597"/>
      <c r="H690" s="597"/>
      <c r="I690" s="597"/>
    </row>
    <row r="691" spans="1:9" ht="20.25">
      <c r="A691" s="597"/>
      <c r="B691" s="597"/>
      <c r="C691" s="597"/>
      <c r="D691" s="597"/>
      <c r="E691" s="597"/>
      <c r="F691" s="597"/>
      <c r="G691" s="597"/>
      <c r="H691" s="597"/>
      <c r="I691" s="597"/>
    </row>
    <row r="692" spans="1:9" ht="20.25">
      <c r="A692" s="597"/>
      <c r="B692" s="597"/>
      <c r="C692" s="597"/>
      <c r="D692" s="597"/>
      <c r="E692" s="597"/>
      <c r="F692" s="597"/>
      <c r="G692" s="597"/>
      <c r="H692" s="597"/>
      <c r="I692" s="597"/>
    </row>
    <row r="693" spans="1:9" ht="20.25">
      <c r="A693" s="597"/>
      <c r="B693" s="597"/>
      <c r="C693" s="597"/>
      <c r="D693" s="597"/>
      <c r="E693" s="597"/>
      <c r="F693" s="597"/>
      <c r="G693" s="597"/>
      <c r="H693" s="597"/>
      <c r="I693" s="597"/>
    </row>
    <row r="694" spans="1:9" ht="20.25">
      <c r="A694" s="597"/>
      <c r="B694" s="597"/>
      <c r="C694" s="597"/>
      <c r="D694" s="597"/>
      <c r="E694" s="597"/>
      <c r="F694" s="597"/>
      <c r="G694" s="597"/>
      <c r="H694" s="597"/>
      <c r="I694" s="597"/>
    </row>
    <row r="695" spans="1:9" ht="20.25">
      <c r="A695" s="597"/>
      <c r="B695" s="597"/>
      <c r="C695" s="597"/>
      <c r="D695" s="597"/>
      <c r="E695" s="597"/>
      <c r="F695" s="597"/>
      <c r="G695" s="597"/>
      <c r="H695" s="597"/>
      <c r="I695" s="597"/>
    </row>
    <row r="696" spans="1:9" ht="20.25">
      <c r="A696" s="597"/>
      <c r="B696" s="597"/>
      <c r="C696" s="597"/>
      <c r="D696" s="597"/>
      <c r="E696" s="597"/>
      <c r="F696" s="597"/>
      <c r="G696" s="597"/>
      <c r="H696" s="597"/>
      <c r="I696" s="597"/>
    </row>
    <row r="697" spans="1:9" ht="20.25">
      <c r="A697" s="597"/>
      <c r="B697" s="597"/>
      <c r="C697" s="597"/>
      <c r="D697" s="597"/>
      <c r="E697" s="597"/>
      <c r="F697" s="597"/>
      <c r="G697" s="597"/>
      <c r="H697" s="597"/>
      <c r="I697" s="597"/>
    </row>
    <row r="698" spans="1:9" ht="20.25">
      <c r="A698" s="597"/>
      <c r="B698" s="597"/>
      <c r="C698" s="597"/>
      <c r="D698" s="597"/>
      <c r="E698" s="597"/>
      <c r="F698" s="597"/>
      <c r="G698" s="597"/>
      <c r="H698" s="597"/>
      <c r="I698" s="597"/>
    </row>
    <row r="699" spans="1:9" ht="20.25">
      <c r="A699" s="597"/>
      <c r="B699" s="597"/>
      <c r="C699" s="597"/>
      <c r="D699" s="597"/>
      <c r="E699" s="597"/>
      <c r="F699" s="597"/>
      <c r="G699" s="597"/>
      <c r="H699" s="597"/>
      <c r="I699" s="597"/>
    </row>
    <row r="700" spans="1:9" ht="20.25">
      <c r="A700" s="597"/>
      <c r="B700" s="597"/>
      <c r="C700" s="597"/>
      <c r="D700" s="597"/>
      <c r="E700" s="597"/>
      <c r="F700" s="597"/>
      <c r="G700" s="597"/>
      <c r="H700" s="597"/>
      <c r="I700" s="597"/>
    </row>
    <row r="701" spans="1:9" ht="20.25">
      <c r="A701" s="597"/>
      <c r="B701" s="597"/>
      <c r="C701" s="597"/>
      <c r="D701" s="597"/>
      <c r="E701" s="597"/>
      <c r="F701" s="597"/>
      <c r="G701" s="597"/>
      <c r="H701" s="597"/>
      <c r="I701" s="597"/>
    </row>
    <row r="702" spans="1:9" ht="20.25">
      <c r="A702" s="597"/>
      <c r="B702" s="597"/>
      <c r="C702" s="597"/>
      <c r="D702" s="597"/>
      <c r="E702" s="597"/>
      <c r="F702" s="597"/>
      <c r="G702" s="597"/>
      <c r="H702" s="597"/>
      <c r="I702" s="597"/>
    </row>
    <row r="703" spans="1:9" ht="20.25">
      <c r="A703" s="597"/>
      <c r="B703" s="597"/>
      <c r="C703" s="597"/>
      <c r="D703" s="597"/>
      <c r="E703" s="597"/>
      <c r="F703" s="597"/>
      <c r="G703" s="597"/>
      <c r="H703" s="597"/>
      <c r="I703" s="597"/>
    </row>
    <row r="704" spans="1:9" ht="20.25">
      <c r="A704" s="597"/>
      <c r="B704" s="597"/>
      <c r="C704" s="597"/>
      <c r="D704" s="597"/>
      <c r="E704" s="597"/>
      <c r="F704" s="597"/>
      <c r="G704" s="597"/>
      <c r="H704" s="597"/>
      <c r="I704" s="597"/>
    </row>
    <row r="705" spans="1:9" ht="20.25">
      <c r="A705" s="597"/>
      <c r="B705" s="597"/>
      <c r="C705" s="597"/>
      <c r="D705" s="597"/>
      <c r="E705" s="597"/>
      <c r="F705" s="597"/>
      <c r="G705" s="597"/>
      <c r="H705" s="597"/>
      <c r="I705" s="597"/>
    </row>
    <row r="706" spans="1:9" ht="20.25">
      <c r="A706" s="597"/>
      <c r="B706" s="597"/>
      <c r="C706" s="597"/>
      <c r="D706" s="597"/>
      <c r="E706" s="597"/>
      <c r="F706" s="597"/>
      <c r="G706" s="597"/>
      <c r="H706" s="597"/>
      <c r="I706" s="597"/>
    </row>
    <row r="707" spans="1:9" ht="20.25">
      <c r="A707" s="597"/>
      <c r="B707" s="597"/>
      <c r="C707" s="597"/>
      <c r="D707" s="597"/>
      <c r="E707" s="597"/>
      <c r="F707" s="597"/>
      <c r="G707" s="597"/>
      <c r="H707" s="597"/>
      <c r="I707" s="597"/>
    </row>
    <row r="708" spans="1:9" ht="20.25">
      <c r="A708" s="597"/>
      <c r="B708" s="597"/>
      <c r="C708" s="597"/>
      <c r="D708" s="597"/>
      <c r="E708" s="597"/>
      <c r="F708" s="597"/>
      <c r="G708" s="597"/>
      <c r="H708" s="597"/>
      <c r="I708" s="597"/>
    </row>
    <row r="709" spans="1:9" ht="20.25">
      <c r="A709" s="597"/>
      <c r="B709" s="597"/>
      <c r="C709" s="597"/>
      <c r="D709" s="597"/>
      <c r="E709" s="597"/>
      <c r="F709" s="597"/>
      <c r="G709" s="597"/>
      <c r="H709" s="597"/>
      <c r="I709" s="597"/>
    </row>
    <row r="710" spans="1:9" ht="20.25">
      <c r="A710" s="597"/>
      <c r="B710" s="597"/>
      <c r="C710" s="597"/>
      <c r="D710" s="597"/>
      <c r="E710" s="597"/>
      <c r="F710" s="597"/>
      <c r="G710" s="597"/>
      <c r="H710" s="597"/>
      <c r="I710" s="597"/>
    </row>
    <row r="711" spans="1:9" ht="20.25">
      <c r="A711" s="597"/>
      <c r="B711" s="597"/>
      <c r="C711" s="597"/>
      <c r="D711" s="597"/>
      <c r="E711" s="597"/>
      <c r="F711" s="597"/>
      <c r="G711" s="597"/>
      <c r="H711" s="597"/>
      <c r="I711" s="597"/>
    </row>
    <row r="712" spans="1:9" ht="20.25">
      <c r="A712" s="597"/>
      <c r="B712" s="597"/>
      <c r="C712" s="597"/>
      <c r="D712" s="597"/>
      <c r="E712" s="597"/>
      <c r="F712" s="597"/>
      <c r="G712" s="597"/>
      <c r="H712" s="597"/>
      <c r="I712" s="597"/>
    </row>
    <row r="713" spans="1:9" ht="20.25">
      <c r="A713" s="597"/>
      <c r="B713" s="597"/>
      <c r="C713" s="597"/>
      <c r="D713" s="597"/>
      <c r="E713" s="597"/>
      <c r="F713" s="597"/>
      <c r="G713" s="597"/>
      <c r="H713" s="597"/>
      <c r="I713" s="597"/>
    </row>
    <row r="714" spans="1:9" ht="20.25">
      <c r="A714" s="597"/>
      <c r="B714" s="597"/>
      <c r="C714" s="597"/>
      <c r="D714" s="597"/>
      <c r="E714" s="597"/>
      <c r="F714" s="597"/>
      <c r="G714" s="597"/>
      <c r="H714" s="597"/>
      <c r="I714" s="597"/>
    </row>
    <row r="715" spans="1:9" ht="20.25">
      <c r="A715" s="597"/>
      <c r="B715" s="597"/>
      <c r="C715" s="597"/>
      <c r="D715" s="597"/>
      <c r="E715" s="597"/>
      <c r="F715" s="597"/>
      <c r="G715" s="597"/>
      <c r="H715" s="597"/>
      <c r="I715" s="597"/>
    </row>
    <row r="716" spans="1:9" ht="20.25">
      <c r="A716" s="597"/>
      <c r="B716" s="597"/>
      <c r="C716" s="597"/>
      <c r="D716" s="597"/>
      <c r="E716" s="597"/>
      <c r="F716" s="597"/>
      <c r="G716" s="597"/>
      <c r="H716" s="597"/>
      <c r="I716" s="597"/>
    </row>
    <row r="717" spans="1:9" ht="20.25">
      <c r="A717" s="597"/>
      <c r="B717" s="597"/>
      <c r="C717" s="597"/>
      <c r="D717" s="597"/>
      <c r="E717" s="597"/>
      <c r="F717" s="597"/>
      <c r="G717" s="597"/>
      <c r="H717" s="597"/>
      <c r="I717" s="597"/>
    </row>
    <row r="718" spans="1:9" ht="20.25">
      <c r="A718" s="597"/>
      <c r="B718" s="597"/>
      <c r="C718" s="597"/>
      <c r="D718" s="597"/>
      <c r="E718" s="597"/>
      <c r="F718" s="597"/>
      <c r="G718" s="597"/>
      <c r="H718" s="597"/>
      <c r="I718" s="597"/>
    </row>
    <row r="719" spans="1:9" ht="20.25">
      <c r="A719" s="597"/>
      <c r="B719" s="597"/>
      <c r="C719" s="597"/>
      <c r="D719" s="597"/>
      <c r="E719" s="597"/>
      <c r="F719" s="597"/>
      <c r="G719" s="597"/>
      <c r="H719" s="597"/>
      <c r="I719" s="597"/>
    </row>
    <row r="720" spans="1:9" ht="20.25">
      <c r="A720" s="597"/>
      <c r="B720" s="597"/>
      <c r="C720" s="597"/>
      <c r="D720" s="597"/>
      <c r="E720" s="597"/>
      <c r="F720" s="597"/>
      <c r="G720" s="597"/>
      <c r="H720" s="597"/>
      <c r="I720" s="597"/>
    </row>
    <row r="721" spans="1:9" ht="20.25">
      <c r="A721" s="597"/>
      <c r="B721" s="597"/>
      <c r="C721" s="597"/>
      <c r="D721" s="597"/>
      <c r="E721" s="597"/>
      <c r="F721" s="597"/>
      <c r="G721" s="597"/>
      <c r="H721" s="597"/>
      <c r="I721" s="597"/>
    </row>
    <row r="722" spans="1:9" ht="20.25">
      <c r="A722" s="597"/>
      <c r="B722" s="597"/>
      <c r="C722" s="597"/>
      <c r="D722" s="597"/>
      <c r="E722" s="597"/>
      <c r="F722" s="597"/>
      <c r="G722" s="597"/>
      <c r="H722" s="597"/>
      <c r="I722" s="597"/>
    </row>
    <row r="723" spans="1:9" ht="20.25">
      <c r="A723" s="597"/>
      <c r="B723" s="597"/>
      <c r="C723" s="597"/>
      <c r="D723" s="597"/>
      <c r="E723" s="597"/>
      <c r="F723" s="597"/>
      <c r="G723" s="597"/>
      <c r="H723" s="597"/>
      <c r="I723" s="597"/>
    </row>
    <row r="724" spans="1:9" ht="20.25">
      <c r="A724" s="597"/>
      <c r="B724" s="597"/>
      <c r="C724" s="597"/>
      <c r="D724" s="597"/>
      <c r="E724" s="597"/>
      <c r="F724" s="597"/>
      <c r="G724" s="597"/>
      <c r="H724" s="597"/>
      <c r="I724" s="597"/>
    </row>
    <row r="725" spans="1:9" ht="20.25">
      <c r="A725" s="597"/>
      <c r="B725" s="597"/>
      <c r="C725" s="597"/>
      <c r="D725" s="597"/>
      <c r="E725" s="597"/>
      <c r="F725" s="597"/>
      <c r="G725" s="597"/>
      <c r="H725" s="597"/>
      <c r="I725" s="597"/>
    </row>
    <row r="726" spans="1:9" ht="20.25">
      <c r="A726" s="597"/>
      <c r="B726" s="597"/>
      <c r="C726" s="597"/>
      <c r="D726" s="597"/>
      <c r="E726" s="597"/>
      <c r="F726" s="597"/>
      <c r="G726" s="597"/>
      <c r="H726" s="597"/>
      <c r="I726" s="597"/>
    </row>
    <row r="727" spans="1:9" ht="20.25">
      <c r="A727" s="597"/>
      <c r="B727" s="597"/>
      <c r="C727" s="597"/>
      <c r="D727" s="597"/>
      <c r="E727" s="597"/>
      <c r="F727" s="597"/>
      <c r="G727" s="597"/>
      <c r="H727" s="597"/>
      <c r="I727" s="597"/>
    </row>
    <row r="728" spans="1:9" ht="20.25">
      <c r="A728" s="597"/>
      <c r="B728" s="597"/>
      <c r="C728" s="597"/>
      <c r="D728" s="597"/>
      <c r="E728" s="597"/>
      <c r="F728" s="597"/>
      <c r="G728" s="597"/>
      <c r="H728" s="597"/>
      <c r="I728" s="597"/>
    </row>
    <row r="729" spans="1:9" ht="20.25">
      <c r="A729" s="597"/>
      <c r="B729" s="597"/>
      <c r="C729" s="597"/>
      <c r="D729" s="597"/>
      <c r="E729" s="597"/>
      <c r="F729" s="597"/>
      <c r="G729" s="597"/>
      <c r="H729" s="597"/>
      <c r="I729" s="597"/>
    </row>
    <row r="730" spans="1:9" ht="20.25">
      <c r="A730" s="597"/>
      <c r="B730" s="597"/>
      <c r="C730" s="597"/>
      <c r="D730" s="597"/>
      <c r="E730" s="597"/>
      <c r="F730" s="597"/>
      <c r="G730" s="597"/>
      <c r="H730" s="597"/>
      <c r="I730" s="597"/>
    </row>
    <row r="731" spans="1:9" ht="20.25">
      <c r="A731" s="597"/>
      <c r="B731" s="597"/>
      <c r="C731" s="597"/>
      <c r="D731" s="597"/>
      <c r="E731" s="597"/>
      <c r="F731" s="597"/>
      <c r="G731" s="597"/>
      <c r="H731" s="597"/>
      <c r="I731" s="597"/>
    </row>
    <row r="732" spans="1:9" ht="20.25">
      <c r="A732" s="597"/>
      <c r="B732" s="597"/>
      <c r="C732" s="597"/>
      <c r="D732" s="597"/>
      <c r="E732" s="597"/>
      <c r="F732" s="597"/>
      <c r="G732" s="597"/>
      <c r="H732" s="597"/>
      <c r="I732" s="597"/>
    </row>
    <row r="733" spans="1:9" ht="20.25">
      <c r="A733" s="597"/>
      <c r="B733" s="597"/>
      <c r="C733" s="597"/>
      <c r="D733" s="597"/>
      <c r="E733" s="597"/>
      <c r="F733" s="597"/>
      <c r="G733" s="597"/>
      <c r="H733" s="597"/>
      <c r="I733" s="597"/>
    </row>
    <row r="734" spans="1:9" ht="20.25">
      <c r="A734" s="597"/>
      <c r="B734" s="597"/>
      <c r="C734" s="597"/>
      <c r="D734" s="597"/>
      <c r="E734" s="597"/>
      <c r="F734" s="597"/>
      <c r="G734" s="597"/>
      <c r="H734" s="597"/>
      <c r="I734" s="597"/>
    </row>
    <row r="735" spans="1:9" ht="20.25">
      <c r="A735" s="597"/>
      <c r="B735" s="597"/>
      <c r="C735" s="597"/>
      <c r="D735" s="597"/>
      <c r="E735" s="597"/>
      <c r="F735" s="597"/>
      <c r="G735" s="597"/>
      <c r="H735" s="597"/>
      <c r="I735" s="597"/>
    </row>
    <row r="736" spans="1:9" ht="20.25">
      <c r="A736" s="597"/>
      <c r="B736" s="597"/>
      <c r="C736" s="597"/>
      <c r="D736" s="597"/>
      <c r="E736" s="597"/>
      <c r="F736" s="597"/>
      <c r="G736" s="597"/>
      <c r="H736" s="597"/>
      <c r="I736" s="597"/>
    </row>
    <row r="737" spans="1:9" ht="20.25">
      <c r="A737" s="597"/>
      <c r="B737" s="597"/>
      <c r="C737" s="597"/>
      <c r="D737" s="597"/>
      <c r="E737" s="597"/>
      <c r="F737" s="597"/>
      <c r="G737" s="597"/>
      <c r="H737" s="597"/>
      <c r="I737" s="597"/>
    </row>
    <row r="738" spans="1:9" ht="20.25">
      <c r="A738" s="597"/>
      <c r="B738" s="597"/>
      <c r="C738" s="597"/>
      <c r="D738" s="597"/>
      <c r="E738" s="597"/>
      <c r="F738" s="597"/>
      <c r="G738" s="597"/>
      <c r="H738" s="597"/>
      <c r="I738" s="597"/>
    </row>
    <row r="739" spans="1:9" ht="20.25">
      <c r="A739" s="597"/>
      <c r="B739" s="597"/>
      <c r="C739" s="597"/>
      <c r="D739" s="597"/>
      <c r="E739" s="597"/>
      <c r="F739" s="597"/>
      <c r="G739" s="597"/>
      <c r="H739" s="597"/>
      <c r="I739" s="597"/>
    </row>
    <row r="740" spans="1:9" ht="20.25">
      <c r="A740" s="597"/>
      <c r="B740" s="597"/>
      <c r="C740" s="597"/>
      <c r="D740" s="597"/>
      <c r="E740" s="597"/>
      <c r="F740" s="597"/>
      <c r="G740" s="597"/>
      <c r="H740" s="597"/>
      <c r="I740" s="597"/>
    </row>
    <row r="741" spans="1:9" ht="20.25">
      <c r="A741" s="597"/>
      <c r="B741" s="597"/>
      <c r="C741" s="597"/>
      <c r="D741" s="597"/>
      <c r="E741" s="597"/>
      <c r="F741" s="597"/>
      <c r="G741" s="597"/>
      <c r="H741" s="597"/>
      <c r="I741" s="597"/>
    </row>
    <row r="742" spans="1:9" ht="20.25">
      <c r="A742" s="597"/>
      <c r="B742" s="597"/>
      <c r="C742" s="597"/>
      <c r="D742" s="597"/>
      <c r="E742" s="597"/>
      <c r="F742" s="597"/>
      <c r="G742" s="597"/>
      <c r="H742" s="597"/>
      <c r="I742" s="597"/>
    </row>
    <row r="743" spans="1:9" ht="20.25">
      <c r="A743" s="597"/>
      <c r="B743" s="597"/>
      <c r="C743" s="597"/>
      <c r="D743" s="597"/>
      <c r="E743" s="597"/>
      <c r="F743" s="597"/>
      <c r="G743" s="597"/>
      <c r="H743" s="597"/>
      <c r="I743" s="597"/>
    </row>
    <row r="744" spans="1:9" ht="20.25">
      <c r="A744" s="597"/>
      <c r="B744" s="597"/>
      <c r="C744" s="597"/>
      <c r="D744" s="597"/>
      <c r="E744" s="597"/>
      <c r="F744" s="597"/>
      <c r="G744" s="597"/>
      <c r="H744" s="597"/>
      <c r="I744" s="597"/>
    </row>
    <row r="745" spans="1:9" ht="20.25">
      <c r="A745" s="597"/>
      <c r="B745" s="597"/>
      <c r="C745" s="597"/>
      <c r="D745" s="597"/>
      <c r="E745" s="597"/>
      <c r="F745" s="597"/>
      <c r="G745" s="597"/>
      <c r="H745" s="597"/>
      <c r="I745" s="597"/>
    </row>
    <row r="746" spans="1:9" ht="20.25">
      <c r="A746" s="597"/>
      <c r="B746" s="597"/>
      <c r="C746" s="597"/>
      <c r="D746" s="597"/>
      <c r="E746" s="597"/>
      <c r="F746" s="597"/>
      <c r="G746" s="597"/>
      <c r="H746" s="597"/>
      <c r="I746" s="597"/>
    </row>
    <row r="747" spans="1:9" ht="20.25">
      <c r="A747" s="597"/>
      <c r="B747" s="597"/>
      <c r="C747" s="597"/>
      <c r="D747" s="597"/>
      <c r="E747" s="597"/>
      <c r="F747" s="597"/>
      <c r="G747" s="597"/>
      <c r="H747" s="597"/>
      <c r="I747" s="597"/>
    </row>
    <row r="748" spans="1:9" ht="20.25">
      <c r="A748" s="597"/>
      <c r="B748" s="597"/>
      <c r="C748" s="597"/>
      <c r="D748" s="597"/>
      <c r="E748" s="597"/>
      <c r="F748" s="597"/>
      <c r="G748" s="597"/>
      <c r="H748" s="597"/>
      <c r="I748" s="597"/>
    </row>
    <row r="749" spans="1:9" ht="20.25">
      <c r="A749" s="597"/>
      <c r="B749" s="597"/>
      <c r="C749" s="597"/>
      <c r="D749" s="597"/>
      <c r="E749" s="597"/>
      <c r="F749" s="597"/>
      <c r="G749" s="597"/>
      <c r="H749" s="597"/>
      <c r="I749" s="597"/>
    </row>
    <row r="750" spans="1:9" ht="20.25">
      <c r="A750" s="597"/>
      <c r="B750" s="597"/>
      <c r="C750" s="597"/>
      <c r="D750" s="597"/>
      <c r="E750" s="597"/>
      <c r="F750" s="597"/>
      <c r="G750" s="597"/>
      <c r="H750" s="597"/>
      <c r="I750" s="597"/>
    </row>
    <row r="751" spans="1:9" ht="20.25">
      <c r="A751" s="597"/>
      <c r="B751" s="597"/>
      <c r="C751" s="597"/>
      <c r="D751" s="597"/>
      <c r="E751" s="597"/>
      <c r="F751" s="597"/>
      <c r="G751" s="597"/>
      <c r="H751" s="597"/>
      <c r="I751" s="597"/>
    </row>
    <row r="752" spans="1:9" ht="20.25">
      <c r="A752" s="597"/>
      <c r="B752" s="597"/>
      <c r="C752" s="597"/>
      <c r="D752" s="597"/>
      <c r="E752" s="597"/>
      <c r="F752" s="597"/>
      <c r="G752" s="597"/>
      <c r="H752" s="597"/>
      <c r="I752" s="597"/>
    </row>
    <row r="753" spans="1:9" ht="20.25">
      <c r="A753" s="597"/>
      <c r="B753" s="597"/>
      <c r="C753" s="597"/>
      <c r="D753" s="597"/>
      <c r="E753" s="597"/>
      <c r="F753" s="597"/>
      <c r="G753" s="597"/>
      <c r="H753" s="597"/>
      <c r="I753" s="597"/>
    </row>
    <row r="754" spans="1:9" ht="20.25">
      <c r="A754" s="597"/>
      <c r="B754" s="597"/>
      <c r="C754" s="597"/>
      <c r="D754" s="597"/>
      <c r="E754" s="597"/>
      <c r="F754" s="597"/>
      <c r="G754" s="597"/>
      <c r="H754" s="597"/>
      <c r="I754" s="597"/>
    </row>
    <row r="755" spans="1:9" ht="20.25">
      <c r="A755" s="597"/>
      <c r="B755" s="597"/>
      <c r="C755" s="597"/>
      <c r="D755" s="597"/>
      <c r="E755" s="597"/>
      <c r="F755" s="597"/>
      <c r="G755" s="597"/>
      <c r="H755" s="597"/>
      <c r="I755" s="597"/>
    </row>
    <row r="756" spans="1:9" ht="20.25">
      <c r="A756" s="597"/>
      <c r="B756" s="597"/>
      <c r="C756" s="597"/>
      <c r="D756" s="597"/>
      <c r="E756" s="597"/>
      <c r="F756" s="597"/>
      <c r="G756" s="597"/>
      <c r="H756" s="597"/>
      <c r="I756" s="597"/>
    </row>
    <row r="757" spans="1:9" ht="20.25">
      <c r="A757" s="597"/>
      <c r="B757" s="597"/>
      <c r="C757" s="597"/>
      <c r="D757" s="597"/>
      <c r="E757" s="597"/>
      <c r="F757" s="597"/>
      <c r="G757" s="597"/>
      <c r="H757" s="597"/>
      <c r="I757" s="597"/>
    </row>
    <row r="758" spans="1:9" ht="20.25">
      <c r="A758" s="597"/>
      <c r="B758" s="597"/>
      <c r="C758" s="597"/>
      <c r="D758" s="597"/>
      <c r="E758" s="597"/>
      <c r="F758" s="597"/>
      <c r="G758" s="597"/>
      <c r="H758" s="597"/>
      <c r="I758" s="597"/>
    </row>
    <row r="759" spans="1:9" ht="20.25">
      <c r="A759" s="597"/>
      <c r="B759" s="597"/>
      <c r="C759" s="597"/>
      <c r="D759" s="597"/>
      <c r="E759" s="597"/>
      <c r="F759" s="597"/>
      <c r="G759" s="597"/>
      <c r="H759" s="597"/>
      <c r="I759" s="597"/>
    </row>
    <row r="760" spans="1:9" ht="20.25">
      <c r="A760" s="597"/>
      <c r="B760" s="597"/>
      <c r="C760" s="597"/>
      <c r="D760" s="597"/>
      <c r="E760" s="597"/>
      <c r="F760" s="597"/>
      <c r="G760" s="597"/>
      <c r="H760" s="597"/>
      <c r="I760" s="597"/>
    </row>
    <row r="761" spans="1:9" ht="20.25">
      <c r="A761" s="597"/>
      <c r="B761" s="597"/>
      <c r="C761" s="597"/>
      <c r="D761" s="597"/>
      <c r="E761" s="597"/>
      <c r="F761" s="597"/>
      <c r="G761" s="597"/>
      <c r="H761" s="597"/>
      <c r="I761" s="597"/>
    </row>
    <row r="762" spans="1:9" ht="20.25">
      <c r="A762" s="597"/>
      <c r="B762" s="597"/>
      <c r="C762" s="597"/>
      <c r="D762" s="597"/>
      <c r="E762" s="597"/>
      <c r="F762" s="597"/>
      <c r="G762" s="597"/>
      <c r="H762" s="597"/>
      <c r="I762" s="597"/>
    </row>
    <row r="763" spans="1:9" ht="20.25">
      <c r="A763" s="597"/>
      <c r="B763" s="597"/>
      <c r="C763" s="597"/>
      <c r="D763" s="597"/>
      <c r="E763" s="597"/>
      <c r="F763" s="597"/>
      <c r="G763" s="597"/>
      <c r="H763" s="597"/>
      <c r="I763" s="597"/>
    </row>
    <row r="764" spans="1:9" ht="20.25">
      <c r="A764" s="597"/>
      <c r="B764" s="597"/>
      <c r="C764" s="597"/>
      <c r="D764" s="597"/>
      <c r="E764" s="597"/>
      <c r="F764" s="597"/>
      <c r="G764" s="597"/>
      <c r="H764" s="597"/>
      <c r="I764" s="597"/>
    </row>
    <row r="765" spans="1:9" ht="20.25">
      <c r="A765" s="597"/>
      <c r="B765" s="597"/>
      <c r="C765" s="597"/>
      <c r="D765" s="597"/>
      <c r="E765" s="597"/>
      <c r="F765" s="597"/>
      <c r="G765" s="597"/>
      <c r="H765" s="597"/>
      <c r="I765" s="597"/>
    </row>
    <row r="766" spans="1:9" ht="20.25">
      <c r="A766" s="597"/>
      <c r="B766" s="597"/>
      <c r="C766" s="597"/>
      <c r="D766" s="597"/>
      <c r="E766" s="597"/>
      <c r="F766" s="597"/>
      <c r="G766" s="597"/>
      <c r="H766" s="597"/>
      <c r="I766" s="597"/>
    </row>
    <row r="767" spans="1:9" ht="20.25">
      <c r="A767" s="597"/>
      <c r="B767" s="597"/>
      <c r="C767" s="597"/>
      <c r="D767" s="597"/>
      <c r="E767" s="597"/>
      <c r="F767" s="597"/>
      <c r="G767" s="597"/>
      <c r="H767" s="597"/>
      <c r="I767" s="597"/>
    </row>
    <row r="768" spans="1:9" ht="20.25">
      <c r="A768" s="597"/>
      <c r="B768" s="597"/>
      <c r="C768" s="597"/>
      <c r="D768" s="597"/>
      <c r="E768" s="597"/>
      <c r="F768" s="597"/>
      <c r="G768" s="597"/>
      <c r="H768" s="597"/>
      <c r="I768" s="597"/>
    </row>
    <row r="769" spans="1:9" ht="20.25">
      <c r="A769" s="597"/>
      <c r="B769" s="597"/>
      <c r="C769" s="597"/>
      <c r="D769" s="597"/>
      <c r="E769" s="597"/>
      <c r="F769" s="597"/>
      <c r="G769" s="597"/>
      <c r="H769" s="597"/>
      <c r="I769" s="597"/>
    </row>
    <row r="770" spans="1:9" ht="20.25">
      <c r="A770" s="597"/>
      <c r="B770" s="597"/>
      <c r="C770" s="597"/>
      <c r="D770" s="597"/>
      <c r="E770" s="597"/>
      <c r="F770" s="597"/>
      <c r="G770" s="597"/>
      <c r="H770" s="597"/>
      <c r="I770" s="597"/>
    </row>
    <row r="771" spans="1:9" ht="20.25">
      <c r="A771" s="597"/>
      <c r="B771" s="597"/>
      <c r="C771" s="597"/>
      <c r="D771" s="597"/>
      <c r="E771" s="597"/>
      <c r="F771" s="597"/>
      <c r="G771" s="597"/>
      <c r="H771" s="597"/>
      <c r="I771" s="597"/>
    </row>
    <row r="772" spans="1:9" ht="20.25">
      <c r="A772" s="597"/>
      <c r="B772" s="597"/>
      <c r="C772" s="597"/>
      <c r="D772" s="597"/>
      <c r="E772" s="597"/>
      <c r="F772" s="597"/>
      <c r="G772" s="597"/>
      <c r="H772" s="597"/>
      <c r="I772" s="597"/>
    </row>
    <row r="773" spans="1:9" ht="20.25">
      <c r="A773" s="597"/>
      <c r="B773" s="597"/>
      <c r="C773" s="597"/>
      <c r="D773" s="597"/>
      <c r="E773" s="597"/>
      <c r="F773" s="597"/>
      <c r="G773" s="597"/>
      <c r="H773" s="597"/>
      <c r="I773" s="597"/>
    </row>
    <row r="774" spans="1:9" ht="20.25">
      <c r="A774" s="597"/>
      <c r="B774" s="597"/>
      <c r="C774" s="597"/>
      <c r="D774" s="597"/>
      <c r="E774" s="597"/>
      <c r="F774" s="597"/>
      <c r="G774" s="597"/>
      <c r="H774" s="597"/>
      <c r="I774" s="597"/>
    </row>
    <row r="775" spans="1:9" ht="20.25">
      <c r="A775" s="597"/>
      <c r="B775" s="597"/>
      <c r="C775" s="597"/>
      <c r="D775" s="597"/>
      <c r="E775" s="597"/>
      <c r="F775" s="597"/>
      <c r="G775" s="597"/>
      <c r="H775" s="597"/>
      <c r="I775" s="597"/>
    </row>
    <row r="776" spans="1:9" ht="20.25">
      <c r="A776" s="597"/>
      <c r="B776" s="597"/>
      <c r="C776" s="597"/>
      <c r="D776" s="597"/>
      <c r="E776" s="597"/>
      <c r="F776" s="597"/>
      <c r="G776" s="597"/>
      <c r="H776" s="597"/>
      <c r="I776" s="597"/>
    </row>
    <row r="777" spans="1:9" ht="20.25">
      <c r="A777" s="597"/>
      <c r="B777" s="597"/>
      <c r="C777" s="597"/>
      <c r="D777" s="597"/>
      <c r="E777" s="597"/>
      <c r="F777" s="597"/>
      <c r="G777" s="597"/>
      <c r="H777" s="597"/>
      <c r="I777" s="597"/>
    </row>
    <row r="778" spans="1:9" ht="20.25">
      <c r="A778" s="597"/>
      <c r="B778" s="597"/>
      <c r="C778" s="597"/>
      <c r="D778" s="597"/>
      <c r="E778" s="597"/>
      <c r="F778" s="597"/>
      <c r="G778" s="597"/>
      <c r="H778" s="597"/>
      <c r="I778" s="597"/>
    </row>
    <row r="779" spans="1:9" ht="20.25">
      <c r="A779" s="597"/>
      <c r="B779" s="597"/>
      <c r="C779" s="597"/>
      <c r="D779" s="597"/>
      <c r="E779" s="597"/>
      <c r="F779" s="597"/>
      <c r="G779" s="597"/>
      <c r="H779" s="597"/>
      <c r="I779" s="597"/>
    </row>
    <row r="780" spans="1:9" ht="20.25">
      <c r="A780" s="597"/>
      <c r="B780" s="597"/>
      <c r="C780" s="597"/>
      <c r="D780" s="597"/>
      <c r="E780" s="597"/>
      <c r="F780" s="597"/>
      <c r="G780" s="597"/>
      <c r="H780" s="597"/>
      <c r="I780" s="597"/>
    </row>
    <row r="781" spans="1:9" ht="20.25">
      <c r="A781" s="597"/>
      <c r="B781" s="597"/>
      <c r="C781" s="597"/>
      <c r="D781" s="597"/>
      <c r="E781" s="597"/>
      <c r="F781" s="597"/>
      <c r="G781" s="597"/>
      <c r="H781" s="597"/>
      <c r="I781" s="597"/>
    </row>
    <row r="782" spans="1:9" ht="20.25">
      <c r="A782" s="597"/>
      <c r="B782" s="597"/>
      <c r="C782" s="597"/>
      <c r="D782" s="597"/>
      <c r="E782" s="597"/>
      <c r="F782" s="597"/>
      <c r="G782" s="597"/>
      <c r="H782" s="597"/>
      <c r="I782" s="597"/>
    </row>
    <row r="783" spans="1:9" ht="20.25">
      <c r="A783" s="597"/>
      <c r="B783" s="597"/>
      <c r="C783" s="597"/>
      <c r="D783" s="597"/>
      <c r="E783" s="597"/>
      <c r="F783" s="597"/>
      <c r="G783" s="597"/>
      <c r="H783" s="597"/>
      <c r="I783" s="597"/>
    </row>
    <row r="784" spans="1:9" ht="20.25">
      <c r="A784" s="597"/>
      <c r="B784" s="597"/>
      <c r="C784" s="597"/>
      <c r="D784" s="597"/>
      <c r="E784" s="597"/>
      <c r="F784" s="597"/>
      <c r="G784" s="597"/>
      <c r="H784" s="597"/>
      <c r="I784" s="597"/>
    </row>
    <row r="785" spans="1:9" ht="20.25">
      <c r="A785" s="597"/>
      <c r="B785" s="597"/>
      <c r="C785" s="597"/>
      <c r="D785" s="597"/>
      <c r="E785" s="597"/>
      <c r="F785" s="597"/>
      <c r="G785" s="597"/>
      <c r="H785" s="597"/>
      <c r="I785" s="597"/>
    </row>
    <row r="786" spans="1:9" ht="20.25">
      <c r="A786" s="597"/>
      <c r="B786" s="597"/>
      <c r="C786" s="597"/>
      <c r="D786" s="597"/>
      <c r="E786" s="597"/>
      <c r="F786" s="597"/>
      <c r="G786" s="597"/>
      <c r="H786" s="597"/>
      <c r="I786" s="597"/>
    </row>
    <row r="787" spans="1:9" ht="20.25">
      <c r="A787" s="597"/>
      <c r="B787" s="597"/>
      <c r="C787" s="597"/>
      <c r="D787" s="597"/>
      <c r="E787" s="597"/>
      <c r="F787" s="597"/>
      <c r="G787" s="597"/>
      <c r="H787" s="597"/>
      <c r="I787" s="597"/>
    </row>
    <row r="788" spans="1:9" ht="20.25">
      <c r="A788" s="597"/>
      <c r="B788" s="597"/>
      <c r="C788" s="597"/>
      <c r="D788" s="597"/>
      <c r="E788" s="597"/>
      <c r="F788" s="597"/>
      <c r="G788" s="597"/>
      <c r="H788" s="597"/>
      <c r="I788" s="597"/>
    </row>
    <row r="789" spans="1:9" ht="20.25">
      <c r="A789" s="597"/>
      <c r="B789" s="597"/>
      <c r="C789" s="597"/>
      <c r="D789" s="597"/>
      <c r="E789" s="597"/>
      <c r="F789" s="597"/>
      <c r="G789" s="597"/>
      <c r="H789" s="597"/>
      <c r="I789" s="597"/>
    </row>
    <row r="790" spans="1:9" ht="20.25">
      <c r="A790" s="597"/>
      <c r="B790" s="597"/>
      <c r="C790" s="597"/>
      <c r="D790" s="597"/>
      <c r="E790" s="597"/>
      <c r="F790" s="597"/>
      <c r="G790" s="597"/>
      <c r="H790" s="597"/>
      <c r="I790" s="597"/>
    </row>
    <row r="791" spans="1:9" ht="20.25">
      <c r="A791" s="597"/>
      <c r="B791" s="597"/>
      <c r="C791" s="597"/>
      <c r="D791" s="597"/>
      <c r="E791" s="597"/>
      <c r="F791" s="597"/>
      <c r="G791" s="597"/>
      <c r="H791" s="597"/>
      <c r="I791" s="597"/>
    </row>
    <row r="792" spans="1:9" ht="20.25">
      <c r="A792" s="597"/>
      <c r="B792" s="597"/>
      <c r="C792" s="597"/>
      <c r="D792" s="597"/>
      <c r="E792" s="597"/>
      <c r="F792" s="597"/>
      <c r="G792" s="597"/>
      <c r="H792" s="597"/>
      <c r="I792" s="597"/>
    </row>
    <row r="793" spans="1:9" ht="20.25">
      <c r="A793" s="597"/>
      <c r="B793" s="597"/>
      <c r="C793" s="597"/>
      <c r="D793" s="597"/>
      <c r="E793" s="597"/>
      <c r="F793" s="597"/>
      <c r="G793" s="597"/>
      <c r="H793" s="597"/>
      <c r="I793" s="597"/>
    </row>
    <row r="794" spans="1:9" ht="20.25">
      <c r="A794" s="597"/>
      <c r="B794" s="597"/>
      <c r="C794" s="597"/>
      <c r="D794" s="597"/>
      <c r="E794" s="597"/>
      <c r="F794" s="597"/>
      <c r="G794" s="597"/>
      <c r="H794" s="597"/>
      <c r="I794" s="597"/>
    </row>
    <row r="795" spans="1:9" ht="20.25">
      <c r="A795" s="597"/>
      <c r="B795" s="597"/>
      <c r="C795" s="597"/>
      <c r="D795" s="597"/>
      <c r="E795" s="597"/>
      <c r="F795" s="597"/>
      <c r="G795" s="597"/>
      <c r="H795" s="597"/>
      <c r="I795" s="597"/>
    </row>
    <row r="796" spans="1:9" ht="20.25">
      <c r="A796" s="597"/>
      <c r="B796" s="597"/>
      <c r="C796" s="597"/>
      <c r="D796" s="597"/>
      <c r="E796" s="597"/>
      <c r="F796" s="597"/>
      <c r="G796" s="597"/>
      <c r="H796" s="597"/>
      <c r="I796" s="597"/>
    </row>
    <row r="797" spans="1:9" ht="20.25">
      <c r="A797" s="597"/>
      <c r="B797" s="597"/>
      <c r="C797" s="597"/>
      <c r="D797" s="597"/>
      <c r="E797" s="597"/>
      <c r="F797" s="597"/>
      <c r="G797" s="597"/>
      <c r="H797" s="597"/>
      <c r="I797" s="597"/>
    </row>
    <row r="798" spans="1:9" ht="20.25">
      <c r="A798" s="597"/>
      <c r="B798" s="597"/>
      <c r="C798" s="597"/>
      <c r="D798" s="597"/>
      <c r="E798" s="597"/>
      <c r="F798" s="597"/>
      <c r="G798" s="597"/>
      <c r="H798" s="597"/>
      <c r="I798" s="597"/>
    </row>
    <row r="799" spans="1:9" ht="20.25">
      <c r="A799" s="597"/>
      <c r="B799" s="597"/>
      <c r="C799" s="597"/>
      <c r="D799" s="597"/>
      <c r="E799" s="597"/>
      <c r="F799" s="597"/>
      <c r="G799" s="597"/>
      <c r="H799" s="597"/>
      <c r="I799" s="597"/>
    </row>
    <row r="800" spans="1:9" ht="20.25">
      <c r="A800" s="597"/>
      <c r="B800" s="597"/>
      <c r="C800" s="597"/>
      <c r="D800" s="597"/>
      <c r="E800" s="597"/>
      <c r="F800" s="597"/>
      <c r="G800" s="597"/>
      <c r="H800" s="597"/>
      <c r="I800" s="597"/>
    </row>
    <row r="801" spans="1:9" ht="20.25">
      <c r="A801" s="597"/>
      <c r="B801" s="597"/>
      <c r="C801" s="597"/>
      <c r="D801" s="597"/>
      <c r="E801" s="597"/>
      <c r="F801" s="597"/>
      <c r="G801" s="597"/>
      <c r="H801" s="597"/>
      <c r="I801" s="597"/>
    </row>
    <row r="802" spans="1:9" ht="20.25">
      <c r="A802" s="597"/>
      <c r="B802" s="597"/>
      <c r="C802" s="597"/>
      <c r="D802" s="597"/>
      <c r="E802" s="597"/>
      <c r="F802" s="597"/>
      <c r="G802" s="597"/>
      <c r="H802" s="597"/>
      <c r="I802" s="597"/>
    </row>
    <row r="803" spans="1:9" ht="20.25">
      <c r="A803" s="597"/>
      <c r="B803" s="597"/>
      <c r="C803" s="597"/>
      <c r="D803" s="597"/>
      <c r="E803" s="597"/>
      <c r="F803" s="597"/>
      <c r="G803" s="597"/>
      <c r="H803" s="597"/>
      <c r="I803" s="597"/>
    </row>
    <row r="804" spans="1:9" ht="20.25">
      <c r="A804" s="597"/>
      <c r="B804" s="597"/>
      <c r="C804" s="597"/>
      <c r="D804" s="597"/>
      <c r="E804" s="597"/>
      <c r="F804" s="597"/>
      <c r="G804" s="597"/>
      <c r="H804" s="597"/>
      <c r="I804" s="597"/>
    </row>
    <row r="805" spans="1:9" ht="20.25">
      <c r="A805" s="597"/>
      <c r="B805" s="597"/>
      <c r="C805" s="597"/>
      <c r="D805" s="597"/>
      <c r="E805" s="597"/>
      <c r="F805" s="597"/>
      <c r="G805" s="597"/>
      <c r="H805" s="597"/>
      <c r="I805" s="597"/>
    </row>
    <row r="806" spans="1:9" ht="20.25">
      <c r="A806" s="597"/>
      <c r="B806" s="597"/>
      <c r="C806" s="597"/>
      <c r="D806" s="597"/>
      <c r="E806" s="597"/>
      <c r="F806" s="597"/>
      <c r="G806" s="597"/>
      <c r="H806" s="597"/>
      <c r="I806" s="597"/>
    </row>
    <row r="807" spans="1:9" ht="20.25">
      <c r="A807" s="597"/>
      <c r="B807" s="597"/>
      <c r="C807" s="597"/>
      <c r="D807" s="597"/>
      <c r="E807" s="597"/>
      <c r="F807" s="597"/>
      <c r="G807" s="597"/>
      <c r="H807" s="597"/>
      <c r="I807" s="597"/>
    </row>
    <row r="808" spans="1:9" ht="20.25">
      <c r="A808" s="597"/>
      <c r="B808" s="597"/>
      <c r="C808" s="597"/>
      <c r="D808" s="597"/>
      <c r="E808" s="597"/>
      <c r="F808" s="597"/>
      <c r="G808" s="597"/>
      <c r="H808" s="597"/>
      <c r="I808" s="597"/>
    </row>
    <row r="809" spans="1:9" ht="20.25">
      <c r="A809" s="597"/>
      <c r="B809" s="597"/>
      <c r="C809" s="597"/>
      <c r="D809" s="597"/>
      <c r="E809" s="597"/>
      <c r="F809" s="597"/>
      <c r="G809" s="597"/>
      <c r="H809" s="597"/>
      <c r="I809" s="597"/>
    </row>
    <row r="810" spans="1:9" ht="20.25">
      <c r="A810" s="597"/>
      <c r="B810" s="597"/>
      <c r="C810" s="597"/>
      <c r="D810" s="597"/>
      <c r="E810" s="597"/>
      <c r="F810" s="597"/>
      <c r="G810" s="597"/>
      <c r="H810" s="597"/>
      <c r="I810" s="597"/>
    </row>
    <row r="811" spans="1:9" ht="20.25">
      <c r="A811" s="597"/>
      <c r="B811" s="597"/>
      <c r="C811" s="597"/>
      <c r="D811" s="597"/>
      <c r="E811" s="597"/>
      <c r="F811" s="597"/>
      <c r="G811" s="597"/>
      <c r="H811" s="597"/>
      <c r="I811" s="597"/>
    </row>
    <row r="812" spans="1:9" ht="20.25">
      <c r="A812" s="597"/>
      <c r="B812" s="597"/>
      <c r="C812" s="597"/>
      <c r="D812" s="597"/>
      <c r="E812" s="597"/>
      <c r="F812" s="597"/>
      <c r="G812" s="597"/>
      <c r="H812" s="597"/>
      <c r="I812" s="597"/>
    </row>
    <row r="813" spans="1:9" ht="20.25">
      <c r="A813" s="597"/>
      <c r="B813" s="597"/>
      <c r="C813" s="597"/>
      <c r="D813" s="597"/>
      <c r="E813" s="597"/>
      <c r="F813" s="597"/>
      <c r="G813" s="597"/>
      <c r="H813" s="597"/>
      <c r="I813" s="597"/>
    </row>
    <row r="814" spans="1:9" ht="20.25">
      <c r="A814" s="597"/>
      <c r="B814" s="597"/>
      <c r="C814" s="597"/>
      <c r="D814" s="597"/>
      <c r="E814" s="597"/>
      <c r="F814" s="597"/>
      <c r="G814" s="597"/>
      <c r="H814" s="597"/>
      <c r="I814" s="597"/>
    </row>
    <row r="815" spans="1:9" ht="20.25">
      <c r="A815" s="597"/>
      <c r="B815" s="597"/>
      <c r="C815" s="597"/>
      <c r="D815" s="597"/>
      <c r="E815" s="597"/>
      <c r="F815" s="597"/>
      <c r="G815" s="597"/>
      <c r="H815" s="597"/>
      <c r="I815" s="597"/>
    </row>
    <row r="816" spans="1:9" ht="20.25">
      <c r="A816" s="597"/>
      <c r="B816" s="597"/>
      <c r="C816" s="597"/>
      <c r="D816" s="597"/>
      <c r="E816" s="597"/>
      <c r="F816" s="597"/>
      <c r="G816" s="597"/>
      <c r="H816" s="597"/>
      <c r="I816" s="597"/>
    </row>
    <row r="817" spans="1:9" ht="20.25">
      <c r="A817" s="597"/>
      <c r="B817" s="597"/>
      <c r="C817" s="597"/>
      <c r="D817" s="597"/>
      <c r="E817" s="597"/>
      <c r="F817" s="597"/>
      <c r="G817" s="597"/>
      <c r="H817" s="597"/>
      <c r="I817" s="597"/>
    </row>
    <row r="818" spans="1:9" ht="20.25">
      <c r="A818" s="597"/>
      <c r="B818" s="597"/>
      <c r="C818" s="597"/>
      <c r="D818" s="597"/>
      <c r="E818" s="597"/>
      <c r="F818" s="597"/>
      <c r="G818" s="597"/>
      <c r="H818" s="597"/>
      <c r="I818" s="597"/>
    </row>
    <row r="819" spans="1:9" ht="20.25">
      <c r="A819" s="597"/>
      <c r="B819" s="597"/>
      <c r="C819" s="597"/>
      <c r="D819" s="597"/>
      <c r="E819" s="597"/>
      <c r="F819" s="597"/>
      <c r="G819" s="597"/>
      <c r="H819" s="597"/>
      <c r="I819" s="597"/>
    </row>
    <row r="820" spans="1:9" ht="20.25">
      <c r="A820" s="597"/>
      <c r="B820" s="597"/>
      <c r="C820" s="597"/>
      <c r="D820" s="597"/>
      <c r="E820" s="597"/>
      <c r="F820" s="597"/>
      <c r="G820" s="597"/>
      <c r="H820" s="597"/>
      <c r="I820" s="597"/>
    </row>
    <row r="821" spans="1:9" ht="20.25">
      <c r="A821" s="597"/>
      <c r="B821" s="597"/>
      <c r="C821" s="597"/>
      <c r="D821" s="597"/>
      <c r="E821" s="597"/>
      <c r="F821" s="597"/>
      <c r="G821" s="597"/>
      <c r="H821" s="597"/>
      <c r="I821" s="597"/>
    </row>
    <row r="822" spans="1:9" ht="20.25">
      <c r="A822" s="597"/>
      <c r="B822" s="597"/>
      <c r="C822" s="597"/>
      <c r="D822" s="597"/>
      <c r="E822" s="597"/>
      <c r="F822" s="597"/>
      <c r="G822" s="597"/>
      <c r="H822" s="597"/>
      <c r="I822" s="597"/>
    </row>
    <row r="823" spans="1:9" ht="20.25">
      <c r="A823" s="597"/>
      <c r="B823" s="597"/>
      <c r="C823" s="597"/>
      <c r="D823" s="597"/>
      <c r="E823" s="597"/>
      <c r="F823" s="597"/>
      <c r="G823" s="597"/>
      <c r="H823" s="597"/>
      <c r="I823" s="597"/>
    </row>
    <row r="824" spans="1:9" ht="20.25">
      <c r="A824" s="597"/>
      <c r="B824" s="597"/>
      <c r="C824" s="597"/>
      <c r="D824" s="597"/>
      <c r="E824" s="597"/>
      <c r="F824" s="597"/>
      <c r="G824" s="597"/>
      <c r="H824" s="597"/>
      <c r="I824" s="597"/>
    </row>
    <row r="825" spans="1:9" ht="20.25">
      <c r="A825" s="597"/>
      <c r="B825" s="597"/>
      <c r="C825" s="597"/>
      <c r="D825" s="597"/>
      <c r="E825" s="597"/>
      <c r="F825" s="597"/>
      <c r="G825" s="597"/>
      <c r="H825" s="597"/>
      <c r="I825" s="597"/>
    </row>
    <row r="826" spans="1:9" ht="20.25">
      <c r="A826" s="597"/>
      <c r="B826" s="597"/>
      <c r="C826" s="597"/>
      <c r="D826" s="597"/>
      <c r="E826" s="597"/>
      <c r="F826" s="597"/>
      <c r="G826" s="597"/>
      <c r="H826" s="597"/>
      <c r="I826" s="597"/>
    </row>
    <row r="827" spans="1:9" ht="20.25">
      <c r="A827" s="597"/>
      <c r="B827" s="597"/>
      <c r="C827" s="597"/>
      <c r="D827" s="597"/>
      <c r="E827" s="597"/>
      <c r="F827" s="597"/>
      <c r="G827" s="597"/>
      <c r="H827" s="597"/>
      <c r="I827" s="597"/>
    </row>
    <row r="828" spans="1:9" ht="20.25">
      <c r="A828" s="597"/>
      <c r="B828" s="597"/>
      <c r="C828" s="597"/>
      <c r="D828" s="597"/>
      <c r="E828" s="597"/>
      <c r="F828" s="597"/>
      <c r="G828" s="597"/>
      <c r="H828" s="597"/>
      <c r="I828" s="597"/>
    </row>
    <row r="829" spans="1:9" ht="20.25">
      <c r="A829" s="597"/>
      <c r="B829" s="597"/>
      <c r="C829" s="597"/>
      <c r="D829" s="597"/>
      <c r="E829" s="597"/>
      <c r="F829" s="597"/>
      <c r="G829" s="597"/>
      <c r="H829" s="597"/>
      <c r="I829" s="597"/>
    </row>
    <row r="830" spans="1:9" ht="20.25">
      <c r="A830" s="597"/>
      <c r="B830" s="597"/>
      <c r="C830" s="597"/>
      <c r="D830" s="597"/>
      <c r="E830" s="597"/>
      <c r="F830" s="597"/>
      <c r="G830" s="597"/>
      <c r="H830" s="597"/>
      <c r="I830" s="597"/>
    </row>
    <row r="831" spans="1:9" ht="20.25">
      <c r="A831" s="597"/>
      <c r="B831" s="597"/>
      <c r="C831" s="597"/>
      <c r="D831" s="597"/>
      <c r="E831" s="597"/>
      <c r="F831" s="597"/>
      <c r="G831" s="597"/>
      <c r="H831" s="597"/>
      <c r="I831" s="597"/>
    </row>
    <row r="832" spans="1:9" ht="20.25">
      <c r="A832" s="597"/>
      <c r="B832" s="597"/>
      <c r="C832" s="597"/>
      <c r="D832" s="597"/>
      <c r="E832" s="597"/>
      <c r="F832" s="597"/>
      <c r="G832" s="597"/>
      <c r="H832" s="597"/>
      <c r="I832" s="597"/>
    </row>
    <row r="833" spans="1:9" ht="20.25">
      <c r="A833" s="597"/>
      <c r="B833" s="597"/>
      <c r="C833" s="597"/>
      <c r="D833" s="597"/>
      <c r="E833" s="597"/>
      <c r="F833" s="597"/>
      <c r="G833" s="597"/>
      <c r="H833" s="597"/>
      <c r="I833" s="597"/>
    </row>
    <row r="834" spans="1:9" ht="20.25">
      <c r="A834" s="597"/>
      <c r="B834" s="597"/>
      <c r="C834" s="597"/>
      <c r="D834" s="597"/>
      <c r="E834" s="597"/>
      <c r="F834" s="597"/>
      <c r="G834" s="597"/>
      <c r="H834" s="597"/>
      <c r="I834" s="597"/>
    </row>
    <row r="835" spans="1:9" ht="20.25">
      <c r="A835" s="597"/>
      <c r="B835" s="597"/>
      <c r="C835" s="597"/>
      <c r="D835" s="597"/>
      <c r="E835" s="597"/>
      <c r="F835" s="597"/>
      <c r="G835" s="597"/>
      <c r="H835" s="597"/>
      <c r="I835" s="597"/>
    </row>
    <row r="836" spans="1:9" ht="20.25">
      <c r="A836" s="597"/>
      <c r="B836" s="597"/>
      <c r="C836" s="597"/>
      <c r="D836" s="597"/>
      <c r="E836" s="597"/>
      <c r="F836" s="597"/>
      <c r="G836" s="597"/>
      <c r="H836" s="597"/>
      <c r="I836" s="597"/>
    </row>
    <row r="837" spans="1:9" ht="20.25">
      <c r="A837" s="597"/>
      <c r="B837" s="597"/>
      <c r="C837" s="597"/>
      <c r="D837" s="597"/>
      <c r="E837" s="597"/>
      <c r="F837" s="597"/>
      <c r="G837" s="597"/>
      <c r="H837" s="597"/>
      <c r="I837" s="597"/>
    </row>
    <row r="838" spans="1:9" ht="20.25">
      <c r="A838" s="597"/>
      <c r="B838" s="597"/>
      <c r="C838" s="597"/>
      <c r="D838" s="597"/>
      <c r="E838" s="597"/>
      <c r="F838" s="597"/>
      <c r="G838" s="597"/>
      <c r="H838" s="597"/>
      <c r="I838" s="597"/>
    </row>
    <row r="839" spans="1:9" ht="20.25">
      <c r="A839" s="597"/>
      <c r="B839" s="597"/>
      <c r="C839" s="597"/>
      <c r="D839" s="597"/>
      <c r="E839" s="597"/>
      <c r="F839" s="597"/>
      <c r="G839" s="597"/>
      <c r="H839" s="597"/>
      <c r="I839" s="597"/>
    </row>
    <row r="840" spans="1:9" ht="20.25">
      <c r="A840" s="597"/>
      <c r="B840" s="597"/>
      <c r="C840" s="597"/>
      <c r="D840" s="597"/>
      <c r="E840" s="597"/>
      <c r="F840" s="597"/>
      <c r="G840" s="597"/>
      <c r="H840" s="597"/>
      <c r="I840" s="597"/>
    </row>
    <row r="841" spans="1:9" ht="20.25">
      <c r="A841" s="597"/>
      <c r="B841" s="597"/>
      <c r="C841" s="597"/>
      <c r="D841" s="597"/>
      <c r="E841" s="597"/>
      <c r="F841" s="597"/>
      <c r="G841" s="597"/>
      <c r="H841" s="597"/>
      <c r="I841" s="597"/>
    </row>
    <row r="842" spans="1:9" ht="20.25">
      <c r="A842" s="597"/>
      <c r="B842" s="597"/>
      <c r="C842" s="597"/>
      <c r="D842" s="597"/>
      <c r="E842" s="597"/>
      <c r="F842" s="597"/>
      <c r="G842" s="597"/>
      <c r="H842" s="597"/>
      <c r="I842" s="597"/>
    </row>
    <row r="843" spans="1:9" ht="20.25">
      <c r="A843" s="597"/>
      <c r="B843" s="597"/>
      <c r="C843" s="597"/>
      <c r="D843" s="597"/>
      <c r="E843" s="597"/>
      <c r="F843" s="597"/>
      <c r="G843" s="597"/>
      <c r="H843" s="597"/>
      <c r="I843" s="597"/>
    </row>
    <row r="844" spans="1:9" ht="20.25">
      <c r="A844" s="597"/>
      <c r="B844" s="597"/>
      <c r="C844" s="597"/>
      <c r="D844" s="597"/>
      <c r="E844" s="597"/>
      <c r="F844" s="597"/>
      <c r="G844" s="597"/>
      <c r="H844" s="597"/>
      <c r="I844" s="597"/>
    </row>
    <row r="845" spans="1:9" ht="20.25">
      <c r="A845" s="597"/>
      <c r="B845" s="597"/>
      <c r="C845" s="597"/>
      <c r="D845" s="597"/>
      <c r="E845" s="597"/>
      <c r="F845" s="597"/>
      <c r="G845" s="597"/>
      <c r="H845" s="597"/>
      <c r="I845" s="597"/>
    </row>
    <row r="846" spans="1:9" ht="20.25">
      <c r="A846" s="597"/>
      <c r="B846" s="597"/>
      <c r="C846" s="597"/>
      <c r="D846" s="597"/>
      <c r="E846" s="597"/>
      <c r="F846" s="597"/>
      <c r="G846" s="597"/>
      <c r="H846" s="597"/>
      <c r="I846" s="597"/>
    </row>
    <row r="847" spans="1:9" ht="20.25">
      <c r="A847" s="597"/>
      <c r="B847" s="597"/>
      <c r="C847" s="597"/>
      <c r="D847" s="597"/>
      <c r="E847" s="597"/>
      <c r="F847" s="597"/>
      <c r="G847" s="597"/>
      <c r="H847" s="597"/>
      <c r="I847" s="597"/>
    </row>
    <row r="848" spans="1:9" ht="20.25">
      <c r="A848" s="597"/>
      <c r="B848" s="597"/>
      <c r="C848" s="597"/>
      <c r="D848" s="597"/>
      <c r="E848" s="597"/>
      <c r="F848" s="597"/>
      <c r="G848" s="597"/>
      <c r="H848" s="597"/>
      <c r="I848" s="597"/>
    </row>
    <row r="849" spans="1:9" ht="20.25">
      <c r="A849" s="597"/>
      <c r="B849" s="597"/>
      <c r="C849" s="597"/>
      <c r="D849" s="597"/>
      <c r="E849" s="597"/>
      <c r="F849" s="597"/>
      <c r="G849" s="597"/>
      <c r="H849" s="597"/>
      <c r="I849" s="597"/>
    </row>
    <row r="850" spans="1:9" ht="20.25">
      <c r="A850" s="597"/>
      <c r="B850" s="597"/>
      <c r="C850" s="597"/>
      <c r="D850" s="597"/>
      <c r="E850" s="597"/>
      <c r="F850" s="597"/>
      <c r="G850" s="597"/>
      <c r="H850" s="597"/>
      <c r="I850" s="597"/>
    </row>
    <row r="851" spans="1:9" ht="20.25">
      <c r="A851" s="597"/>
      <c r="B851" s="597"/>
      <c r="C851" s="597"/>
      <c r="D851" s="597"/>
      <c r="E851" s="597"/>
      <c r="F851" s="597"/>
      <c r="G851" s="597"/>
      <c r="H851" s="597"/>
      <c r="I851" s="597"/>
    </row>
    <row r="852" spans="1:9" ht="20.25">
      <c r="A852" s="597"/>
      <c r="B852" s="597"/>
      <c r="C852" s="597"/>
      <c r="D852" s="597"/>
      <c r="E852" s="597"/>
      <c r="F852" s="597"/>
      <c r="G852" s="597"/>
      <c r="H852" s="597"/>
      <c r="I852" s="597"/>
    </row>
    <row r="853" spans="1:9" ht="20.25">
      <c r="A853" s="597"/>
      <c r="B853" s="597"/>
      <c r="C853" s="597"/>
      <c r="D853" s="597"/>
      <c r="E853" s="597"/>
      <c r="F853" s="597"/>
      <c r="G853" s="597"/>
      <c r="H853" s="597"/>
      <c r="I853" s="597"/>
    </row>
    <row r="854" spans="1:9" ht="20.25">
      <c r="A854" s="597"/>
      <c r="B854" s="597"/>
      <c r="C854" s="597"/>
      <c r="D854" s="597"/>
      <c r="E854" s="597"/>
      <c r="F854" s="597"/>
      <c r="G854" s="597"/>
      <c r="H854" s="597"/>
      <c r="I854" s="597"/>
    </row>
    <row r="855" spans="1:9" ht="20.25">
      <c r="A855" s="597"/>
      <c r="B855" s="597"/>
      <c r="C855" s="597"/>
      <c r="D855" s="597"/>
      <c r="E855" s="597"/>
      <c r="F855" s="597"/>
      <c r="G855" s="597"/>
      <c r="H855" s="597"/>
      <c r="I855" s="597"/>
    </row>
    <row r="856" spans="1:9" ht="20.25">
      <c r="A856" s="597"/>
      <c r="B856" s="597"/>
      <c r="C856" s="597"/>
      <c r="D856" s="597"/>
      <c r="E856" s="597"/>
      <c r="F856" s="597"/>
      <c r="G856" s="597"/>
      <c r="H856" s="597"/>
      <c r="I856" s="597"/>
    </row>
    <row r="857" spans="1:9" ht="20.25">
      <c r="A857" s="597"/>
      <c r="B857" s="597"/>
      <c r="C857" s="597"/>
      <c r="D857" s="597"/>
      <c r="E857" s="597"/>
      <c r="F857" s="597"/>
      <c r="G857" s="597"/>
      <c r="H857" s="597"/>
      <c r="I857" s="597"/>
    </row>
    <row r="858" spans="1:9" ht="20.25">
      <c r="A858" s="597"/>
      <c r="B858" s="597"/>
      <c r="C858" s="597"/>
      <c r="D858" s="597"/>
      <c r="E858" s="597"/>
      <c r="F858" s="597"/>
      <c r="G858" s="597"/>
      <c r="H858" s="597"/>
      <c r="I858" s="597"/>
    </row>
    <row r="859" spans="1:9" ht="20.25">
      <c r="A859" s="597"/>
      <c r="B859" s="597"/>
      <c r="C859" s="597"/>
      <c r="D859" s="597"/>
      <c r="E859" s="597"/>
      <c r="F859" s="597"/>
      <c r="G859" s="597"/>
      <c r="H859" s="597"/>
      <c r="I859" s="597"/>
    </row>
    <row r="860" spans="1:9" ht="20.25">
      <c r="A860" s="597"/>
      <c r="B860" s="597"/>
      <c r="C860" s="597"/>
      <c r="D860" s="597"/>
      <c r="E860" s="597"/>
      <c r="F860" s="597"/>
      <c r="G860" s="597"/>
      <c r="H860" s="597"/>
      <c r="I860" s="597"/>
    </row>
    <row r="861" spans="1:9" ht="20.25">
      <c r="A861" s="597"/>
      <c r="B861" s="597"/>
      <c r="C861" s="597"/>
      <c r="D861" s="597"/>
      <c r="E861" s="597"/>
      <c r="F861" s="597"/>
      <c r="G861" s="597"/>
      <c r="H861" s="597"/>
      <c r="I861" s="597"/>
    </row>
    <row r="862" spans="1:9" ht="20.25">
      <c r="A862" s="597"/>
      <c r="B862" s="597"/>
      <c r="C862" s="597"/>
      <c r="D862" s="597"/>
      <c r="E862" s="597"/>
      <c r="F862" s="597"/>
      <c r="G862" s="597"/>
      <c r="H862" s="597"/>
      <c r="I862" s="597"/>
    </row>
    <row r="863" spans="1:9" ht="20.25">
      <c r="A863" s="597"/>
      <c r="B863" s="597"/>
      <c r="C863" s="597"/>
      <c r="D863" s="597"/>
      <c r="E863" s="597"/>
      <c r="F863" s="597"/>
      <c r="G863" s="597"/>
      <c r="H863" s="597"/>
      <c r="I863" s="597"/>
    </row>
    <row r="864" spans="1:9" ht="20.25">
      <c r="A864" s="597"/>
      <c r="B864" s="597"/>
      <c r="C864" s="597"/>
      <c r="D864" s="597"/>
      <c r="E864" s="597"/>
      <c r="F864" s="597"/>
      <c r="G864" s="597"/>
      <c r="H864" s="597"/>
      <c r="I864" s="597"/>
    </row>
    <row r="865" spans="1:9" ht="20.25">
      <c r="A865" s="597"/>
      <c r="B865" s="597"/>
      <c r="C865" s="597"/>
      <c r="D865" s="597"/>
      <c r="E865" s="597"/>
      <c r="F865" s="597"/>
      <c r="G865" s="597"/>
      <c r="H865" s="597"/>
      <c r="I865" s="597"/>
    </row>
    <row r="866" spans="1:9" ht="20.25">
      <c r="A866" s="597"/>
      <c r="B866" s="597"/>
      <c r="C866" s="597"/>
      <c r="D866" s="597"/>
      <c r="E866" s="597"/>
      <c r="F866" s="597"/>
      <c r="G866" s="597"/>
      <c r="H866" s="597"/>
      <c r="I866" s="597"/>
    </row>
    <row r="867" spans="1:9" ht="20.25">
      <c r="A867" s="597"/>
      <c r="B867" s="597"/>
      <c r="C867" s="597"/>
      <c r="D867" s="597"/>
      <c r="E867" s="597"/>
      <c r="F867" s="597"/>
      <c r="G867" s="597"/>
      <c r="H867" s="597"/>
      <c r="I867" s="597"/>
    </row>
    <row r="868" spans="1:9" ht="20.25">
      <c r="A868" s="597"/>
      <c r="B868" s="597"/>
      <c r="C868" s="597"/>
      <c r="D868" s="597"/>
      <c r="E868" s="597"/>
      <c r="F868" s="597"/>
      <c r="G868" s="597"/>
      <c r="H868" s="597"/>
      <c r="I868" s="597"/>
    </row>
    <row r="869" spans="1:9" ht="20.25">
      <c r="A869" s="597"/>
      <c r="B869" s="597"/>
      <c r="C869" s="597"/>
      <c r="D869" s="597"/>
      <c r="E869" s="597"/>
      <c r="F869" s="597"/>
      <c r="G869" s="597"/>
      <c r="H869" s="597"/>
      <c r="I869" s="597"/>
    </row>
    <row r="870" spans="1:9" ht="20.25">
      <c r="A870" s="597"/>
      <c r="B870" s="597"/>
      <c r="C870" s="597"/>
      <c r="D870" s="597"/>
      <c r="E870" s="597"/>
      <c r="F870" s="597"/>
      <c r="G870" s="597"/>
      <c r="H870" s="597"/>
      <c r="I870" s="597"/>
    </row>
    <row r="871" spans="1:9" ht="20.25">
      <c r="A871" s="597"/>
      <c r="B871" s="597"/>
      <c r="C871" s="597"/>
      <c r="D871" s="597"/>
      <c r="E871" s="597"/>
      <c r="F871" s="597"/>
      <c r="G871" s="597"/>
      <c r="H871" s="597"/>
      <c r="I871" s="597"/>
    </row>
    <row r="872" spans="1:9" ht="20.25">
      <c r="A872" s="597"/>
      <c r="B872" s="597"/>
      <c r="C872" s="597"/>
      <c r="D872" s="597"/>
      <c r="E872" s="597"/>
      <c r="F872" s="597"/>
      <c r="G872" s="597"/>
      <c r="H872" s="597"/>
      <c r="I872" s="597"/>
    </row>
    <row r="873" spans="1:9" ht="20.25">
      <c r="A873" s="597"/>
      <c r="B873" s="597"/>
      <c r="C873" s="597"/>
      <c r="D873" s="597"/>
      <c r="E873" s="597"/>
      <c r="F873" s="597"/>
      <c r="G873" s="597"/>
      <c r="H873" s="597"/>
      <c r="I873" s="597"/>
    </row>
    <row r="874" spans="1:9" ht="20.25">
      <c r="A874" s="597"/>
      <c r="B874" s="597"/>
      <c r="C874" s="597"/>
      <c r="D874" s="597"/>
      <c r="E874" s="597"/>
      <c r="F874" s="597"/>
      <c r="G874" s="597"/>
      <c r="H874" s="597"/>
      <c r="I874" s="597"/>
    </row>
    <row r="875" spans="1:9" ht="20.25">
      <c r="A875" s="597"/>
      <c r="B875" s="597"/>
      <c r="C875" s="597"/>
      <c r="D875" s="597"/>
      <c r="E875" s="597"/>
      <c r="F875" s="597"/>
      <c r="G875" s="597"/>
      <c r="H875" s="597"/>
      <c r="I875" s="597"/>
    </row>
    <row r="876" spans="1:9" ht="20.25">
      <c r="A876" s="597"/>
      <c r="B876" s="597"/>
      <c r="C876" s="597"/>
      <c r="D876" s="597"/>
      <c r="E876" s="597"/>
      <c r="F876" s="597"/>
      <c r="G876" s="597"/>
      <c r="H876" s="597"/>
      <c r="I876" s="597"/>
    </row>
    <row r="877" spans="1:9" ht="20.25">
      <c r="A877" s="597"/>
      <c r="B877" s="597"/>
      <c r="C877" s="597"/>
      <c r="D877" s="597"/>
      <c r="E877" s="597"/>
      <c r="F877" s="597"/>
      <c r="G877" s="597"/>
      <c r="H877" s="597"/>
      <c r="I877" s="597"/>
    </row>
    <row r="878" spans="1:9" ht="20.25">
      <c r="A878" s="597"/>
      <c r="B878" s="597"/>
      <c r="C878" s="597"/>
      <c r="D878" s="597"/>
      <c r="E878" s="597"/>
      <c r="F878" s="597"/>
      <c r="G878" s="597"/>
      <c r="H878" s="597"/>
      <c r="I878" s="597"/>
    </row>
    <row r="879" spans="1:9" ht="20.25">
      <c r="A879" s="597"/>
      <c r="B879" s="597"/>
      <c r="C879" s="597"/>
      <c r="D879" s="597"/>
      <c r="E879" s="597"/>
      <c r="F879" s="597"/>
      <c r="G879" s="597"/>
      <c r="H879" s="597"/>
      <c r="I879" s="597"/>
    </row>
    <row r="880" spans="1:9" ht="20.25">
      <c r="A880" s="597"/>
      <c r="B880" s="597"/>
      <c r="C880" s="597"/>
      <c r="D880" s="597"/>
      <c r="E880" s="597"/>
      <c r="F880" s="597"/>
      <c r="G880" s="597"/>
      <c r="H880" s="597"/>
      <c r="I880" s="597"/>
    </row>
    <row r="881" spans="1:9" ht="20.25">
      <c r="A881" s="597"/>
      <c r="B881" s="597"/>
      <c r="C881" s="597"/>
      <c r="D881" s="597"/>
      <c r="E881" s="597"/>
      <c r="F881" s="597"/>
      <c r="G881" s="597"/>
      <c r="H881" s="597"/>
      <c r="I881" s="597"/>
    </row>
    <row r="882" spans="1:9" ht="20.25">
      <c r="A882" s="597"/>
      <c r="B882" s="597"/>
      <c r="C882" s="597"/>
      <c r="D882" s="597"/>
      <c r="E882" s="597"/>
      <c r="F882" s="597"/>
      <c r="G882" s="597"/>
      <c r="H882" s="597"/>
      <c r="I882" s="597"/>
    </row>
    <row r="883" spans="1:9" ht="20.25">
      <c r="A883" s="597"/>
      <c r="B883" s="597"/>
      <c r="C883" s="597"/>
      <c r="D883" s="597"/>
      <c r="E883" s="597"/>
      <c r="F883" s="597"/>
      <c r="G883" s="597"/>
      <c r="H883" s="597"/>
      <c r="I883" s="597"/>
    </row>
    <row r="884" spans="1:9" ht="20.25">
      <c r="A884" s="597"/>
      <c r="B884" s="597"/>
      <c r="C884" s="597"/>
      <c r="D884" s="597"/>
      <c r="E884" s="597"/>
      <c r="F884" s="597"/>
      <c r="G884" s="597"/>
      <c r="H884" s="597"/>
      <c r="I884" s="597"/>
    </row>
    <row r="885" spans="1:9" ht="20.25">
      <c r="A885" s="597"/>
      <c r="B885" s="597"/>
      <c r="C885" s="597"/>
      <c r="D885" s="597"/>
      <c r="E885" s="597"/>
      <c r="F885" s="597"/>
      <c r="G885" s="597"/>
      <c r="H885" s="597"/>
      <c r="I885" s="597"/>
    </row>
    <row r="886" spans="1:9" ht="20.25">
      <c r="A886" s="597"/>
      <c r="B886" s="597"/>
      <c r="C886" s="597"/>
      <c r="D886" s="597"/>
      <c r="E886" s="597"/>
      <c r="F886" s="597"/>
      <c r="G886" s="597"/>
      <c r="H886" s="597"/>
      <c r="I886" s="597"/>
    </row>
    <row r="887" spans="1:9" ht="20.25">
      <c r="A887" s="597"/>
      <c r="B887" s="597"/>
      <c r="C887" s="597"/>
      <c r="D887" s="597"/>
      <c r="E887" s="597"/>
      <c r="F887" s="597"/>
      <c r="G887" s="597"/>
      <c r="H887" s="597"/>
      <c r="I887" s="597"/>
    </row>
    <row r="888" spans="1:9" ht="20.25">
      <c r="A888" s="597"/>
      <c r="B888" s="597"/>
      <c r="C888" s="597"/>
      <c r="D888" s="597"/>
      <c r="E888" s="597"/>
      <c r="F888" s="597"/>
      <c r="G888" s="597"/>
      <c r="H888" s="597"/>
      <c r="I888" s="597"/>
    </row>
    <row r="889" spans="1:9" ht="20.25">
      <c r="A889" s="597"/>
      <c r="B889" s="597"/>
      <c r="C889" s="597"/>
      <c r="D889" s="597"/>
      <c r="E889" s="597"/>
      <c r="F889" s="597"/>
      <c r="G889" s="597"/>
      <c r="H889" s="597"/>
      <c r="I889" s="597"/>
    </row>
    <row r="890" spans="1:9" ht="20.25">
      <c r="A890" s="597"/>
      <c r="B890" s="597"/>
      <c r="C890" s="597"/>
      <c r="D890" s="597"/>
      <c r="E890" s="597"/>
      <c r="F890" s="597"/>
      <c r="G890" s="597"/>
      <c r="H890" s="597"/>
      <c r="I890" s="597"/>
    </row>
    <row r="891" spans="1:9" ht="20.25">
      <c r="A891" s="597"/>
      <c r="B891" s="597"/>
      <c r="C891" s="597"/>
      <c r="D891" s="597"/>
      <c r="E891" s="597"/>
      <c r="F891" s="597"/>
      <c r="G891" s="597"/>
      <c r="H891" s="597"/>
      <c r="I891" s="597"/>
    </row>
    <row r="892" spans="1:9" ht="20.25">
      <c r="A892" s="597"/>
      <c r="B892" s="597"/>
      <c r="C892" s="597"/>
      <c r="D892" s="597"/>
      <c r="E892" s="597"/>
      <c r="F892" s="597"/>
      <c r="G892" s="597"/>
      <c r="H892" s="597"/>
      <c r="I892" s="597"/>
    </row>
    <row r="893" spans="1:9" ht="20.25">
      <c r="A893" s="597"/>
      <c r="B893" s="597"/>
      <c r="C893" s="597"/>
      <c r="D893" s="597"/>
      <c r="E893" s="597"/>
      <c r="F893" s="597"/>
      <c r="G893" s="597"/>
      <c r="H893" s="597"/>
      <c r="I893" s="597"/>
    </row>
    <row r="894" spans="1:9" ht="20.25">
      <c r="A894" s="597"/>
      <c r="B894" s="597"/>
      <c r="C894" s="597"/>
      <c r="D894" s="597"/>
      <c r="E894" s="597"/>
      <c r="F894" s="597"/>
      <c r="G894" s="597"/>
      <c r="H894" s="597"/>
      <c r="I894" s="597"/>
    </row>
    <row r="895" spans="1:9" ht="20.25">
      <c r="A895" s="597"/>
      <c r="B895" s="597"/>
      <c r="C895" s="597"/>
      <c r="D895" s="597"/>
      <c r="E895" s="597"/>
      <c r="F895" s="597"/>
      <c r="G895" s="597"/>
      <c r="H895" s="597"/>
      <c r="I895" s="597"/>
    </row>
    <row r="896" spans="1:9" ht="20.25">
      <c r="A896" s="597"/>
      <c r="B896" s="597"/>
      <c r="C896" s="597"/>
      <c r="D896" s="597"/>
      <c r="E896" s="597"/>
      <c r="F896" s="597"/>
      <c r="G896" s="597"/>
      <c r="H896" s="597"/>
      <c r="I896" s="597"/>
    </row>
    <row r="897" spans="1:9" ht="20.25">
      <c r="A897" s="597"/>
      <c r="B897" s="597"/>
      <c r="C897" s="597"/>
      <c r="D897" s="597"/>
      <c r="E897" s="597"/>
      <c r="F897" s="597"/>
      <c r="G897" s="597"/>
      <c r="H897" s="597"/>
      <c r="I897" s="597"/>
    </row>
    <row r="898" spans="1:9" ht="20.25">
      <c r="A898" s="597"/>
      <c r="B898" s="597"/>
      <c r="C898" s="597"/>
      <c r="D898" s="597"/>
      <c r="E898" s="597"/>
      <c r="F898" s="597"/>
      <c r="G898" s="597"/>
      <c r="H898" s="597"/>
      <c r="I898" s="597"/>
    </row>
    <row r="899" spans="1:9" ht="20.25">
      <c r="A899" s="597"/>
      <c r="B899" s="597"/>
      <c r="C899" s="597"/>
      <c r="D899" s="597"/>
      <c r="E899" s="597"/>
      <c r="F899" s="597"/>
      <c r="G899" s="597"/>
      <c r="H899" s="597"/>
      <c r="I899" s="597"/>
    </row>
    <row r="900" spans="1:9" ht="20.25">
      <c r="A900" s="597"/>
      <c r="B900" s="597"/>
      <c r="C900" s="597"/>
      <c r="D900" s="597"/>
      <c r="E900" s="597"/>
      <c r="F900" s="597"/>
      <c r="G900" s="597"/>
      <c r="H900" s="597"/>
      <c r="I900" s="597"/>
    </row>
    <row r="901" spans="1:9" ht="20.25">
      <c r="A901" s="597"/>
      <c r="B901" s="597"/>
      <c r="C901" s="597"/>
      <c r="D901" s="597"/>
      <c r="E901" s="597"/>
      <c r="F901" s="597"/>
      <c r="G901" s="597"/>
      <c r="H901" s="597"/>
      <c r="I901" s="597"/>
    </row>
    <row r="902" spans="1:9" ht="20.25">
      <c r="A902" s="597"/>
      <c r="B902" s="597"/>
      <c r="C902" s="597"/>
      <c r="D902" s="597"/>
      <c r="E902" s="597"/>
      <c r="F902" s="597"/>
      <c r="G902" s="597"/>
      <c r="H902" s="597"/>
      <c r="I902" s="597"/>
    </row>
    <row r="903" spans="1:9" ht="20.25">
      <c r="A903" s="597"/>
      <c r="B903" s="597"/>
      <c r="C903" s="597"/>
      <c r="D903" s="597"/>
      <c r="E903" s="597"/>
      <c r="F903" s="597"/>
      <c r="G903" s="597"/>
      <c r="H903" s="597"/>
      <c r="I903" s="597"/>
    </row>
    <row r="904" spans="1:9" ht="20.25">
      <c r="A904" s="597"/>
      <c r="B904" s="597"/>
      <c r="C904" s="597"/>
      <c r="D904" s="597"/>
      <c r="E904" s="597"/>
      <c r="F904" s="597"/>
      <c r="G904" s="597"/>
      <c r="H904" s="597"/>
      <c r="I904" s="597"/>
    </row>
    <row r="905" spans="1:9" ht="20.25">
      <c r="A905" s="597"/>
      <c r="B905" s="597"/>
      <c r="C905" s="597"/>
      <c r="D905" s="597"/>
      <c r="E905" s="597"/>
      <c r="F905" s="597"/>
      <c r="G905" s="597"/>
      <c r="H905" s="597"/>
      <c r="I905" s="597"/>
    </row>
    <row r="906" spans="1:9" ht="20.25">
      <c r="A906" s="597"/>
      <c r="B906" s="597"/>
      <c r="C906" s="597"/>
      <c r="D906" s="597"/>
      <c r="E906" s="597"/>
      <c r="F906" s="597"/>
      <c r="G906" s="597"/>
      <c r="H906" s="597"/>
      <c r="I906" s="597"/>
    </row>
    <row r="907" spans="1:9" ht="20.25">
      <c r="A907" s="597"/>
      <c r="B907" s="597"/>
      <c r="C907" s="597"/>
      <c r="D907" s="597"/>
      <c r="E907" s="597"/>
      <c r="F907" s="597"/>
      <c r="G907" s="597"/>
      <c r="H907" s="597"/>
      <c r="I907" s="597"/>
    </row>
    <row r="908" spans="1:9" ht="20.25">
      <c r="A908" s="597"/>
      <c r="B908" s="597"/>
      <c r="C908" s="597"/>
      <c r="D908" s="597"/>
      <c r="E908" s="597"/>
      <c r="F908" s="597"/>
      <c r="G908" s="597"/>
      <c r="H908" s="597"/>
      <c r="I908" s="597"/>
    </row>
    <row r="909" spans="1:9" ht="20.25">
      <c r="A909" s="597"/>
      <c r="B909" s="597"/>
      <c r="C909" s="597"/>
      <c r="D909" s="597"/>
      <c r="E909" s="597"/>
      <c r="F909" s="597"/>
      <c r="G909" s="597"/>
      <c r="H909" s="597"/>
      <c r="I909" s="597"/>
    </row>
    <row r="910" spans="1:9" ht="20.25">
      <c r="A910" s="597"/>
      <c r="B910" s="597"/>
      <c r="C910" s="597"/>
      <c r="D910" s="597"/>
      <c r="E910" s="597"/>
      <c r="F910" s="597"/>
      <c r="G910" s="597"/>
      <c r="H910" s="597"/>
      <c r="I910" s="597"/>
    </row>
    <row r="911" spans="1:9" ht="20.25">
      <c r="A911" s="597"/>
      <c r="B911" s="597"/>
      <c r="C911" s="597"/>
      <c r="D911" s="597"/>
      <c r="E911" s="597"/>
      <c r="F911" s="597"/>
      <c r="G911" s="597"/>
      <c r="H911" s="597"/>
      <c r="I911" s="597"/>
    </row>
    <row r="912" spans="1:9" ht="20.25">
      <c r="A912" s="597"/>
      <c r="B912" s="597"/>
      <c r="C912" s="597"/>
      <c r="D912" s="597"/>
      <c r="E912" s="597"/>
      <c r="F912" s="597"/>
      <c r="G912" s="597"/>
      <c r="H912" s="597"/>
      <c r="I912" s="597"/>
    </row>
    <row r="913" spans="1:9" ht="20.25">
      <c r="A913" s="597"/>
      <c r="B913" s="597"/>
      <c r="C913" s="597"/>
      <c r="D913" s="597"/>
      <c r="E913" s="597"/>
      <c r="F913" s="597"/>
      <c r="G913" s="597"/>
      <c r="H913" s="597"/>
      <c r="I913" s="597"/>
    </row>
    <row r="914" spans="1:9" ht="20.25">
      <c r="A914" s="597"/>
      <c r="B914" s="597"/>
      <c r="C914" s="597"/>
      <c r="D914" s="597"/>
      <c r="E914" s="597"/>
      <c r="F914" s="597"/>
      <c r="G914" s="597"/>
      <c r="H914" s="597"/>
      <c r="I914" s="597"/>
    </row>
    <row r="915" spans="1:9" ht="20.25">
      <c r="A915" s="597"/>
      <c r="B915" s="597"/>
      <c r="C915" s="597"/>
      <c r="D915" s="597"/>
      <c r="E915" s="597"/>
      <c r="F915" s="597"/>
      <c r="G915" s="597"/>
      <c r="H915" s="597"/>
      <c r="I915" s="597"/>
    </row>
    <row r="916" spans="1:9" ht="20.25">
      <c r="A916" s="597"/>
      <c r="B916" s="597"/>
      <c r="C916" s="597"/>
      <c r="D916" s="597"/>
      <c r="E916" s="597"/>
      <c r="F916" s="597"/>
      <c r="G916" s="597"/>
      <c r="H916" s="597"/>
      <c r="I916" s="597"/>
    </row>
    <row r="917" spans="1:9" ht="20.25">
      <c r="A917" s="597"/>
      <c r="B917" s="597"/>
      <c r="C917" s="597"/>
      <c r="D917" s="597"/>
      <c r="E917" s="597"/>
      <c r="F917" s="597"/>
      <c r="G917" s="597"/>
      <c r="H917" s="597"/>
      <c r="I917" s="597"/>
    </row>
    <row r="918" spans="1:9" ht="20.25">
      <c r="A918" s="597"/>
      <c r="B918" s="597"/>
      <c r="C918" s="597"/>
      <c r="D918" s="597"/>
      <c r="E918" s="597"/>
      <c r="F918" s="597"/>
      <c r="G918" s="597"/>
      <c r="H918" s="597"/>
      <c r="I918" s="597"/>
    </row>
    <row r="919" spans="1:9" ht="20.25">
      <c r="A919" s="597"/>
      <c r="B919" s="597"/>
      <c r="C919" s="597"/>
      <c r="D919" s="597"/>
      <c r="E919" s="597"/>
      <c r="F919" s="597"/>
      <c r="G919" s="597"/>
      <c r="H919" s="597"/>
      <c r="I919" s="597"/>
    </row>
    <row r="920" spans="1:9" ht="20.25">
      <c r="A920" s="597"/>
      <c r="B920" s="597"/>
      <c r="C920" s="597"/>
      <c r="D920" s="597"/>
      <c r="E920" s="597"/>
      <c r="F920" s="597"/>
      <c r="G920" s="597"/>
      <c r="H920" s="597"/>
      <c r="I920" s="597"/>
    </row>
    <row r="921" spans="1:9" ht="20.25">
      <c r="A921" s="597"/>
      <c r="B921" s="597"/>
      <c r="C921" s="597"/>
      <c r="D921" s="597"/>
      <c r="E921" s="597"/>
      <c r="F921" s="597"/>
      <c r="G921" s="597"/>
      <c r="H921" s="597"/>
      <c r="I921" s="597"/>
    </row>
    <row r="922" spans="1:9" ht="20.25">
      <c r="A922" s="597"/>
      <c r="B922" s="597"/>
      <c r="C922" s="597"/>
      <c r="D922" s="597"/>
      <c r="E922" s="597"/>
      <c r="F922" s="597"/>
      <c r="G922" s="597"/>
      <c r="H922" s="597"/>
      <c r="I922" s="597"/>
    </row>
    <row r="923" spans="1:9" ht="20.25">
      <c r="A923" s="597"/>
      <c r="B923" s="597"/>
      <c r="C923" s="597"/>
      <c r="D923" s="597"/>
      <c r="E923" s="597"/>
      <c r="F923" s="597"/>
      <c r="G923" s="597"/>
      <c r="H923" s="597"/>
      <c r="I923" s="597"/>
    </row>
    <row r="924" spans="1:9" ht="20.25">
      <c r="A924" s="597"/>
      <c r="B924" s="597"/>
      <c r="C924" s="597"/>
      <c r="D924" s="597"/>
      <c r="E924" s="597"/>
      <c r="F924" s="597"/>
      <c r="G924" s="597"/>
      <c r="H924" s="597"/>
      <c r="I924" s="597"/>
    </row>
    <row r="925" spans="1:9" ht="20.25">
      <c r="A925" s="597"/>
      <c r="B925" s="597"/>
      <c r="C925" s="597"/>
      <c r="D925" s="597"/>
      <c r="E925" s="597"/>
      <c r="F925" s="597"/>
      <c r="G925" s="597"/>
      <c r="H925" s="597"/>
      <c r="I925" s="597"/>
    </row>
    <row r="926" spans="1:9" ht="20.25">
      <c r="A926" s="597"/>
      <c r="B926" s="597"/>
      <c r="C926" s="597"/>
      <c r="D926" s="597"/>
      <c r="E926" s="597"/>
      <c r="F926" s="597"/>
      <c r="G926" s="597"/>
      <c r="H926" s="597"/>
      <c r="I926" s="597"/>
    </row>
    <row r="927" spans="1:9" ht="20.25">
      <c r="A927" s="597"/>
      <c r="B927" s="597"/>
      <c r="C927" s="597"/>
      <c r="D927" s="597"/>
      <c r="E927" s="597"/>
      <c r="F927" s="597"/>
      <c r="G927" s="597"/>
      <c r="H927" s="597"/>
      <c r="I927" s="597"/>
    </row>
    <row r="928" spans="1:9" ht="20.25">
      <c r="A928" s="597"/>
      <c r="B928" s="597"/>
      <c r="C928" s="597"/>
      <c r="D928" s="597"/>
      <c r="E928" s="597"/>
      <c r="F928" s="597"/>
      <c r="G928" s="597"/>
      <c r="H928" s="597"/>
      <c r="I928" s="597"/>
    </row>
    <row r="929" spans="1:9" ht="20.25">
      <c r="A929" s="597"/>
      <c r="B929" s="597"/>
      <c r="C929" s="597"/>
      <c r="D929" s="597"/>
      <c r="E929" s="597"/>
      <c r="F929" s="597"/>
      <c r="G929" s="597"/>
      <c r="H929" s="597"/>
      <c r="I929" s="597"/>
    </row>
    <row r="930" spans="1:9" ht="20.25">
      <c r="A930" s="597"/>
      <c r="B930" s="597"/>
      <c r="C930" s="597"/>
      <c r="D930" s="597"/>
      <c r="E930" s="597"/>
      <c r="F930" s="597"/>
      <c r="G930" s="597"/>
      <c r="H930" s="597"/>
      <c r="I930" s="597"/>
    </row>
    <row r="931" spans="1:9" ht="20.25">
      <c r="A931" s="597"/>
      <c r="B931" s="597"/>
      <c r="C931" s="597"/>
      <c r="D931" s="597"/>
      <c r="E931" s="597"/>
      <c r="F931" s="597"/>
      <c r="G931" s="597"/>
      <c r="H931" s="597"/>
      <c r="I931" s="597"/>
    </row>
    <row r="932" spans="1:9" ht="20.25">
      <c r="A932" s="597"/>
      <c r="B932" s="597"/>
      <c r="C932" s="597"/>
      <c r="D932" s="597"/>
      <c r="E932" s="597"/>
      <c r="F932" s="597"/>
      <c r="G932" s="597"/>
      <c r="H932" s="597"/>
      <c r="I932" s="597"/>
    </row>
    <row r="933" spans="1:9" ht="20.25">
      <c r="A933" s="597"/>
      <c r="B933" s="597"/>
      <c r="C933" s="597"/>
      <c r="D933" s="597"/>
      <c r="E933" s="597"/>
      <c r="F933" s="597"/>
      <c r="G933" s="597"/>
      <c r="H933" s="597"/>
      <c r="I933" s="597"/>
    </row>
    <row r="934" spans="1:9" ht="20.25">
      <c r="A934" s="597"/>
      <c r="B934" s="597"/>
      <c r="C934" s="597"/>
      <c r="D934" s="597"/>
      <c r="E934" s="597"/>
      <c r="F934" s="597"/>
      <c r="G934" s="597"/>
      <c r="H934" s="597"/>
      <c r="I934" s="597"/>
    </row>
    <row r="935" spans="1:9" ht="20.25">
      <c r="A935" s="597"/>
      <c r="B935" s="597"/>
      <c r="C935" s="597"/>
      <c r="D935" s="597"/>
      <c r="E935" s="597"/>
      <c r="F935" s="597"/>
      <c r="G935" s="597"/>
      <c r="H935" s="597"/>
      <c r="I935" s="597"/>
    </row>
    <row r="936" spans="1:9" ht="20.25">
      <c r="A936" s="597"/>
      <c r="B936" s="597"/>
      <c r="C936" s="597"/>
      <c r="D936" s="597"/>
      <c r="E936" s="597"/>
      <c r="F936" s="597"/>
      <c r="G936" s="597"/>
      <c r="H936" s="597"/>
      <c r="I936" s="597"/>
    </row>
    <row r="937" spans="1:9" ht="20.25">
      <c r="A937" s="597"/>
      <c r="B937" s="597"/>
      <c r="C937" s="597"/>
      <c r="D937" s="597"/>
      <c r="E937" s="597"/>
      <c r="F937" s="597"/>
      <c r="G937" s="597"/>
      <c r="H937" s="597"/>
      <c r="I937" s="597"/>
    </row>
    <row r="938" spans="1:9" ht="20.25">
      <c r="A938" s="597"/>
      <c r="B938" s="597"/>
      <c r="C938" s="597"/>
      <c r="D938" s="597"/>
      <c r="E938" s="597"/>
      <c r="F938" s="597"/>
      <c r="G938" s="597"/>
      <c r="H938" s="597"/>
      <c r="I938" s="597"/>
    </row>
    <row r="939" spans="1:9" ht="20.25">
      <c r="A939" s="597"/>
      <c r="B939" s="597"/>
      <c r="C939" s="597"/>
      <c r="D939" s="597"/>
      <c r="E939" s="597"/>
      <c r="F939" s="597"/>
      <c r="G939" s="597"/>
      <c r="H939" s="597"/>
      <c r="I939" s="597"/>
    </row>
    <row r="940" spans="1:9" ht="20.25">
      <c r="A940" s="597"/>
      <c r="B940" s="597"/>
      <c r="C940" s="597"/>
      <c r="D940" s="597"/>
      <c r="E940" s="597"/>
      <c r="F940" s="597"/>
      <c r="G940" s="597"/>
      <c r="H940" s="597"/>
      <c r="I940" s="597"/>
    </row>
    <row r="941" spans="1:9" ht="20.25">
      <c r="A941" s="597"/>
      <c r="B941" s="597"/>
      <c r="C941" s="597"/>
      <c r="D941" s="597"/>
      <c r="E941" s="597"/>
      <c r="F941" s="597"/>
      <c r="G941" s="597"/>
      <c r="H941" s="597"/>
      <c r="I941" s="597"/>
    </row>
    <row r="942" spans="1:9" ht="20.25">
      <c r="A942" s="597"/>
      <c r="B942" s="597"/>
      <c r="C942" s="597"/>
      <c r="D942" s="597"/>
      <c r="E942" s="597"/>
      <c r="F942" s="597"/>
      <c r="G942" s="597"/>
      <c r="H942" s="597"/>
      <c r="I942" s="597"/>
    </row>
    <row r="943" spans="1:9" ht="20.25">
      <c r="A943" s="597"/>
      <c r="B943" s="597"/>
      <c r="C943" s="597"/>
      <c r="D943" s="597"/>
      <c r="E943" s="597"/>
      <c r="F943" s="597"/>
      <c r="G943" s="597"/>
      <c r="H943" s="597"/>
      <c r="I943" s="597"/>
    </row>
    <row r="944" spans="1:9" ht="20.25">
      <c r="A944" s="597"/>
      <c r="B944" s="597"/>
      <c r="C944" s="597"/>
      <c r="D944" s="597"/>
      <c r="E944" s="597"/>
      <c r="F944" s="597"/>
      <c r="G944" s="597"/>
      <c r="H944" s="597"/>
      <c r="I944" s="597"/>
    </row>
    <row r="945" spans="1:9" ht="20.25">
      <c r="A945" s="597"/>
      <c r="B945" s="597"/>
      <c r="C945" s="597"/>
      <c r="D945" s="597"/>
      <c r="E945" s="597"/>
      <c r="F945" s="597"/>
      <c r="G945" s="597"/>
      <c r="H945" s="597"/>
      <c r="I945" s="597"/>
    </row>
    <row r="946" spans="1:9" ht="20.25">
      <c r="A946" s="597"/>
      <c r="B946" s="597"/>
      <c r="C946" s="597"/>
      <c r="D946" s="597"/>
      <c r="E946" s="597"/>
      <c r="F946" s="597"/>
      <c r="G946" s="597"/>
      <c r="H946" s="597"/>
      <c r="I946" s="597"/>
    </row>
    <row r="947" spans="1:9" ht="20.25">
      <c r="A947" s="597"/>
      <c r="B947" s="597"/>
      <c r="C947" s="597"/>
      <c r="D947" s="597"/>
      <c r="E947" s="597"/>
      <c r="F947" s="597"/>
      <c r="G947" s="597"/>
      <c r="H947" s="597"/>
      <c r="I947" s="597"/>
    </row>
    <row r="948" spans="1:9" ht="20.25">
      <c r="A948" s="597"/>
      <c r="B948" s="597"/>
      <c r="C948" s="597"/>
      <c r="D948" s="597"/>
      <c r="E948" s="597"/>
      <c r="F948" s="597"/>
      <c r="G948" s="597"/>
      <c r="H948" s="597"/>
      <c r="I948" s="597"/>
    </row>
    <row r="949" spans="1:9" ht="20.25">
      <c r="A949" s="597"/>
      <c r="B949" s="597"/>
      <c r="C949" s="597"/>
      <c r="D949" s="597"/>
      <c r="E949" s="597"/>
      <c r="F949" s="597"/>
      <c r="G949" s="597"/>
      <c r="H949" s="597"/>
      <c r="I949" s="597"/>
    </row>
    <row r="950" spans="1:9" ht="20.25">
      <c r="A950" s="597"/>
      <c r="B950" s="597"/>
      <c r="C950" s="597"/>
      <c r="D950" s="597"/>
      <c r="E950" s="597"/>
      <c r="F950" s="597"/>
      <c r="G950" s="597"/>
      <c r="H950" s="597"/>
      <c r="I950" s="597"/>
    </row>
    <row r="951" spans="1:9" ht="20.25">
      <c r="A951" s="597"/>
      <c r="B951" s="597"/>
      <c r="C951" s="597"/>
      <c r="D951" s="597"/>
      <c r="E951" s="597"/>
      <c r="F951" s="597"/>
      <c r="G951" s="597"/>
      <c r="H951" s="597"/>
      <c r="I951" s="597"/>
    </row>
  </sheetData>
  <mergeCells count="41">
    <mergeCell ref="A34:I35"/>
    <mergeCell ref="A36:I36"/>
    <mergeCell ref="B38:C38"/>
    <mergeCell ref="F38:G38"/>
    <mergeCell ref="B39:C39"/>
    <mergeCell ref="F33:H33"/>
    <mergeCell ref="F22:H22"/>
    <mergeCell ref="F23:H23"/>
    <mergeCell ref="F24:H24"/>
    <mergeCell ref="F25:H25"/>
    <mergeCell ref="F26:H26"/>
    <mergeCell ref="F27:H27"/>
    <mergeCell ref="F28:H28"/>
    <mergeCell ref="F29:H29"/>
    <mergeCell ref="F30:H30"/>
    <mergeCell ref="F31:H31"/>
    <mergeCell ref="F32:H32"/>
    <mergeCell ref="F21:H21"/>
    <mergeCell ref="F10:H10"/>
    <mergeCell ref="F11:H11"/>
    <mergeCell ref="F12:H12"/>
    <mergeCell ref="F13:H13"/>
    <mergeCell ref="F14:H14"/>
    <mergeCell ref="F15:H15"/>
    <mergeCell ref="F16:H16"/>
    <mergeCell ref="F17:H17"/>
    <mergeCell ref="F18:H18"/>
    <mergeCell ref="F19:H19"/>
    <mergeCell ref="F20:H20"/>
    <mergeCell ref="F9:H9"/>
    <mergeCell ref="H2:I2"/>
    <mergeCell ref="A3:I3"/>
    <mergeCell ref="B4:D4"/>
    <mergeCell ref="F4:G4"/>
    <mergeCell ref="B5:D5"/>
    <mergeCell ref="F5:G5"/>
    <mergeCell ref="B6:D6"/>
    <mergeCell ref="F6:G6"/>
    <mergeCell ref="B7:D7"/>
    <mergeCell ref="F7:G7"/>
    <mergeCell ref="B8:G8"/>
  </mergeCells>
  <phoneticPr fontId="83" type="noConversion"/>
  <printOptions horizontalCentered="1"/>
  <pageMargins left="0.59055118110236227" right="0.59055118110236227" top="0.59055118110236227" bottom="0.39370078740157483" header="0.51181102362204722" footer="0.51181102362204722"/>
  <pageSetup paperSize="9" scale="97" orientation="portrait" verticalDpi="180" r:id="rId1"/>
  <headerFooter alignWithMargins="0"/>
</worksheet>
</file>

<file path=xl/worksheets/sheet20.xml><?xml version="1.0" encoding="utf-8"?>
<worksheet xmlns="http://schemas.openxmlformats.org/spreadsheetml/2006/main" xmlns:r="http://schemas.openxmlformats.org/officeDocument/2006/relationships">
  <sheetPr>
    <tabColor rgb="FFFF0000"/>
  </sheetPr>
  <dimension ref="A1:K952"/>
  <sheetViews>
    <sheetView workbookViewId="0">
      <selection activeCell="F18" sqref="F18:H18"/>
    </sheetView>
  </sheetViews>
  <sheetFormatPr defaultRowHeight="14.25"/>
  <cols>
    <col min="1" max="1" width="9.75" style="301" customWidth="1"/>
    <col min="2" max="2" width="8.625" style="301" customWidth="1"/>
    <col min="3" max="3" width="3.5" style="301" customWidth="1"/>
    <col min="4" max="4" width="8.25" style="301" customWidth="1"/>
    <col min="5" max="5" width="11.625" style="301" customWidth="1"/>
    <col min="6" max="6" width="6" style="301" customWidth="1"/>
    <col min="7" max="7" width="5.625" style="301" customWidth="1"/>
    <col min="8" max="8" width="10.125" style="301" customWidth="1"/>
    <col min="9" max="9" width="13.375" style="301" customWidth="1"/>
    <col min="10" max="16384" width="9" style="301"/>
  </cols>
  <sheetData>
    <row r="1" spans="1:11">
      <c r="A1" s="300"/>
      <c r="B1" s="300"/>
      <c r="C1" s="300"/>
      <c r="D1" s="300"/>
      <c r="E1" s="300"/>
      <c r="F1" s="300"/>
    </row>
    <row r="2" spans="1:11">
      <c r="A2" s="305"/>
      <c r="B2" s="305"/>
      <c r="C2" s="305"/>
      <c r="D2" s="305"/>
      <c r="E2" s="300"/>
      <c r="F2" s="300"/>
      <c r="G2" s="1569" t="s">
        <v>1479</v>
      </c>
      <c r="H2" s="1569"/>
      <c r="I2" s="1569"/>
    </row>
    <row r="3" spans="1:11" ht="21">
      <c r="A3" s="1570" t="s">
        <v>1457</v>
      </c>
      <c r="B3" s="1571"/>
      <c r="C3" s="1571"/>
      <c r="D3" s="1571"/>
      <c r="E3" s="1571"/>
      <c r="F3" s="1571"/>
      <c r="G3" s="1571"/>
      <c r="H3" s="1571"/>
      <c r="I3" s="1571"/>
      <c r="K3" s="599" t="s">
        <v>1427</v>
      </c>
    </row>
    <row r="4" spans="1:11" ht="18" customHeight="1">
      <c r="A4" s="599" t="s">
        <v>1428</v>
      </c>
      <c r="B4" s="1415" t="s">
        <v>1458</v>
      </c>
      <c r="C4" s="1415"/>
      <c r="D4" s="1415"/>
      <c r="E4" s="547" t="s">
        <v>1430</v>
      </c>
      <c r="F4" s="1415" t="str">
        <f>下料单!C2</f>
        <v>杜鹃</v>
      </c>
      <c r="G4" s="1415"/>
      <c r="H4" s="600" t="s">
        <v>1431</v>
      </c>
      <c r="I4" s="548" t="str">
        <f>SUM(F11:F36)&amp;"块"</f>
        <v>6块</v>
      </c>
    </row>
    <row r="5" spans="1:11" ht="18" customHeight="1">
      <c r="A5" s="301" t="s">
        <v>1432</v>
      </c>
      <c r="B5" s="1572" t="str">
        <f>下料单!H2</f>
        <v>S400383705</v>
      </c>
      <c r="C5" s="1572"/>
      <c r="D5" s="1572"/>
      <c r="E5" s="547" t="s">
        <v>1433</v>
      </c>
      <c r="F5" s="1573"/>
      <c r="G5" s="1573"/>
      <c r="H5" s="600" t="s">
        <v>1434</v>
      </c>
      <c r="I5" s="601"/>
    </row>
    <row r="6" spans="1:11" ht="18" customHeight="1">
      <c r="A6" s="602" t="s">
        <v>1435</v>
      </c>
      <c r="B6" s="1420" t="s">
        <v>1459</v>
      </c>
      <c r="C6" s="1420"/>
      <c r="D6" s="1420"/>
      <c r="E6" s="550" t="s">
        <v>1436</v>
      </c>
      <c r="F6" s="1420">
        <v>61732701</v>
      </c>
      <c r="G6" s="1420"/>
      <c r="H6" s="600" t="s">
        <v>1437</v>
      </c>
      <c r="I6" s="549">
        <v>61732702</v>
      </c>
    </row>
    <row r="7" spans="1:11" ht="18" customHeight="1">
      <c r="A7" s="603" t="s">
        <v>1438</v>
      </c>
      <c r="B7" s="1576"/>
      <c r="C7" s="1576"/>
      <c r="D7" s="1576"/>
      <c r="E7" s="550" t="s">
        <v>1439</v>
      </c>
      <c r="F7" s="1420">
        <v>80529723</v>
      </c>
      <c r="G7" s="1420"/>
      <c r="H7" s="600" t="s">
        <v>1440</v>
      </c>
      <c r="I7" s="551">
        <v>80529723</v>
      </c>
    </row>
    <row r="8" spans="1:11" ht="18" customHeight="1">
      <c r="A8" s="602" t="s">
        <v>1441</v>
      </c>
      <c r="B8" s="1421" t="s">
        <v>1460</v>
      </c>
      <c r="C8" s="1420"/>
      <c r="D8" s="1420"/>
      <c r="E8" s="1420"/>
      <c r="F8" s="1420"/>
      <c r="G8" s="1420"/>
      <c r="H8" s="603" t="s">
        <v>1443</v>
      </c>
      <c r="I8" s="549" t="s">
        <v>1444</v>
      </c>
    </row>
    <row r="9" spans="1:11" ht="15" customHeight="1">
      <c r="A9" s="602"/>
      <c r="B9" s="551"/>
      <c r="C9" s="551"/>
      <c r="D9" s="551"/>
      <c r="E9" s="551"/>
      <c r="F9" s="551"/>
      <c r="G9" s="551"/>
      <c r="H9" s="604"/>
      <c r="I9" s="604"/>
    </row>
    <row r="10" spans="1:11" ht="18" customHeight="1">
      <c r="A10" s="605" t="s">
        <v>1001</v>
      </c>
      <c r="B10" s="605" t="s">
        <v>851</v>
      </c>
      <c r="C10" s="605" t="s">
        <v>1445</v>
      </c>
      <c r="D10" s="605" t="s">
        <v>1002</v>
      </c>
      <c r="E10" s="605" t="s">
        <v>1461</v>
      </c>
      <c r="F10" s="605" t="s">
        <v>1003</v>
      </c>
      <c r="G10" s="1577" t="s">
        <v>1446</v>
      </c>
      <c r="H10" s="1577"/>
      <c r="I10" s="605" t="s">
        <v>1168</v>
      </c>
    </row>
    <row r="11" spans="1:11" ht="18" customHeight="1">
      <c r="A11" s="606"/>
      <c r="B11" s="607"/>
      <c r="C11" s="605" t="s">
        <v>1445</v>
      </c>
      <c r="D11" s="607"/>
      <c r="E11" s="605"/>
      <c r="F11" s="605"/>
      <c r="G11" s="1574"/>
      <c r="H11" s="1575"/>
      <c r="I11" s="605"/>
      <c r="J11" s="301">
        <f t="shared" ref="J11:J36" si="0">B11*D11*F11/1000000</f>
        <v>0</v>
      </c>
    </row>
    <row r="12" spans="1:11" ht="18" customHeight="1">
      <c r="A12" s="606"/>
      <c r="B12" s="607"/>
      <c r="C12" s="605" t="s">
        <v>1445</v>
      </c>
      <c r="D12" s="607"/>
      <c r="E12" s="605"/>
      <c r="F12" s="605"/>
      <c r="G12" s="1574"/>
      <c r="H12" s="1575"/>
      <c r="I12" s="605"/>
      <c r="J12" s="301">
        <f t="shared" si="0"/>
        <v>0</v>
      </c>
    </row>
    <row r="13" spans="1:11" ht="18" customHeight="1">
      <c r="A13" s="606"/>
      <c r="B13" s="607"/>
      <c r="C13" s="605" t="s">
        <v>1445</v>
      </c>
      <c r="D13" s="607"/>
      <c r="E13" s="605"/>
      <c r="F13" s="608"/>
      <c r="G13" s="1574"/>
      <c r="H13" s="1575"/>
      <c r="I13" s="605"/>
      <c r="J13" s="301">
        <f t="shared" si="0"/>
        <v>0</v>
      </c>
    </row>
    <row r="14" spans="1:11" ht="18" customHeight="1">
      <c r="A14" s="606"/>
      <c r="B14" s="607"/>
      <c r="C14" s="605" t="s">
        <v>1445</v>
      </c>
      <c r="D14" s="607"/>
      <c r="E14" s="605"/>
      <c r="F14" s="605"/>
      <c r="G14" s="1574"/>
      <c r="H14" s="1575"/>
      <c r="I14" s="605"/>
      <c r="J14" s="301">
        <f t="shared" si="0"/>
        <v>0</v>
      </c>
    </row>
    <row r="15" spans="1:11" ht="18" customHeight="1">
      <c r="A15" s="606"/>
      <c r="B15" s="607"/>
      <c r="C15" s="605" t="s">
        <v>1445</v>
      </c>
      <c r="D15" s="607"/>
      <c r="E15" s="605"/>
      <c r="F15" s="605"/>
      <c r="G15" s="1574"/>
      <c r="H15" s="1575"/>
      <c r="I15" s="605"/>
      <c r="J15" s="301">
        <f t="shared" si="0"/>
        <v>0</v>
      </c>
    </row>
    <row r="16" spans="1:11" ht="18" customHeight="1">
      <c r="A16" s="606"/>
      <c r="B16" s="607"/>
      <c r="C16" s="605" t="s">
        <v>1445</v>
      </c>
      <c r="D16" s="607"/>
      <c r="E16" s="605"/>
      <c r="F16" s="605"/>
      <c r="G16" s="1574"/>
      <c r="H16" s="1575"/>
      <c r="I16" s="609"/>
      <c r="J16" s="301">
        <f t="shared" si="0"/>
        <v>0</v>
      </c>
    </row>
    <row r="17" spans="1:10" ht="18" customHeight="1">
      <c r="A17" s="606"/>
      <c r="B17" s="607"/>
      <c r="C17" s="605" t="s">
        <v>1445</v>
      </c>
      <c r="D17" s="607"/>
      <c r="E17" s="605"/>
      <c r="F17" s="605"/>
      <c r="G17" s="1574"/>
      <c r="H17" s="1575"/>
      <c r="I17" s="609"/>
      <c r="J17" s="301">
        <f t="shared" si="0"/>
        <v>0</v>
      </c>
    </row>
    <row r="18" spans="1:10" ht="18" customHeight="1">
      <c r="A18" s="606"/>
      <c r="B18" s="607"/>
      <c r="C18" s="605" t="s">
        <v>1445</v>
      </c>
      <c r="D18" s="607"/>
      <c r="E18" s="605"/>
      <c r="F18" s="605"/>
      <c r="G18" s="1574"/>
      <c r="H18" s="1575"/>
      <c r="I18" s="609"/>
      <c r="J18" s="301">
        <f t="shared" si="0"/>
        <v>0</v>
      </c>
    </row>
    <row r="19" spans="1:10" ht="18" customHeight="1">
      <c r="A19" s="610"/>
      <c r="B19" s="607"/>
      <c r="C19" s="605" t="s">
        <v>1462</v>
      </c>
      <c r="D19" s="607"/>
      <c r="E19" s="605"/>
      <c r="F19" s="605"/>
      <c r="G19" s="1574"/>
      <c r="H19" s="1575"/>
      <c r="I19" s="609"/>
      <c r="J19" s="301">
        <f t="shared" si="0"/>
        <v>0</v>
      </c>
    </row>
    <row r="20" spans="1:10" ht="18" customHeight="1">
      <c r="A20" s="606"/>
      <c r="B20" s="607"/>
      <c r="C20" s="605" t="s">
        <v>1462</v>
      </c>
      <c r="D20" s="607"/>
      <c r="E20" s="605"/>
      <c r="F20" s="605"/>
      <c r="G20" s="1574"/>
      <c r="H20" s="1575"/>
      <c r="I20" s="609"/>
      <c r="J20" s="301">
        <f t="shared" si="0"/>
        <v>0</v>
      </c>
    </row>
    <row r="21" spans="1:10" ht="18" customHeight="1">
      <c r="A21" s="606"/>
      <c r="B21" s="607"/>
      <c r="C21" s="605" t="s">
        <v>1462</v>
      </c>
      <c r="D21" s="607"/>
      <c r="E21" s="605"/>
      <c r="F21" s="605"/>
      <c r="G21" s="1574"/>
      <c r="H21" s="1575"/>
      <c r="I21" s="609"/>
      <c r="J21" s="301">
        <f t="shared" si="0"/>
        <v>0</v>
      </c>
    </row>
    <row r="22" spans="1:10" ht="18" customHeight="1">
      <c r="A22" s="606"/>
      <c r="B22" s="607"/>
      <c r="C22" s="605" t="s">
        <v>1462</v>
      </c>
      <c r="D22" s="607"/>
      <c r="E22" s="605"/>
      <c r="F22" s="605"/>
      <c r="G22" s="1574"/>
      <c r="H22" s="1575"/>
      <c r="I22" s="609"/>
      <c r="J22" s="301">
        <f t="shared" si="0"/>
        <v>0</v>
      </c>
    </row>
    <row r="23" spans="1:10" ht="18" customHeight="1">
      <c r="A23" s="606"/>
      <c r="B23" s="607"/>
      <c r="C23" s="605" t="s">
        <v>1462</v>
      </c>
      <c r="D23" s="607"/>
      <c r="E23" s="605"/>
      <c r="F23" s="605"/>
      <c r="G23" s="1574"/>
      <c r="H23" s="1575"/>
      <c r="I23" s="609"/>
      <c r="J23" s="301">
        <f t="shared" si="0"/>
        <v>0</v>
      </c>
    </row>
    <row r="24" spans="1:10" ht="18" customHeight="1">
      <c r="A24" s="606"/>
      <c r="B24" s="605"/>
      <c r="C24" s="605" t="s">
        <v>1462</v>
      </c>
      <c r="D24" s="607"/>
      <c r="E24" s="605"/>
      <c r="F24" s="605"/>
      <c r="G24" s="1574"/>
      <c r="H24" s="1575"/>
      <c r="I24" s="370"/>
      <c r="J24" s="301">
        <f t="shared" si="0"/>
        <v>0</v>
      </c>
    </row>
    <row r="25" spans="1:10" ht="18" customHeight="1">
      <c r="A25" s="606"/>
      <c r="B25" s="605"/>
      <c r="C25" s="605" t="s">
        <v>1462</v>
      </c>
      <c r="D25" s="607"/>
      <c r="E25" s="609"/>
      <c r="F25" s="605"/>
      <c r="G25" s="1574"/>
      <c r="H25" s="1575"/>
      <c r="I25" s="370"/>
      <c r="J25" s="301">
        <f t="shared" si="0"/>
        <v>0</v>
      </c>
    </row>
    <row r="26" spans="1:10" ht="18" customHeight="1">
      <c r="A26" s="611"/>
      <c r="B26" s="605"/>
      <c r="C26" s="605" t="s">
        <v>1462</v>
      </c>
      <c r="D26" s="605"/>
      <c r="E26" s="612"/>
      <c r="F26" s="605"/>
      <c r="G26" s="1574"/>
      <c r="H26" s="1575"/>
      <c r="I26" s="370"/>
      <c r="J26" s="301">
        <f t="shared" si="0"/>
        <v>0</v>
      </c>
    </row>
    <row r="27" spans="1:10" ht="18" customHeight="1">
      <c r="A27" s="611"/>
      <c r="B27" s="605"/>
      <c r="C27" s="605" t="s">
        <v>1462</v>
      </c>
      <c r="D27" s="605"/>
      <c r="E27" s="612"/>
      <c r="F27" s="605"/>
      <c r="G27" s="1574"/>
      <c r="H27" s="1575"/>
      <c r="I27" s="370"/>
      <c r="J27" s="301">
        <f t="shared" si="0"/>
        <v>0</v>
      </c>
    </row>
    <row r="28" spans="1:10" ht="18" customHeight="1">
      <c r="A28" s="611"/>
      <c r="B28" s="605"/>
      <c r="C28" s="605" t="s">
        <v>1462</v>
      </c>
      <c r="D28" s="605"/>
      <c r="E28" s="612"/>
      <c r="F28" s="605"/>
      <c r="G28" s="1574"/>
      <c r="H28" s="1575"/>
      <c r="I28" s="370"/>
      <c r="J28" s="301">
        <f t="shared" si="0"/>
        <v>0</v>
      </c>
    </row>
    <row r="29" spans="1:10" ht="18" customHeight="1">
      <c r="A29" s="611"/>
      <c r="B29" s="605"/>
      <c r="C29" s="605" t="s">
        <v>1462</v>
      </c>
      <c r="D29" s="605"/>
      <c r="E29" s="612"/>
      <c r="F29" s="605"/>
      <c r="G29" s="1574"/>
      <c r="H29" s="1575"/>
      <c r="I29" s="370"/>
      <c r="J29" s="301">
        <f t="shared" si="0"/>
        <v>0</v>
      </c>
    </row>
    <row r="30" spans="1:10" ht="18" customHeight="1">
      <c r="A30" s="613" t="s">
        <v>1463</v>
      </c>
      <c r="B30" s="614">
        <v>50</v>
      </c>
      <c r="C30" s="614" t="s">
        <v>1462</v>
      </c>
      <c r="D30" s="614">
        <v>720</v>
      </c>
      <c r="E30" s="615"/>
      <c r="F30" s="614"/>
      <c r="G30" s="1578"/>
      <c r="H30" s="1579"/>
      <c r="I30" s="370"/>
      <c r="J30" s="301">
        <f t="shared" si="0"/>
        <v>0</v>
      </c>
    </row>
    <row r="31" spans="1:10" ht="18" customHeight="1">
      <c r="A31" s="613" t="s">
        <v>1464</v>
      </c>
      <c r="B31" s="614">
        <v>50</v>
      </c>
      <c r="C31" s="614" t="s">
        <v>1462</v>
      </c>
      <c r="D31" s="614">
        <v>100</v>
      </c>
      <c r="E31" s="616"/>
      <c r="F31" s="614"/>
      <c r="G31" s="1578"/>
      <c r="H31" s="1579"/>
      <c r="I31" s="609"/>
      <c r="J31" s="301">
        <f t="shared" si="0"/>
        <v>0</v>
      </c>
    </row>
    <row r="32" spans="1:10" ht="18" customHeight="1">
      <c r="A32" s="613" t="s">
        <v>1465</v>
      </c>
      <c r="B32" s="614">
        <v>2400</v>
      </c>
      <c r="C32" s="614" t="s">
        <v>1462</v>
      </c>
      <c r="D32" s="614"/>
      <c r="E32" s="616"/>
      <c r="F32" s="614"/>
      <c r="G32" s="1580" t="s">
        <v>1466</v>
      </c>
      <c r="H32" s="1579"/>
      <c r="I32" s="609"/>
      <c r="J32" s="301">
        <f>B32*D32*F32/1000000</f>
        <v>0</v>
      </c>
    </row>
    <row r="33" spans="1:10" ht="18" customHeight="1">
      <c r="A33" s="611" t="s">
        <v>1467</v>
      </c>
      <c r="B33" s="605">
        <v>2400</v>
      </c>
      <c r="C33" s="605" t="s">
        <v>1462</v>
      </c>
      <c r="D33" s="605">
        <v>88</v>
      </c>
      <c r="E33" s="612"/>
      <c r="F33" s="605"/>
      <c r="G33" s="1581"/>
      <c r="H33" s="1582"/>
      <c r="I33" s="609"/>
      <c r="J33" s="301">
        <f>B33*D33*F33/1000000</f>
        <v>0</v>
      </c>
    </row>
    <row r="34" spans="1:10" ht="18" customHeight="1">
      <c r="A34" s="617" t="s">
        <v>1468</v>
      </c>
      <c r="B34" s="618">
        <v>2400</v>
      </c>
      <c r="C34" s="618" t="s">
        <v>1462</v>
      </c>
      <c r="D34" s="618">
        <v>71</v>
      </c>
      <c r="E34" s="619"/>
      <c r="F34" s="618">
        <v>2</v>
      </c>
      <c r="G34" s="1583" t="s">
        <v>1469</v>
      </c>
      <c r="H34" s="1576"/>
      <c r="I34" s="1584"/>
      <c r="J34" s="301">
        <f>B34*D34*F34/1000000</f>
        <v>0.34079999999999999</v>
      </c>
    </row>
    <row r="35" spans="1:10" ht="22.5" customHeight="1">
      <c r="A35" s="620" t="s">
        <v>1470</v>
      </c>
      <c r="B35" s="618">
        <v>2400</v>
      </c>
      <c r="C35" s="618" t="s">
        <v>1462</v>
      </c>
      <c r="D35" s="618">
        <v>100</v>
      </c>
      <c r="E35" s="619"/>
      <c r="F35" s="618">
        <v>2</v>
      </c>
      <c r="G35" s="1583" t="s">
        <v>1471</v>
      </c>
      <c r="H35" s="1576"/>
      <c r="I35" s="1584"/>
      <c r="J35" s="301">
        <f t="shared" si="0"/>
        <v>0.48</v>
      </c>
    </row>
    <row r="36" spans="1:10" ht="18" customHeight="1">
      <c r="A36" s="617" t="s">
        <v>1472</v>
      </c>
      <c r="B36" s="618">
        <v>2400</v>
      </c>
      <c r="C36" s="618" t="s">
        <v>1462</v>
      </c>
      <c r="D36" s="618">
        <v>83</v>
      </c>
      <c r="E36" s="621"/>
      <c r="F36" s="618">
        <v>2</v>
      </c>
      <c r="G36" s="1583" t="s">
        <v>1473</v>
      </c>
      <c r="H36" s="1576"/>
      <c r="I36" s="1584"/>
      <c r="J36" s="301">
        <f t="shared" si="0"/>
        <v>0.39839999999999998</v>
      </c>
    </row>
    <row r="37" spans="1:10" ht="20.100000000000001" customHeight="1">
      <c r="A37" s="1385" t="s">
        <v>1474</v>
      </c>
      <c r="B37" s="1385"/>
      <c r="C37" s="1385"/>
      <c r="D37" s="1385"/>
      <c r="E37" s="1385"/>
      <c r="F37" s="1385"/>
      <c r="G37" s="1385"/>
      <c r="H37" s="1385"/>
      <c r="I37" s="1385"/>
    </row>
    <row r="38" spans="1:10" ht="20.100000000000001" hidden="1" customHeight="1">
      <c r="A38" s="341"/>
      <c r="B38" s="342"/>
      <c r="C38" s="339"/>
      <c r="D38" s="339"/>
      <c r="E38" s="339"/>
      <c r="F38" s="552"/>
      <c r="G38" s="344"/>
      <c r="H38" s="552"/>
      <c r="I38" s="337"/>
    </row>
    <row r="39" spans="1:10" s="339" customFormat="1" ht="20.100000000000001" customHeight="1">
      <c r="A39" s="336" t="s">
        <v>1475</v>
      </c>
      <c r="B39" s="1386" t="s">
        <v>1481</v>
      </c>
      <c r="C39" s="1386"/>
      <c r="D39" s="547"/>
      <c r="E39" s="346" t="s">
        <v>1476</v>
      </c>
      <c r="F39" s="1384"/>
      <c r="G39" s="1384"/>
      <c r="H39" s="547" t="s">
        <v>1477</v>
      </c>
      <c r="I39" s="337"/>
    </row>
    <row r="40" spans="1:10" ht="20.100000000000001" customHeight="1">
      <c r="A40" s="347"/>
      <c r="B40" s="1387"/>
      <c r="C40" s="1387"/>
      <c r="D40" s="348"/>
      <c r="E40" s="337"/>
      <c r="F40" s="348"/>
      <c r="G40" s="349"/>
      <c r="H40" s="348"/>
      <c r="I40" s="350"/>
    </row>
    <row r="41" spans="1:10" ht="20.100000000000001" customHeight="1">
      <c r="A41" s="347"/>
      <c r="B41" s="348"/>
      <c r="C41" s="552"/>
      <c r="D41" s="348"/>
      <c r="E41" s="337"/>
      <c r="F41" s="348"/>
      <c r="G41" s="349"/>
      <c r="H41" s="348"/>
      <c r="I41" s="350"/>
    </row>
    <row r="42" spans="1:10" ht="21.75" customHeight="1">
      <c r="A42" s="347"/>
      <c r="B42" s="348"/>
      <c r="C42" s="552"/>
      <c r="D42" s="348"/>
      <c r="E42" s="337"/>
      <c r="F42" s="348"/>
      <c r="G42" s="349"/>
      <c r="H42" s="348"/>
      <c r="I42" s="350"/>
    </row>
    <row r="43" spans="1:10" ht="21.75" customHeight="1">
      <c r="A43" s="347"/>
      <c r="B43" s="348"/>
      <c r="C43" s="552"/>
      <c r="D43" s="348"/>
      <c r="E43" s="337"/>
      <c r="F43" s="348"/>
      <c r="G43" s="349"/>
      <c r="H43" s="348"/>
      <c r="I43" s="350"/>
    </row>
    <row r="44" spans="1:10" ht="21.75" customHeight="1">
      <c r="A44" s="347"/>
      <c r="B44" s="348"/>
      <c r="C44" s="552"/>
      <c r="D44" s="348"/>
      <c r="E44" s="337"/>
      <c r="F44" s="348"/>
      <c r="G44" s="349"/>
      <c r="H44" s="348"/>
      <c r="I44" s="350"/>
    </row>
    <row r="45" spans="1:10" ht="21.75" customHeight="1">
      <c r="A45" s="347"/>
      <c r="B45" s="348"/>
      <c r="C45" s="552"/>
      <c r="D45" s="348"/>
      <c r="E45" s="337"/>
      <c r="F45" s="348"/>
      <c r="G45" s="349"/>
      <c r="H45" s="348"/>
      <c r="I45" s="350"/>
    </row>
    <row r="46" spans="1:10" ht="21.75" customHeight="1">
      <c r="A46" s="347"/>
      <c r="B46" s="348"/>
      <c r="C46" s="348"/>
      <c r="D46" s="348"/>
      <c r="E46" s="350"/>
      <c r="F46" s="348"/>
      <c r="G46" s="349"/>
      <c r="H46" s="348"/>
      <c r="I46" s="350"/>
    </row>
    <row r="47" spans="1:10" ht="20.25">
      <c r="A47" s="345"/>
      <c r="B47" s="622"/>
      <c r="C47" s="345"/>
      <c r="E47" s="345"/>
      <c r="F47" s="345"/>
      <c r="G47" s="345"/>
      <c r="H47" s="345"/>
      <c r="I47" s="345"/>
    </row>
    <row r="48" spans="1:10" ht="20.25">
      <c r="A48" s="345"/>
      <c r="B48" s="345"/>
      <c r="C48" s="345"/>
      <c r="D48" s="345"/>
      <c r="E48" s="345"/>
      <c r="F48" s="345"/>
      <c r="G48" s="345"/>
      <c r="H48" s="345"/>
      <c r="I48" s="345"/>
    </row>
    <row r="49" spans="1:9" ht="20.25">
      <c r="A49" s="345"/>
      <c r="B49" s="345"/>
      <c r="C49" s="345"/>
      <c r="D49" s="345"/>
      <c r="E49" s="345"/>
      <c r="F49" s="345"/>
      <c r="G49" s="345"/>
      <c r="H49" s="345"/>
      <c r="I49" s="345"/>
    </row>
    <row r="50" spans="1:9" ht="20.25">
      <c r="A50" s="345"/>
      <c r="B50" s="345"/>
      <c r="C50" s="345"/>
      <c r="D50" s="345"/>
      <c r="E50" s="345"/>
      <c r="F50" s="345"/>
      <c r="G50" s="345"/>
      <c r="H50" s="345"/>
      <c r="I50" s="345"/>
    </row>
    <row r="51" spans="1:9" ht="20.25">
      <c r="A51" s="345"/>
      <c r="B51" s="345"/>
      <c r="C51" s="345"/>
      <c r="D51" s="345"/>
      <c r="E51" s="345"/>
      <c r="F51" s="345"/>
      <c r="G51" s="345"/>
      <c r="H51" s="345"/>
      <c r="I51" s="345"/>
    </row>
    <row r="52" spans="1:9" ht="20.25">
      <c r="A52" s="345"/>
      <c r="B52" s="345"/>
      <c r="C52" s="345"/>
      <c r="D52" s="345"/>
      <c r="E52" s="345"/>
      <c r="F52" s="345"/>
      <c r="G52" s="345"/>
      <c r="H52" s="345"/>
      <c r="I52" s="345"/>
    </row>
    <row r="53" spans="1:9" ht="20.25">
      <c r="A53" s="345"/>
      <c r="B53" s="345"/>
      <c r="C53" s="345"/>
      <c r="D53" s="345"/>
      <c r="E53" s="345"/>
      <c r="F53" s="345"/>
      <c r="G53" s="345"/>
      <c r="H53" s="345"/>
      <c r="I53" s="345"/>
    </row>
    <row r="54" spans="1:9" ht="20.25">
      <c r="A54" s="345"/>
      <c r="B54" s="345"/>
      <c r="C54" s="345"/>
      <c r="D54" s="345"/>
      <c r="E54" s="345"/>
      <c r="F54" s="345"/>
      <c r="G54" s="345"/>
      <c r="H54" s="345"/>
      <c r="I54" s="345"/>
    </row>
    <row r="55" spans="1:9" ht="20.25">
      <c r="A55" s="345"/>
      <c r="B55" s="345"/>
      <c r="C55" s="345"/>
      <c r="D55" s="345"/>
      <c r="E55" s="345"/>
      <c r="F55" s="345"/>
      <c r="G55" s="345"/>
      <c r="H55" s="345"/>
      <c r="I55" s="345"/>
    </row>
    <row r="56" spans="1:9" ht="20.25">
      <c r="A56" s="345"/>
      <c r="B56" s="345"/>
      <c r="C56" s="345"/>
      <c r="D56" s="345"/>
      <c r="E56" s="345"/>
      <c r="F56" s="345"/>
      <c r="G56" s="345"/>
      <c r="H56" s="345"/>
      <c r="I56" s="345"/>
    </row>
    <row r="57" spans="1:9" ht="20.25">
      <c r="A57" s="345"/>
      <c r="B57" s="345"/>
      <c r="C57" s="345"/>
      <c r="D57" s="345"/>
      <c r="E57" s="345"/>
      <c r="F57" s="345"/>
      <c r="G57" s="345"/>
      <c r="H57" s="345"/>
      <c r="I57" s="345"/>
    </row>
    <row r="58" spans="1:9" ht="20.25">
      <c r="A58" s="345"/>
      <c r="B58" s="345"/>
      <c r="C58" s="345"/>
      <c r="D58" s="345"/>
      <c r="E58" s="345"/>
      <c r="F58" s="345"/>
      <c r="G58" s="345"/>
      <c r="H58" s="345"/>
      <c r="I58" s="345"/>
    </row>
    <row r="59" spans="1:9" ht="20.25">
      <c r="A59" s="345"/>
      <c r="B59" s="345"/>
      <c r="C59" s="345"/>
      <c r="D59" s="345"/>
      <c r="E59" s="345"/>
      <c r="F59" s="345"/>
      <c r="G59" s="345"/>
      <c r="H59" s="345"/>
      <c r="I59" s="345"/>
    </row>
    <row r="60" spans="1:9" ht="20.25">
      <c r="A60" s="345"/>
      <c r="B60" s="345"/>
      <c r="C60" s="345"/>
      <c r="D60" s="345"/>
      <c r="E60" s="345"/>
      <c r="F60" s="345"/>
      <c r="G60" s="345"/>
      <c r="H60" s="345"/>
      <c r="I60" s="345"/>
    </row>
    <row r="61" spans="1:9" ht="20.25">
      <c r="A61" s="345"/>
      <c r="B61" s="345"/>
      <c r="C61" s="345"/>
      <c r="D61" s="345"/>
      <c r="E61" s="345"/>
      <c r="F61" s="345"/>
      <c r="G61" s="345"/>
      <c r="H61" s="345"/>
      <c r="I61" s="345"/>
    </row>
    <row r="62" spans="1:9" ht="20.25">
      <c r="A62" s="345"/>
      <c r="B62" s="345"/>
      <c r="C62" s="345"/>
      <c r="D62" s="345"/>
      <c r="E62" s="345"/>
      <c r="F62" s="345"/>
      <c r="G62" s="345"/>
      <c r="H62" s="345"/>
      <c r="I62" s="345"/>
    </row>
    <row r="63" spans="1:9" ht="20.25">
      <c r="A63" s="345"/>
      <c r="B63" s="345"/>
      <c r="C63" s="345"/>
      <c r="D63" s="345"/>
      <c r="E63" s="345"/>
      <c r="F63" s="345"/>
      <c r="G63" s="345"/>
      <c r="H63" s="345"/>
      <c r="I63" s="345"/>
    </row>
    <row r="64" spans="1:9" ht="20.25">
      <c r="A64" s="345"/>
      <c r="B64" s="345"/>
      <c r="C64" s="345"/>
      <c r="D64" s="345"/>
      <c r="E64" s="345"/>
      <c r="F64" s="345"/>
      <c r="G64" s="345"/>
      <c r="H64" s="345"/>
      <c r="I64" s="345"/>
    </row>
    <row r="65" spans="1:9" ht="20.25">
      <c r="A65" s="345"/>
      <c r="B65" s="345"/>
      <c r="C65" s="345"/>
      <c r="D65" s="345"/>
      <c r="E65" s="345"/>
      <c r="F65" s="345"/>
      <c r="G65" s="345"/>
      <c r="H65" s="345"/>
      <c r="I65" s="345"/>
    </row>
    <row r="66" spans="1:9" ht="20.25">
      <c r="A66" s="345"/>
      <c r="B66" s="345"/>
      <c r="C66" s="345"/>
      <c r="D66" s="345"/>
      <c r="E66" s="345"/>
      <c r="F66" s="345"/>
      <c r="G66" s="345"/>
      <c r="H66" s="345"/>
      <c r="I66" s="345"/>
    </row>
    <row r="67" spans="1:9" ht="20.25">
      <c r="A67" s="345"/>
      <c r="B67" s="345"/>
      <c r="C67" s="345"/>
      <c r="D67" s="345"/>
      <c r="E67" s="345"/>
      <c r="F67" s="345"/>
      <c r="G67" s="345"/>
      <c r="H67" s="345"/>
      <c r="I67" s="345"/>
    </row>
    <row r="68" spans="1:9" ht="20.25">
      <c r="A68" s="345"/>
      <c r="B68" s="345"/>
      <c r="C68" s="345"/>
      <c r="D68" s="345"/>
      <c r="E68" s="345"/>
      <c r="F68" s="345"/>
      <c r="G68" s="345"/>
      <c r="H68" s="345"/>
      <c r="I68" s="345"/>
    </row>
    <row r="69" spans="1:9" ht="20.25">
      <c r="A69" s="345"/>
      <c r="B69" s="345"/>
      <c r="C69" s="345"/>
      <c r="D69" s="345"/>
      <c r="E69" s="345"/>
      <c r="F69" s="345"/>
      <c r="G69" s="345"/>
      <c r="H69" s="345"/>
      <c r="I69" s="345"/>
    </row>
    <row r="70" spans="1:9" ht="20.25">
      <c r="A70" s="345"/>
      <c r="B70" s="345"/>
      <c r="C70" s="345"/>
      <c r="D70" s="345"/>
      <c r="E70" s="345"/>
      <c r="F70" s="345"/>
      <c r="G70" s="345"/>
      <c r="H70" s="345"/>
      <c r="I70" s="345"/>
    </row>
    <row r="71" spans="1:9" ht="20.25">
      <c r="A71" s="345"/>
      <c r="B71" s="345"/>
      <c r="C71" s="345"/>
      <c r="D71" s="345"/>
      <c r="E71" s="345"/>
      <c r="F71" s="345"/>
      <c r="G71" s="345"/>
      <c r="H71" s="345"/>
      <c r="I71" s="345"/>
    </row>
    <row r="72" spans="1:9" ht="20.25">
      <c r="A72" s="345"/>
      <c r="B72" s="345"/>
      <c r="C72" s="345"/>
      <c r="D72" s="345"/>
      <c r="E72" s="345"/>
      <c r="F72" s="345"/>
      <c r="G72" s="345"/>
      <c r="H72" s="345"/>
      <c r="I72" s="345"/>
    </row>
    <row r="73" spans="1:9" ht="20.25">
      <c r="A73" s="345"/>
      <c r="B73" s="345"/>
      <c r="C73" s="345"/>
      <c r="D73" s="345"/>
      <c r="E73" s="345"/>
      <c r="F73" s="345"/>
      <c r="G73" s="345"/>
      <c r="H73" s="345"/>
      <c r="I73" s="345"/>
    </row>
    <row r="74" spans="1:9" ht="20.25">
      <c r="A74" s="345"/>
      <c r="B74" s="345"/>
      <c r="C74" s="345"/>
      <c r="D74" s="345"/>
      <c r="E74" s="345"/>
      <c r="F74" s="345"/>
      <c r="G74" s="345"/>
      <c r="H74" s="345"/>
      <c r="I74" s="345"/>
    </row>
    <row r="75" spans="1:9" ht="20.25">
      <c r="A75" s="345"/>
      <c r="B75" s="345"/>
      <c r="C75" s="345"/>
      <c r="D75" s="345"/>
      <c r="E75" s="345"/>
      <c r="F75" s="345"/>
      <c r="G75" s="345"/>
      <c r="H75" s="345"/>
      <c r="I75" s="345"/>
    </row>
    <row r="76" spans="1:9" ht="20.25">
      <c r="A76" s="345"/>
      <c r="B76" s="345"/>
      <c r="C76" s="345"/>
      <c r="D76" s="345"/>
      <c r="E76" s="345"/>
      <c r="F76" s="345"/>
      <c r="G76" s="345"/>
      <c r="H76" s="345"/>
      <c r="I76" s="345"/>
    </row>
    <row r="77" spans="1:9" ht="20.25">
      <c r="A77" s="345"/>
      <c r="B77" s="345"/>
      <c r="C77" s="345"/>
      <c r="D77" s="345"/>
      <c r="E77" s="345"/>
      <c r="F77" s="345"/>
      <c r="G77" s="345"/>
      <c r="H77" s="345"/>
      <c r="I77" s="345"/>
    </row>
    <row r="78" spans="1:9" ht="20.25">
      <c r="A78" s="345"/>
      <c r="B78" s="345"/>
      <c r="C78" s="345"/>
      <c r="D78" s="345"/>
      <c r="E78" s="345"/>
      <c r="F78" s="345"/>
      <c r="G78" s="345"/>
      <c r="H78" s="345"/>
      <c r="I78" s="345"/>
    </row>
    <row r="79" spans="1:9" ht="20.25">
      <c r="A79" s="345"/>
      <c r="B79" s="345"/>
      <c r="C79" s="345"/>
      <c r="D79" s="345"/>
      <c r="E79" s="345"/>
      <c r="F79" s="345"/>
      <c r="G79" s="345"/>
      <c r="H79" s="345"/>
      <c r="I79" s="345"/>
    </row>
    <row r="80" spans="1:9" ht="20.25">
      <c r="A80" s="345"/>
      <c r="B80" s="345"/>
      <c r="C80" s="345"/>
      <c r="D80" s="345"/>
      <c r="E80" s="345"/>
      <c r="F80" s="345"/>
      <c r="G80" s="345"/>
      <c r="H80" s="345"/>
      <c r="I80" s="345"/>
    </row>
    <row r="81" spans="1:9" ht="20.25">
      <c r="A81" s="345"/>
      <c r="B81" s="345"/>
      <c r="C81" s="345"/>
      <c r="D81" s="345"/>
      <c r="E81" s="345"/>
      <c r="F81" s="345"/>
      <c r="G81" s="345"/>
      <c r="H81" s="345"/>
      <c r="I81" s="345"/>
    </row>
    <row r="82" spans="1:9" ht="20.25">
      <c r="A82" s="345"/>
      <c r="B82" s="345"/>
      <c r="C82" s="345"/>
      <c r="D82" s="345"/>
      <c r="E82" s="345"/>
      <c r="F82" s="345"/>
      <c r="G82" s="345"/>
      <c r="H82" s="345"/>
      <c r="I82" s="345"/>
    </row>
    <row r="83" spans="1:9" ht="20.25">
      <c r="A83" s="345"/>
      <c r="B83" s="345"/>
      <c r="C83" s="345"/>
      <c r="D83" s="345"/>
      <c r="E83" s="345"/>
      <c r="F83" s="345"/>
      <c r="G83" s="345"/>
      <c r="H83" s="345"/>
      <c r="I83" s="345"/>
    </row>
    <row r="84" spans="1:9" ht="20.25">
      <c r="A84" s="345"/>
      <c r="B84" s="345"/>
      <c r="C84" s="345"/>
      <c r="D84" s="345"/>
      <c r="E84" s="345"/>
      <c r="F84" s="345"/>
      <c r="G84" s="345"/>
      <c r="H84" s="345"/>
      <c r="I84" s="345"/>
    </row>
    <row r="85" spans="1:9" ht="20.25">
      <c r="A85" s="345"/>
      <c r="B85" s="345"/>
      <c r="C85" s="345"/>
      <c r="D85" s="345"/>
      <c r="E85" s="345"/>
      <c r="F85" s="345"/>
      <c r="G85" s="345"/>
      <c r="H85" s="345"/>
      <c r="I85" s="345"/>
    </row>
    <row r="86" spans="1:9" ht="20.25">
      <c r="A86" s="345"/>
      <c r="B86" s="345"/>
      <c r="C86" s="345"/>
      <c r="D86" s="345"/>
      <c r="E86" s="345"/>
      <c r="F86" s="345"/>
      <c r="G86" s="345"/>
      <c r="H86" s="345"/>
      <c r="I86" s="345"/>
    </row>
    <row r="87" spans="1:9" ht="20.25">
      <c r="A87" s="345"/>
      <c r="B87" s="345"/>
      <c r="C87" s="345"/>
      <c r="D87" s="345"/>
      <c r="E87" s="345"/>
      <c r="F87" s="345"/>
      <c r="G87" s="345"/>
      <c r="H87" s="345"/>
      <c r="I87" s="345"/>
    </row>
    <row r="88" spans="1:9" ht="20.25">
      <c r="A88" s="345"/>
      <c r="B88" s="345"/>
      <c r="C88" s="345"/>
      <c r="D88" s="345"/>
      <c r="E88" s="345"/>
      <c r="F88" s="345"/>
      <c r="G88" s="345"/>
      <c r="H88" s="345"/>
      <c r="I88" s="345"/>
    </row>
    <row r="89" spans="1:9" ht="20.25">
      <c r="A89" s="345"/>
      <c r="B89" s="345"/>
      <c r="C89" s="345"/>
      <c r="D89" s="345"/>
      <c r="E89" s="345"/>
      <c r="F89" s="345"/>
      <c r="G89" s="345"/>
      <c r="H89" s="345"/>
      <c r="I89" s="345"/>
    </row>
    <row r="90" spans="1:9" ht="20.25">
      <c r="A90" s="345"/>
      <c r="B90" s="345"/>
      <c r="C90" s="345"/>
      <c r="D90" s="345"/>
      <c r="E90" s="345"/>
      <c r="F90" s="345"/>
      <c r="G90" s="345"/>
      <c r="H90" s="345"/>
      <c r="I90" s="345"/>
    </row>
    <row r="91" spans="1:9" ht="20.25">
      <c r="A91" s="345"/>
      <c r="B91" s="345"/>
      <c r="C91" s="345"/>
      <c r="D91" s="345"/>
      <c r="E91" s="345"/>
      <c r="F91" s="345"/>
      <c r="G91" s="345"/>
      <c r="H91" s="345"/>
      <c r="I91" s="345"/>
    </row>
    <row r="92" spans="1:9" ht="20.25">
      <c r="A92" s="345"/>
      <c r="B92" s="345"/>
      <c r="C92" s="345"/>
      <c r="D92" s="345"/>
      <c r="E92" s="345"/>
      <c r="F92" s="345"/>
      <c r="G92" s="345"/>
      <c r="H92" s="345"/>
      <c r="I92" s="345"/>
    </row>
    <row r="93" spans="1:9" ht="20.25">
      <c r="A93" s="345"/>
      <c r="B93" s="345"/>
      <c r="C93" s="345"/>
      <c r="D93" s="345"/>
      <c r="E93" s="345"/>
      <c r="F93" s="345"/>
      <c r="G93" s="345"/>
      <c r="H93" s="345"/>
      <c r="I93" s="345"/>
    </row>
    <row r="94" spans="1:9" ht="20.25">
      <c r="A94" s="345"/>
      <c r="B94" s="345"/>
      <c r="C94" s="345"/>
      <c r="D94" s="345"/>
      <c r="E94" s="345"/>
      <c r="F94" s="345"/>
      <c r="G94" s="345"/>
      <c r="H94" s="345"/>
      <c r="I94" s="345"/>
    </row>
    <row r="95" spans="1:9" ht="20.25">
      <c r="A95" s="345"/>
      <c r="B95" s="345"/>
      <c r="C95" s="345"/>
      <c r="D95" s="345"/>
      <c r="E95" s="345"/>
      <c r="F95" s="345"/>
      <c r="G95" s="345"/>
      <c r="H95" s="345"/>
      <c r="I95" s="345"/>
    </row>
    <row r="96" spans="1:9" ht="20.25">
      <c r="A96" s="345"/>
      <c r="B96" s="345"/>
      <c r="C96" s="345"/>
      <c r="D96" s="345"/>
      <c r="E96" s="345"/>
      <c r="F96" s="345"/>
      <c r="G96" s="345"/>
      <c r="H96" s="345"/>
      <c r="I96" s="345"/>
    </row>
    <row r="97" spans="1:9" ht="20.25">
      <c r="A97" s="345"/>
      <c r="B97" s="345"/>
      <c r="C97" s="345"/>
      <c r="D97" s="345"/>
      <c r="E97" s="345"/>
      <c r="F97" s="345"/>
      <c r="G97" s="345"/>
      <c r="H97" s="345"/>
      <c r="I97" s="345"/>
    </row>
    <row r="98" spans="1:9" ht="20.25">
      <c r="A98" s="345"/>
      <c r="B98" s="345"/>
      <c r="C98" s="345"/>
      <c r="D98" s="345"/>
      <c r="E98" s="345"/>
      <c r="F98" s="345"/>
      <c r="G98" s="345"/>
      <c r="H98" s="345"/>
      <c r="I98" s="345"/>
    </row>
    <row r="99" spans="1:9" ht="20.25">
      <c r="A99" s="345"/>
      <c r="B99" s="345"/>
      <c r="C99" s="345"/>
      <c r="D99" s="345"/>
      <c r="E99" s="345"/>
      <c r="F99" s="345"/>
      <c r="G99" s="345"/>
      <c r="H99" s="345"/>
      <c r="I99" s="345"/>
    </row>
    <row r="100" spans="1:9" ht="20.25">
      <c r="A100" s="345"/>
      <c r="B100" s="345"/>
      <c r="C100" s="345"/>
      <c r="D100" s="345"/>
      <c r="E100" s="345"/>
      <c r="F100" s="345"/>
      <c r="G100" s="345"/>
      <c r="H100" s="345"/>
      <c r="I100" s="345"/>
    </row>
    <row r="101" spans="1:9" ht="20.25">
      <c r="A101" s="345"/>
      <c r="B101" s="345"/>
      <c r="C101" s="345"/>
      <c r="D101" s="345"/>
      <c r="E101" s="345"/>
      <c r="F101" s="345"/>
      <c r="G101" s="345"/>
      <c r="H101" s="345"/>
      <c r="I101" s="345"/>
    </row>
    <row r="102" spans="1:9" ht="20.25">
      <c r="A102" s="345"/>
      <c r="B102" s="345"/>
      <c r="C102" s="345"/>
      <c r="D102" s="345"/>
      <c r="E102" s="345"/>
      <c r="F102" s="345"/>
      <c r="G102" s="345"/>
      <c r="H102" s="345"/>
      <c r="I102" s="345"/>
    </row>
    <row r="103" spans="1:9" ht="20.25">
      <c r="A103" s="345"/>
      <c r="B103" s="345"/>
      <c r="C103" s="345"/>
      <c r="D103" s="345"/>
      <c r="E103" s="345"/>
      <c r="F103" s="345"/>
      <c r="G103" s="345"/>
      <c r="H103" s="345"/>
      <c r="I103" s="345"/>
    </row>
    <row r="104" spans="1:9" ht="20.25">
      <c r="A104" s="345"/>
      <c r="B104" s="345"/>
      <c r="C104" s="345"/>
      <c r="D104" s="345"/>
      <c r="E104" s="345"/>
      <c r="F104" s="345"/>
      <c r="G104" s="345"/>
      <c r="H104" s="345"/>
      <c r="I104" s="345"/>
    </row>
    <row r="105" spans="1:9" ht="20.25">
      <c r="A105" s="345"/>
      <c r="B105" s="345"/>
      <c r="C105" s="345"/>
      <c r="D105" s="345"/>
      <c r="E105" s="345"/>
      <c r="F105" s="345"/>
      <c r="G105" s="345"/>
      <c r="H105" s="345"/>
      <c r="I105" s="345"/>
    </row>
    <row r="106" spans="1:9" ht="20.25">
      <c r="A106" s="345"/>
      <c r="B106" s="345"/>
      <c r="C106" s="345"/>
      <c r="D106" s="345"/>
      <c r="E106" s="345"/>
      <c r="F106" s="345"/>
      <c r="G106" s="345"/>
      <c r="H106" s="345"/>
      <c r="I106" s="345"/>
    </row>
    <row r="107" spans="1:9" ht="20.25">
      <c r="A107" s="345"/>
      <c r="B107" s="345"/>
      <c r="C107" s="345"/>
      <c r="D107" s="345"/>
      <c r="E107" s="345"/>
      <c r="F107" s="345"/>
      <c r="G107" s="345"/>
      <c r="H107" s="345"/>
      <c r="I107" s="345"/>
    </row>
    <row r="108" spans="1:9" ht="20.25">
      <c r="A108" s="345"/>
      <c r="B108" s="345"/>
      <c r="C108" s="345"/>
      <c r="D108" s="345"/>
      <c r="E108" s="345"/>
      <c r="F108" s="345"/>
      <c r="G108" s="345"/>
      <c r="H108" s="345"/>
      <c r="I108" s="345"/>
    </row>
    <row r="109" spans="1:9" ht="20.25">
      <c r="A109" s="345"/>
      <c r="B109" s="345"/>
      <c r="C109" s="345"/>
      <c r="D109" s="345"/>
      <c r="E109" s="345"/>
      <c r="F109" s="345"/>
      <c r="G109" s="345"/>
      <c r="H109" s="345"/>
      <c r="I109" s="345"/>
    </row>
    <row r="110" spans="1:9" ht="20.25">
      <c r="A110" s="345"/>
      <c r="B110" s="345"/>
      <c r="C110" s="345"/>
      <c r="D110" s="345"/>
      <c r="E110" s="345"/>
      <c r="F110" s="345"/>
      <c r="G110" s="345"/>
      <c r="H110" s="345"/>
      <c r="I110" s="345"/>
    </row>
    <row r="111" spans="1:9" ht="20.25">
      <c r="A111" s="345"/>
      <c r="B111" s="345"/>
      <c r="C111" s="345"/>
      <c r="D111" s="345"/>
      <c r="E111" s="345"/>
      <c r="F111" s="345"/>
      <c r="G111" s="345"/>
      <c r="H111" s="345"/>
      <c r="I111" s="345"/>
    </row>
    <row r="112" spans="1:9" ht="20.25">
      <c r="A112" s="345"/>
      <c r="B112" s="345"/>
      <c r="C112" s="345"/>
      <c r="D112" s="345"/>
      <c r="E112" s="345"/>
      <c r="F112" s="345"/>
      <c r="G112" s="345"/>
      <c r="H112" s="345"/>
      <c r="I112" s="345"/>
    </row>
    <row r="113" spans="1:9" ht="20.25">
      <c r="A113" s="345"/>
      <c r="B113" s="345"/>
      <c r="C113" s="345"/>
      <c r="D113" s="345"/>
      <c r="E113" s="345"/>
      <c r="F113" s="345"/>
      <c r="G113" s="345"/>
      <c r="H113" s="345"/>
      <c r="I113" s="345"/>
    </row>
    <row r="114" spans="1:9" ht="20.25">
      <c r="A114" s="345"/>
      <c r="B114" s="345"/>
      <c r="C114" s="345"/>
      <c r="D114" s="345"/>
      <c r="E114" s="345"/>
      <c r="F114" s="345"/>
      <c r="G114" s="345"/>
      <c r="H114" s="345"/>
      <c r="I114" s="345"/>
    </row>
    <row r="115" spans="1:9" ht="20.25">
      <c r="A115" s="345"/>
      <c r="B115" s="345"/>
      <c r="C115" s="345"/>
      <c r="D115" s="345"/>
      <c r="E115" s="345"/>
      <c r="F115" s="345"/>
      <c r="G115" s="345"/>
      <c r="H115" s="345"/>
      <c r="I115" s="345"/>
    </row>
    <row r="116" spans="1:9" ht="20.25">
      <c r="A116" s="345"/>
      <c r="B116" s="345"/>
      <c r="C116" s="345"/>
      <c r="D116" s="345"/>
      <c r="E116" s="345"/>
      <c r="F116" s="345"/>
      <c r="G116" s="345"/>
      <c r="H116" s="345"/>
      <c r="I116" s="345"/>
    </row>
    <row r="117" spans="1:9" ht="20.25">
      <c r="A117" s="345"/>
      <c r="B117" s="345"/>
      <c r="C117" s="345"/>
      <c r="D117" s="345"/>
      <c r="E117" s="345"/>
      <c r="F117" s="345"/>
      <c r="G117" s="345"/>
      <c r="H117" s="345"/>
      <c r="I117" s="345"/>
    </row>
    <row r="118" spans="1:9" ht="20.25">
      <c r="A118" s="345"/>
      <c r="B118" s="345"/>
      <c r="C118" s="345"/>
      <c r="D118" s="345"/>
      <c r="E118" s="345"/>
      <c r="F118" s="345"/>
      <c r="G118" s="345"/>
      <c r="H118" s="345"/>
      <c r="I118" s="345"/>
    </row>
    <row r="119" spans="1:9" ht="20.25">
      <c r="A119" s="345"/>
      <c r="B119" s="345"/>
      <c r="C119" s="345"/>
      <c r="D119" s="345"/>
      <c r="E119" s="345"/>
      <c r="F119" s="345"/>
      <c r="G119" s="345"/>
      <c r="H119" s="345"/>
      <c r="I119" s="345"/>
    </row>
    <row r="120" spans="1:9" ht="20.25">
      <c r="A120" s="345"/>
      <c r="B120" s="345"/>
      <c r="C120" s="345"/>
      <c r="D120" s="345"/>
      <c r="E120" s="345"/>
      <c r="F120" s="345"/>
      <c r="G120" s="345"/>
      <c r="H120" s="345"/>
      <c r="I120" s="345"/>
    </row>
    <row r="121" spans="1:9" ht="20.25">
      <c r="A121" s="345"/>
      <c r="B121" s="345"/>
      <c r="C121" s="345"/>
      <c r="D121" s="345"/>
      <c r="E121" s="345"/>
      <c r="F121" s="345"/>
      <c r="G121" s="345"/>
      <c r="H121" s="345"/>
      <c r="I121" s="345"/>
    </row>
    <row r="122" spans="1:9" ht="20.25">
      <c r="A122" s="345"/>
      <c r="B122" s="345"/>
      <c r="C122" s="345"/>
      <c r="D122" s="345"/>
      <c r="E122" s="345"/>
      <c r="F122" s="345"/>
      <c r="G122" s="345"/>
      <c r="H122" s="345"/>
      <c r="I122" s="345"/>
    </row>
    <row r="123" spans="1:9" ht="20.25">
      <c r="A123" s="345"/>
      <c r="B123" s="345"/>
      <c r="C123" s="345"/>
      <c r="D123" s="345"/>
      <c r="E123" s="345"/>
      <c r="F123" s="345"/>
      <c r="G123" s="345"/>
      <c r="H123" s="345"/>
      <c r="I123" s="345"/>
    </row>
    <row r="124" spans="1:9" ht="20.25">
      <c r="A124" s="345"/>
      <c r="B124" s="345"/>
      <c r="C124" s="345"/>
      <c r="D124" s="345"/>
      <c r="E124" s="345"/>
      <c r="F124" s="345"/>
      <c r="G124" s="345"/>
      <c r="H124" s="345"/>
      <c r="I124" s="345"/>
    </row>
    <row r="125" spans="1:9" ht="20.25">
      <c r="A125" s="345"/>
      <c r="B125" s="345"/>
      <c r="C125" s="345"/>
      <c r="D125" s="345"/>
      <c r="E125" s="345"/>
      <c r="F125" s="345"/>
      <c r="G125" s="345"/>
      <c r="H125" s="345"/>
      <c r="I125" s="345"/>
    </row>
    <row r="126" spans="1:9" ht="20.25">
      <c r="A126" s="345"/>
      <c r="B126" s="345"/>
      <c r="C126" s="345"/>
      <c r="D126" s="345"/>
      <c r="E126" s="345"/>
      <c r="F126" s="345"/>
      <c r="G126" s="345"/>
      <c r="H126" s="345"/>
      <c r="I126" s="345"/>
    </row>
    <row r="127" spans="1:9" ht="20.25">
      <c r="A127" s="345"/>
      <c r="B127" s="345"/>
      <c r="C127" s="345"/>
      <c r="D127" s="345"/>
      <c r="E127" s="345"/>
      <c r="F127" s="345"/>
      <c r="G127" s="345"/>
      <c r="H127" s="345"/>
      <c r="I127" s="345"/>
    </row>
    <row r="128" spans="1:9" ht="20.25">
      <c r="A128" s="345"/>
      <c r="B128" s="345"/>
      <c r="C128" s="345"/>
      <c r="D128" s="345"/>
      <c r="E128" s="345"/>
      <c r="F128" s="345"/>
      <c r="G128" s="345"/>
      <c r="H128" s="345"/>
      <c r="I128" s="345"/>
    </row>
    <row r="129" spans="1:9" ht="20.25">
      <c r="A129" s="345"/>
      <c r="B129" s="345"/>
      <c r="C129" s="345"/>
      <c r="D129" s="345"/>
      <c r="E129" s="345"/>
      <c r="F129" s="345"/>
      <c r="G129" s="345"/>
      <c r="H129" s="345"/>
      <c r="I129" s="345"/>
    </row>
    <row r="130" spans="1:9" ht="20.25">
      <c r="A130" s="345"/>
      <c r="B130" s="345"/>
      <c r="C130" s="345"/>
      <c r="D130" s="345"/>
      <c r="E130" s="345"/>
      <c r="F130" s="345"/>
      <c r="G130" s="345"/>
      <c r="H130" s="345"/>
      <c r="I130" s="345"/>
    </row>
    <row r="131" spans="1:9" ht="20.25">
      <c r="A131" s="345"/>
      <c r="B131" s="345"/>
      <c r="C131" s="345"/>
      <c r="D131" s="345"/>
      <c r="E131" s="345"/>
      <c r="F131" s="345"/>
      <c r="G131" s="345"/>
      <c r="H131" s="345"/>
      <c r="I131" s="345"/>
    </row>
    <row r="132" spans="1:9" ht="20.25">
      <c r="A132" s="345"/>
      <c r="B132" s="345"/>
      <c r="C132" s="345"/>
      <c r="D132" s="345"/>
      <c r="E132" s="345"/>
      <c r="F132" s="345"/>
      <c r="G132" s="345"/>
      <c r="H132" s="345"/>
      <c r="I132" s="345"/>
    </row>
    <row r="133" spans="1:9" ht="20.25">
      <c r="A133" s="345"/>
      <c r="B133" s="345"/>
      <c r="C133" s="345"/>
      <c r="D133" s="345"/>
      <c r="E133" s="345"/>
      <c r="F133" s="345"/>
      <c r="G133" s="345"/>
      <c r="H133" s="345"/>
      <c r="I133" s="345"/>
    </row>
    <row r="134" spans="1:9" ht="20.25">
      <c r="A134" s="345"/>
      <c r="B134" s="345"/>
      <c r="C134" s="345"/>
      <c r="D134" s="345"/>
      <c r="E134" s="345"/>
      <c r="F134" s="345"/>
      <c r="G134" s="345"/>
      <c r="H134" s="345"/>
      <c r="I134" s="345"/>
    </row>
    <row r="135" spans="1:9" ht="20.25">
      <c r="A135" s="345"/>
      <c r="B135" s="345"/>
      <c r="C135" s="345"/>
      <c r="D135" s="345"/>
      <c r="E135" s="345"/>
      <c r="F135" s="345"/>
      <c r="G135" s="345"/>
      <c r="H135" s="345"/>
      <c r="I135" s="345"/>
    </row>
    <row r="136" spans="1:9" ht="20.25">
      <c r="A136" s="345"/>
      <c r="B136" s="345"/>
      <c r="C136" s="345"/>
      <c r="D136" s="345"/>
      <c r="E136" s="345"/>
      <c r="F136" s="345"/>
      <c r="G136" s="345"/>
      <c r="H136" s="345"/>
      <c r="I136" s="345"/>
    </row>
    <row r="137" spans="1:9" ht="20.25">
      <c r="A137" s="345"/>
      <c r="B137" s="345"/>
      <c r="C137" s="345"/>
      <c r="D137" s="345"/>
      <c r="E137" s="345"/>
      <c r="F137" s="345"/>
      <c r="G137" s="345"/>
      <c r="H137" s="345"/>
      <c r="I137" s="345"/>
    </row>
    <row r="138" spans="1:9" ht="20.25">
      <c r="A138" s="345"/>
      <c r="B138" s="345"/>
      <c r="C138" s="345"/>
      <c r="D138" s="345"/>
      <c r="E138" s="345"/>
      <c r="F138" s="345"/>
      <c r="G138" s="345"/>
      <c r="H138" s="345"/>
      <c r="I138" s="345"/>
    </row>
    <row r="139" spans="1:9" ht="20.25">
      <c r="A139" s="345"/>
      <c r="B139" s="345"/>
      <c r="C139" s="345"/>
      <c r="D139" s="345"/>
      <c r="E139" s="345"/>
      <c r="F139" s="345"/>
      <c r="G139" s="345"/>
      <c r="H139" s="345"/>
      <c r="I139" s="345"/>
    </row>
    <row r="140" spans="1:9" ht="20.25">
      <c r="A140" s="345"/>
      <c r="B140" s="345"/>
      <c r="C140" s="345"/>
      <c r="D140" s="345"/>
      <c r="E140" s="345"/>
      <c r="F140" s="345"/>
      <c r="G140" s="345"/>
      <c r="H140" s="345"/>
      <c r="I140" s="345"/>
    </row>
    <row r="141" spans="1:9" ht="20.25">
      <c r="A141" s="345"/>
      <c r="B141" s="345"/>
      <c r="C141" s="345"/>
      <c r="D141" s="345"/>
      <c r="E141" s="345"/>
      <c r="F141" s="345"/>
      <c r="G141" s="345"/>
      <c r="H141" s="345"/>
      <c r="I141" s="345"/>
    </row>
    <row r="142" spans="1:9" ht="20.25">
      <c r="A142" s="345"/>
      <c r="B142" s="345"/>
      <c r="C142" s="345"/>
      <c r="D142" s="345"/>
      <c r="E142" s="345"/>
      <c r="F142" s="345"/>
      <c r="G142" s="345"/>
      <c r="H142" s="345"/>
      <c r="I142" s="345"/>
    </row>
    <row r="143" spans="1:9" ht="20.25">
      <c r="A143" s="345"/>
      <c r="B143" s="345"/>
      <c r="C143" s="345"/>
      <c r="D143" s="345"/>
      <c r="E143" s="345"/>
      <c r="F143" s="345"/>
      <c r="G143" s="345"/>
      <c r="H143" s="345"/>
      <c r="I143" s="345"/>
    </row>
    <row r="144" spans="1:9" ht="20.25">
      <c r="A144" s="345"/>
      <c r="B144" s="345"/>
      <c r="C144" s="345"/>
      <c r="D144" s="345"/>
      <c r="E144" s="345"/>
      <c r="F144" s="345"/>
      <c r="G144" s="345"/>
      <c r="H144" s="345"/>
      <c r="I144" s="345"/>
    </row>
    <row r="145" spans="1:9" ht="20.25">
      <c r="A145" s="345"/>
      <c r="B145" s="345"/>
      <c r="C145" s="345"/>
      <c r="D145" s="345"/>
      <c r="E145" s="345"/>
      <c r="F145" s="345"/>
      <c r="G145" s="345"/>
      <c r="H145" s="345"/>
      <c r="I145" s="345"/>
    </row>
    <row r="146" spans="1:9" ht="20.25">
      <c r="A146" s="345"/>
      <c r="B146" s="345"/>
      <c r="C146" s="345"/>
      <c r="D146" s="345"/>
      <c r="E146" s="345"/>
      <c r="F146" s="345"/>
      <c r="G146" s="345"/>
      <c r="H146" s="345"/>
      <c r="I146" s="345"/>
    </row>
    <row r="147" spans="1:9" ht="20.25">
      <c r="A147" s="345"/>
      <c r="B147" s="345"/>
      <c r="C147" s="345"/>
      <c r="D147" s="345"/>
      <c r="E147" s="345"/>
      <c r="F147" s="345"/>
      <c r="G147" s="345"/>
      <c r="H147" s="345"/>
      <c r="I147" s="345"/>
    </row>
    <row r="148" spans="1:9" ht="20.25">
      <c r="A148" s="345"/>
      <c r="B148" s="345"/>
      <c r="C148" s="345"/>
      <c r="D148" s="345"/>
      <c r="E148" s="345"/>
      <c r="F148" s="345"/>
      <c r="G148" s="345"/>
      <c r="H148" s="345"/>
      <c r="I148" s="345"/>
    </row>
    <row r="149" spans="1:9" ht="20.25">
      <c r="A149" s="345"/>
      <c r="B149" s="345"/>
      <c r="C149" s="345"/>
      <c r="D149" s="345"/>
      <c r="E149" s="345"/>
      <c r="F149" s="345"/>
      <c r="G149" s="345"/>
      <c r="H149" s="345"/>
      <c r="I149" s="345"/>
    </row>
    <row r="150" spans="1:9" ht="20.25">
      <c r="A150" s="345"/>
      <c r="B150" s="345"/>
      <c r="C150" s="345"/>
      <c r="D150" s="345"/>
      <c r="E150" s="345"/>
      <c r="F150" s="345"/>
      <c r="G150" s="345"/>
      <c r="H150" s="345"/>
      <c r="I150" s="345"/>
    </row>
    <row r="151" spans="1:9" ht="20.25">
      <c r="A151" s="345"/>
      <c r="B151" s="345"/>
      <c r="C151" s="345"/>
      <c r="D151" s="345"/>
      <c r="E151" s="345"/>
      <c r="F151" s="345"/>
      <c r="G151" s="345"/>
      <c r="H151" s="345"/>
      <c r="I151" s="345"/>
    </row>
    <row r="152" spans="1:9" ht="20.25">
      <c r="A152" s="345"/>
      <c r="B152" s="345"/>
      <c r="C152" s="345"/>
      <c r="D152" s="345"/>
      <c r="E152" s="345"/>
      <c r="F152" s="345"/>
      <c r="G152" s="345"/>
      <c r="H152" s="345"/>
      <c r="I152" s="345"/>
    </row>
    <row r="153" spans="1:9" ht="20.25">
      <c r="A153" s="345"/>
      <c r="B153" s="345"/>
      <c r="C153" s="345"/>
      <c r="D153" s="345"/>
      <c r="E153" s="345"/>
      <c r="F153" s="345"/>
      <c r="G153" s="345"/>
      <c r="H153" s="345"/>
      <c r="I153" s="345"/>
    </row>
    <row r="154" spans="1:9" ht="20.25">
      <c r="A154" s="345"/>
      <c r="B154" s="345"/>
      <c r="C154" s="345"/>
      <c r="D154" s="345"/>
      <c r="E154" s="345"/>
      <c r="F154" s="345"/>
      <c r="G154" s="345"/>
      <c r="H154" s="345"/>
      <c r="I154" s="345"/>
    </row>
    <row r="155" spans="1:9" ht="20.25">
      <c r="A155" s="345"/>
      <c r="B155" s="345"/>
      <c r="C155" s="345"/>
      <c r="D155" s="345"/>
      <c r="E155" s="345"/>
      <c r="F155" s="345"/>
      <c r="G155" s="345"/>
      <c r="H155" s="345"/>
      <c r="I155" s="345"/>
    </row>
    <row r="156" spans="1:9" ht="20.25">
      <c r="A156" s="345"/>
      <c r="B156" s="345"/>
      <c r="C156" s="345"/>
      <c r="D156" s="345"/>
      <c r="E156" s="345"/>
      <c r="F156" s="345"/>
      <c r="G156" s="345"/>
      <c r="H156" s="345"/>
      <c r="I156" s="345"/>
    </row>
    <row r="157" spans="1:9" ht="20.25">
      <c r="A157" s="345"/>
      <c r="B157" s="345"/>
      <c r="C157" s="345"/>
      <c r="D157" s="345"/>
      <c r="E157" s="345"/>
      <c r="F157" s="345"/>
      <c r="G157" s="345"/>
      <c r="H157" s="345"/>
      <c r="I157" s="345"/>
    </row>
    <row r="158" spans="1:9" ht="20.25">
      <c r="A158" s="345"/>
      <c r="B158" s="345"/>
      <c r="C158" s="345"/>
      <c r="D158" s="345"/>
      <c r="E158" s="345"/>
      <c r="F158" s="345"/>
      <c r="G158" s="345"/>
      <c r="H158" s="345"/>
      <c r="I158" s="345"/>
    </row>
    <row r="159" spans="1:9" ht="20.25">
      <c r="A159" s="345"/>
      <c r="B159" s="345"/>
      <c r="C159" s="345"/>
      <c r="D159" s="345"/>
      <c r="E159" s="345"/>
      <c r="F159" s="345"/>
      <c r="G159" s="345"/>
      <c r="H159" s="345"/>
      <c r="I159" s="345"/>
    </row>
    <row r="160" spans="1:9" ht="20.25">
      <c r="A160" s="345"/>
      <c r="B160" s="345"/>
      <c r="C160" s="345"/>
      <c r="D160" s="345"/>
      <c r="E160" s="345"/>
      <c r="F160" s="345"/>
      <c r="G160" s="345"/>
      <c r="H160" s="345"/>
      <c r="I160" s="345"/>
    </row>
    <row r="161" spans="1:9" ht="20.25">
      <c r="A161" s="345"/>
      <c r="B161" s="345"/>
      <c r="C161" s="345"/>
      <c r="D161" s="345"/>
      <c r="E161" s="345"/>
      <c r="F161" s="345"/>
      <c r="G161" s="345"/>
      <c r="H161" s="345"/>
      <c r="I161" s="345"/>
    </row>
    <row r="162" spans="1:9" ht="20.25">
      <c r="A162" s="345"/>
      <c r="B162" s="345"/>
      <c r="C162" s="345"/>
      <c r="D162" s="345"/>
      <c r="E162" s="345"/>
      <c r="F162" s="345"/>
      <c r="G162" s="345"/>
      <c r="H162" s="345"/>
      <c r="I162" s="345"/>
    </row>
    <row r="163" spans="1:9" ht="20.25">
      <c r="A163" s="345"/>
      <c r="B163" s="345"/>
      <c r="C163" s="345"/>
      <c r="D163" s="345"/>
      <c r="E163" s="345"/>
      <c r="F163" s="345"/>
      <c r="G163" s="345"/>
      <c r="H163" s="345"/>
      <c r="I163" s="345"/>
    </row>
    <row r="164" spans="1:9" ht="20.25">
      <c r="A164" s="345"/>
      <c r="B164" s="345"/>
      <c r="C164" s="345"/>
      <c r="D164" s="345"/>
      <c r="E164" s="345"/>
      <c r="F164" s="345"/>
      <c r="G164" s="345"/>
      <c r="H164" s="345"/>
      <c r="I164" s="345"/>
    </row>
    <row r="165" spans="1:9" ht="20.25">
      <c r="A165" s="345"/>
      <c r="B165" s="345"/>
      <c r="C165" s="345"/>
      <c r="D165" s="345"/>
      <c r="E165" s="345"/>
      <c r="F165" s="345"/>
      <c r="G165" s="345"/>
      <c r="H165" s="345"/>
      <c r="I165" s="345"/>
    </row>
    <row r="166" spans="1:9" ht="20.25">
      <c r="A166" s="345"/>
      <c r="B166" s="345"/>
      <c r="C166" s="345"/>
      <c r="D166" s="345"/>
      <c r="E166" s="345"/>
      <c r="F166" s="345"/>
      <c r="G166" s="345"/>
      <c r="H166" s="345"/>
      <c r="I166" s="345"/>
    </row>
    <row r="167" spans="1:9" ht="20.25">
      <c r="A167" s="345"/>
      <c r="B167" s="345"/>
      <c r="C167" s="345"/>
      <c r="D167" s="345"/>
      <c r="E167" s="345"/>
      <c r="F167" s="345"/>
      <c r="G167" s="345"/>
      <c r="H167" s="345"/>
      <c r="I167" s="345"/>
    </row>
    <row r="168" spans="1:9" ht="20.25">
      <c r="A168" s="345"/>
      <c r="B168" s="345"/>
      <c r="C168" s="345"/>
      <c r="D168" s="345"/>
      <c r="E168" s="345"/>
      <c r="F168" s="345"/>
      <c r="G168" s="345"/>
      <c r="H168" s="345"/>
      <c r="I168" s="345"/>
    </row>
    <row r="169" spans="1:9" ht="20.25">
      <c r="A169" s="345"/>
      <c r="B169" s="345"/>
      <c r="C169" s="345"/>
      <c r="D169" s="345"/>
      <c r="E169" s="345"/>
      <c r="F169" s="345"/>
      <c r="G169" s="345"/>
      <c r="H169" s="345"/>
      <c r="I169" s="345"/>
    </row>
    <row r="170" spans="1:9" ht="20.25">
      <c r="A170" s="345"/>
      <c r="B170" s="345"/>
      <c r="C170" s="345"/>
      <c r="D170" s="345"/>
      <c r="E170" s="345"/>
      <c r="F170" s="345"/>
      <c r="G170" s="345"/>
      <c r="H170" s="345"/>
      <c r="I170" s="345"/>
    </row>
    <row r="171" spans="1:9" ht="20.25">
      <c r="A171" s="345"/>
      <c r="B171" s="345"/>
      <c r="C171" s="345"/>
      <c r="D171" s="345"/>
      <c r="E171" s="345"/>
      <c r="F171" s="345"/>
      <c r="G171" s="345"/>
      <c r="H171" s="345"/>
      <c r="I171" s="345"/>
    </row>
    <row r="172" spans="1:9" ht="20.25">
      <c r="A172" s="345"/>
      <c r="B172" s="345"/>
      <c r="C172" s="345"/>
      <c r="D172" s="345"/>
      <c r="E172" s="345"/>
      <c r="F172" s="345"/>
      <c r="G172" s="345"/>
      <c r="H172" s="345"/>
      <c r="I172" s="345"/>
    </row>
    <row r="173" spans="1:9" ht="20.25">
      <c r="A173" s="345"/>
      <c r="B173" s="345"/>
      <c r="C173" s="345"/>
      <c r="D173" s="345"/>
      <c r="E173" s="345"/>
      <c r="F173" s="345"/>
      <c r="G173" s="345"/>
      <c r="H173" s="345"/>
      <c r="I173" s="345"/>
    </row>
    <row r="174" spans="1:9" ht="20.25">
      <c r="A174" s="345"/>
      <c r="B174" s="345"/>
      <c r="C174" s="345"/>
      <c r="D174" s="345"/>
      <c r="E174" s="345"/>
      <c r="F174" s="345"/>
      <c r="G174" s="345"/>
      <c r="H174" s="345"/>
      <c r="I174" s="345"/>
    </row>
    <row r="175" spans="1:9" ht="20.25">
      <c r="A175" s="345"/>
      <c r="B175" s="345"/>
      <c r="C175" s="345"/>
      <c r="D175" s="345"/>
      <c r="E175" s="345"/>
      <c r="F175" s="345"/>
      <c r="G175" s="345"/>
      <c r="H175" s="345"/>
      <c r="I175" s="345"/>
    </row>
    <row r="176" spans="1:9" ht="20.25">
      <c r="A176" s="345"/>
      <c r="B176" s="345"/>
      <c r="C176" s="345"/>
      <c r="D176" s="345"/>
      <c r="E176" s="345"/>
      <c r="F176" s="345"/>
      <c r="G176" s="345"/>
      <c r="H176" s="345"/>
      <c r="I176" s="345"/>
    </row>
    <row r="177" spans="1:9" ht="20.25">
      <c r="A177" s="345"/>
      <c r="B177" s="345"/>
      <c r="C177" s="345"/>
      <c r="D177" s="345"/>
      <c r="E177" s="345"/>
      <c r="F177" s="345"/>
      <c r="G177" s="345"/>
      <c r="H177" s="345"/>
      <c r="I177" s="345"/>
    </row>
    <row r="178" spans="1:9" ht="20.25">
      <c r="A178" s="345"/>
      <c r="B178" s="345"/>
      <c r="C178" s="345"/>
      <c r="D178" s="345"/>
      <c r="E178" s="345"/>
      <c r="F178" s="345"/>
      <c r="G178" s="345"/>
      <c r="H178" s="345"/>
      <c r="I178" s="345"/>
    </row>
    <row r="179" spans="1:9" ht="20.25">
      <c r="A179" s="345"/>
      <c r="B179" s="345"/>
      <c r="C179" s="345"/>
      <c r="D179" s="345"/>
      <c r="E179" s="345"/>
      <c r="F179" s="345"/>
      <c r="G179" s="345"/>
      <c r="H179" s="345"/>
      <c r="I179" s="345"/>
    </row>
    <row r="180" spans="1:9" ht="20.25">
      <c r="A180" s="345"/>
      <c r="B180" s="345"/>
      <c r="C180" s="345"/>
      <c r="D180" s="345"/>
      <c r="E180" s="345"/>
      <c r="F180" s="345"/>
      <c r="G180" s="345"/>
      <c r="H180" s="345"/>
      <c r="I180" s="345"/>
    </row>
    <row r="181" spans="1:9" ht="20.25">
      <c r="A181" s="345"/>
      <c r="B181" s="345"/>
      <c r="C181" s="345"/>
      <c r="D181" s="345"/>
      <c r="E181" s="345"/>
      <c r="F181" s="345"/>
      <c r="G181" s="345"/>
      <c r="H181" s="345"/>
      <c r="I181" s="345"/>
    </row>
    <row r="182" spans="1:9" ht="20.25">
      <c r="A182" s="345"/>
      <c r="B182" s="345"/>
      <c r="C182" s="345"/>
      <c r="D182" s="345"/>
      <c r="E182" s="345"/>
      <c r="F182" s="345"/>
      <c r="G182" s="345"/>
      <c r="H182" s="345"/>
      <c r="I182" s="345"/>
    </row>
    <row r="183" spans="1:9" ht="20.25">
      <c r="A183" s="345"/>
      <c r="B183" s="345"/>
      <c r="C183" s="345"/>
      <c r="D183" s="345"/>
      <c r="E183" s="345"/>
      <c r="F183" s="345"/>
      <c r="G183" s="345"/>
      <c r="H183" s="345"/>
      <c r="I183" s="345"/>
    </row>
    <row r="184" spans="1:9" ht="20.25">
      <c r="A184" s="345"/>
      <c r="B184" s="345"/>
      <c r="C184" s="345"/>
      <c r="D184" s="345"/>
      <c r="E184" s="345"/>
      <c r="F184" s="345"/>
      <c r="G184" s="345"/>
      <c r="H184" s="345"/>
      <c r="I184" s="345"/>
    </row>
    <row r="185" spans="1:9" ht="20.25">
      <c r="A185" s="345"/>
      <c r="B185" s="345"/>
      <c r="C185" s="345"/>
      <c r="D185" s="345"/>
      <c r="E185" s="345"/>
      <c r="F185" s="345"/>
      <c r="G185" s="345"/>
      <c r="H185" s="345"/>
      <c r="I185" s="345"/>
    </row>
    <row r="186" spans="1:9" ht="20.25">
      <c r="A186" s="345"/>
      <c r="B186" s="345"/>
      <c r="C186" s="345"/>
      <c r="D186" s="345"/>
      <c r="E186" s="345"/>
      <c r="F186" s="345"/>
      <c r="G186" s="345"/>
      <c r="H186" s="345"/>
      <c r="I186" s="345"/>
    </row>
    <row r="187" spans="1:9" ht="20.25">
      <c r="A187" s="345"/>
      <c r="B187" s="345"/>
      <c r="C187" s="345"/>
      <c r="D187" s="345"/>
      <c r="E187" s="345"/>
      <c r="F187" s="345"/>
      <c r="G187" s="345"/>
      <c r="H187" s="345"/>
      <c r="I187" s="345"/>
    </row>
    <row r="188" spans="1:9" ht="20.25">
      <c r="A188" s="345"/>
      <c r="B188" s="345"/>
      <c r="C188" s="345"/>
      <c r="D188" s="345"/>
      <c r="E188" s="345"/>
      <c r="F188" s="345"/>
      <c r="G188" s="345"/>
      <c r="H188" s="345"/>
      <c r="I188" s="345"/>
    </row>
    <row r="189" spans="1:9" ht="20.25">
      <c r="A189" s="345"/>
      <c r="B189" s="345"/>
      <c r="C189" s="345"/>
      <c r="D189" s="345"/>
      <c r="E189" s="345"/>
      <c r="F189" s="345"/>
      <c r="G189" s="345"/>
      <c r="H189" s="345"/>
      <c r="I189" s="345"/>
    </row>
    <row r="190" spans="1:9" ht="20.25">
      <c r="A190" s="345"/>
      <c r="B190" s="345"/>
      <c r="C190" s="345"/>
      <c r="D190" s="345"/>
      <c r="E190" s="345"/>
      <c r="F190" s="345"/>
      <c r="G190" s="345"/>
      <c r="H190" s="345"/>
      <c r="I190" s="345"/>
    </row>
    <row r="191" spans="1:9" ht="20.25">
      <c r="A191" s="345"/>
      <c r="B191" s="345"/>
      <c r="C191" s="345"/>
      <c r="D191" s="345"/>
      <c r="E191" s="345"/>
      <c r="F191" s="345"/>
      <c r="G191" s="345"/>
      <c r="H191" s="345"/>
      <c r="I191" s="345"/>
    </row>
    <row r="192" spans="1:9" ht="20.25">
      <c r="A192" s="345"/>
      <c r="B192" s="345"/>
      <c r="C192" s="345"/>
      <c r="D192" s="345"/>
      <c r="E192" s="345"/>
      <c r="F192" s="345"/>
      <c r="G192" s="345"/>
      <c r="H192" s="345"/>
      <c r="I192" s="345"/>
    </row>
    <row r="193" spans="1:9" ht="20.25">
      <c r="A193" s="345"/>
      <c r="B193" s="345"/>
      <c r="C193" s="345"/>
      <c r="D193" s="345"/>
      <c r="E193" s="345"/>
      <c r="F193" s="345"/>
      <c r="G193" s="345"/>
      <c r="H193" s="345"/>
      <c r="I193" s="345"/>
    </row>
    <row r="194" spans="1:9" ht="20.25">
      <c r="A194" s="345"/>
      <c r="B194" s="345"/>
      <c r="C194" s="345"/>
      <c r="D194" s="345"/>
      <c r="E194" s="345"/>
      <c r="F194" s="345"/>
      <c r="G194" s="345"/>
      <c r="H194" s="345"/>
      <c r="I194" s="345"/>
    </row>
    <row r="195" spans="1:9" ht="20.25">
      <c r="A195" s="345"/>
      <c r="B195" s="345"/>
      <c r="C195" s="345"/>
      <c r="D195" s="345"/>
      <c r="E195" s="345"/>
      <c r="F195" s="345"/>
      <c r="G195" s="345"/>
      <c r="H195" s="345"/>
      <c r="I195" s="345"/>
    </row>
    <row r="196" spans="1:9" ht="20.25">
      <c r="A196" s="345"/>
      <c r="B196" s="345"/>
      <c r="C196" s="345"/>
      <c r="D196" s="345"/>
      <c r="E196" s="345"/>
      <c r="F196" s="345"/>
      <c r="G196" s="345"/>
      <c r="H196" s="345"/>
      <c r="I196" s="345"/>
    </row>
    <row r="197" spans="1:9" ht="20.25">
      <c r="A197" s="345"/>
      <c r="B197" s="345"/>
      <c r="C197" s="345"/>
      <c r="D197" s="345"/>
      <c r="E197" s="345"/>
      <c r="F197" s="345"/>
      <c r="G197" s="345"/>
      <c r="H197" s="345"/>
      <c r="I197" s="345"/>
    </row>
    <row r="198" spans="1:9" ht="20.25">
      <c r="A198" s="345"/>
      <c r="B198" s="345"/>
      <c r="C198" s="345"/>
      <c r="D198" s="345"/>
      <c r="E198" s="345"/>
      <c r="F198" s="345"/>
      <c r="G198" s="345"/>
      <c r="H198" s="345"/>
      <c r="I198" s="345"/>
    </row>
    <row r="199" spans="1:9" ht="20.25">
      <c r="A199" s="345"/>
      <c r="B199" s="345"/>
      <c r="C199" s="345"/>
      <c r="D199" s="345"/>
      <c r="E199" s="345"/>
      <c r="F199" s="345"/>
      <c r="G199" s="345"/>
      <c r="H199" s="345"/>
      <c r="I199" s="345"/>
    </row>
    <row r="200" spans="1:9" ht="20.25">
      <c r="A200" s="345"/>
      <c r="B200" s="345"/>
      <c r="C200" s="345"/>
      <c r="D200" s="345"/>
      <c r="E200" s="345"/>
      <c r="F200" s="345"/>
      <c r="G200" s="345"/>
      <c r="H200" s="345"/>
      <c r="I200" s="345"/>
    </row>
    <row r="201" spans="1:9" ht="20.25">
      <c r="A201" s="345"/>
      <c r="B201" s="345"/>
      <c r="C201" s="345"/>
      <c r="D201" s="345"/>
      <c r="E201" s="345"/>
      <c r="F201" s="345"/>
      <c r="G201" s="345"/>
      <c r="H201" s="345"/>
      <c r="I201" s="345"/>
    </row>
    <row r="202" spans="1:9" ht="20.25">
      <c r="A202" s="345"/>
      <c r="B202" s="345"/>
      <c r="C202" s="345"/>
      <c r="D202" s="345"/>
      <c r="E202" s="345"/>
      <c r="F202" s="345"/>
      <c r="G202" s="345"/>
      <c r="H202" s="345"/>
      <c r="I202" s="345"/>
    </row>
    <row r="203" spans="1:9" ht="20.25">
      <c r="A203" s="345"/>
      <c r="B203" s="345"/>
      <c r="C203" s="345"/>
      <c r="D203" s="345"/>
      <c r="E203" s="345"/>
      <c r="F203" s="345"/>
      <c r="G203" s="345"/>
      <c r="H203" s="345"/>
      <c r="I203" s="345"/>
    </row>
    <row r="204" spans="1:9" ht="20.25">
      <c r="A204" s="345"/>
      <c r="B204" s="345"/>
      <c r="C204" s="345"/>
      <c r="D204" s="345"/>
      <c r="E204" s="345"/>
      <c r="F204" s="345"/>
      <c r="G204" s="345"/>
      <c r="H204" s="345"/>
      <c r="I204" s="345"/>
    </row>
    <row r="205" spans="1:9" ht="20.25">
      <c r="A205" s="345"/>
      <c r="B205" s="345"/>
      <c r="C205" s="345"/>
      <c r="D205" s="345"/>
      <c r="E205" s="345"/>
      <c r="F205" s="345"/>
      <c r="G205" s="345"/>
      <c r="H205" s="345"/>
      <c r="I205" s="345"/>
    </row>
    <row r="206" spans="1:9" ht="20.25">
      <c r="A206" s="345"/>
      <c r="B206" s="345"/>
      <c r="C206" s="345"/>
      <c r="D206" s="345"/>
      <c r="E206" s="345"/>
      <c r="F206" s="345"/>
      <c r="G206" s="345"/>
      <c r="H206" s="345"/>
      <c r="I206" s="345"/>
    </row>
    <row r="207" spans="1:9" ht="20.25">
      <c r="A207" s="345"/>
      <c r="B207" s="345"/>
      <c r="C207" s="345"/>
      <c r="D207" s="345"/>
      <c r="E207" s="345"/>
      <c r="F207" s="345"/>
      <c r="G207" s="345"/>
      <c r="H207" s="345"/>
      <c r="I207" s="345"/>
    </row>
    <row r="208" spans="1:9" ht="20.25">
      <c r="A208" s="345"/>
      <c r="B208" s="345"/>
      <c r="C208" s="345"/>
      <c r="D208" s="345"/>
      <c r="E208" s="345"/>
      <c r="F208" s="345"/>
      <c r="G208" s="345"/>
      <c r="H208" s="345"/>
      <c r="I208" s="345"/>
    </row>
    <row r="209" spans="1:9" ht="20.25">
      <c r="A209" s="345"/>
      <c r="B209" s="345"/>
      <c r="C209" s="345"/>
      <c r="D209" s="345"/>
      <c r="E209" s="345"/>
      <c r="F209" s="345"/>
      <c r="G209" s="345"/>
      <c r="H209" s="345"/>
      <c r="I209" s="345"/>
    </row>
    <row r="210" spans="1:9" ht="20.25">
      <c r="A210" s="345"/>
      <c r="B210" s="345"/>
      <c r="C210" s="345"/>
      <c r="D210" s="345"/>
      <c r="E210" s="345"/>
      <c r="F210" s="345"/>
      <c r="G210" s="345"/>
      <c r="H210" s="345"/>
      <c r="I210" s="345"/>
    </row>
    <row r="211" spans="1:9" ht="20.25">
      <c r="A211" s="345"/>
      <c r="B211" s="345"/>
      <c r="C211" s="345"/>
      <c r="D211" s="345"/>
      <c r="E211" s="345"/>
      <c r="F211" s="345"/>
      <c r="G211" s="345"/>
      <c r="H211" s="345"/>
      <c r="I211" s="345"/>
    </row>
    <row r="212" spans="1:9" ht="20.25">
      <c r="A212" s="345"/>
      <c r="B212" s="345"/>
      <c r="C212" s="345"/>
      <c r="D212" s="345"/>
      <c r="E212" s="345"/>
      <c r="F212" s="345"/>
      <c r="G212" s="345"/>
      <c r="H212" s="345"/>
      <c r="I212" s="345"/>
    </row>
    <row r="213" spans="1:9" ht="20.25">
      <c r="A213" s="345"/>
      <c r="B213" s="345"/>
      <c r="C213" s="345"/>
      <c r="D213" s="345"/>
      <c r="E213" s="345"/>
      <c r="F213" s="345"/>
      <c r="G213" s="345"/>
      <c r="H213" s="345"/>
      <c r="I213" s="345"/>
    </row>
    <row r="214" spans="1:9" ht="20.25">
      <c r="A214" s="345"/>
      <c r="B214" s="345"/>
      <c r="C214" s="345"/>
      <c r="D214" s="345"/>
      <c r="E214" s="345"/>
      <c r="F214" s="345"/>
      <c r="G214" s="345"/>
      <c r="H214" s="345"/>
      <c r="I214" s="345"/>
    </row>
    <row r="215" spans="1:9" ht="20.25">
      <c r="A215" s="345"/>
      <c r="B215" s="345"/>
      <c r="C215" s="345"/>
      <c r="D215" s="345"/>
      <c r="E215" s="345"/>
      <c r="F215" s="345"/>
      <c r="G215" s="345"/>
      <c r="H215" s="345"/>
      <c r="I215" s="345"/>
    </row>
    <row r="216" spans="1:9" ht="20.25">
      <c r="A216" s="345"/>
      <c r="B216" s="345"/>
      <c r="C216" s="345"/>
      <c r="D216" s="345"/>
      <c r="E216" s="345"/>
      <c r="F216" s="345"/>
      <c r="G216" s="345"/>
      <c r="H216" s="345"/>
      <c r="I216" s="345"/>
    </row>
    <row r="217" spans="1:9" ht="20.25">
      <c r="A217" s="345"/>
      <c r="B217" s="345"/>
      <c r="C217" s="345"/>
      <c r="D217" s="345"/>
      <c r="E217" s="345"/>
      <c r="F217" s="345"/>
      <c r="G217" s="345"/>
      <c r="H217" s="345"/>
      <c r="I217" s="345"/>
    </row>
    <row r="218" spans="1:9" ht="20.25">
      <c r="A218" s="345"/>
      <c r="B218" s="345"/>
      <c r="C218" s="345"/>
      <c r="D218" s="345"/>
      <c r="E218" s="345"/>
      <c r="F218" s="345"/>
      <c r="G218" s="345"/>
      <c r="H218" s="345"/>
      <c r="I218" s="345"/>
    </row>
    <row r="219" spans="1:9" ht="20.25">
      <c r="A219" s="345"/>
      <c r="B219" s="345"/>
      <c r="C219" s="345"/>
      <c r="D219" s="345"/>
      <c r="E219" s="345"/>
      <c r="F219" s="345"/>
      <c r="G219" s="345"/>
      <c r="H219" s="345"/>
      <c r="I219" s="345"/>
    </row>
    <row r="220" spans="1:9" ht="20.25">
      <c r="A220" s="345"/>
      <c r="B220" s="345"/>
      <c r="C220" s="345"/>
      <c r="D220" s="345"/>
      <c r="E220" s="345"/>
      <c r="F220" s="345"/>
      <c r="G220" s="345"/>
      <c r="H220" s="345"/>
      <c r="I220" s="345"/>
    </row>
    <row r="221" spans="1:9" ht="20.25">
      <c r="A221" s="345"/>
      <c r="B221" s="345"/>
      <c r="C221" s="345"/>
      <c r="D221" s="345"/>
      <c r="E221" s="345"/>
      <c r="F221" s="345"/>
      <c r="G221" s="345"/>
      <c r="H221" s="345"/>
      <c r="I221" s="345"/>
    </row>
    <row r="222" spans="1:9" ht="20.25">
      <c r="A222" s="345"/>
      <c r="B222" s="345"/>
      <c r="C222" s="345"/>
      <c r="D222" s="345"/>
      <c r="E222" s="345"/>
      <c r="F222" s="345"/>
      <c r="G222" s="345"/>
      <c r="H222" s="345"/>
      <c r="I222" s="345"/>
    </row>
    <row r="223" spans="1:9" ht="20.25">
      <c r="A223" s="345"/>
      <c r="B223" s="345"/>
      <c r="C223" s="345"/>
      <c r="D223" s="345"/>
      <c r="E223" s="345"/>
      <c r="F223" s="345"/>
      <c r="G223" s="345"/>
      <c r="H223" s="345"/>
      <c r="I223" s="345"/>
    </row>
    <row r="224" spans="1:9" ht="20.25">
      <c r="A224" s="345"/>
      <c r="B224" s="345"/>
      <c r="C224" s="345"/>
      <c r="D224" s="345"/>
      <c r="E224" s="345"/>
      <c r="F224" s="345"/>
      <c r="G224" s="345"/>
      <c r="H224" s="345"/>
      <c r="I224" s="345"/>
    </row>
    <row r="225" spans="1:9" ht="20.25">
      <c r="A225" s="345"/>
      <c r="B225" s="345"/>
      <c r="C225" s="345"/>
      <c r="D225" s="345"/>
      <c r="E225" s="345"/>
      <c r="F225" s="345"/>
      <c r="G225" s="345"/>
      <c r="H225" s="345"/>
      <c r="I225" s="345"/>
    </row>
    <row r="226" spans="1:9" ht="20.25">
      <c r="A226" s="345"/>
      <c r="B226" s="345"/>
      <c r="C226" s="345"/>
      <c r="D226" s="345"/>
      <c r="E226" s="345"/>
      <c r="F226" s="345"/>
      <c r="G226" s="345"/>
      <c r="H226" s="345"/>
      <c r="I226" s="345"/>
    </row>
    <row r="227" spans="1:9" ht="20.25">
      <c r="A227" s="345"/>
      <c r="B227" s="345"/>
      <c r="C227" s="345"/>
      <c r="D227" s="345"/>
      <c r="E227" s="345"/>
      <c r="F227" s="345"/>
      <c r="G227" s="345"/>
      <c r="H227" s="345"/>
      <c r="I227" s="345"/>
    </row>
    <row r="228" spans="1:9" ht="20.25">
      <c r="A228" s="345"/>
      <c r="B228" s="345"/>
      <c r="C228" s="345"/>
      <c r="D228" s="345"/>
      <c r="E228" s="345"/>
      <c r="F228" s="345"/>
      <c r="G228" s="345"/>
      <c r="H228" s="345"/>
      <c r="I228" s="345"/>
    </row>
    <row r="229" spans="1:9" ht="20.25">
      <c r="A229" s="345"/>
      <c r="B229" s="345"/>
      <c r="C229" s="345"/>
      <c r="D229" s="345"/>
      <c r="E229" s="345"/>
      <c r="F229" s="345"/>
      <c r="G229" s="345"/>
      <c r="H229" s="345"/>
      <c r="I229" s="345"/>
    </row>
    <row r="230" spans="1:9" ht="20.25">
      <c r="A230" s="345"/>
      <c r="B230" s="345"/>
      <c r="C230" s="345"/>
      <c r="D230" s="345"/>
      <c r="E230" s="345"/>
      <c r="F230" s="345"/>
      <c r="G230" s="345"/>
      <c r="H230" s="345"/>
      <c r="I230" s="345"/>
    </row>
    <row r="231" spans="1:9" ht="20.25">
      <c r="A231" s="345"/>
      <c r="B231" s="345"/>
      <c r="C231" s="345"/>
      <c r="D231" s="345"/>
      <c r="E231" s="345"/>
      <c r="F231" s="345"/>
      <c r="G231" s="345"/>
      <c r="H231" s="345"/>
      <c r="I231" s="345"/>
    </row>
    <row r="232" spans="1:9" ht="20.25">
      <c r="A232" s="345"/>
      <c r="B232" s="345"/>
      <c r="C232" s="345"/>
      <c r="D232" s="345"/>
      <c r="E232" s="345"/>
      <c r="F232" s="345"/>
      <c r="G232" s="345"/>
      <c r="H232" s="345"/>
      <c r="I232" s="345"/>
    </row>
    <row r="233" spans="1:9" ht="20.25">
      <c r="A233" s="345"/>
      <c r="B233" s="345"/>
      <c r="C233" s="345"/>
      <c r="D233" s="345"/>
      <c r="E233" s="345"/>
      <c r="F233" s="345"/>
      <c r="G233" s="345"/>
      <c r="H233" s="345"/>
      <c r="I233" s="345"/>
    </row>
    <row r="234" spans="1:9" ht="20.25">
      <c r="A234" s="345"/>
      <c r="B234" s="345"/>
      <c r="C234" s="345"/>
      <c r="D234" s="345"/>
      <c r="E234" s="345"/>
      <c r="F234" s="345"/>
      <c r="G234" s="345"/>
      <c r="H234" s="345"/>
      <c r="I234" s="345"/>
    </row>
    <row r="235" spans="1:9" ht="20.25">
      <c r="A235" s="345"/>
      <c r="B235" s="345"/>
      <c r="C235" s="345"/>
      <c r="D235" s="345"/>
      <c r="E235" s="345"/>
      <c r="F235" s="345"/>
      <c r="G235" s="345"/>
      <c r="H235" s="345"/>
      <c r="I235" s="345"/>
    </row>
    <row r="236" spans="1:9" ht="20.25">
      <c r="A236" s="345"/>
      <c r="B236" s="345"/>
      <c r="C236" s="345"/>
      <c r="D236" s="345"/>
      <c r="E236" s="345"/>
      <c r="F236" s="345"/>
      <c r="G236" s="345"/>
      <c r="H236" s="345"/>
      <c r="I236" s="345"/>
    </row>
    <row r="237" spans="1:9" ht="20.25">
      <c r="A237" s="345"/>
      <c r="B237" s="345"/>
      <c r="C237" s="345"/>
      <c r="D237" s="345"/>
      <c r="E237" s="345"/>
      <c r="F237" s="345"/>
      <c r="G237" s="345"/>
      <c r="H237" s="345"/>
      <c r="I237" s="345"/>
    </row>
    <row r="238" spans="1:9" ht="20.25">
      <c r="A238" s="345"/>
      <c r="B238" s="345"/>
      <c r="C238" s="345"/>
      <c r="D238" s="345"/>
      <c r="E238" s="345"/>
      <c r="F238" s="345"/>
      <c r="G238" s="345"/>
      <c r="H238" s="345"/>
      <c r="I238" s="345"/>
    </row>
    <row r="239" spans="1:9" ht="20.25">
      <c r="A239" s="345"/>
      <c r="B239" s="345"/>
      <c r="C239" s="345"/>
      <c r="D239" s="345"/>
      <c r="E239" s="345"/>
      <c r="F239" s="345"/>
      <c r="G239" s="345"/>
      <c r="H239" s="345"/>
      <c r="I239" s="345"/>
    </row>
    <row r="240" spans="1:9" ht="20.25">
      <c r="A240" s="345"/>
      <c r="B240" s="345"/>
      <c r="C240" s="345"/>
      <c r="D240" s="345"/>
      <c r="E240" s="345"/>
      <c r="F240" s="345"/>
      <c r="G240" s="345"/>
      <c r="H240" s="345"/>
      <c r="I240" s="345"/>
    </row>
    <row r="241" spans="1:9" ht="20.25">
      <c r="A241" s="345"/>
      <c r="B241" s="345"/>
      <c r="C241" s="345"/>
      <c r="D241" s="345"/>
      <c r="E241" s="345"/>
      <c r="F241" s="345"/>
      <c r="G241" s="345"/>
      <c r="H241" s="345"/>
      <c r="I241" s="345"/>
    </row>
    <row r="242" spans="1:9" ht="20.25">
      <c r="A242" s="345"/>
      <c r="B242" s="345"/>
      <c r="C242" s="345"/>
      <c r="D242" s="345"/>
      <c r="E242" s="345"/>
      <c r="F242" s="345"/>
      <c r="G242" s="345"/>
      <c r="H242" s="345"/>
      <c r="I242" s="345"/>
    </row>
    <row r="243" spans="1:9" ht="20.25">
      <c r="A243" s="345"/>
      <c r="B243" s="345"/>
      <c r="C243" s="345"/>
      <c r="D243" s="345"/>
      <c r="E243" s="345"/>
      <c r="F243" s="345"/>
      <c r="G243" s="345"/>
      <c r="H243" s="345"/>
      <c r="I243" s="345"/>
    </row>
    <row r="244" spans="1:9" ht="20.25">
      <c r="A244" s="345"/>
      <c r="B244" s="345"/>
      <c r="C244" s="345"/>
      <c r="D244" s="345"/>
      <c r="E244" s="345"/>
      <c r="F244" s="345"/>
      <c r="G244" s="345"/>
      <c r="H244" s="345"/>
      <c r="I244" s="345"/>
    </row>
    <row r="245" spans="1:9" ht="20.25">
      <c r="A245" s="345"/>
      <c r="B245" s="345"/>
      <c r="C245" s="345"/>
      <c r="D245" s="345"/>
      <c r="E245" s="345"/>
      <c r="F245" s="345"/>
      <c r="G245" s="345"/>
      <c r="H245" s="345"/>
      <c r="I245" s="345"/>
    </row>
    <row r="246" spans="1:9" ht="20.25">
      <c r="A246" s="345"/>
      <c r="B246" s="345"/>
      <c r="C246" s="345"/>
      <c r="D246" s="345"/>
      <c r="E246" s="345"/>
      <c r="F246" s="345"/>
      <c r="G246" s="345"/>
      <c r="H246" s="345"/>
      <c r="I246" s="345"/>
    </row>
    <row r="247" spans="1:9" ht="20.25">
      <c r="A247" s="345"/>
      <c r="B247" s="345"/>
      <c r="C247" s="345"/>
      <c r="D247" s="345"/>
      <c r="E247" s="345"/>
      <c r="F247" s="345"/>
      <c r="G247" s="345"/>
      <c r="H247" s="345"/>
      <c r="I247" s="345"/>
    </row>
    <row r="248" spans="1:9" ht="20.25">
      <c r="A248" s="345"/>
      <c r="B248" s="345"/>
      <c r="C248" s="345"/>
      <c r="D248" s="345"/>
      <c r="E248" s="345"/>
      <c r="F248" s="345"/>
      <c r="G248" s="345"/>
      <c r="H248" s="345"/>
      <c r="I248" s="345"/>
    </row>
    <row r="249" spans="1:9" ht="20.25">
      <c r="A249" s="345"/>
      <c r="B249" s="345"/>
      <c r="C249" s="345"/>
      <c r="D249" s="345"/>
      <c r="E249" s="345"/>
      <c r="F249" s="345"/>
      <c r="G249" s="345"/>
      <c r="H249" s="345"/>
      <c r="I249" s="345"/>
    </row>
    <row r="250" spans="1:9" ht="20.25">
      <c r="A250" s="345"/>
      <c r="B250" s="345"/>
      <c r="C250" s="345"/>
      <c r="D250" s="345"/>
      <c r="E250" s="345"/>
      <c r="F250" s="345"/>
      <c r="G250" s="345"/>
      <c r="H250" s="345"/>
      <c r="I250" s="345"/>
    </row>
    <row r="251" spans="1:9" ht="20.25">
      <c r="A251" s="345"/>
      <c r="B251" s="345"/>
      <c r="C251" s="345"/>
      <c r="D251" s="345"/>
      <c r="E251" s="345"/>
      <c r="F251" s="345"/>
      <c r="G251" s="345"/>
      <c r="H251" s="345"/>
      <c r="I251" s="345"/>
    </row>
    <row r="252" spans="1:9" ht="20.25">
      <c r="A252" s="345"/>
      <c r="B252" s="345"/>
      <c r="C252" s="345"/>
      <c r="D252" s="345"/>
      <c r="E252" s="345"/>
      <c r="F252" s="345"/>
      <c r="G252" s="345"/>
      <c r="H252" s="345"/>
      <c r="I252" s="345"/>
    </row>
    <row r="253" spans="1:9" ht="20.25">
      <c r="A253" s="345"/>
      <c r="B253" s="345"/>
      <c r="C253" s="345"/>
      <c r="D253" s="345"/>
      <c r="E253" s="345"/>
      <c r="F253" s="345"/>
      <c r="G253" s="345"/>
      <c r="H253" s="345"/>
      <c r="I253" s="345"/>
    </row>
    <row r="254" spans="1:9" ht="20.25">
      <c r="A254" s="345"/>
      <c r="B254" s="345"/>
      <c r="C254" s="345"/>
      <c r="D254" s="345"/>
      <c r="E254" s="345"/>
      <c r="F254" s="345"/>
      <c r="G254" s="345"/>
      <c r="H254" s="345"/>
      <c r="I254" s="345"/>
    </row>
    <row r="255" spans="1:9" ht="20.25">
      <c r="A255" s="345"/>
      <c r="B255" s="345"/>
      <c r="C255" s="345"/>
      <c r="D255" s="345"/>
      <c r="E255" s="345"/>
      <c r="F255" s="345"/>
      <c r="G255" s="345"/>
      <c r="H255" s="345"/>
      <c r="I255" s="345"/>
    </row>
    <row r="256" spans="1:9" ht="20.25">
      <c r="A256" s="345"/>
      <c r="B256" s="345"/>
      <c r="C256" s="345"/>
      <c r="D256" s="345"/>
      <c r="E256" s="345"/>
      <c r="F256" s="345"/>
      <c r="G256" s="345"/>
      <c r="H256" s="345"/>
      <c r="I256" s="345"/>
    </row>
    <row r="257" spans="1:9" ht="20.25">
      <c r="A257" s="345"/>
      <c r="B257" s="345"/>
      <c r="C257" s="345"/>
      <c r="D257" s="345"/>
      <c r="E257" s="345"/>
      <c r="F257" s="345"/>
      <c r="G257" s="345"/>
      <c r="H257" s="345"/>
      <c r="I257" s="345"/>
    </row>
    <row r="258" spans="1:9" ht="20.25">
      <c r="A258" s="345"/>
      <c r="B258" s="345"/>
      <c r="C258" s="345"/>
      <c r="D258" s="345"/>
      <c r="E258" s="345"/>
      <c r="F258" s="345"/>
      <c r="G258" s="345"/>
      <c r="H258" s="345"/>
      <c r="I258" s="345"/>
    </row>
    <row r="259" spans="1:9" ht="20.25">
      <c r="A259" s="345"/>
      <c r="B259" s="345"/>
      <c r="C259" s="345"/>
      <c r="D259" s="345"/>
      <c r="E259" s="345"/>
      <c r="F259" s="345"/>
      <c r="G259" s="345"/>
      <c r="H259" s="345"/>
      <c r="I259" s="345"/>
    </row>
    <row r="260" spans="1:9" ht="20.25">
      <c r="A260" s="345"/>
      <c r="B260" s="345"/>
      <c r="C260" s="345"/>
      <c r="D260" s="345"/>
      <c r="E260" s="345"/>
      <c r="F260" s="345"/>
      <c r="G260" s="345"/>
      <c r="H260" s="345"/>
      <c r="I260" s="345"/>
    </row>
    <row r="261" spans="1:9" ht="20.25">
      <c r="A261" s="345"/>
      <c r="B261" s="345"/>
      <c r="C261" s="345"/>
      <c r="D261" s="345"/>
      <c r="E261" s="345"/>
      <c r="F261" s="345"/>
      <c r="G261" s="345"/>
      <c r="H261" s="345"/>
      <c r="I261" s="345"/>
    </row>
    <row r="262" spans="1:9" ht="20.25">
      <c r="A262" s="345"/>
      <c r="B262" s="345"/>
      <c r="C262" s="345"/>
      <c r="D262" s="345"/>
      <c r="E262" s="345"/>
      <c r="F262" s="345"/>
      <c r="G262" s="345"/>
      <c r="H262" s="345"/>
      <c r="I262" s="345"/>
    </row>
    <row r="263" spans="1:9" ht="20.25">
      <c r="A263" s="345"/>
      <c r="B263" s="345"/>
      <c r="C263" s="345"/>
      <c r="D263" s="345"/>
      <c r="E263" s="345"/>
      <c r="F263" s="345"/>
      <c r="G263" s="345"/>
      <c r="H263" s="345"/>
      <c r="I263" s="345"/>
    </row>
    <row r="264" spans="1:9" ht="20.25">
      <c r="A264" s="345"/>
      <c r="B264" s="345"/>
      <c r="C264" s="345"/>
      <c r="D264" s="345"/>
      <c r="E264" s="345"/>
      <c r="F264" s="345"/>
      <c r="G264" s="345"/>
      <c r="H264" s="345"/>
      <c r="I264" s="345"/>
    </row>
    <row r="265" spans="1:9" ht="20.25">
      <c r="A265" s="345"/>
      <c r="B265" s="345"/>
      <c r="C265" s="345"/>
      <c r="D265" s="345"/>
      <c r="E265" s="345"/>
      <c r="F265" s="345"/>
      <c r="G265" s="345"/>
      <c r="H265" s="345"/>
      <c r="I265" s="345"/>
    </row>
    <row r="266" spans="1:9" ht="20.25">
      <c r="A266" s="345"/>
      <c r="B266" s="345"/>
      <c r="C266" s="345"/>
      <c r="D266" s="345"/>
      <c r="E266" s="345"/>
      <c r="F266" s="345"/>
      <c r="G266" s="345"/>
      <c r="H266" s="345"/>
      <c r="I266" s="345"/>
    </row>
    <row r="267" spans="1:9" ht="20.25">
      <c r="A267" s="345"/>
      <c r="B267" s="345"/>
      <c r="C267" s="345"/>
      <c r="D267" s="345"/>
      <c r="E267" s="345"/>
      <c r="F267" s="345"/>
      <c r="G267" s="345"/>
      <c r="H267" s="345"/>
      <c r="I267" s="345"/>
    </row>
    <row r="268" spans="1:9" ht="20.25">
      <c r="A268" s="345"/>
      <c r="B268" s="345"/>
      <c r="C268" s="345"/>
      <c r="D268" s="345"/>
      <c r="E268" s="345"/>
      <c r="F268" s="345"/>
      <c r="G268" s="345"/>
      <c r="H268" s="345"/>
      <c r="I268" s="345"/>
    </row>
    <row r="269" spans="1:9" ht="20.25">
      <c r="A269" s="345"/>
      <c r="B269" s="345"/>
      <c r="C269" s="345"/>
      <c r="D269" s="345"/>
      <c r="E269" s="345"/>
      <c r="F269" s="345"/>
      <c r="G269" s="345"/>
      <c r="H269" s="345"/>
      <c r="I269" s="345"/>
    </row>
    <row r="270" spans="1:9" ht="20.25">
      <c r="A270" s="345"/>
      <c r="B270" s="345"/>
      <c r="C270" s="345"/>
      <c r="D270" s="345"/>
      <c r="E270" s="345"/>
      <c r="F270" s="345"/>
      <c r="G270" s="345"/>
      <c r="H270" s="345"/>
      <c r="I270" s="345"/>
    </row>
    <row r="271" spans="1:9" ht="20.25">
      <c r="A271" s="345"/>
      <c r="B271" s="345"/>
      <c r="C271" s="345"/>
      <c r="D271" s="345"/>
      <c r="E271" s="345"/>
      <c r="F271" s="345"/>
      <c r="G271" s="345"/>
      <c r="H271" s="345"/>
      <c r="I271" s="345"/>
    </row>
    <row r="272" spans="1:9" ht="20.25">
      <c r="A272" s="345"/>
      <c r="B272" s="345"/>
      <c r="C272" s="345"/>
      <c r="D272" s="345"/>
      <c r="E272" s="345"/>
      <c r="F272" s="345"/>
      <c r="G272" s="345"/>
      <c r="H272" s="345"/>
      <c r="I272" s="345"/>
    </row>
    <row r="273" spans="1:9" ht="20.25">
      <c r="A273" s="345"/>
      <c r="B273" s="345"/>
      <c r="C273" s="345"/>
      <c r="D273" s="345"/>
      <c r="E273" s="345"/>
      <c r="F273" s="345"/>
      <c r="G273" s="345"/>
      <c r="H273" s="345"/>
      <c r="I273" s="345"/>
    </row>
    <row r="274" spans="1:9" ht="20.25">
      <c r="A274" s="345"/>
      <c r="B274" s="345"/>
      <c r="C274" s="345"/>
      <c r="D274" s="345"/>
      <c r="E274" s="345"/>
      <c r="F274" s="345"/>
      <c r="G274" s="345"/>
      <c r="H274" s="345"/>
      <c r="I274" s="345"/>
    </row>
    <row r="275" spans="1:9" ht="20.25">
      <c r="A275" s="345"/>
      <c r="B275" s="345"/>
      <c r="C275" s="345"/>
      <c r="D275" s="345"/>
      <c r="E275" s="345"/>
      <c r="F275" s="345"/>
      <c r="G275" s="345"/>
      <c r="H275" s="345"/>
      <c r="I275" s="345"/>
    </row>
    <row r="276" spans="1:9" ht="20.25">
      <c r="A276" s="345"/>
      <c r="B276" s="345"/>
      <c r="C276" s="345"/>
      <c r="D276" s="345"/>
      <c r="E276" s="345"/>
      <c r="F276" s="345"/>
      <c r="G276" s="345"/>
      <c r="H276" s="345"/>
      <c r="I276" s="345"/>
    </row>
    <row r="277" spans="1:9" ht="20.25">
      <c r="A277" s="345"/>
      <c r="B277" s="345"/>
      <c r="C277" s="345"/>
      <c r="D277" s="345"/>
      <c r="E277" s="345"/>
      <c r="F277" s="345"/>
      <c r="G277" s="345"/>
      <c r="H277" s="345"/>
      <c r="I277" s="345"/>
    </row>
    <row r="278" spans="1:9" ht="20.25">
      <c r="A278" s="345"/>
      <c r="B278" s="345"/>
      <c r="C278" s="345"/>
      <c r="D278" s="345"/>
      <c r="E278" s="345"/>
      <c r="F278" s="345"/>
      <c r="G278" s="345"/>
      <c r="H278" s="345"/>
      <c r="I278" s="345"/>
    </row>
    <row r="279" spans="1:9" ht="20.25">
      <c r="A279" s="345"/>
      <c r="B279" s="345"/>
      <c r="C279" s="345"/>
      <c r="D279" s="345"/>
      <c r="E279" s="345"/>
      <c r="F279" s="345"/>
      <c r="G279" s="345"/>
      <c r="H279" s="345"/>
      <c r="I279" s="345"/>
    </row>
    <row r="280" spans="1:9" ht="20.25">
      <c r="A280" s="345"/>
      <c r="B280" s="345"/>
      <c r="C280" s="345"/>
      <c r="D280" s="345"/>
      <c r="E280" s="345"/>
      <c r="F280" s="345"/>
      <c r="G280" s="345"/>
      <c r="H280" s="345"/>
      <c r="I280" s="345"/>
    </row>
    <row r="281" spans="1:9" ht="20.25">
      <c r="A281" s="345"/>
      <c r="B281" s="345"/>
      <c r="C281" s="345"/>
      <c r="D281" s="345"/>
      <c r="E281" s="345"/>
      <c r="F281" s="345"/>
      <c r="G281" s="345"/>
      <c r="H281" s="345"/>
      <c r="I281" s="345"/>
    </row>
    <row r="282" spans="1:9" ht="20.25">
      <c r="A282" s="345"/>
      <c r="B282" s="345"/>
      <c r="C282" s="345"/>
      <c r="D282" s="345"/>
      <c r="E282" s="345"/>
      <c r="F282" s="345"/>
      <c r="G282" s="345"/>
      <c r="H282" s="345"/>
      <c r="I282" s="345"/>
    </row>
    <row r="283" spans="1:9" ht="20.25">
      <c r="A283" s="345"/>
      <c r="B283" s="345"/>
      <c r="C283" s="345"/>
      <c r="D283" s="345"/>
      <c r="E283" s="345"/>
      <c r="F283" s="345"/>
      <c r="G283" s="345"/>
      <c r="H283" s="345"/>
      <c r="I283" s="345"/>
    </row>
    <row r="284" spans="1:9" ht="20.25">
      <c r="A284" s="345"/>
      <c r="B284" s="345"/>
      <c r="C284" s="345"/>
      <c r="D284" s="345"/>
      <c r="E284" s="345"/>
      <c r="F284" s="345"/>
      <c r="G284" s="345"/>
      <c r="H284" s="345"/>
      <c r="I284" s="345"/>
    </row>
    <row r="285" spans="1:9" ht="20.25">
      <c r="A285" s="345"/>
      <c r="B285" s="345"/>
      <c r="C285" s="345"/>
      <c r="D285" s="345"/>
      <c r="E285" s="345"/>
      <c r="F285" s="345"/>
      <c r="G285" s="345"/>
      <c r="H285" s="345"/>
      <c r="I285" s="345"/>
    </row>
    <row r="286" spans="1:9" ht="20.25">
      <c r="A286" s="345"/>
      <c r="B286" s="345"/>
      <c r="C286" s="345"/>
      <c r="D286" s="345"/>
      <c r="E286" s="345"/>
      <c r="F286" s="345"/>
      <c r="G286" s="345"/>
      <c r="H286" s="345"/>
      <c r="I286" s="345"/>
    </row>
    <row r="287" spans="1:9" ht="20.25">
      <c r="A287" s="345"/>
      <c r="B287" s="345"/>
      <c r="C287" s="345"/>
      <c r="D287" s="345"/>
      <c r="E287" s="345"/>
      <c r="F287" s="345"/>
      <c r="G287" s="345"/>
      <c r="H287" s="345"/>
      <c r="I287" s="345"/>
    </row>
    <row r="288" spans="1:9" ht="20.25">
      <c r="A288" s="345"/>
      <c r="B288" s="345"/>
      <c r="C288" s="345"/>
      <c r="D288" s="345"/>
      <c r="E288" s="345"/>
      <c r="F288" s="345"/>
      <c r="G288" s="345"/>
      <c r="H288" s="345"/>
      <c r="I288" s="345"/>
    </row>
    <row r="289" spans="1:9" ht="20.25">
      <c r="A289" s="345"/>
      <c r="B289" s="345"/>
      <c r="C289" s="345"/>
      <c r="D289" s="345"/>
      <c r="E289" s="345"/>
      <c r="F289" s="345"/>
      <c r="G289" s="345"/>
      <c r="H289" s="345"/>
      <c r="I289" s="345"/>
    </row>
    <row r="290" spans="1:9" ht="20.25">
      <c r="A290" s="345"/>
      <c r="B290" s="345"/>
      <c r="C290" s="345"/>
      <c r="D290" s="345"/>
      <c r="E290" s="345"/>
      <c r="F290" s="345"/>
      <c r="G290" s="345"/>
      <c r="H290" s="345"/>
      <c r="I290" s="345"/>
    </row>
    <row r="291" spans="1:9" ht="20.25">
      <c r="A291" s="345"/>
      <c r="B291" s="345"/>
      <c r="C291" s="345"/>
      <c r="D291" s="345"/>
      <c r="E291" s="345"/>
      <c r="F291" s="345"/>
      <c r="G291" s="345"/>
      <c r="H291" s="345"/>
      <c r="I291" s="345"/>
    </row>
    <row r="292" spans="1:9" ht="20.25">
      <c r="A292" s="345"/>
      <c r="B292" s="345"/>
      <c r="C292" s="345"/>
      <c r="D292" s="345"/>
      <c r="E292" s="345"/>
      <c r="F292" s="345"/>
      <c r="G292" s="345"/>
      <c r="H292" s="345"/>
      <c r="I292" s="345"/>
    </row>
    <row r="293" spans="1:9" ht="20.25">
      <c r="A293" s="345"/>
      <c r="B293" s="345"/>
      <c r="C293" s="345"/>
      <c r="D293" s="345"/>
      <c r="E293" s="345"/>
      <c r="F293" s="345"/>
      <c r="G293" s="345"/>
      <c r="H293" s="345"/>
      <c r="I293" s="345"/>
    </row>
    <row r="294" spans="1:9" ht="20.25">
      <c r="A294" s="345"/>
      <c r="B294" s="345"/>
      <c r="C294" s="345"/>
      <c r="D294" s="345"/>
      <c r="E294" s="345"/>
      <c r="F294" s="345"/>
      <c r="G294" s="345"/>
      <c r="H294" s="345"/>
      <c r="I294" s="345"/>
    </row>
    <row r="295" spans="1:9" ht="20.25">
      <c r="A295" s="345"/>
      <c r="B295" s="345"/>
      <c r="C295" s="345"/>
      <c r="D295" s="345"/>
      <c r="E295" s="345"/>
      <c r="F295" s="345"/>
      <c r="G295" s="345"/>
      <c r="H295" s="345"/>
      <c r="I295" s="345"/>
    </row>
    <row r="296" spans="1:9" ht="20.25">
      <c r="A296" s="345"/>
      <c r="B296" s="345"/>
      <c r="C296" s="345"/>
      <c r="D296" s="345"/>
      <c r="E296" s="345"/>
      <c r="F296" s="345"/>
      <c r="G296" s="345"/>
      <c r="H296" s="345"/>
      <c r="I296" s="345"/>
    </row>
    <row r="297" spans="1:9" ht="20.25">
      <c r="A297" s="345"/>
      <c r="B297" s="345"/>
      <c r="C297" s="345"/>
      <c r="D297" s="345"/>
      <c r="E297" s="345"/>
      <c r="F297" s="345"/>
      <c r="G297" s="345"/>
      <c r="H297" s="345"/>
      <c r="I297" s="345"/>
    </row>
    <row r="298" spans="1:9" ht="20.25">
      <c r="A298" s="345"/>
      <c r="B298" s="345"/>
      <c r="C298" s="345"/>
      <c r="D298" s="345"/>
      <c r="E298" s="345"/>
      <c r="F298" s="345"/>
      <c r="G298" s="345"/>
      <c r="H298" s="345"/>
      <c r="I298" s="345"/>
    </row>
    <row r="299" spans="1:9" ht="20.25">
      <c r="A299" s="345"/>
      <c r="B299" s="345"/>
      <c r="C299" s="345"/>
      <c r="D299" s="345"/>
      <c r="E299" s="345"/>
      <c r="F299" s="345"/>
      <c r="G299" s="345"/>
      <c r="H299" s="345"/>
      <c r="I299" s="345"/>
    </row>
    <row r="300" spans="1:9" ht="20.25">
      <c r="A300" s="345"/>
      <c r="B300" s="345"/>
      <c r="C300" s="345"/>
      <c r="D300" s="345"/>
      <c r="E300" s="345"/>
      <c r="F300" s="345"/>
      <c r="G300" s="345"/>
      <c r="H300" s="345"/>
      <c r="I300" s="345"/>
    </row>
    <row r="301" spans="1:9" ht="20.25">
      <c r="A301" s="345"/>
      <c r="B301" s="345"/>
      <c r="C301" s="345"/>
      <c r="D301" s="345"/>
      <c r="E301" s="345"/>
      <c r="F301" s="345"/>
      <c r="G301" s="345"/>
      <c r="H301" s="345"/>
      <c r="I301" s="345"/>
    </row>
    <row r="302" spans="1:9" ht="20.25">
      <c r="A302" s="345"/>
      <c r="B302" s="345"/>
      <c r="C302" s="345"/>
      <c r="D302" s="345"/>
      <c r="E302" s="345"/>
      <c r="F302" s="345"/>
      <c r="G302" s="345"/>
      <c r="H302" s="345"/>
      <c r="I302" s="345"/>
    </row>
    <row r="303" spans="1:9" ht="20.25">
      <c r="A303" s="345"/>
      <c r="B303" s="345"/>
      <c r="C303" s="345"/>
      <c r="D303" s="345"/>
      <c r="E303" s="345"/>
      <c r="F303" s="345"/>
      <c r="G303" s="345"/>
      <c r="H303" s="345"/>
      <c r="I303" s="345"/>
    </row>
    <row r="304" spans="1:9" ht="20.25">
      <c r="A304" s="345"/>
      <c r="B304" s="345"/>
      <c r="C304" s="345"/>
      <c r="D304" s="345"/>
      <c r="E304" s="345"/>
      <c r="F304" s="345"/>
      <c r="G304" s="345"/>
      <c r="H304" s="345"/>
      <c r="I304" s="345"/>
    </row>
    <row r="305" spans="1:9" ht="20.25">
      <c r="A305" s="345"/>
      <c r="B305" s="345"/>
      <c r="C305" s="345"/>
      <c r="D305" s="345"/>
      <c r="E305" s="345"/>
      <c r="F305" s="345"/>
      <c r="G305" s="345"/>
      <c r="H305" s="345"/>
      <c r="I305" s="345"/>
    </row>
    <row r="306" spans="1:9" ht="20.25">
      <c r="A306" s="345"/>
      <c r="B306" s="345"/>
      <c r="C306" s="345"/>
      <c r="D306" s="345"/>
      <c r="E306" s="345"/>
      <c r="F306" s="345"/>
      <c r="G306" s="345"/>
      <c r="H306" s="345"/>
      <c r="I306" s="345"/>
    </row>
    <row r="307" spans="1:9" ht="20.25">
      <c r="A307" s="345"/>
      <c r="B307" s="345"/>
      <c r="C307" s="345"/>
      <c r="D307" s="345"/>
      <c r="E307" s="345"/>
      <c r="F307" s="345"/>
      <c r="G307" s="345"/>
      <c r="H307" s="345"/>
      <c r="I307" s="345"/>
    </row>
    <row r="308" spans="1:9" ht="20.25">
      <c r="A308" s="345"/>
      <c r="B308" s="345"/>
      <c r="C308" s="345"/>
      <c r="D308" s="345"/>
      <c r="E308" s="345"/>
      <c r="F308" s="345"/>
      <c r="G308" s="345"/>
      <c r="H308" s="345"/>
      <c r="I308" s="345"/>
    </row>
    <row r="309" spans="1:9" ht="20.25">
      <c r="A309" s="345"/>
      <c r="B309" s="345"/>
      <c r="C309" s="345"/>
      <c r="D309" s="345"/>
      <c r="E309" s="345"/>
      <c r="F309" s="345"/>
      <c r="G309" s="345"/>
      <c r="H309" s="345"/>
      <c r="I309" s="345"/>
    </row>
    <row r="310" spans="1:9" ht="20.25">
      <c r="A310" s="345"/>
      <c r="B310" s="345"/>
      <c r="C310" s="345"/>
      <c r="D310" s="345"/>
      <c r="E310" s="345"/>
      <c r="F310" s="345"/>
      <c r="G310" s="345"/>
      <c r="H310" s="345"/>
      <c r="I310" s="345"/>
    </row>
    <row r="311" spans="1:9" ht="20.25">
      <c r="A311" s="345"/>
      <c r="B311" s="345"/>
      <c r="C311" s="345"/>
      <c r="D311" s="345"/>
      <c r="E311" s="345"/>
      <c r="F311" s="345"/>
      <c r="G311" s="345"/>
      <c r="H311" s="345"/>
      <c r="I311" s="345"/>
    </row>
    <row r="312" spans="1:9" ht="20.25">
      <c r="A312" s="345"/>
      <c r="B312" s="345"/>
      <c r="C312" s="345"/>
      <c r="D312" s="345"/>
      <c r="E312" s="345"/>
      <c r="F312" s="345"/>
      <c r="G312" s="345"/>
      <c r="H312" s="345"/>
      <c r="I312" s="345"/>
    </row>
    <row r="313" spans="1:9" ht="20.25">
      <c r="A313" s="345"/>
      <c r="B313" s="345"/>
      <c r="C313" s="345"/>
      <c r="D313" s="345"/>
      <c r="E313" s="345"/>
      <c r="F313" s="345"/>
      <c r="G313" s="345"/>
      <c r="H313" s="345"/>
      <c r="I313" s="345"/>
    </row>
    <row r="314" spans="1:9" ht="20.25">
      <c r="A314" s="345"/>
      <c r="B314" s="345"/>
      <c r="C314" s="345"/>
      <c r="D314" s="345"/>
      <c r="E314" s="345"/>
      <c r="F314" s="345"/>
      <c r="G314" s="345"/>
      <c r="H314" s="345"/>
      <c r="I314" s="345"/>
    </row>
    <row r="315" spans="1:9" ht="20.25">
      <c r="A315" s="345"/>
      <c r="B315" s="345"/>
      <c r="C315" s="345"/>
      <c r="D315" s="345"/>
      <c r="E315" s="345"/>
      <c r="F315" s="345"/>
      <c r="G315" s="345"/>
      <c r="H315" s="345"/>
      <c r="I315" s="345"/>
    </row>
    <row r="316" spans="1:9" ht="20.25">
      <c r="A316" s="345"/>
      <c r="B316" s="345"/>
      <c r="C316" s="345"/>
      <c r="D316" s="345"/>
      <c r="E316" s="345"/>
      <c r="F316" s="345"/>
      <c r="G316" s="345"/>
      <c r="H316" s="345"/>
      <c r="I316" s="345"/>
    </row>
    <row r="317" spans="1:9" ht="20.25">
      <c r="A317" s="345"/>
      <c r="B317" s="345"/>
      <c r="C317" s="345"/>
      <c r="D317" s="345"/>
      <c r="E317" s="345"/>
      <c r="F317" s="345"/>
      <c r="G317" s="345"/>
      <c r="H317" s="345"/>
      <c r="I317" s="345"/>
    </row>
    <row r="318" spans="1:9" ht="20.25">
      <c r="A318" s="345"/>
      <c r="B318" s="345"/>
      <c r="C318" s="345"/>
      <c r="D318" s="345"/>
      <c r="E318" s="345"/>
      <c r="F318" s="345"/>
      <c r="G318" s="345"/>
      <c r="H318" s="345"/>
      <c r="I318" s="345"/>
    </row>
    <row r="319" spans="1:9" ht="20.25">
      <c r="A319" s="345"/>
      <c r="B319" s="345"/>
      <c r="C319" s="345"/>
      <c r="D319" s="345"/>
      <c r="E319" s="345"/>
      <c r="F319" s="345"/>
      <c r="G319" s="345"/>
      <c r="H319" s="345"/>
      <c r="I319" s="345"/>
    </row>
    <row r="320" spans="1:9" ht="20.25">
      <c r="A320" s="345"/>
      <c r="B320" s="345"/>
      <c r="C320" s="345"/>
      <c r="D320" s="345"/>
      <c r="E320" s="345"/>
      <c r="F320" s="345"/>
      <c r="G320" s="345"/>
      <c r="H320" s="345"/>
      <c r="I320" s="345"/>
    </row>
    <row r="321" spans="1:9" ht="20.25">
      <c r="A321" s="345"/>
      <c r="B321" s="345"/>
      <c r="C321" s="345"/>
      <c r="D321" s="345"/>
      <c r="E321" s="345"/>
      <c r="F321" s="345"/>
      <c r="G321" s="345"/>
      <c r="H321" s="345"/>
      <c r="I321" s="345"/>
    </row>
    <row r="322" spans="1:9" ht="20.25">
      <c r="A322" s="345"/>
      <c r="B322" s="345"/>
      <c r="C322" s="345"/>
      <c r="D322" s="345"/>
      <c r="E322" s="345"/>
      <c r="F322" s="345"/>
      <c r="G322" s="345"/>
      <c r="H322" s="345"/>
      <c r="I322" s="345"/>
    </row>
    <row r="323" spans="1:9" ht="20.25">
      <c r="A323" s="345"/>
      <c r="B323" s="345"/>
      <c r="C323" s="345"/>
      <c r="D323" s="345"/>
      <c r="E323" s="345"/>
      <c r="F323" s="345"/>
      <c r="G323" s="345"/>
      <c r="H323" s="345"/>
      <c r="I323" s="345"/>
    </row>
    <row r="324" spans="1:9" ht="20.25">
      <c r="A324" s="345"/>
      <c r="B324" s="345"/>
      <c r="C324" s="345"/>
      <c r="D324" s="345"/>
      <c r="E324" s="345"/>
      <c r="F324" s="345"/>
      <c r="G324" s="345"/>
      <c r="H324" s="345"/>
      <c r="I324" s="345"/>
    </row>
    <row r="325" spans="1:9" ht="20.25">
      <c r="A325" s="345"/>
      <c r="B325" s="345"/>
      <c r="C325" s="345"/>
      <c r="D325" s="345"/>
      <c r="E325" s="345"/>
      <c r="F325" s="345"/>
      <c r="G325" s="345"/>
      <c r="H325" s="345"/>
      <c r="I325" s="345"/>
    </row>
    <row r="326" spans="1:9" ht="20.25">
      <c r="A326" s="345"/>
      <c r="B326" s="345"/>
      <c r="C326" s="345"/>
      <c r="D326" s="345"/>
      <c r="E326" s="345"/>
      <c r="F326" s="345"/>
      <c r="G326" s="345"/>
      <c r="H326" s="345"/>
      <c r="I326" s="345"/>
    </row>
    <row r="327" spans="1:9" ht="20.25">
      <c r="A327" s="345"/>
      <c r="B327" s="345"/>
      <c r="C327" s="345"/>
      <c r="D327" s="345"/>
      <c r="E327" s="345"/>
      <c r="F327" s="345"/>
      <c r="G327" s="345"/>
      <c r="H327" s="345"/>
      <c r="I327" s="345"/>
    </row>
    <row r="328" spans="1:9" ht="20.25">
      <c r="A328" s="345"/>
      <c r="B328" s="345"/>
      <c r="C328" s="345"/>
      <c r="D328" s="345"/>
      <c r="E328" s="345"/>
      <c r="F328" s="345"/>
      <c r="G328" s="345"/>
      <c r="H328" s="345"/>
      <c r="I328" s="345"/>
    </row>
    <row r="329" spans="1:9" ht="20.25">
      <c r="A329" s="345"/>
      <c r="B329" s="345"/>
      <c r="C329" s="345"/>
      <c r="D329" s="345"/>
      <c r="E329" s="345"/>
      <c r="F329" s="345"/>
      <c r="G329" s="345"/>
      <c r="H329" s="345"/>
      <c r="I329" s="345"/>
    </row>
    <row r="330" spans="1:9" ht="20.25">
      <c r="A330" s="345"/>
      <c r="B330" s="345"/>
      <c r="C330" s="345"/>
      <c r="D330" s="345"/>
      <c r="E330" s="345"/>
      <c r="F330" s="345"/>
      <c r="G330" s="345"/>
      <c r="H330" s="345"/>
      <c r="I330" s="345"/>
    </row>
    <row r="331" spans="1:9" ht="20.25">
      <c r="A331" s="345"/>
      <c r="B331" s="345"/>
      <c r="C331" s="345"/>
      <c r="D331" s="345"/>
      <c r="E331" s="345"/>
      <c r="F331" s="345"/>
      <c r="G331" s="345"/>
      <c r="H331" s="345"/>
      <c r="I331" s="345"/>
    </row>
    <row r="332" spans="1:9" ht="20.25">
      <c r="A332" s="345"/>
      <c r="B332" s="345"/>
      <c r="C332" s="345"/>
      <c r="D332" s="345"/>
      <c r="E332" s="345"/>
      <c r="F332" s="345"/>
      <c r="G332" s="345"/>
      <c r="H332" s="345"/>
      <c r="I332" s="345"/>
    </row>
    <row r="333" spans="1:9" ht="20.25">
      <c r="A333" s="345"/>
      <c r="B333" s="345"/>
      <c r="C333" s="345"/>
      <c r="D333" s="345"/>
      <c r="E333" s="345"/>
      <c r="F333" s="345"/>
      <c r="G333" s="345"/>
      <c r="H333" s="345"/>
      <c r="I333" s="345"/>
    </row>
    <row r="334" spans="1:9" ht="20.25">
      <c r="A334" s="345"/>
      <c r="B334" s="345"/>
      <c r="C334" s="345"/>
      <c r="D334" s="345"/>
      <c r="E334" s="345"/>
      <c r="F334" s="345"/>
      <c r="G334" s="345"/>
      <c r="H334" s="345"/>
      <c r="I334" s="345"/>
    </row>
    <row r="335" spans="1:9" ht="20.25">
      <c r="A335" s="345"/>
      <c r="B335" s="345"/>
      <c r="C335" s="345"/>
      <c r="D335" s="345"/>
      <c r="E335" s="345"/>
      <c r="F335" s="345"/>
      <c r="G335" s="345"/>
      <c r="H335" s="345"/>
      <c r="I335" s="345"/>
    </row>
    <row r="336" spans="1:9" ht="20.25">
      <c r="A336" s="345"/>
      <c r="B336" s="345"/>
      <c r="C336" s="345"/>
      <c r="D336" s="345"/>
      <c r="E336" s="345"/>
      <c r="F336" s="345"/>
      <c r="G336" s="345"/>
      <c r="H336" s="345"/>
      <c r="I336" s="345"/>
    </row>
    <row r="337" spans="1:9" ht="20.25">
      <c r="A337" s="345"/>
      <c r="B337" s="345"/>
      <c r="C337" s="345"/>
      <c r="D337" s="345"/>
      <c r="E337" s="345"/>
      <c r="F337" s="345"/>
      <c r="G337" s="345"/>
      <c r="H337" s="345"/>
      <c r="I337" s="345"/>
    </row>
    <row r="338" spans="1:9" ht="20.25">
      <c r="A338" s="345"/>
      <c r="B338" s="345"/>
      <c r="C338" s="345"/>
      <c r="D338" s="345"/>
      <c r="E338" s="345"/>
      <c r="F338" s="345"/>
      <c r="G338" s="345"/>
      <c r="H338" s="345"/>
      <c r="I338" s="345"/>
    </row>
    <row r="339" spans="1:9" ht="20.25">
      <c r="A339" s="345"/>
      <c r="B339" s="345"/>
      <c r="C339" s="345"/>
      <c r="D339" s="345"/>
      <c r="E339" s="345"/>
      <c r="F339" s="345"/>
      <c r="G339" s="345"/>
      <c r="H339" s="345"/>
      <c r="I339" s="345"/>
    </row>
    <row r="340" spans="1:9" ht="20.25">
      <c r="A340" s="345"/>
      <c r="B340" s="345"/>
      <c r="C340" s="345"/>
      <c r="D340" s="345"/>
      <c r="E340" s="345"/>
      <c r="F340" s="345"/>
      <c r="G340" s="345"/>
      <c r="H340" s="345"/>
      <c r="I340" s="345"/>
    </row>
    <row r="341" spans="1:9" ht="20.25">
      <c r="A341" s="345"/>
      <c r="B341" s="345"/>
      <c r="C341" s="345"/>
      <c r="D341" s="345"/>
      <c r="E341" s="345"/>
      <c r="F341" s="345"/>
      <c r="G341" s="345"/>
      <c r="H341" s="345"/>
      <c r="I341" s="345"/>
    </row>
    <row r="342" spans="1:9" ht="20.25">
      <c r="A342" s="345"/>
      <c r="B342" s="345"/>
      <c r="C342" s="345"/>
      <c r="D342" s="345"/>
      <c r="E342" s="345"/>
      <c r="F342" s="345"/>
      <c r="G342" s="345"/>
      <c r="H342" s="345"/>
      <c r="I342" s="345"/>
    </row>
    <row r="343" spans="1:9" ht="20.25">
      <c r="A343" s="345"/>
      <c r="B343" s="345"/>
      <c r="C343" s="345"/>
      <c r="D343" s="345"/>
      <c r="E343" s="345"/>
      <c r="F343" s="345"/>
      <c r="G343" s="345"/>
      <c r="H343" s="345"/>
      <c r="I343" s="345"/>
    </row>
    <row r="344" spans="1:9" ht="20.25">
      <c r="A344" s="345"/>
      <c r="B344" s="345"/>
      <c r="C344" s="345"/>
      <c r="D344" s="345"/>
      <c r="E344" s="345"/>
      <c r="F344" s="345"/>
      <c r="G344" s="345"/>
      <c r="H344" s="345"/>
      <c r="I344" s="345"/>
    </row>
    <row r="345" spans="1:9" ht="20.25">
      <c r="A345" s="345"/>
      <c r="B345" s="345"/>
      <c r="C345" s="345"/>
      <c r="D345" s="345"/>
      <c r="E345" s="345"/>
      <c r="F345" s="345"/>
      <c r="G345" s="345"/>
      <c r="H345" s="345"/>
      <c r="I345" s="345"/>
    </row>
    <row r="346" spans="1:9" ht="20.25">
      <c r="A346" s="345"/>
      <c r="B346" s="345"/>
      <c r="C346" s="345"/>
      <c r="D346" s="345"/>
      <c r="E346" s="345"/>
      <c r="F346" s="345"/>
      <c r="G346" s="345"/>
      <c r="H346" s="345"/>
      <c r="I346" s="345"/>
    </row>
    <row r="347" spans="1:9" ht="20.25">
      <c r="A347" s="345"/>
      <c r="B347" s="345"/>
      <c r="C347" s="345"/>
      <c r="D347" s="345"/>
      <c r="E347" s="345"/>
      <c r="F347" s="345"/>
      <c r="G347" s="345"/>
      <c r="H347" s="345"/>
      <c r="I347" s="345"/>
    </row>
    <row r="348" spans="1:9" ht="20.25">
      <c r="A348" s="345"/>
      <c r="B348" s="345"/>
      <c r="C348" s="345"/>
      <c r="D348" s="345"/>
      <c r="E348" s="345"/>
      <c r="F348" s="345"/>
      <c r="G348" s="345"/>
      <c r="H348" s="345"/>
      <c r="I348" s="345"/>
    </row>
    <row r="349" spans="1:9" ht="20.25">
      <c r="A349" s="345"/>
      <c r="B349" s="345"/>
      <c r="C349" s="345"/>
      <c r="D349" s="345"/>
      <c r="E349" s="345"/>
      <c r="F349" s="345"/>
      <c r="G349" s="345"/>
      <c r="H349" s="345"/>
      <c r="I349" s="345"/>
    </row>
    <row r="350" spans="1:9" ht="20.25">
      <c r="A350" s="345"/>
      <c r="B350" s="345"/>
      <c r="C350" s="345"/>
      <c r="D350" s="345"/>
      <c r="E350" s="345"/>
      <c r="F350" s="345"/>
      <c r="G350" s="345"/>
      <c r="H350" s="345"/>
      <c r="I350" s="345"/>
    </row>
    <row r="351" spans="1:9" ht="20.25">
      <c r="A351" s="345"/>
      <c r="B351" s="345"/>
      <c r="C351" s="345"/>
      <c r="D351" s="345"/>
      <c r="E351" s="345"/>
      <c r="F351" s="345"/>
      <c r="G351" s="345"/>
      <c r="H351" s="345"/>
      <c r="I351" s="345"/>
    </row>
    <row r="352" spans="1:9" ht="20.25">
      <c r="A352" s="345"/>
      <c r="B352" s="345"/>
      <c r="C352" s="345"/>
      <c r="D352" s="345"/>
      <c r="E352" s="345"/>
      <c r="F352" s="345"/>
      <c r="G352" s="345"/>
      <c r="H352" s="345"/>
      <c r="I352" s="345"/>
    </row>
    <row r="353" spans="1:9" ht="20.25">
      <c r="A353" s="345"/>
      <c r="B353" s="345"/>
      <c r="C353" s="345"/>
      <c r="D353" s="345"/>
      <c r="E353" s="345"/>
      <c r="F353" s="345"/>
      <c r="G353" s="345"/>
      <c r="H353" s="345"/>
      <c r="I353" s="345"/>
    </row>
    <row r="354" spans="1:9" ht="20.25">
      <c r="A354" s="345"/>
      <c r="B354" s="345"/>
      <c r="C354" s="345"/>
      <c r="D354" s="345"/>
      <c r="E354" s="345"/>
      <c r="F354" s="345"/>
      <c r="G354" s="345"/>
      <c r="H354" s="345"/>
      <c r="I354" s="345"/>
    </row>
    <row r="355" spans="1:9" ht="20.25">
      <c r="A355" s="345"/>
      <c r="B355" s="345"/>
      <c r="C355" s="345"/>
      <c r="D355" s="345"/>
      <c r="E355" s="345"/>
      <c r="F355" s="345"/>
      <c r="G355" s="345"/>
      <c r="H355" s="345"/>
      <c r="I355" s="345"/>
    </row>
    <row r="356" spans="1:9" ht="20.25">
      <c r="A356" s="345"/>
      <c r="B356" s="345"/>
      <c r="C356" s="345"/>
      <c r="D356" s="345"/>
      <c r="E356" s="345"/>
      <c r="F356" s="345"/>
      <c r="G356" s="345"/>
      <c r="H356" s="345"/>
      <c r="I356" s="345"/>
    </row>
    <row r="357" spans="1:9" ht="20.25">
      <c r="A357" s="345"/>
      <c r="B357" s="345"/>
      <c r="C357" s="345"/>
      <c r="D357" s="345"/>
      <c r="E357" s="345"/>
      <c r="F357" s="345"/>
      <c r="G357" s="345"/>
      <c r="H357" s="345"/>
      <c r="I357" s="345"/>
    </row>
    <row r="358" spans="1:9" ht="20.25">
      <c r="A358" s="345"/>
      <c r="B358" s="345"/>
      <c r="C358" s="345"/>
      <c r="D358" s="345"/>
      <c r="E358" s="345"/>
      <c r="F358" s="345"/>
      <c r="G358" s="345"/>
      <c r="H358" s="345"/>
      <c r="I358" s="345"/>
    </row>
    <row r="359" spans="1:9" ht="20.25">
      <c r="A359" s="345"/>
      <c r="B359" s="345"/>
      <c r="C359" s="345"/>
      <c r="D359" s="345"/>
      <c r="E359" s="345"/>
      <c r="F359" s="345"/>
      <c r="G359" s="345"/>
      <c r="H359" s="345"/>
      <c r="I359" s="345"/>
    </row>
    <row r="360" spans="1:9" ht="20.25">
      <c r="A360" s="345"/>
      <c r="B360" s="345"/>
      <c r="C360" s="345"/>
      <c r="D360" s="345"/>
      <c r="E360" s="345"/>
      <c r="F360" s="345"/>
      <c r="G360" s="345"/>
      <c r="H360" s="345"/>
      <c r="I360" s="345"/>
    </row>
    <row r="361" spans="1:9" ht="20.25">
      <c r="A361" s="345"/>
      <c r="B361" s="345"/>
      <c r="C361" s="345"/>
      <c r="D361" s="345"/>
      <c r="E361" s="345"/>
      <c r="F361" s="345"/>
      <c r="G361" s="345"/>
      <c r="H361" s="345"/>
      <c r="I361" s="345"/>
    </row>
    <row r="362" spans="1:9" ht="20.25">
      <c r="A362" s="345"/>
      <c r="B362" s="345"/>
      <c r="C362" s="345"/>
      <c r="D362" s="345"/>
      <c r="E362" s="345"/>
      <c r="F362" s="345"/>
      <c r="G362" s="345"/>
      <c r="H362" s="345"/>
      <c r="I362" s="345"/>
    </row>
    <row r="363" spans="1:9" ht="20.25">
      <c r="A363" s="345"/>
      <c r="B363" s="345"/>
      <c r="C363" s="345"/>
      <c r="D363" s="345"/>
      <c r="E363" s="345"/>
      <c r="F363" s="345"/>
      <c r="G363" s="345"/>
      <c r="H363" s="345"/>
      <c r="I363" s="345"/>
    </row>
    <row r="364" spans="1:9" ht="20.25">
      <c r="A364" s="345"/>
      <c r="B364" s="345"/>
      <c r="C364" s="345"/>
      <c r="D364" s="345"/>
      <c r="E364" s="345"/>
      <c r="F364" s="345"/>
      <c r="G364" s="345"/>
      <c r="H364" s="345"/>
      <c r="I364" s="345"/>
    </row>
    <row r="365" spans="1:9" ht="20.25">
      <c r="A365" s="345"/>
      <c r="B365" s="345"/>
      <c r="C365" s="345"/>
      <c r="D365" s="345"/>
      <c r="E365" s="345"/>
      <c r="F365" s="345"/>
      <c r="G365" s="345"/>
      <c r="H365" s="345"/>
      <c r="I365" s="345"/>
    </row>
    <row r="366" spans="1:9" ht="20.25">
      <c r="A366" s="345"/>
      <c r="B366" s="345"/>
      <c r="C366" s="345"/>
      <c r="D366" s="345"/>
      <c r="E366" s="345"/>
      <c r="F366" s="345"/>
      <c r="G366" s="345"/>
      <c r="H366" s="345"/>
      <c r="I366" s="345"/>
    </row>
    <row r="367" spans="1:9" ht="20.25">
      <c r="A367" s="345"/>
      <c r="B367" s="345"/>
      <c r="C367" s="345"/>
      <c r="D367" s="345"/>
      <c r="E367" s="345"/>
      <c r="F367" s="345"/>
      <c r="G367" s="345"/>
      <c r="H367" s="345"/>
      <c r="I367" s="345"/>
    </row>
    <row r="368" spans="1:9" ht="20.25">
      <c r="A368" s="345"/>
      <c r="B368" s="345"/>
      <c r="C368" s="345"/>
      <c r="D368" s="345"/>
      <c r="E368" s="345"/>
      <c r="F368" s="345"/>
      <c r="G368" s="345"/>
      <c r="H368" s="345"/>
      <c r="I368" s="345"/>
    </row>
    <row r="369" spans="1:9" ht="20.25">
      <c r="A369" s="345"/>
      <c r="B369" s="345"/>
      <c r="C369" s="345"/>
      <c r="D369" s="345"/>
      <c r="E369" s="345"/>
      <c r="F369" s="345"/>
      <c r="G369" s="345"/>
      <c r="H369" s="345"/>
      <c r="I369" s="345"/>
    </row>
    <row r="370" spans="1:9" ht="20.25">
      <c r="A370" s="345"/>
      <c r="B370" s="345"/>
      <c r="C370" s="345"/>
      <c r="D370" s="345"/>
      <c r="E370" s="345"/>
      <c r="F370" s="345"/>
      <c r="G370" s="345"/>
      <c r="H370" s="345"/>
      <c r="I370" s="345"/>
    </row>
    <row r="371" spans="1:9" ht="20.25">
      <c r="A371" s="345"/>
      <c r="B371" s="345"/>
      <c r="C371" s="345"/>
      <c r="D371" s="345"/>
      <c r="E371" s="345"/>
      <c r="F371" s="345"/>
      <c r="G371" s="345"/>
      <c r="H371" s="345"/>
      <c r="I371" s="345"/>
    </row>
    <row r="372" spans="1:9" ht="20.25">
      <c r="A372" s="345"/>
      <c r="B372" s="345"/>
      <c r="C372" s="345"/>
      <c r="D372" s="345"/>
      <c r="E372" s="345"/>
      <c r="F372" s="345"/>
      <c r="G372" s="345"/>
      <c r="H372" s="345"/>
      <c r="I372" s="345"/>
    </row>
    <row r="373" spans="1:9" ht="20.25">
      <c r="A373" s="345"/>
      <c r="B373" s="345"/>
      <c r="C373" s="345"/>
      <c r="D373" s="345"/>
      <c r="E373" s="345"/>
      <c r="F373" s="345"/>
      <c r="G373" s="345"/>
      <c r="H373" s="345"/>
      <c r="I373" s="345"/>
    </row>
    <row r="374" spans="1:9" ht="20.25">
      <c r="A374" s="345"/>
      <c r="B374" s="345"/>
      <c r="C374" s="345"/>
      <c r="D374" s="345"/>
      <c r="E374" s="345"/>
      <c r="F374" s="345"/>
      <c r="G374" s="345"/>
      <c r="H374" s="345"/>
      <c r="I374" s="345"/>
    </row>
    <row r="375" spans="1:9" ht="20.25">
      <c r="A375" s="345"/>
      <c r="B375" s="345"/>
      <c r="C375" s="345"/>
      <c r="D375" s="345"/>
      <c r="E375" s="345"/>
      <c r="F375" s="345"/>
      <c r="G375" s="345"/>
      <c r="H375" s="345"/>
      <c r="I375" s="345"/>
    </row>
    <row r="376" spans="1:9" ht="20.25">
      <c r="A376" s="345"/>
      <c r="B376" s="345"/>
      <c r="C376" s="345"/>
      <c r="D376" s="345"/>
      <c r="E376" s="345"/>
      <c r="F376" s="345"/>
      <c r="G376" s="345"/>
      <c r="H376" s="345"/>
      <c r="I376" s="345"/>
    </row>
    <row r="377" spans="1:9" ht="20.25">
      <c r="A377" s="345"/>
      <c r="B377" s="345"/>
      <c r="C377" s="345"/>
      <c r="D377" s="345"/>
      <c r="E377" s="345"/>
      <c r="F377" s="345"/>
      <c r="G377" s="345"/>
      <c r="H377" s="345"/>
      <c r="I377" s="345"/>
    </row>
    <row r="378" spans="1:9" ht="20.25">
      <c r="A378" s="345"/>
      <c r="B378" s="345"/>
      <c r="C378" s="345"/>
      <c r="D378" s="345"/>
      <c r="E378" s="345"/>
      <c r="F378" s="345"/>
      <c r="G378" s="345"/>
      <c r="H378" s="345"/>
      <c r="I378" s="345"/>
    </row>
    <row r="379" spans="1:9" ht="20.25">
      <c r="A379" s="345"/>
      <c r="B379" s="345"/>
      <c r="C379" s="345"/>
      <c r="D379" s="345"/>
      <c r="E379" s="345"/>
      <c r="F379" s="345"/>
      <c r="G379" s="345"/>
      <c r="H379" s="345"/>
      <c r="I379" s="345"/>
    </row>
    <row r="380" spans="1:9" ht="20.25">
      <c r="A380" s="345"/>
      <c r="B380" s="345"/>
      <c r="C380" s="345"/>
      <c r="D380" s="345"/>
      <c r="E380" s="345"/>
      <c r="F380" s="345"/>
      <c r="G380" s="345"/>
      <c r="H380" s="345"/>
      <c r="I380" s="345"/>
    </row>
    <row r="381" spans="1:9" ht="20.25">
      <c r="A381" s="345"/>
      <c r="B381" s="345"/>
      <c r="C381" s="345"/>
      <c r="D381" s="345"/>
      <c r="E381" s="345"/>
      <c r="F381" s="345"/>
      <c r="G381" s="345"/>
      <c r="H381" s="345"/>
      <c r="I381" s="345"/>
    </row>
    <row r="382" spans="1:9" ht="20.25">
      <c r="A382" s="345"/>
      <c r="B382" s="345"/>
      <c r="C382" s="345"/>
      <c r="D382" s="345"/>
      <c r="E382" s="345"/>
      <c r="F382" s="345"/>
      <c r="G382" s="345"/>
      <c r="H382" s="345"/>
      <c r="I382" s="345"/>
    </row>
    <row r="383" spans="1:9" ht="20.25">
      <c r="A383" s="345"/>
      <c r="B383" s="345"/>
      <c r="C383" s="345"/>
      <c r="D383" s="345"/>
      <c r="E383" s="345"/>
      <c r="F383" s="345"/>
      <c r="G383" s="345"/>
      <c r="H383" s="345"/>
      <c r="I383" s="345"/>
    </row>
    <row r="384" spans="1:9" ht="20.25">
      <c r="A384" s="345"/>
      <c r="B384" s="345"/>
      <c r="C384" s="345"/>
      <c r="D384" s="345"/>
      <c r="E384" s="345"/>
      <c r="F384" s="345"/>
      <c r="G384" s="345"/>
      <c r="H384" s="345"/>
      <c r="I384" s="345"/>
    </row>
    <row r="385" spans="1:9" ht="20.25">
      <c r="A385" s="345"/>
      <c r="B385" s="345"/>
      <c r="C385" s="345"/>
      <c r="D385" s="345"/>
      <c r="E385" s="345"/>
      <c r="F385" s="345"/>
      <c r="G385" s="345"/>
      <c r="H385" s="345"/>
      <c r="I385" s="345"/>
    </row>
    <row r="386" spans="1:9" ht="20.25">
      <c r="A386" s="345"/>
      <c r="B386" s="345"/>
      <c r="C386" s="345"/>
      <c r="D386" s="345"/>
      <c r="E386" s="345"/>
      <c r="F386" s="345"/>
      <c r="G386" s="345"/>
      <c r="H386" s="345"/>
      <c r="I386" s="345"/>
    </row>
    <row r="387" spans="1:9" ht="20.25">
      <c r="A387" s="345"/>
      <c r="B387" s="345"/>
      <c r="C387" s="345"/>
      <c r="D387" s="345"/>
      <c r="E387" s="345"/>
      <c r="F387" s="345"/>
      <c r="G387" s="345"/>
      <c r="H387" s="345"/>
      <c r="I387" s="345"/>
    </row>
    <row r="388" spans="1:9" ht="20.25">
      <c r="A388" s="345"/>
      <c r="B388" s="345"/>
      <c r="C388" s="345"/>
      <c r="D388" s="345"/>
      <c r="E388" s="345"/>
      <c r="F388" s="345"/>
      <c r="G388" s="345"/>
      <c r="H388" s="345"/>
      <c r="I388" s="345"/>
    </row>
    <row r="389" spans="1:9" ht="20.25">
      <c r="A389" s="345"/>
      <c r="B389" s="345"/>
      <c r="C389" s="345"/>
      <c r="D389" s="345"/>
      <c r="E389" s="345"/>
      <c r="F389" s="345"/>
      <c r="G389" s="345"/>
      <c r="H389" s="345"/>
      <c r="I389" s="345"/>
    </row>
    <row r="390" spans="1:9" ht="20.25">
      <c r="A390" s="345"/>
      <c r="B390" s="345"/>
      <c r="C390" s="345"/>
      <c r="D390" s="345"/>
      <c r="E390" s="345"/>
      <c r="F390" s="345"/>
      <c r="G390" s="345"/>
      <c r="H390" s="345"/>
      <c r="I390" s="345"/>
    </row>
    <row r="391" spans="1:9" ht="20.25">
      <c r="A391" s="345"/>
      <c r="B391" s="345"/>
      <c r="C391" s="345"/>
      <c r="D391" s="345"/>
      <c r="E391" s="345"/>
      <c r="F391" s="345"/>
      <c r="G391" s="345"/>
      <c r="H391" s="345"/>
      <c r="I391" s="345"/>
    </row>
    <row r="392" spans="1:9" ht="20.25">
      <c r="A392" s="345"/>
      <c r="B392" s="345"/>
      <c r="C392" s="345"/>
      <c r="D392" s="345"/>
      <c r="E392" s="345"/>
      <c r="F392" s="345"/>
      <c r="G392" s="345"/>
      <c r="H392" s="345"/>
      <c r="I392" s="345"/>
    </row>
    <row r="393" spans="1:9" ht="20.25">
      <c r="A393" s="345"/>
      <c r="B393" s="345"/>
      <c r="C393" s="345"/>
      <c r="D393" s="345"/>
      <c r="E393" s="345"/>
      <c r="F393" s="345"/>
      <c r="G393" s="345"/>
      <c r="H393" s="345"/>
      <c r="I393" s="345"/>
    </row>
    <row r="394" spans="1:9" ht="20.25">
      <c r="A394" s="345"/>
      <c r="B394" s="345"/>
      <c r="C394" s="345"/>
      <c r="D394" s="345"/>
      <c r="E394" s="345"/>
      <c r="F394" s="345"/>
      <c r="G394" s="345"/>
      <c r="H394" s="345"/>
      <c r="I394" s="345"/>
    </row>
    <row r="395" spans="1:9" ht="20.25">
      <c r="A395" s="345"/>
      <c r="B395" s="345"/>
      <c r="C395" s="345"/>
      <c r="D395" s="345"/>
      <c r="E395" s="345"/>
      <c r="F395" s="345"/>
      <c r="G395" s="345"/>
      <c r="H395" s="345"/>
      <c r="I395" s="345"/>
    </row>
    <row r="396" spans="1:9" ht="20.25">
      <c r="A396" s="345"/>
      <c r="B396" s="345"/>
      <c r="C396" s="345"/>
      <c r="D396" s="345"/>
      <c r="E396" s="345"/>
      <c r="F396" s="345"/>
      <c r="G396" s="345"/>
      <c r="H396" s="345"/>
      <c r="I396" s="345"/>
    </row>
    <row r="397" spans="1:9" ht="20.25">
      <c r="A397" s="345"/>
      <c r="B397" s="345"/>
      <c r="C397" s="345"/>
      <c r="D397" s="345"/>
      <c r="E397" s="345"/>
      <c r="F397" s="345"/>
      <c r="G397" s="345"/>
      <c r="H397" s="345"/>
      <c r="I397" s="345"/>
    </row>
    <row r="398" spans="1:9" ht="20.25">
      <c r="A398" s="345"/>
      <c r="B398" s="345"/>
      <c r="C398" s="345"/>
      <c r="D398" s="345"/>
      <c r="E398" s="345"/>
      <c r="F398" s="345"/>
      <c r="G398" s="345"/>
      <c r="H398" s="345"/>
      <c r="I398" s="345"/>
    </row>
    <row r="399" spans="1:9" ht="20.25">
      <c r="A399" s="345"/>
      <c r="B399" s="345"/>
      <c r="C399" s="345"/>
      <c r="D399" s="345"/>
      <c r="E399" s="345"/>
      <c r="F399" s="345"/>
      <c r="G399" s="345"/>
      <c r="H399" s="345"/>
      <c r="I399" s="345"/>
    </row>
    <row r="400" spans="1:9" ht="20.25">
      <c r="A400" s="345"/>
      <c r="B400" s="345"/>
      <c r="C400" s="345"/>
      <c r="D400" s="345"/>
      <c r="E400" s="345"/>
      <c r="F400" s="345"/>
      <c r="G400" s="345"/>
      <c r="H400" s="345"/>
      <c r="I400" s="345"/>
    </row>
    <row r="401" spans="1:9" ht="20.25">
      <c r="A401" s="345"/>
      <c r="B401" s="345"/>
      <c r="C401" s="345"/>
      <c r="D401" s="345"/>
      <c r="E401" s="345"/>
      <c r="F401" s="345"/>
      <c r="G401" s="345"/>
      <c r="H401" s="345"/>
      <c r="I401" s="345"/>
    </row>
    <row r="402" spans="1:9" ht="20.25">
      <c r="A402" s="345"/>
      <c r="B402" s="345"/>
      <c r="C402" s="345"/>
      <c r="D402" s="345"/>
      <c r="E402" s="345"/>
      <c r="F402" s="345"/>
      <c r="G402" s="345"/>
      <c r="H402" s="345"/>
      <c r="I402" s="345"/>
    </row>
    <row r="403" spans="1:9" ht="20.25">
      <c r="A403" s="345"/>
      <c r="B403" s="345"/>
      <c r="C403" s="345"/>
      <c r="D403" s="345"/>
      <c r="E403" s="345"/>
      <c r="F403" s="345"/>
      <c r="G403" s="345"/>
      <c r="H403" s="345"/>
      <c r="I403" s="345"/>
    </row>
    <row r="404" spans="1:9" ht="20.25">
      <c r="A404" s="345"/>
      <c r="B404" s="345"/>
      <c r="C404" s="345"/>
      <c r="D404" s="345"/>
      <c r="E404" s="345"/>
      <c r="F404" s="345"/>
      <c r="G404" s="345"/>
      <c r="H404" s="345"/>
      <c r="I404" s="345"/>
    </row>
    <row r="405" spans="1:9" ht="20.25">
      <c r="A405" s="345"/>
      <c r="B405" s="345"/>
      <c r="C405" s="345"/>
      <c r="D405" s="345"/>
      <c r="E405" s="345"/>
      <c r="F405" s="345"/>
      <c r="G405" s="345"/>
      <c r="H405" s="345"/>
      <c r="I405" s="345"/>
    </row>
    <row r="406" spans="1:9" ht="20.25">
      <c r="A406" s="345"/>
      <c r="B406" s="345"/>
      <c r="C406" s="345"/>
      <c r="D406" s="345"/>
      <c r="E406" s="345"/>
      <c r="F406" s="345"/>
      <c r="G406" s="345"/>
      <c r="H406" s="345"/>
      <c r="I406" s="345"/>
    </row>
    <row r="407" spans="1:9" ht="20.25">
      <c r="A407" s="345"/>
      <c r="B407" s="345"/>
      <c r="C407" s="345"/>
      <c r="D407" s="345"/>
      <c r="E407" s="345"/>
      <c r="F407" s="345"/>
      <c r="G407" s="345"/>
      <c r="H407" s="345"/>
      <c r="I407" s="345"/>
    </row>
    <row r="408" spans="1:9" ht="20.25">
      <c r="A408" s="345"/>
      <c r="B408" s="345"/>
      <c r="C408" s="345"/>
      <c r="D408" s="345"/>
      <c r="E408" s="345"/>
      <c r="F408" s="345"/>
      <c r="G408" s="345"/>
      <c r="H408" s="345"/>
      <c r="I408" s="345"/>
    </row>
    <row r="409" spans="1:9" ht="20.25">
      <c r="A409" s="345"/>
      <c r="B409" s="345"/>
      <c r="C409" s="345"/>
      <c r="D409" s="345"/>
      <c r="E409" s="345"/>
      <c r="F409" s="345"/>
      <c r="G409" s="345"/>
      <c r="H409" s="345"/>
      <c r="I409" s="345"/>
    </row>
    <row r="410" spans="1:9" ht="20.25">
      <c r="A410" s="345"/>
      <c r="B410" s="345"/>
      <c r="C410" s="345"/>
      <c r="D410" s="345"/>
      <c r="E410" s="345"/>
      <c r="F410" s="345"/>
      <c r="G410" s="345"/>
      <c r="H410" s="345"/>
      <c r="I410" s="345"/>
    </row>
    <row r="411" spans="1:9" ht="20.25">
      <c r="A411" s="345"/>
      <c r="B411" s="345"/>
      <c r="C411" s="345"/>
      <c r="D411" s="345"/>
      <c r="E411" s="345"/>
      <c r="F411" s="345"/>
      <c r="G411" s="345"/>
      <c r="H411" s="345"/>
      <c r="I411" s="345"/>
    </row>
    <row r="412" spans="1:9" ht="20.25">
      <c r="A412" s="345"/>
      <c r="B412" s="345"/>
      <c r="C412" s="345"/>
      <c r="D412" s="345"/>
      <c r="E412" s="345"/>
      <c r="F412" s="345"/>
      <c r="G412" s="345"/>
      <c r="H412" s="345"/>
      <c r="I412" s="345"/>
    </row>
    <row r="413" spans="1:9" ht="20.25">
      <c r="A413" s="345"/>
      <c r="B413" s="345"/>
      <c r="C413" s="345"/>
      <c r="D413" s="345"/>
      <c r="E413" s="345"/>
      <c r="F413" s="345"/>
      <c r="G413" s="345"/>
      <c r="H413" s="345"/>
      <c r="I413" s="345"/>
    </row>
    <row r="414" spans="1:9" ht="20.25">
      <c r="A414" s="345"/>
      <c r="B414" s="345"/>
      <c r="C414" s="345"/>
      <c r="D414" s="345"/>
      <c r="E414" s="345"/>
      <c r="F414" s="345"/>
      <c r="G414" s="345"/>
      <c r="H414" s="345"/>
      <c r="I414" s="345"/>
    </row>
    <row r="415" spans="1:9" ht="20.25">
      <c r="A415" s="345"/>
      <c r="B415" s="345"/>
      <c r="C415" s="345"/>
      <c r="D415" s="345"/>
      <c r="E415" s="345"/>
      <c r="F415" s="345"/>
      <c r="G415" s="345"/>
      <c r="H415" s="345"/>
      <c r="I415" s="345"/>
    </row>
    <row r="416" spans="1:9" ht="20.25">
      <c r="A416" s="345"/>
      <c r="B416" s="345"/>
      <c r="C416" s="345"/>
      <c r="D416" s="345"/>
      <c r="E416" s="345"/>
      <c r="F416" s="345"/>
      <c r="G416" s="345"/>
      <c r="H416" s="345"/>
      <c r="I416" s="345"/>
    </row>
    <row r="417" spans="1:9" ht="20.25">
      <c r="A417" s="345"/>
      <c r="B417" s="345"/>
      <c r="C417" s="345"/>
      <c r="D417" s="345"/>
      <c r="E417" s="345"/>
      <c r="F417" s="345"/>
      <c r="G417" s="345"/>
      <c r="H417" s="345"/>
      <c r="I417" s="345"/>
    </row>
    <row r="418" spans="1:9" ht="20.25">
      <c r="A418" s="345"/>
      <c r="B418" s="345"/>
      <c r="C418" s="345"/>
      <c r="D418" s="345"/>
      <c r="E418" s="345"/>
      <c r="F418" s="345"/>
      <c r="G418" s="345"/>
      <c r="H418" s="345"/>
      <c r="I418" s="345"/>
    </row>
    <row r="419" spans="1:9" ht="20.25">
      <c r="A419" s="345"/>
      <c r="B419" s="345"/>
      <c r="C419" s="345"/>
      <c r="D419" s="345"/>
      <c r="E419" s="345"/>
      <c r="F419" s="345"/>
      <c r="G419" s="345"/>
      <c r="H419" s="345"/>
      <c r="I419" s="345"/>
    </row>
    <row r="420" spans="1:9" ht="20.25">
      <c r="A420" s="345"/>
      <c r="B420" s="345"/>
      <c r="C420" s="345"/>
      <c r="D420" s="345"/>
      <c r="E420" s="345"/>
      <c r="F420" s="345"/>
      <c r="G420" s="345"/>
      <c r="H420" s="345"/>
      <c r="I420" s="345"/>
    </row>
    <row r="421" spans="1:9" ht="20.25">
      <c r="A421" s="345"/>
      <c r="B421" s="345"/>
      <c r="C421" s="345"/>
      <c r="D421" s="345"/>
      <c r="E421" s="345"/>
      <c r="F421" s="345"/>
      <c r="G421" s="345"/>
      <c r="H421" s="345"/>
      <c r="I421" s="345"/>
    </row>
    <row r="422" spans="1:9" ht="20.25">
      <c r="A422" s="345"/>
      <c r="B422" s="345"/>
      <c r="C422" s="345"/>
      <c r="D422" s="345"/>
      <c r="E422" s="345"/>
      <c r="F422" s="345"/>
      <c r="G422" s="345"/>
      <c r="H422" s="345"/>
      <c r="I422" s="345"/>
    </row>
    <row r="423" spans="1:9" ht="20.25">
      <c r="A423" s="345"/>
      <c r="B423" s="345"/>
      <c r="C423" s="345"/>
      <c r="D423" s="345"/>
      <c r="E423" s="345"/>
      <c r="F423" s="345"/>
      <c r="G423" s="345"/>
      <c r="H423" s="345"/>
      <c r="I423" s="345"/>
    </row>
    <row r="424" spans="1:9" ht="20.25">
      <c r="A424" s="345"/>
      <c r="B424" s="345"/>
      <c r="C424" s="345"/>
      <c r="D424" s="345"/>
      <c r="E424" s="345"/>
      <c r="F424" s="345"/>
      <c r="G424" s="345"/>
      <c r="H424" s="345"/>
      <c r="I424" s="345"/>
    </row>
    <row r="425" spans="1:9" ht="20.25">
      <c r="A425" s="345"/>
      <c r="B425" s="345"/>
      <c r="C425" s="345"/>
      <c r="D425" s="345"/>
      <c r="E425" s="345"/>
      <c r="F425" s="345"/>
      <c r="G425" s="345"/>
      <c r="H425" s="345"/>
      <c r="I425" s="345"/>
    </row>
    <row r="426" spans="1:9" ht="20.25">
      <c r="A426" s="345"/>
      <c r="B426" s="345"/>
      <c r="C426" s="345"/>
      <c r="D426" s="345"/>
      <c r="E426" s="345"/>
      <c r="F426" s="345"/>
      <c r="G426" s="345"/>
      <c r="H426" s="345"/>
      <c r="I426" s="345"/>
    </row>
    <row r="427" spans="1:9" ht="20.25">
      <c r="A427" s="345"/>
      <c r="B427" s="345"/>
      <c r="C427" s="345"/>
      <c r="D427" s="345"/>
      <c r="E427" s="345"/>
      <c r="F427" s="345"/>
      <c r="G427" s="345"/>
      <c r="H427" s="345"/>
      <c r="I427" s="345"/>
    </row>
    <row r="428" spans="1:9" ht="20.25">
      <c r="A428" s="345"/>
      <c r="B428" s="345"/>
      <c r="C428" s="345"/>
      <c r="D428" s="345"/>
      <c r="E428" s="345"/>
      <c r="F428" s="345"/>
      <c r="G428" s="345"/>
      <c r="H428" s="345"/>
      <c r="I428" s="345"/>
    </row>
    <row r="429" spans="1:9" ht="20.25">
      <c r="A429" s="345"/>
      <c r="B429" s="345"/>
      <c r="C429" s="345"/>
      <c r="D429" s="345"/>
      <c r="E429" s="345"/>
      <c r="F429" s="345"/>
      <c r="G429" s="345"/>
      <c r="H429" s="345"/>
      <c r="I429" s="345"/>
    </row>
    <row r="430" spans="1:9" ht="20.25">
      <c r="A430" s="345"/>
      <c r="B430" s="345"/>
      <c r="C430" s="345"/>
      <c r="D430" s="345"/>
      <c r="E430" s="345"/>
      <c r="F430" s="345"/>
      <c r="G430" s="345"/>
      <c r="H430" s="345"/>
      <c r="I430" s="345"/>
    </row>
    <row r="431" spans="1:9" ht="20.25">
      <c r="A431" s="345"/>
      <c r="B431" s="345"/>
      <c r="C431" s="345"/>
      <c r="D431" s="345"/>
      <c r="E431" s="345"/>
      <c r="F431" s="345"/>
      <c r="G431" s="345"/>
      <c r="H431" s="345"/>
      <c r="I431" s="345"/>
    </row>
    <row r="432" spans="1:9" ht="20.25">
      <c r="A432" s="345"/>
      <c r="B432" s="345"/>
      <c r="C432" s="345"/>
      <c r="D432" s="345"/>
      <c r="E432" s="345"/>
      <c r="F432" s="345"/>
      <c r="G432" s="345"/>
      <c r="H432" s="345"/>
      <c r="I432" s="345"/>
    </row>
    <row r="433" spans="1:9" ht="20.25">
      <c r="A433" s="345"/>
      <c r="B433" s="345"/>
      <c r="C433" s="345"/>
      <c r="D433" s="345"/>
      <c r="E433" s="345"/>
      <c r="F433" s="345"/>
      <c r="G433" s="345"/>
      <c r="H433" s="345"/>
      <c r="I433" s="345"/>
    </row>
    <row r="434" spans="1:9" ht="20.25">
      <c r="A434" s="345"/>
      <c r="B434" s="345"/>
      <c r="C434" s="345"/>
      <c r="D434" s="345"/>
      <c r="E434" s="345"/>
      <c r="F434" s="345"/>
      <c r="G434" s="345"/>
      <c r="H434" s="345"/>
      <c r="I434" s="345"/>
    </row>
    <row r="435" spans="1:9" ht="20.25">
      <c r="A435" s="345"/>
      <c r="B435" s="345"/>
      <c r="C435" s="345"/>
      <c r="D435" s="345"/>
      <c r="E435" s="345"/>
      <c r="F435" s="345"/>
      <c r="G435" s="345"/>
      <c r="H435" s="345"/>
      <c r="I435" s="345"/>
    </row>
    <row r="436" spans="1:9" ht="20.25">
      <c r="A436" s="345"/>
      <c r="B436" s="345"/>
      <c r="C436" s="345"/>
      <c r="D436" s="345"/>
      <c r="E436" s="345"/>
      <c r="F436" s="345"/>
      <c r="G436" s="345"/>
      <c r="H436" s="345"/>
      <c r="I436" s="345"/>
    </row>
    <row r="437" spans="1:9" ht="20.25">
      <c r="A437" s="345"/>
      <c r="B437" s="345"/>
      <c r="C437" s="345"/>
      <c r="D437" s="345"/>
      <c r="E437" s="345"/>
      <c r="F437" s="345"/>
      <c r="G437" s="345"/>
      <c r="H437" s="345"/>
      <c r="I437" s="345"/>
    </row>
    <row r="438" spans="1:9" ht="20.25">
      <c r="A438" s="345"/>
      <c r="B438" s="345"/>
      <c r="C438" s="345"/>
      <c r="D438" s="345"/>
      <c r="E438" s="345"/>
      <c r="F438" s="345"/>
      <c r="G438" s="345"/>
      <c r="H438" s="345"/>
      <c r="I438" s="345"/>
    </row>
    <row r="439" spans="1:9" ht="20.25">
      <c r="A439" s="345"/>
      <c r="B439" s="345"/>
      <c r="C439" s="345"/>
      <c r="D439" s="345"/>
      <c r="E439" s="345"/>
      <c r="F439" s="345"/>
      <c r="G439" s="345"/>
      <c r="H439" s="345"/>
      <c r="I439" s="345"/>
    </row>
    <row r="440" spans="1:9" ht="20.25">
      <c r="A440" s="345"/>
      <c r="B440" s="345"/>
      <c r="C440" s="345"/>
      <c r="D440" s="345"/>
      <c r="E440" s="345"/>
      <c r="F440" s="345"/>
      <c r="G440" s="345"/>
      <c r="H440" s="345"/>
      <c r="I440" s="345"/>
    </row>
    <row r="441" spans="1:9" ht="20.25">
      <c r="A441" s="345"/>
      <c r="B441" s="345"/>
      <c r="C441" s="345"/>
      <c r="D441" s="345"/>
      <c r="E441" s="345"/>
      <c r="F441" s="345"/>
      <c r="G441" s="345"/>
      <c r="H441" s="345"/>
      <c r="I441" s="345"/>
    </row>
    <row r="442" spans="1:9" ht="20.25">
      <c r="A442" s="345"/>
      <c r="B442" s="345"/>
      <c r="C442" s="345"/>
      <c r="D442" s="345"/>
      <c r="E442" s="345"/>
      <c r="F442" s="345"/>
      <c r="G442" s="345"/>
      <c r="H442" s="345"/>
      <c r="I442" s="345"/>
    </row>
    <row r="443" spans="1:9" ht="20.25">
      <c r="A443" s="345"/>
      <c r="B443" s="345"/>
      <c r="C443" s="345"/>
      <c r="D443" s="345"/>
      <c r="E443" s="345"/>
      <c r="F443" s="345"/>
      <c r="G443" s="345"/>
      <c r="H443" s="345"/>
      <c r="I443" s="345"/>
    </row>
    <row r="444" spans="1:9" ht="20.25">
      <c r="A444" s="345"/>
      <c r="B444" s="345"/>
      <c r="C444" s="345"/>
      <c r="D444" s="345"/>
      <c r="E444" s="345"/>
      <c r="F444" s="345"/>
      <c r="G444" s="345"/>
      <c r="H444" s="345"/>
      <c r="I444" s="345"/>
    </row>
    <row r="445" spans="1:9" ht="20.25">
      <c r="A445" s="345"/>
      <c r="B445" s="345"/>
      <c r="C445" s="345"/>
      <c r="D445" s="345"/>
      <c r="E445" s="345"/>
      <c r="F445" s="345"/>
      <c r="G445" s="345"/>
      <c r="H445" s="345"/>
      <c r="I445" s="345"/>
    </row>
    <row r="446" spans="1:9" ht="20.25">
      <c r="A446" s="345"/>
      <c r="B446" s="345"/>
      <c r="C446" s="345"/>
      <c r="D446" s="345"/>
      <c r="E446" s="345"/>
      <c r="F446" s="345"/>
      <c r="G446" s="345"/>
      <c r="H446" s="345"/>
      <c r="I446" s="345"/>
    </row>
    <row r="447" spans="1:9" ht="20.25">
      <c r="A447" s="345"/>
      <c r="B447" s="345"/>
      <c r="C447" s="345"/>
      <c r="D447" s="345"/>
      <c r="E447" s="345"/>
      <c r="F447" s="345"/>
      <c r="G447" s="345"/>
      <c r="H447" s="345"/>
      <c r="I447" s="345"/>
    </row>
    <row r="448" spans="1:9" ht="20.25">
      <c r="A448" s="345"/>
      <c r="B448" s="345"/>
      <c r="C448" s="345"/>
      <c r="D448" s="345"/>
      <c r="E448" s="345"/>
      <c r="F448" s="345"/>
      <c r="G448" s="345"/>
      <c r="H448" s="345"/>
      <c r="I448" s="345"/>
    </row>
    <row r="449" spans="1:9" ht="20.25">
      <c r="A449" s="345"/>
      <c r="B449" s="345"/>
      <c r="C449" s="345"/>
      <c r="D449" s="345"/>
      <c r="E449" s="345"/>
      <c r="F449" s="345"/>
      <c r="G449" s="345"/>
      <c r="H449" s="345"/>
      <c r="I449" s="345"/>
    </row>
    <row r="450" spans="1:9" ht="20.25">
      <c r="A450" s="345"/>
      <c r="B450" s="345"/>
      <c r="C450" s="345"/>
      <c r="D450" s="345"/>
      <c r="E450" s="345"/>
      <c r="F450" s="345"/>
      <c r="G450" s="345"/>
      <c r="H450" s="345"/>
      <c r="I450" s="345"/>
    </row>
    <row r="451" spans="1:9" ht="20.25">
      <c r="A451" s="345"/>
      <c r="B451" s="345"/>
      <c r="C451" s="345"/>
      <c r="D451" s="345"/>
      <c r="E451" s="345"/>
      <c r="F451" s="345"/>
      <c r="G451" s="345"/>
      <c r="H451" s="345"/>
      <c r="I451" s="345"/>
    </row>
    <row r="452" spans="1:9" ht="20.25">
      <c r="A452" s="345"/>
      <c r="B452" s="345"/>
      <c r="C452" s="345"/>
      <c r="D452" s="345"/>
      <c r="E452" s="345"/>
      <c r="F452" s="345"/>
      <c r="G452" s="345"/>
      <c r="H452" s="345"/>
      <c r="I452" s="345"/>
    </row>
    <row r="453" spans="1:9" ht="20.25">
      <c r="A453" s="345"/>
      <c r="B453" s="345"/>
      <c r="C453" s="345"/>
      <c r="D453" s="345"/>
      <c r="E453" s="345"/>
      <c r="F453" s="345"/>
      <c r="G453" s="345"/>
      <c r="H453" s="345"/>
      <c r="I453" s="345"/>
    </row>
    <row r="454" spans="1:9" ht="20.25">
      <c r="A454" s="345"/>
      <c r="B454" s="345"/>
      <c r="C454" s="345"/>
      <c r="D454" s="345"/>
      <c r="E454" s="345"/>
      <c r="F454" s="345"/>
      <c r="G454" s="345"/>
      <c r="H454" s="345"/>
      <c r="I454" s="345"/>
    </row>
    <row r="455" spans="1:9" ht="20.25">
      <c r="A455" s="345"/>
      <c r="B455" s="345"/>
      <c r="C455" s="345"/>
      <c r="D455" s="345"/>
      <c r="E455" s="345"/>
      <c r="F455" s="345"/>
      <c r="G455" s="345"/>
      <c r="H455" s="345"/>
      <c r="I455" s="345"/>
    </row>
    <row r="456" spans="1:9" ht="20.25">
      <c r="A456" s="345"/>
      <c r="B456" s="345"/>
      <c r="C456" s="345"/>
      <c r="D456" s="345"/>
      <c r="E456" s="345"/>
      <c r="F456" s="345"/>
      <c r="G456" s="345"/>
      <c r="H456" s="345"/>
      <c r="I456" s="345"/>
    </row>
    <row r="457" spans="1:9" ht="20.25">
      <c r="A457" s="345"/>
      <c r="B457" s="345"/>
      <c r="C457" s="345"/>
      <c r="D457" s="345"/>
      <c r="E457" s="345"/>
      <c r="F457" s="345"/>
      <c r="G457" s="345"/>
      <c r="H457" s="345"/>
      <c r="I457" s="345"/>
    </row>
    <row r="458" spans="1:9" ht="20.25">
      <c r="A458" s="345"/>
      <c r="B458" s="345"/>
      <c r="C458" s="345"/>
      <c r="D458" s="345"/>
      <c r="E458" s="345"/>
      <c r="F458" s="345"/>
      <c r="G458" s="345"/>
      <c r="H458" s="345"/>
      <c r="I458" s="345"/>
    </row>
    <row r="459" spans="1:9" ht="20.25">
      <c r="A459" s="345"/>
      <c r="B459" s="345"/>
      <c r="C459" s="345"/>
      <c r="D459" s="345"/>
      <c r="E459" s="345"/>
      <c r="F459" s="345"/>
      <c r="G459" s="345"/>
      <c r="H459" s="345"/>
      <c r="I459" s="345"/>
    </row>
    <row r="460" spans="1:9" ht="20.25">
      <c r="A460" s="345"/>
      <c r="B460" s="345"/>
      <c r="C460" s="345"/>
      <c r="D460" s="345"/>
      <c r="E460" s="345"/>
      <c r="F460" s="345"/>
      <c r="G460" s="345"/>
      <c r="H460" s="345"/>
      <c r="I460" s="345"/>
    </row>
    <row r="461" spans="1:9" ht="20.25">
      <c r="A461" s="345"/>
      <c r="B461" s="345"/>
      <c r="C461" s="345"/>
      <c r="D461" s="345"/>
      <c r="E461" s="345"/>
      <c r="F461" s="345"/>
      <c r="G461" s="345"/>
      <c r="H461" s="345"/>
      <c r="I461" s="345"/>
    </row>
    <row r="462" spans="1:9" ht="20.25">
      <c r="A462" s="345"/>
      <c r="B462" s="345"/>
      <c r="C462" s="345"/>
      <c r="D462" s="345"/>
      <c r="E462" s="345"/>
      <c r="F462" s="345"/>
      <c r="G462" s="345"/>
      <c r="H462" s="345"/>
      <c r="I462" s="345"/>
    </row>
    <row r="463" spans="1:9" ht="20.25">
      <c r="A463" s="345"/>
      <c r="B463" s="345"/>
      <c r="C463" s="345"/>
      <c r="D463" s="345"/>
      <c r="E463" s="345"/>
      <c r="F463" s="345"/>
      <c r="G463" s="345"/>
      <c r="H463" s="345"/>
      <c r="I463" s="345"/>
    </row>
    <row r="464" spans="1:9" ht="20.25">
      <c r="A464" s="345"/>
      <c r="B464" s="345"/>
      <c r="C464" s="345"/>
      <c r="D464" s="345"/>
      <c r="E464" s="345"/>
      <c r="F464" s="345"/>
      <c r="G464" s="345"/>
      <c r="H464" s="345"/>
      <c r="I464" s="345"/>
    </row>
    <row r="465" spans="1:9" ht="20.25">
      <c r="A465" s="345"/>
      <c r="B465" s="345"/>
      <c r="C465" s="345"/>
      <c r="D465" s="345"/>
      <c r="E465" s="345"/>
      <c r="F465" s="345"/>
      <c r="G465" s="345"/>
      <c r="H465" s="345"/>
      <c r="I465" s="345"/>
    </row>
    <row r="466" spans="1:9" ht="20.25">
      <c r="A466" s="345"/>
      <c r="B466" s="345"/>
      <c r="C466" s="345"/>
      <c r="D466" s="345"/>
      <c r="E466" s="345"/>
      <c r="F466" s="345"/>
      <c r="G466" s="345"/>
      <c r="H466" s="345"/>
      <c r="I466" s="345"/>
    </row>
    <row r="467" spans="1:9" ht="20.25">
      <c r="A467" s="345"/>
      <c r="B467" s="345"/>
      <c r="C467" s="345"/>
      <c r="D467" s="345"/>
      <c r="E467" s="345"/>
      <c r="F467" s="345"/>
      <c r="G467" s="345"/>
      <c r="H467" s="345"/>
      <c r="I467" s="345"/>
    </row>
    <row r="468" spans="1:9" ht="20.25">
      <c r="A468" s="345"/>
      <c r="B468" s="345"/>
      <c r="C468" s="345"/>
      <c r="D468" s="345"/>
      <c r="E468" s="345"/>
      <c r="F468" s="345"/>
      <c r="G468" s="345"/>
      <c r="H468" s="345"/>
      <c r="I468" s="345"/>
    </row>
    <row r="469" spans="1:9" ht="20.25">
      <c r="A469" s="345"/>
      <c r="B469" s="345"/>
      <c r="C469" s="345"/>
      <c r="D469" s="345"/>
      <c r="E469" s="345"/>
      <c r="F469" s="345"/>
      <c r="G469" s="345"/>
      <c r="H469" s="345"/>
      <c r="I469" s="345"/>
    </row>
    <row r="470" spans="1:9" ht="20.25">
      <c r="A470" s="345"/>
      <c r="B470" s="345"/>
      <c r="C470" s="345"/>
      <c r="D470" s="345"/>
      <c r="E470" s="345"/>
      <c r="F470" s="345"/>
      <c r="G470" s="345"/>
      <c r="H470" s="345"/>
      <c r="I470" s="345"/>
    </row>
    <row r="471" spans="1:9" ht="20.25">
      <c r="A471" s="345"/>
      <c r="B471" s="345"/>
      <c r="C471" s="345"/>
      <c r="D471" s="345"/>
      <c r="E471" s="345"/>
      <c r="F471" s="345"/>
      <c r="G471" s="345"/>
      <c r="H471" s="345"/>
      <c r="I471" s="345"/>
    </row>
    <row r="472" spans="1:9" ht="20.25">
      <c r="A472" s="345"/>
      <c r="B472" s="345"/>
      <c r="C472" s="345"/>
      <c r="D472" s="345"/>
      <c r="E472" s="345"/>
      <c r="F472" s="345"/>
      <c r="G472" s="345"/>
      <c r="H472" s="345"/>
      <c r="I472" s="345"/>
    </row>
    <row r="473" spans="1:9" ht="20.25">
      <c r="A473" s="345"/>
      <c r="B473" s="345"/>
      <c r="C473" s="345"/>
      <c r="D473" s="345"/>
      <c r="E473" s="345"/>
      <c r="F473" s="345"/>
      <c r="G473" s="345"/>
      <c r="H473" s="345"/>
      <c r="I473" s="345"/>
    </row>
    <row r="474" spans="1:9" ht="20.25">
      <c r="A474" s="345"/>
      <c r="B474" s="345"/>
      <c r="C474" s="345"/>
      <c r="D474" s="345"/>
      <c r="E474" s="345"/>
      <c r="F474" s="345"/>
      <c r="G474" s="345"/>
      <c r="H474" s="345"/>
      <c r="I474" s="345"/>
    </row>
    <row r="475" spans="1:9" ht="20.25">
      <c r="A475" s="345"/>
      <c r="B475" s="345"/>
      <c r="C475" s="345"/>
      <c r="D475" s="345"/>
      <c r="E475" s="345"/>
      <c r="F475" s="345"/>
      <c r="G475" s="345"/>
      <c r="H475" s="345"/>
      <c r="I475" s="345"/>
    </row>
    <row r="476" spans="1:9" ht="20.25">
      <c r="A476" s="345"/>
      <c r="B476" s="345"/>
      <c r="C476" s="345"/>
      <c r="D476" s="345"/>
      <c r="E476" s="345"/>
      <c r="F476" s="345"/>
      <c r="G476" s="345"/>
      <c r="H476" s="345"/>
      <c r="I476" s="345"/>
    </row>
    <row r="477" spans="1:9" ht="20.25">
      <c r="A477" s="345"/>
      <c r="B477" s="345"/>
      <c r="C477" s="345"/>
      <c r="D477" s="345"/>
      <c r="E477" s="345"/>
      <c r="F477" s="345"/>
      <c r="G477" s="345"/>
      <c r="H477" s="345"/>
      <c r="I477" s="345"/>
    </row>
    <row r="478" spans="1:9" ht="20.25">
      <c r="A478" s="345"/>
      <c r="B478" s="345"/>
      <c r="C478" s="345"/>
      <c r="D478" s="345"/>
      <c r="E478" s="345"/>
      <c r="F478" s="345"/>
      <c r="G478" s="345"/>
      <c r="H478" s="345"/>
      <c r="I478" s="345"/>
    </row>
    <row r="479" spans="1:9" ht="20.25">
      <c r="A479" s="345"/>
      <c r="B479" s="345"/>
      <c r="C479" s="345"/>
      <c r="D479" s="345"/>
      <c r="E479" s="345"/>
      <c r="F479" s="345"/>
      <c r="G479" s="345"/>
      <c r="H479" s="345"/>
      <c r="I479" s="345"/>
    </row>
    <row r="480" spans="1:9" ht="20.25">
      <c r="A480" s="345"/>
      <c r="B480" s="345"/>
      <c r="C480" s="345"/>
      <c r="D480" s="345"/>
      <c r="E480" s="345"/>
      <c r="F480" s="345"/>
      <c r="G480" s="345"/>
      <c r="H480" s="345"/>
      <c r="I480" s="345"/>
    </row>
    <row r="481" spans="1:9" ht="20.25">
      <c r="A481" s="345"/>
      <c r="B481" s="345"/>
      <c r="C481" s="345"/>
      <c r="D481" s="345"/>
      <c r="E481" s="345"/>
      <c r="F481" s="345"/>
      <c r="G481" s="345"/>
      <c r="H481" s="345"/>
      <c r="I481" s="345"/>
    </row>
    <row r="482" spans="1:9" ht="20.25">
      <c r="A482" s="345"/>
      <c r="B482" s="345"/>
      <c r="C482" s="345"/>
      <c r="D482" s="345"/>
      <c r="E482" s="345"/>
      <c r="F482" s="345"/>
      <c r="G482" s="345"/>
      <c r="H482" s="345"/>
      <c r="I482" s="345"/>
    </row>
    <row r="483" spans="1:9" ht="20.25">
      <c r="A483" s="345"/>
      <c r="B483" s="345"/>
      <c r="C483" s="345"/>
      <c r="D483" s="345"/>
      <c r="E483" s="345"/>
      <c r="F483" s="345"/>
      <c r="G483" s="345"/>
      <c r="H483" s="345"/>
      <c r="I483" s="345"/>
    </row>
    <row r="484" spans="1:9" ht="20.25">
      <c r="A484" s="345"/>
      <c r="B484" s="345"/>
      <c r="C484" s="345"/>
      <c r="D484" s="345"/>
      <c r="E484" s="345"/>
      <c r="F484" s="345"/>
      <c r="G484" s="345"/>
      <c r="H484" s="345"/>
      <c r="I484" s="345"/>
    </row>
    <row r="485" spans="1:9" ht="20.25">
      <c r="A485" s="345"/>
      <c r="B485" s="345"/>
      <c r="C485" s="345"/>
      <c r="D485" s="345"/>
      <c r="E485" s="345"/>
      <c r="F485" s="345"/>
      <c r="G485" s="345"/>
      <c r="H485" s="345"/>
      <c r="I485" s="345"/>
    </row>
    <row r="486" spans="1:9" ht="20.25">
      <c r="A486" s="345"/>
      <c r="B486" s="345"/>
      <c r="C486" s="345"/>
      <c r="D486" s="345"/>
      <c r="E486" s="345"/>
      <c r="F486" s="345"/>
      <c r="G486" s="345"/>
      <c r="H486" s="345"/>
      <c r="I486" s="345"/>
    </row>
    <row r="487" spans="1:9" ht="20.25">
      <c r="A487" s="345"/>
      <c r="B487" s="345"/>
      <c r="C487" s="345"/>
      <c r="D487" s="345"/>
      <c r="E487" s="345"/>
      <c r="F487" s="345"/>
      <c r="G487" s="345"/>
      <c r="H487" s="345"/>
      <c r="I487" s="345"/>
    </row>
    <row r="488" spans="1:9" ht="20.25">
      <c r="A488" s="345"/>
      <c r="B488" s="345"/>
      <c r="C488" s="345"/>
      <c r="D488" s="345"/>
      <c r="E488" s="345"/>
      <c r="F488" s="345"/>
      <c r="G488" s="345"/>
      <c r="H488" s="345"/>
      <c r="I488" s="345"/>
    </row>
    <row r="489" spans="1:9" ht="20.25">
      <c r="A489" s="345"/>
      <c r="B489" s="345"/>
      <c r="C489" s="345"/>
      <c r="D489" s="345"/>
      <c r="E489" s="345"/>
      <c r="F489" s="345"/>
      <c r="G489" s="345"/>
      <c r="H489" s="345"/>
      <c r="I489" s="345"/>
    </row>
    <row r="490" spans="1:9" ht="20.25">
      <c r="A490" s="345"/>
      <c r="B490" s="345"/>
      <c r="C490" s="345"/>
      <c r="D490" s="345"/>
      <c r="E490" s="345"/>
      <c r="F490" s="345"/>
      <c r="G490" s="345"/>
      <c r="H490" s="345"/>
      <c r="I490" s="345"/>
    </row>
    <row r="491" spans="1:9" ht="20.25">
      <c r="A491" s="345"/>
      <c r="B491" s="345"/>
      <c r="C491" s="345"/>
      <c r="D491" s="345"/>
      <c r="E491" s="345"/>
      <c r="F491" s="345"/>
      <c r="G491" s="345"/>
      <c r="H491" s="345"/>
      <c r="I491" s="345"/>
    </row>
    <row r="492" spans="1:9" ht="20.25">
      <c r="A492" s="345"/>
      <c r="B492" s="345"/>
      <c r="C492" s="345"/>
      <c r="D492" s="345"/>
      <c r="E492" s="345"/>
      <c r="F492" s="345"/>
      <c r="G492" s="345"/>
      <c r="H492" s="345"/>
      <c r="I492" s="345"/>
    </row>
    <row r="493" spans="1:9" ht="20.25">
      <c r="A493" s="345"/>
      <c r="B493" s="345"/>
      <c r="C493" s="345"/>
      <c r="D493" s="345"/>
      <c r="E493" s="345"/>
      <c r="F493" s="345"/>
      <c r="G493" s="345"/>
      <c r="H493" s="345"/>
      <c r="I493" s="345"/>
    </row>
    <row r="494" spans="1:9" ht="20.25">
      <c r="A494" s="345"/>
      <c r="B494" s="345"/>
      <c r="C494" s="345"/>
      <c r="D494" s="345"/>
      <c r="E494" s="345"/>
      <c r="F494" s="345"/>
      <c r="G494" s="345"/>
      <c r="H494" s="345"/>
      <c r="I494" s="345"/>
    </row>
    <row r="495" spans="1:9" ht="20.25">
      <c r="A495" s="345"/>
      <c r="B495" s="345"/>
      <c r="C495" s="345"/>
      <c r="D495" s="345"/>
      <c r="E495" s="345"/>
      <c r="F495" s="345"/>
      <c r="G495" s="345"/>
      <c r="H495" s="345"/>
      <c r="I495" s="345"/>
    </row>
    <row r="496" spans="1:9" ht="20.25">
      <c r="A496" s="345"/>
      <c r="B496" s="345"/>
      <c r="C496" s="345"/>
      <c r="D496" s="345"/>
      <c r="E496" s="345"/>
      <c r="F496" s="345"/>
      <c r="G496" s="345"/>
      <c r="H496" s="345"/>
      <c r="I496" s="345"/>
    </row>
    <row r="497" spans="1:9" ht="20.25">
      <c r="A497" s="345"/>
      <c r="B497" s="345"/>
      <c r="C497" s="345"/>
      <c r="D497" s="345"/>
      <c r="E497" s="345"/>
      <c r="F497" s="345"/>
      <c r="G497" s="345"/>
      <c r="H497" s="345"/>
      <c r="I497" s="345"/>
    </row>
    <row r="498" spans="1:9" ht="20.25">
      <c r="A498" s="345"/>
      <c r="B498" s="345"/>
      <c r="C498" s="345"/>
      <c r="D498" s="345"/>
      <c r="E498" s="345"/>
      <c r="F498" s="345"/>
      <c r="G498" s="345"/>
      <c r="H498" s="345"/>
      <c r="I498" s="345"/>
    </row>
    <row r="499" spans="1:9" ht="20.25">
      <c r="A499" s="345"/>
      <c r="B499" s="345"/>
      <c r="C499" s="345"/>
      <c r="D499" s="345"/>
      <c r="E499" s="345"/>
      <c r="F499" s="345"/>
      <c r="G499" s="345"/>
      <c r="H499" s="345"/>
      <c r="I499" s="345"/>
    </row>
    <row r="500" spans="1:9" ht="20.25">
      <c r="A500" s="345"/>
      <c r="B500" s="345"/>
      <c r="C500" s="345"/>
      <c r="D500" s="345"/>
      <c r="E500" s="345"/>
      <c r="F500" s="345"/>
      <c r="G500" s="345"/>
      <c r="H500" s="345"/>
      <c r="I500" s="345"/>
    </row>
    <row r="501" spans="1:9" ht="20.25">
      <c r="A501" s="345"/>
      <c r="B501" s="345"/>
      <c r="C501" s="345"/>
      <c r="D501" s="345"/>
      <c r="E501" s="345"/>
      <c r="F501" s="345"/>
      <c r="G501" s="345"/>
      <c r="H501" s="345"/>
      <c r="I501" s="345"/>
    </row>
    <row r="502" spans="1:9" ht="20.25">
      <c r="A502" s="345"/>
      <c r="B502" s="345"/>
      <c r="C502" s="345"/>
      <c r="D502" s="345"/>
      <c r="E502" s="345"/>
      <c r="F502" s="345"/>
      <c r="G502" s="345"/>
      <c r="H502" s="345"/>
      <c r="I502" s="345"/>
    </row>
    <row r="503" spans="1:9" ht="20.25">
      <c r="A503" s="345"/>
      <c r="B503" s="345"/>
      <c r="C503" s="345"/>
      <c r="D503" s="345"/>
      <c r="E503" s="345"/>
      <c r="F503" s="345"/>
      <c r="G503" s="345"/>
      <c r="H503" s="345"/>
      <c r="I503" s="345"/>
    </row>
    <row r="504" spans="1:9" ht="20.25">
      <c r="A504" s="345"/>
      <c r="B504" s="345"/>
      <c r="C504" s="345"/>
      <c r="D504" s="345"/>
      <c r="E504" s="345"/>
      <c r="F504" s="345"/>
      <c r="G504" s="345"/>
      <c r="H504" s="345"/>
      <c r="I504" s="345"/>
    </row>
    <row r="505" spans="1:9" ht="20.25">
      <c r="A505" s="345"/>
      <c r="B505" s="345"/>
      <c r="C505" s="345"/>
      <c r="D505" s="345"/>
      <c r="E505" s="345"/>
      <c r="F505" s="345"/>
      <c r="G505" s="345"/>
      <c r="H505" s="345"/>
      <c r="I505" s="345"/>
    </row>
    <row r="506" spans="1:9" ht="20.25">
      <c r="A506" s="345"/>
      <c r="B506" s="345"/>
      <c r="C506" s="345"/>
      <c r="D506" s="345"/>
      <c r="E506" s="345"/>
      <c r="F506" s="345"/>
      <c r="G506" s="345"/>
      <c r="H506" s="345"/>
      <c r="I506" s="345"/>
    </row>
    <row r="507" spans="1:9" ht="20.25">
      <c r="A507" s="345"/>
      <c r="B507" s="345"/>
      <c r="C507" s="345"/>
      <c r="D507" s="345"/>
      <c r="E507" s="345"/>
      <c r="F507" s="345"/>
      <c r="G507" s="345"/>
      <c r="H507" s="345"/>
      <c r="I507" s="345"/>
    </row>
    <row r="508" spans="1:9" ht="20.25">
      <c r="A508" s="345"/>
      <c r="B508" s="345"/>
      <c r="C508" s="345"/>
      <c r="D508" s="345"/>
      <c r="E508" s="345"/>
      <c r="F508" s="345"/>
      <c r="G508" s="345"/>
      <c r="H508" s="345"/>
      <c r="I508" s="345"/>
    </row>
    <row r="509" spans="1:9" ht="20.25">
      <c r="A509" s="345"/>
      <c r="B509" s="345"/>
      <c r="C509" s="345"/>
      <c r="D509" s="345"/>
      <c r="E509" s="345"/>
      <c r="F509" s="345"/>
      <c r="G509" s="345"/>
      <c r="H509" s="345"/>
      <c r="I509" s="345"/>
    </row>
    <row r="510" spans="1:9" ht="20.25">
      <c r="A510" s="345"/>
      <c r="B510" s="345"/>
      <c r="C510" s="345"/>
      <c r="D510" s="345"/>
      <c r="E510" s="345"/>
      <c r="F510" s="345"/>
      <c r="G510" s="345"/>
      <c r="H510" s="345"/>
      <c r="I510" s="345"/>
    </row>
    <row r="511" spans="1:9" ht="20.25">
      <c r="A511" s="345"/>
      <c r="B511" s="345"/>
      <c r="C511" s="345"/>
      <c r="D511" s="345"/>
      <c r="E511" s="345"/>
      <c r="F511" s="345"/>
      <c r="G511" s="345"/>
      <c r="H511" s="345"/>
      <c r="I511" s="345"/>
    </row>
    <row r="512" spans="1:9" ht="20.25">
      <c r="A512" s="345"/>
      <c r="B512" s="345"/>
      <c r="C512" s="345"/>
      <c r="D512" s="345"/>
      <c r="E512" s="345"/>
      <c r="F512" s="345"/>
      <c r="G512" s="345"/>
      <c r="H512" s="345"/>
      <c r="I512" s="345"/>
    </row>
    <row r="513" spans="1:9" ht="20.25">
      <c r="A513" s="345"/>
      <c r="B513" s="345"/>
      <c r="C513" s="345"/>
      <c r="D513" s="345"/>
      <c r="E513" s="345"/>
      <c r="F513" s="345"/>
      <c r="G513" s="345"/>
      <c r="H513" s="345"/>
      <c r="I513" s="345"/>
    </row>
    <row r="514" spans="1:9" ht="20.25">
      <c r="A514" s="345"/>
      <c r="B514" s="345"/>
      <c r="C514" s="345"/>
      <c r="D514" s="345"/>
      <c r="E514" s="345"/>
      <c r="F514" s="345"/>
      <c r="G514" s="345"/>
      <c r="H514" s="345"/>
      <c r="I514" s="345"/>
    </row>
    <row r="515" spans="1:9" ht="20.25">
      <c r="A515" s="345"/>
      <c r="B515" s="345"/>
      <c r="C515" s="345"/>
      <c r="D515" s="345"/>
      <c r="E515" s="345"/>
      <c r="F515" s="345"/>
      <c r="G515" s="345"/>
      <c r="H515" s="345"/>
      <c r="I515" s="345"/>
    </row>
    <row r="516" spans="1:9" ht="20.25">
      <c r="A516" s="345"/>
      <c r="B516" s="345"/>
      <c r="C516" s="345"/>
      <c r="D516" s="345"/>
      <c r="E516" s="345"/>
      <c r="F516" s="345"/>
      <c r="G516" s="345"/>
      <c r="H516" s="345"/>
      <c r="I516" s="345"/>
    </row>
    <row r="517" spans="1:9" ht="20.25">
      <c r="A517" s="345"/>
      <c r="B517" s="345"/>
      <c r="C517" s="345"/>
      <c r="D517" s="345"/>
      <c r="E517" s="345"/>
      <c r="F517" s="345"/>
      <c r="G517" s="345"/>
      <c r="H517" s="345"/>
      <c r="I517" s="345"/>
    </row>
    <row r="518" spans="1:9" ht="20.25">
      <c r="A518" s="345"/>
      <c r="B518" s="345"/>
      <c r="C518" s="345"/>
      <c r="D518" s="345"/>
      <c r="E518" s="345"/>
      <c r="F518" s="345"/>
      <c r="G518" s="345"/>
      <c r="H518" s="345"/>
      <c r="I518" s="345"/>
    </row>
    <row r="519" spans="1:9" ht="20.25">
      <c r="A519" s="345"/>
      <c r="B519" s="345"/>
      <c r="C519" s="345"/>
      <c r="D519" s="345"/>
      <c r="E519" s="345"/>
      <c r="F519" s="345"/>
      <c r="G519" s="345"/>
      <c r="H519" s="345"/>
      <c r="I519" s="345"/>
    </row>
    <row r="520" spans="1:9" ht="20.25">
      <c r="A520" s="345"/>
      <c r="B520" s="345"/>
      <c r="C520" s="345"/>
      <c r="D520" s="345"/>
      <c r="E520" s="345"/>
      <c r="F520" s="345"/>
      <c r="G520" s="345"/>
      <c r="H520" s="345"/>
      <c r="I520" s="345"/>
    </row>
    <row r="521" spans="1:9" ht="20.25">
      <c r="A521" s="345"/>
      <c r="B521" s="345"/>
      <c r="C521" s="345"/>
      <c r="D521" s="345"/>
      <c r="E521" s="345"/>
      <c r="F521" s="345"/>
      <c r="G521" s="345"/>
      <c r="H521" s="345"/>
      <c r="I521" s="345"/>
    </row>
    <row r="522" spans="1:9" ht="20.25">
      <c r="A522" s="345"/>
      <c r="B522" s="345"/>
      <c r="C522" s="345"/>
      <c r="D522" s="345"/>
      <c r="E522" s="345"/>
      <c r="F522" s="345"/>
      <c r="G522" s="345"/>
      <c r="H522" s="345"/>
      <c r="I522" s="345"/>
    </row>
    <row r="523" spans="1:9" ht="20.25">
      <c r="A523" s="345"/>
      <c r="B523" s="345"/>
      <c r="C523" s="345"/>
      <c r="D523" s="345"/>
      <c r="E523" s="345"/>
      <c r="F523" s="345"/>
      <c r="G523" s="345"/>
      <c r="H523" s="345"/>
      <c r="I523" s="345"/>
    </row>
    <row r="524" spans="1:9" ht="20.25">
      <c r="A524" s="345"/>
      <c r="B524" s="345"/>
      <c r="C524" s="345"/>
      <c r="D524" s="345"/>
      <c r="E524" s="345"/>
      <c r="F524" s="345"/>
      <c r="G524" s="345"/>
      <c r="H524" s="345"/>
      <c r="I524" s="345"/>
    </row>
    <row r="525" spans="1:9" ht="20.25">
      <c r="A525" s="345"/>
      <c r="B525" s="345"/>
      <c r="C525" s="345"/>
      <c r="D525" s="345"/>
      <c r="E525" s="345"/>
      <c r="F525" s="345"/>
      <c r="G525" s="345"/>
      <c r="H525" s="345"/>
      <c r="I525" s="345"/>
    </row>
    <row r="526" spans="1:9" ht="20.25">
      <c r="A526" s="345"/>
      <c r="B526" s="345"/>
      <c r="C526" s="345"/>
      <c r="D526" s="345"/>
      <c r="E526" s="345"/>
      <c r="F526" s="345"/>
      <c r="G526" s="345"/>
      <c r="H526" s="345"/>
      <c r="I526" s="345"/>
    </row>
    <row r="527" spans="1:9" ht="20.25">
      <c r="A527" s="345"/>
      <c r="B527" s="345"/>
      <c r="C527" s="345"/>
      <c r="D527" s="345"/>
      <c r="E527" s="345"/>
      <c r="F527" s="345"/>
      <c r="G527" s="345"/>
      <c r="H527" s="345"/>
      <c r="I527" s="345"/>
    </row>
    <row r="528" spans="1:9" ht="20.25">
      <c r="A528" s="345"/>
      <c r="B528" s="345"/>
      <c r="C528" s="345"/>
      <c r="D528" s="345"/>
      <c r="E528" s="345"/>
      <c r="F528" s="345"/>
      <c r="G528" s="345"/>
      <c r="H528" s="345"/>
      <c r="I528" s="345"/>
    </row>
    <row r="529" spans="1:9" ht="20.25">
      <c r="A529" s="345"/>
      <c r="B529" s="345"/>
      <c r="C529" s="345"/>
      <c r="D529" s="345"/>
      <c r="E529" s="345"/>
      <c r="F529" s="345"/>
      <c r="G529" s="345"/>
      <c r="H529" s="345"/>
      <c r="I529" s="345"/>
    </row>
    <row r="530" spans="1:9" ht="20.25">
      <c r="A530" s="345"/>
      <c r="B530" s="345"/>
      <c r="C530" s="345"/>
      <c r="D530" s="345"/>
      <c r="E530" s="345"/>
      <c r="F530" s="345"/>
      <c r="G530" s="345"/>
      <c r="H530" s="345"/>
      <c r="I530" s="345"/>
    </row>
    <row r="531" spans="1:9" ht="20.25">
      <c r="A531" s="345"/>
      <c r="B531" s="345"/>
      <c r="C531" s="345"/>
      <c r="D531" s="345"/>
      <c r="E531" s="345"/>
      <c r="F531" s="345"/>
      <c r="G531" s="345"/>
      <c r="H531" s="345"/>
      <c r="I531" s="345"/>
    </row>
    <row r="532" spans="1:9" ht="20.25">
      <c r="A532" s="345"/>
      <c r="B532" s="345"/>
      <c r="C532" s="345"/>
      <c r="D532" s="345"/>
      <c r="E532" s="345"/>
      <c r="F532" s="345"/>
      <c r="G532" s="345"/>
      <c r="H532" s="345"/>
      <c r="I532" s="345"/>
    </row>
    <row r="533" spans="1:9" ht="20.25">
      <c r="A533" s="345"/>
      <c r="B533" s="345"/>
      <c r="C533" s="345"/>
      <c r="D533" s="345"/>
      <c r="E533" s="345"/>
      <c r="F533" s="345"/>
      <c r="G533" s="345"/>
      <c r="H533" s="345"/>
      <c r="I533" s="345"/>
    </row>
    <row r="534" spans="1:9" ht="20.25">
      <c r="A534" s="345"/>
      <c r="B534" s="345"/>
      <c r="C534" s="345"/>
      <c r="D534" s="345"/>
      <c r="E534" s="345"/>
      <c r="F534" s="345"/>
      <c r="G534" s="345"/>
      <c r="H534" s="345"/>
      <c r="I534" s="345"/>
    </row>
    <row r="535" spans="1:9" ht="20.25">
      <c r="A535" s="345"/>
      <c r="B535" s="345"/>
      <c r="C535" s="345"/>
      <c r="D535" s="345"/>
      <c r="E535" s="345"/>
      <c r="F535" s="345"/>
      <c r="G535" s="345"/>
      <c r="H535" s="345"/>
      <c r="I535" s="345"/>
    </row>
    <row r="536" spans="1:9" ht="20.25">
      <c r="A536" s="345"/>
      <c r="B536" s="345"/>
      <c r="C536" s="345"/>
      <c r="D536" s="345"/>
      <c r="E536" s="345"/>
      <c r="F536" s="345"/>
      <c r="G536" s="345"/>
      <c r="H536" s="345"/>
      <c r="I536" s="345"/>
    </row>
    <row r="537" spans="1:9" ht="20.25">
      <c r="A537" s="345"/>
      <c r="B537" s="345"/>
      <c r="C537" s="345"/>
      <c r="D537" s="345"/>
      <c r="E537" s="345"/>
      <c r="F537" s="345"/>
      <c r="G537" s="345"/>
      <c r="H537" s="345"/>
      <c r="I537" s="345"/>
    </row>
    <row r="538" spans="1:9" ht="20.25">
      <c r="A538" s="345"/>
      <c r="B538" s="345"/>
      <c r="C538" s="345"/>
      <c r="D538" s="345"/>
      <c r="E538" s="345"/>
      <c r="F538" s="345"/>
      <c r="G538" s="345"/>
      <c r="H538" s="345"/>
      <c r="I538" s="345"/>
    </row>
    <row r="539" spans="1:9" ht="20.25">
      <c r="A539" s="345"/>
      <c r="B539" s="345"/>
      <c r="C539" s="345"/>
      <c r="D539" s="345"/>
      <c r="E539" s="345"/>
      <c r="F539" s="345"/>
      <c r="G539" s="345"/>
      <c r="H539" s="345"/>
      <c r="I539" s="345"/>
    </row>
    <row r="540" spans="1:9" ht="20.25">
      <c r="A540" s="345"/>
      <c r="B540" s="345"/>
      <c r="C540" s="345"/>
      <c r="D540" s="345"/>
      <c r="E540" s="345"/>
      <c r="F540" s="345"/>
      <c r="G540" s="345"/>
      <c r="H540" s="345"/>
      <c r="I540" s="345"/>
    </row>
    <row r="541" spans="1:9" ht="20.25">
      <c r="A541" s="345"/>
      <c r="B541" s="345"/>
      <c r="C541" s="345"/>
      <c r="D541" s="345"/>
      <c r="E541" s="345"/>
      <c r="F541" s="345"/>
      <c r="G541" s="345"/>
      <c r="H541" s="345"/>
      <c r="I541" s="345"/>
    </row>
    <row r="542" spans="1:9" ht="20.25">
      <c r="A542" s="345"/>
      <c r="B542" s="345"/>
      <c r="C542" s="345"/>
      <c r="D542" s="345"/>
      <c r="E542" s="345"/>
      <c r="F542" s="345"/>
      <c r="G542" s="345"/>
      <c r="H542" s="345"/>
      <c r="I542" s="345"/>
    </row>
    <row r="543" spans="1:9" ht="20.25">
      <c r="A543" s="345"/>
      <c r="B543" s="345"/>
      <c r="C543" s="345"/>
      <c r="D543" s="345"/>
      <c r="E543" s="345"/>
      <c r="F543" s="345"/>
      <c r="G543" s="345"/>
      <c r="H543" s="345"/>
      <c r="I543" s="345"/>
    </row>
    <row r="544" spans="1:9" ht="20.25">
      <c r="A544" s="345"/>
      <c r="B544" s="345"/>
      <c r="C544" s="345"/>
      <c r="D544" s="345"/>
      <c r="E544" s="345"/>
      <c r="F544" s="345"/>
      <c r="G544" s="345"/>
      <c r="H544" s="345"/>
      <c r="I544" s="345"/>
    </row>
    <row r="545" spans="1:9" ht="20.25">
      <c r="A545" s="345"/>
      <c r="B545" s="345"/>
      <c r="C545" s="345"/>
      <c r="D545" s="345"/>
      <c r="E545" s="345"/>
      <c r="F545" s="345"/>
      <c r="G545" s="345"/>
      <c r="H545" s="345"/>
      <c r="I545" s="345"/>
    </row>
    <row r="546" spans="1:9" ht="20.25">
      <c r="A546" s="345"/>
      <c r="B546" s="345"/>
      <c r="C546" s="345"/>
      <c r="D546" s="345"/>
      <c r="E546" s="345"/>
      <c r="F546" s="345"/>
      <c r="G546" s="345"/>
      <c r="H546" s="345"/>
      <c r="I546" s="345"/>
    </row>
    <row r="547" spans="1:9" ht="20.25">
      <c r="A547" s="345"/>
      <c r="B547" s="345"/>
      <c r="C547" s="345"/>
      <c r="D547" s="345"/>
      <c r="E547" s="345"/>
      <c r="F547" s="345"/>
      <c r="G547" s="345"/>
      <c r="H547" s="345"/>
      <c r="I547" s="345"/>
    </row>
    <row r="548" spans="1:9" ht="20.25">
      <c r="A548" s="345"/>
      <c r="B548" s="345"/>
      <c r="C548" s="345"/>
      <c r="D548" s="345"/>
      <c r="E548" s="345"/>
      <c r="F548" s="345"/>
      <c r="G548" s="345"/>
      <c r="H548" s="345"/>
      <c r="I548" s="345"/>
    </row>
    <row r="549" spans="1:9" ht="20.25">
      <c r="A549" s="345"/>
      <c r="B549" s="345"/>
      <c r="C549" s="345"/>
      <c r="D549" s="345"/>
      <c r="E549" s="345"/>
      <c r="F549" s="345"/>
      <c r="G549" s="345"/>
      <c r="H549" s="345"/>
      <c r="I549" s="345"/>
    </row>
    <row r="550" spans="1:9" ht="20.25">
      <c r="A550" s="345"/>
      <c r="B550" s="345"/>
      <c r="C550" s="345"/>
      <c r="D550" s="345"/>
      <c r="E550" s="345"/>
      <c r="F550" s="345"/>
      <c r="G550" s="345"/>
      <c r="H550" s="345"/>
      <c r="I550" s="345"/>
    </row>
    <row r="551" spans="1:9" ht="20.25">
      <c r="A551" s="345"/>
      <c r="B551" s="345"/>
      <c r="C551" s="345"/>
      <c r="D551" s="345"/>
      <c r="E551" s="345"/>
      <c r="F551" s="345"/>
      <c r="G551" s="345"/>
      <c r="H551" s="345"/>
      <c r="I551" s="345"/>
    </row>
    <row r="552" spans="1:9" ht="20.25">
      <c r="A552" s="345"/>
      <c r="B552" s="345"/>
      <c r="C552" s="345"/>
      <c r="D552" s="345"/>
      <c r="E552" s="345"/>
      <c r="F552" s="345"/>
      <c r="G552" s="345"/>
      <c r="H552" s="345"/>
      <c r="I552" s="345"/>
    </row>
    <row r="553" spans="1:9" ht="20.25">
      <c r="A553" s="345"/>
      <c r="B553" s="345"/>
      <c r="C553" s="345"/>
      <c r="D553" s="345"/>
      <c r="E553" s="345"/>
      <c r="F553" s="345"/>
      <c r="G553" s="345"/>
      <c r="H553" s="345"/>
      <c r="I553" s="345"/>
    </row>
    <row r="554" spans="1:9" ht="20.25">
      <c r="A554" s="345"/>
      <c r="B554" s="345"/>
      <c r="C554" s="345"/>
      <c r="D554" s="345"/>
      <c r="E554" s="345"/>
      <c r="F554" s="345"/>
      <c r="G554" s="345"/>
      <c r="H554" s="345"/>
      <c r="I554" s="345"/>
    </row>
    <row r="555" spans="1:9" ht="20.25">
      <c r="A555" s="345"/>
      <c r="B555" s="345"/>
      <c r="C555" s="345"/>
      <c r="D555" s="345"/>
      <c r="E555" s="345"/>
      <c r="F555" s="345"/>
      <c r="G555" s="345"/>
      <c r="H555" s="345"/>
      <c r="I555" s="345"/>
    </row>
    <row r="556" spans="1:9" ht="20.25">
      <c r="A556" s="345"/>
      <c r="B556" s="345"/>
      <c r="C556" s="345"/>
      <c r="D556" s="345"/>
      <c r="E556" s="345"/>
      <c r="F556" s="345"/>
      <c r="G556" s="345"/>
      <c r="H556" s="345"/>
      <c r="I556" s="345"/>
    </row>
    <row r="557" spans="1:9" ht="20.25">
      <c r="A557" s="345"/>
      <c r="B557" s="345"/>
      <c r="C557" s="345"/>
      <c r="D557" s="345"/>
      <c r="E557" s="345"/>
      <c r="F557" s="345"/>
      <c r="G557" s="345"/>
      <c r="H557" s="345"/>
      <c r="I557" s="345"/>
    </row>
    <row r="558" spans="1:9" ht="20.25">
      <c r="A558" s="345"/>
      <c r="B558" s="345"/>
      <c r="C558" s="345"/>
      <c r="D558" s="345"/>
      <c r="E558" s="345"/>
      <c r="F558" s="345"/>
      <c r="G558" s="345"/>
      <c r="H558" s="345"/>
      <c r="I558" s="345"/>
    </row>
    <row r="559" spans="1:9" ht="20.25">
      <c r="A559" s="345"/>
      <c r="B559" s="345"/>
      <c r="C559" s="345"/>
      <c r="D559" s="345"/>
      <c r="E559" s="345"/>
      <c r="F559" s="345"/>
      <c r="G559" s="345"/>
      <c r="H559" s="345"/>
      <c r="I559" s="345"/>
    </row>
    <row r="560" spans="1:9" ht="20.25">
      <c r="A560" s="345"/>
      <c r="B560" s="345"/>
      <c r="C560" s="345"/>
      <c r="D560" s="345"/>
      <c r="E560" s="345"/>
      <c r="F560" s="345"/>
      <c r="G560" s="345"/>
      <c r="H560" s="345"/>
      <c r="I560" s="345"/>
    </row>
    <row r="561" spans="1:9" ht="20.25">
      <c r="A561" s="345"/>
      <c r="B561" s="345"/>
      <c r="C561" s="345"/>
      <c r="D561" s="345"/>
      <c r="E561" s="345"/>
      <c r="F561" s="345"/>
      <c r="G561" s="345"/>
      <c r="H561" s="345"/>
      <c r="I561" s="345"/>
    </row>
    <row r="562" spans="1:9" ht="20.25">
      <c r="A562" s="345"/>
      <c r="B562" s="345"/>
      <c r="C562" s="345"/>
      <c r="D562" s="345"/>
      <c r="E562" s="345"/>
      <c r="F562" s="345"/>
      <c r="G562" s="345"/>
      <c r="H562" s="345"/>
      <c r="I562" s="345"/>
    </row>
    <row r="563" spans="1:9" ht="20.25">
      <c r="A563" s="345"/>
      <c r="B563" s="345"/>
      <c r="C563" s="345"/>
      <c r="D563" s="345"/>
      <c r="E563" s="345"/>
      <c r="F563" s="345"/>
      <c r="G563" s="345"/>
      <c r="H563" s="345"/>
      <c r="I563" s="345"/>
    </row>
    <row r="564" spans="1:9" ht="20.25">
      <c r="A564" s="345"/>
      <c r="B564" s="345"/>
      <c r="C564" s="345"/>
      <c r="D564" s="345"/>
      <c r="E564" s="345"/>
      <c r="F564" s="345"/>
      <c r="G564" s="345"/>
      <c r="H564" s="345"/>
      <c r="I564" s="345"/>
    </row>
    <row r="565" spans="1:9" ht="20.25">
      <c r="A565" s="345"/>
      <c r="B565" s="345"/>
      <c r="C565" s="345"/>
      <c r="D565" s="345"/>
      <c r="E565" s="345"/>
      <c r="F565" s="345"/>
      <c r="G565" s="345"/>
      <c r="H565" s="345"/>
      <c r="I565" s="345"/>
    </row>
    <row r="566" spans="1:9" ht="20.25">
      <c r="A566" s="345"/>
      <c r="B566" s="345"/>
      <c r="C566" s="345"/>
      <c r="D566" s="345"/>
      <c r="E566" s="345"/>
      <c r="F566" s="345"/>
      <c r="G566" s="345"/>
      <c r="H566" s="345"/>
      <c r="I566" s="345"/>
    </row>
    <row r="567" spans="1:9" ht="20.25">
      <c r="A567" s="345"/>
      <c r="B567" s="345"/>
      <c r="C567" s="345"/>
      <c r="D567" s="345"/>
      <c r="E567" s="345"/>
      <c r="F567" s="345"/>
      <c r="G567" s="345"/>
      <c r="H567" s="345"/>
      <c r="I567" s="345"/>
    </row>
    <row r="568" spans="1:9" ht="20.25">
      <c r="A568" s="345"/>
      <c r="B568" s="345"/>
      <c r="C568" s="345"/>
      <c r="D568" s="345"/>
      <c r="E568" s="345"/>
      <c r="F568" s="345"/>
      <c r="G568" s="345"/>
      <c r="H568" s="345"/>
      <c r="I568" s="345"/>
    </row>
    <row r="569" spans="1:9" ht="20.25">
      <c r="A569" s="345"/>
      <c r="B569" s="345"/>
      <c r="C569" s="345"/>
      <c r="D569" s="345"/>
      <c r="E569" s="345"/>
      <c r="F569" s="345"/>
      <c r="G569" s="345"/>
      <c r="H569" s="345"/>
      <c r="I569" s="345"/>
    </row>
    <row r="570" spans="1:9" ht="20.25">
      <c r="A570" s="345"/>
      <c r="B570" s="345"/>
      <c r="C570" s="345"/>
      <c r="D570" s="345"/>
      <c r="E570" s="345"/>
      <c r="F570" s="345"/>
      <c r="G570" s="345"/>
      <c r="H570" s="345"/>
      <c r="I570" s="345"/>
    </row>
    <row r="571" spans="1:9" ht="20.25">
      <c r="A571" s="345"/>
      <c r="B571" s="345"/>
      <c r="C571" s="345"/>
      <c r="D571" s="345"/>
      <c r="E571" s="345"/>
      <c r="F571" s="345"/>
      <c r="G571" s="345"/>
      <c r="H571" s="345"/>
      <c r="I571" s="345"/>
    </row>
    <row r="572" spans="1:9" ht="20.25">
      <c r="A572" s="345"/>
      <c r="B572" s="345"/>
      <c r="C572" s="345"/>
      <c r="D572" s="345"/>
      <c r="E572" s="345"/>
      <c r="F572" s="345"/>
      <c r="G572" s="345"/>
      <c r="H572" s="345"/>
      <c r="I572" s="345"/>
    </row>
    <row r="573" spans="1:9" ht="20.25">
      <c r="A573" s="345"/>
      <c r="B573" s="345"/>
      <c r="C573" s="345"/>
      <c r="D573" s="345"/>
      <c r="E573" s="345"/>
      <c r="F573" s="345"/>
      <c r="G573" s="345"/>
      <c r="H573" s="345"/>
      <c r="I573" s="345"/>
    </row>
    <row r="574" spans="1:9" ht="20.25">
      <c r="A574" s="345"/>
      <c r="B574" s="345"/>
      <c r="C574" s="345"/>
      <c r="D574" s="345"/>
      <c r="E574" s="345"/>
      <c r="F574" s="345"/>
      <c r="G574" s="345"/>
      <c r="H574" s="345"/>
      <c r="I574" s="345"/>
    </row>
    <row r="575" spans="1:9" ht="20.25">
      <c r="A575" s="345"/>
      <c r="B575" s="345"/>
      <c r="C575" s="345"/>
      <c r="D575" s="345"/>
      <c r="E575" s="345"/>
      <c r="F575" s="345"/>
      <c r="G575" s="345"/>
      <c r="H575" s="345"/>
      <c r="I575" s="345"/>
    </row>
    <row r="576" spans="1:9" ht="20.25">
      <c r="A576" s="345"/>
      <c r="B576" s="345"/>
      <c r="C576" s="345"/>
      <c r="D576" s="345"/>
      <c r="E576" s="345"/>
      <c r="F576" s="345"/>
      <c r="G576" s="345"/>
      <c r="H576" s="345"/>
      <c r="I576" s="345"/>
    </row>
    <row r="577" spans="1:9" ht="20.25">
      <c r="A577" s="345"/>
      <c r="B577" s="345"/>
      <c r="C577" s="345"/>
      <c r="D577" s="345"/>
      <c r="E577" s="345"/>
      <c r="F577" s="345"/>
      <c r="G577" s="345"/>
      <c r="H577" s="345"/>
      <c r="I577" s="345"/>
    </row>
    <row r="578" spans="1:9" ht="20.25">
      <c r="A578" s="345"/>
      <c r="B578" s="345"/>
      <c r="C578" s="345"/>
      <c r="D578" s="345"/>
      <c r="E578" s="345"/>
      <c r="F578" s="345"/>
      <c r="G578" s="345"/>
      <c r="H578" s="345"/>
      <c r="I578" s="345"/>
    </row>
    <row r="579" spans="1:9" ht="20.25">
      <c r="A579" s="345"/>
      <c r="B579" s="345"/>
      <c r="C579" s="345"/>
      <c r="D579" s="345"/>
      <c r="E579" s="345"/>
      <c r="F579" s="345"/>
      <c r="G579" s="345"/>
      <c r="H579" s="345"/>
      <c r="I579" s="345"/>
    </row>
    <row r="580" spans="1:9" ht="20.25">
      <c r="A580" s="345"/>
      <c r="B580" s="345"/>
      <c r="C580" s="345"/>
      <c r="D580" s="345"/>
      <c r="E580" s="345"/>
      <c r="F580" s="345"/>
      <c r="G580" s="345"/>
      <c r="H580" s="345"/>
      <c r="I580" s="345"/>
    </row>
    <row r="581" spans="1:9" ht="20.25">
      <c r="A581" s="345"/>
      <c r="B581" s="345"/>
      <c r="C581" s="345"/>
      <c r="D581" s="345"/>
      <c r="E581" s="345"/>
      <c r="F581" s="345"/>
      <c r="G581" s="345"/>
      <c r="H581" s="345"/>
      <c r="I581" s="345"/>
    </row>
    <row r="582" spans="1:9" ht="20.25">
      <c r="A582" s="345"/>
      <c r="B582" s="345"/>
      <c r="C582" s="345"/>
      <c r="D582" s="345"/>
      <c r="E582" s="345"/>
      <c r="F582" s="345"/>
      <c r="G582" s="345"/>
      <c r="H582" s="345"/>
      <c r="I582" s="345"/>
    </row>
    <row r="583" spans="1:9" ht="20.25">
      <c r="A583" s="345"/>
      <c r="B583" s="345"/>
      <c r="C583" s="345"/>
      <c r="D583" s="345"/>
      <c r="E583" s="345"/>
      <c r="F583" s="345"/>
      <c r="G583" s="345"/>
      <c r="H583" s="345"/>
      <c r="I583" s="345"/>
    </row>
    <row r="584" spans="1:9" ht="20.25">
      <c r="A584" s="345"/>
      <c r="B584" s="345"/>
      <c r="C584" s="345"/>
      <c r="D584" s="345"/>
      <c r="E584" s="345"/>
      <c r="F584" s="345"/>
      <c r="G584" s="345"/>
      <c r="H584" s="345"/>
      <c r="I584" s="345"/>
    </row>
    <row r="585" spans="1:9" ht="20.25">
      <c r="A585" s="345"/>
      <c r="B585" s="345"/>
      <c r="C585" s="345"/>
      <c r="D585" s="345"/>
      <c r="E585" s="345"/>
      <c r="F585" s="345"/>
      <c r="G585" s="345"/>
      <c r="H585" s="345"/>
      <c r="I585" s="345"/>
    </row>
    <row r="586" spans="1:9" ht="20.25">
      <c r="A586" s="345"/>
      <c r="B586" s="345"/>
      <c r="C586" s="345"/>
      <c r="D586" s="345"/>
      <c r="E586" s="345"/>
      <c r="F586" s="345"/>
      <c r="G586" s="345"/>
      <c r="H586" s="345"/>
      <c r="I586" s="345"/>
    </row>
    <row r="587" spans="1:9" ht="20.25">
      <c r="A587" s="345"/>
      <c r="B587" s="345"/>
      <c r="C587" s="345"/>
      <c r="D587" s="345"/>
      <c r="E587" s="345"/>
      <c r="F587" s="345"/>
      <c r="G587" s="345"/>
      <c r="H587" s="345"/>
      <c r="I587" s="345"/>
    </row>
    <row r="588" spans="1:9" ht="20.25">
      <c r="A588" s="345"/>
      <c r="B588" s="345"/>
      <c r="C588" s="345"/>
      <c r="D588" s="345"/>
      <c r="E588" s="345"/>
      <c r="F588" s="345"/>
      <c r="G588" s="345"/>
      <c r="H588" s="345"/>
      <c r="I588" s="345"/>
    </row>
    <row r="589" spans="1:9" ht="20.25">
      <c r="A589" s="345"/>
      <c r="B589" s="345"/>
      <c r="C589" s="345"/>
      <c r="D589" s="345"/>
      <c r="E589" s="345"/>
      <c r="F589" s="345"/>
      <c r="G589" s="345"/>
      <c r="H589" s="345"/>
      <c r="I589" s="345"/>
    </row>
    <row r="590" spans="1:9" ht="20.25">
      <c r="A590" s="345"/>
      <c r="B590" s="345"/>
      <c r="C590" s="345"/>
      <c r="D590" s="345"/>
      <c r="E590" s="345"/>
      <c r="F590" s="345"/>
      <c r="G590" s="345"/>
      <c r="H590" s="345"/>
      <c r="I590" s="345"/>
    </row>
    <row r="591" spans="1:9" ht="20.25">
      <c r="A591" s="345"/>
      <c r="B591" s="345"/>
      <c r="C591" s="345"/>
      <c r="D591" s="345"/>
      <c r="E591" s="345"/>
      <c r="F591" s="345"/>
      <c r="G591" s="345"/>
      <c r="H591" s="345"/>
      <c r="I591" s="345"/>
    </row>
    <row r="592" spans="1:9" ht="20.25">
      <c r="A592" s="345"/>
      <c r="B592" s="345"/>
      <c r="C592" s="345"/>
      <c r="D592" s="345"/>
      <c r="E592" s="345"/>
      <c r="F592" s="345"/>
      <c r="G592" s="345"/>
      <c r="H592" s="345"/>
      <c r="I592" s="345"/>
    </row>
    <row r="593" spans="1:9" ht="20.25">
      <c r="A593" s="345"/>
      <c r="B593" s="345"/>
      <c r="C593" s="345"/>
      <c r="D593" s="345"/>
      <c r="E593" s="345"/>
      <c r="F593" s="345"/>
      <c r="G593" s="345"/>
      <c r="H593" s="345"/>
      <c r="I593" s="345"/>
    </row>
    <row r="594" spans="1:9" ht="20.25">
      <c r="A594" s="345"/>
      <c r="B594" s="345"/>
      <c r="C594" s="345"/>
      <c r="D594" s="345"/>
      <c r="E594" s="345"/>
      <c r="F594" s="345"/>
      <c r="G594" s="345"/>
      <c r="H594" s="345"/>
      <c r="I594" s="345"/>
    </row>
    <row r="595" spans="1:9" ht="20.25">
      <c r="A595" s="345"/>
      <c r="B595" s="345"/>
      <c r="C595" s="345"/>
      <c r="D595" s="345"/>
      <c r="E595" s="345"/>
      <c r="F595" s="345"/>
      <c r="G595" s="345"/>
      <c r="H595" s="345"/>
      <c r="I595" s="345"/>
    </row>
    <row r="596" spans="1:9" ht="20.25">
      <c r="A596" s="345"/>
      <c r="B596" s="345"/>
      <c r="C596" s="345"/>
      <c r="D596" s="345"/>
      <c r="E596" s="345"/>
      <c r="F596" s="345"/>
      <c r="G596" s="345"/>
      <c r="H596" s="345"/>
      <c r="I596" s="345"/>
    </row>
    <row r="597" spans="1:9" ht="20.25">
      <c r="A597" s="345"/>
      <c r="B597" s="345"/>
      <c r="C597" s="345"/>
      <c r="D597" s="345"/>
      <c r="E597" s="345"/>
      <c r="F597" s="345"/>
      <c r="G597" s="345"/>
      <c r="H597" s="345"/>
      <c r="I597" s="345"/>
    </row>
    <row r="598" spans="1:9" ht="20.25">
      <c r="A598" s="345"/>
      <c r="B598" s="345"/>
      <c r="C598" s="345"/>
      <c r="D598" s="345"/>
      <c r="E598" s="345"/>
      <c r="F598" s="345"/>
      <c r="G598" s="345"/>
      <c r="H598" s="345"/>
      <c r="I598" s="345"/>
    </row>
    <row r="599" spans="1:9" ht="20.25">
      <c r="A599" s="345"/>
      <c r="B599" s="345"/>
      <c r="C599" s="345"/>
      <c r="D599" s="345"/>
      <c r="E599" s="345"/>
      <c r="F599" s="345"/>
      <c r="G599" s="345"/>
      <c r="H599" s="345"/>
      <c r="I599" s="345"/>
    </row>
    <row r="600" spans="1:9" ht="20.25">
      <c r="A600" s="345"/>
      <c r="B600" s="345"/>
      <c r="C600" s="345"/>
      <c r="D600" s="345"/>
      <c r="E600" s="345"/>
      <c r="F600" s="345"/>
      <c r="G600" s="345"/>
      <c r="H600" s="345"/>
      <c r="I600" s="345"/>
    </row>
    <row r="601" spans="1:9" ht="20.25">
      <c r="A601" s="345"/>
      <c r="B601" s="345"/>
      <c r="C601" s="345"/>
      <c r="D601" s="345"/>
      <c r="E601" s="345"/>
      <c r="F601" s="345"/>
      <c r="G601" s="345"/>
      <c r="H601" s="345"/>
      <c r="I601" s="345"/>
    </row>
    <row r="602" spans="1:9" ht="20.25">
      <c r="A602" s="345"/>
      <c r="B602" s="345"/>
      <c r="C602" s="345"/>
      <c r="D602" s="345"/>
      <c r="E602" s="345"/>
      <c r="F602" s="345"/>
      <c r="G602" s="345"/>
      <c r="H602" s="345"/>
      <c r="I602" s="345"/>
    </row>
    <row r="603" spans="1:9" ht="20.25">
      <c r="A603" s="345"/>
      <c r="B603" s="345"/>
      <c r="C603" s="345"/>
      <c r="D603" s="345"/>
      <c r="E603" s="345"/>
      <c r="F603" s="345"/>
      <c r="G603" s="345"/>
      <c r="H603" s="345"/>
      <c r="I603" s="345"/>
    </row>
    <row r="604" spans="1:9" ht="20.25">
      <c r="A604" s="345"/>
      <c r="B604" s="345"/>
      <c r="C604" s="345"/>
      <c r="D604" s="345"/>
      <c r="E604" s="345"/>
      <c r="F604" s="345"/>
      <c r="G604" s="345"/>
      <c r="H604" s="345"/>
      <c r="I604" s="345"/>
    </row>
    <row r="605" spans="1:9" ht="20.25">
      <c r="A605" s="345"/>
      <c r="B605" s="345"/>
      <c r="C605" s="345"/>
      <c r="D605" s="345"/>
      <c r="E605" s="345"/>
      <c r="F605" s="345"/>
      <c r="G605" s="345"/>
      <c r="H605" s="345"/>
      <c r="I605" s="345"/>
    </row>
    <row r="606" spans="1:9" ht="20.25">
      <c r="A606" s="345"/>
      <c r="B606" s="345"/>
      <c r="C606" s="345"/>
      <c r="D606" s="345"/>
      <c r="E606" s="345"/>
      <c r="F606" s="345"/>
      <c r="G606" s="345"/>
      <c r="H606" s="345"/>
      <c r="I606" s="345"/>
    </row>
    <row r="607" spans="1:9" ht="20.25">
      <c r="A607" s="345"/>
      <c r="B607" s="345"/>
      <c r="C607" s="345"/>
      <c r="D607" s="345"/>
      <c r="E607" s="345"/>
      <c r="F607" s="345"/>
      <c r="G607" s="345"/>
      <c r="H607" s="345"/>
      <c r="I607" s="345"/>
    </row>
    <row r="608" spans="1:9" ht="20.25">
      <c r="A608" s="345"/>
      <c r="B608" s="345"/>
      <c r="C608" s="345"/>
      <c r="D608" s="345"/>
      <c r="E608" s="345"/>
      <c r="F608" s="345"/>
      <c r="G608" s="345"/>
      <c r="H608" s="345"/>
      <c r="I608" s="345"/>
    </row>
    <row r="609" spans="1:9" ht="20.25">
      <c r="A609" s="345"/>
      <c r="B609" s="345"/>
      <c r="C609" s="345"/>
      <c r="D609" s="345"/>
      <c r="E609" s="345"/>
      <c r="F609" s="345"/>
      <c r="G609" s="345"/>
      <c r="H609" s="345"/>
      <c r="I609" s="345"/>
    </row>
    <row r="610" spans="1:9" ht="20.25">
      <c r="A610" s="345"/>
      <c r="B610" s="345"/>
      <c r="C610" s="345"/>
      <c r="D610" s="345"/>
      <c r="E610" s="345"/>
      <c r="F610" s="345"/>
      <c r="G610" s="345"/>
      <c r="H610" s="345"/>
      <c r="I610" s="345"/>
    </row>
    <row r="611" spans="1:9" ht="20.25">
      <c r="A611" s="345"/>
      <c r="B611" s="345"/>
      <c r="C611" s="345"/>
      <c r="D611" s="345"/>
      <c r="E611" s="345"/>
      <c r="F611" s="345"/>
      <c r="G611" s="345"/>
      <c r="H611" s="345"/>
      <c r="I611" s="345"/>
    </row>
    <row r="612" spans="1:9" ht="20.25">
      <c r="A612" s="345"/>
      <c r="B612" s="345"/>
      <c r="C612" s="345"/>
      <c r="D612" s="345"/>
      <c r="E612" s="345"/>
      <c r="F612" s="345"/>
      <c r="G612" s="345"/>
      <c r="H612" s="345"/>
      <c r="I612" s="345"/>
    </row>
    <row r="613" spans="1:9" ht="20.25">
      <c r="A613" s="345"/>
      <c r="B613" s="345"/>
      <c r="C613" s="345"/>
      <c r="D613" s="345"/>
      <c r="E613" s="345"/>
      <c r="F613" s="345"/>
      <c r="G613" s="345"/>
      <c r="H613" s="345"/>
      <c r="I613" s="345"/>
    </row>
    <row r="614" spans="1:9" ht="20.25">
      <c r="A614" s="345"/>
      <c r="B614" s="345"/>
      <c r="C614" s="345"/>
      <c r="D614" s="345"/>
      <c r="E614" s="345"/>
      <c r="F614" s="345"/>
      <c r="G614" s="345"/>
      <c r="H614" s="345"/>
      <c r="I614" s="345"/>
    </row>
    <row r="615" spans="1:9" ht="20.25">
      <c r="A615" s="345"/>
      <c r="B615" s="345"/>
      <c r="C615" s="345"/>
      <c r="D615" s="345"/>
      <c r="E615" s="345"/>
      <c r="F615" s="345"/>
      <c r="G615" s="345"/>
      <c r="H615" s="345"/>
      <c r="I615" s="345"/>
    </row>
    <row r="616" spans="1:9" ht="20.25">
      <c r="A616" s="345"/>
      <c r="B616" s="345"/>
      <c r="C616" s="345"/>
      <c r="D616" s="345"/>
      <c r="E616" s="345"/>
      <c r="F616" s="345"/>
      <c r="G616" s="345"/>
      <c r="H616" s="345"/>
      <c r="I616" s="345"/>
    </row>
    <row r="617" spans="1:9" ht="20.25">
      <c r="A617" s="345"/>
      <c r="B617" s="345"/>
      <c r="C617" s="345"/>
      <c r="D617" s="345"/>
      <c r="E617" s="345"/>
      <c r="F617" s="345"/>
      <c r="G617" s="345"/>
      <c r="H617" s="345"/>
      <c r="I617" s="345"/>
    </row>
    <row r="618" spans="1:9" ht="20.25">
      <c r="A618" s="345"/>
      <c r="B618" s="345"/>
      <c r="C618" s="345"/>
      <c r="D618" s="345"/>
      <c r="E618" s="345"/>
      <c r="F618" s="345"/>
      <c r="G618" s="345"/>
      <c r="H618" s="345"/>
      <c r="I618" s="345"/>
    </row>
    <row r="619" spans="1:9" ht="20.25">
      <c r="A619" s="345"/>
      <c r="B619" s="345"/>
      <c r="C619" s="345"/>
      <c r="D619" s="345"/>
      <c r="E619" s="345"/>
      <c r="F619" s="345"/>
      <c r="G619" s="345"/>
      <c r="H619" s="345"/>
      <c r="I619" s="345"/>
    </row>
    <row r="620" spans="1:9" ht="20.25">
      <c r="A620" s="345"/>
      <c r="B620" s="345"/>
      <c r="C620" s="345"/>
      <c r="D620" s="345"/>
      <c r="E620" s="345"/>
      <c r="F620" s="345"/>
      <c r="G620" s="345"/>
      <c r="H620" s="345"/>
      <c r="I620" s="345"/>
    </row>
    <row r="621" spans="1:9" ht="20.25">
      <c r="A621" s="345"/>
      <c r="B621" s="345"/>
      <c r="C621" s="345"/>
      <c r="D621" s="345"/>
      <c r="E621" s="345"/>
      <c r="F621" s="345"/>
      <c r="G621" s="345"/>
      <c r="H621" s="345"/>
      <c r="I621" s="345"/>
    </row>
    <row r="622" spans="1:9" ht="20.25">
      <c r="A622" s="345"/>
      <c r="B622" s="345"/>
      <c r="C622" s="345"/>
      <c r="D622" s="345"/>
      <c r="E622" s="345"/>
      <c r="F622" s="345"/>
      <c r="G622" s="345"/>
      <c r="H622" s="345"/>
      <c r="I622" s="345"/>
    </row>
    <row r="623" spans="1:9" ht="20.25">
      <c r="A623" s="345"/>
      <c r="B623" s="345"/>
      <c r="C623" s="345"/>
      <c r="D623" s="345"/>
      <c r="E623" s="345"/>
      <c r="F623" s="345"/>
      <c r="G623" s="345"/>
      <c r="H623" s="345"/>
      <c r="I623" s="345"/>
    </row>
    <row r="624" spans="1:9" ht="20.25">
      <c r="A624" s="345"/>
      <c r="B624" s="345"/>
      <c r="C624" s="345"/>
      <c r="D624" s="345"/>
      <c r="E624" s="345"/>
      <c r="F624" s="345"/>
      <c r="G624" s="345"/>
      <c r="H624" s="345"/>
      <c r="I624" s="345"/>
    </row>
    <row r="625" spans="1:9" ht="20.25">
      <c r="A625" s="345"/>
      <c r="B625" s="345"/>
      <c r="C625" s="345"/>
      <c r="D625" s="345"/>
      <c r="E625" s="345"/>
      <c r="F625" s="345"/>
      <c r="G625" s="345"/>
      <c r="H625" s="345"/>
      <c r="I625" s="345"/>
    </row>
    <row r="626" spans="1:9" ht="20.25">
      <c r="A626" s="345"/>
      <c r="B626" s="345"/>
      <c r="C626" s="345"/>
      <c r="D626" s="345"/>
      <c r="E626" s="345"/>
      <c r="F626" s="345"/>
      <c r="G626" s="345"/>
      <c r="H626" s="345"/>
      <c r="I626" s="345"/>
    </row>
    <row r="627" spans="1:9" ht="20.25">
      <c r="A627" s="345"/>
      <c r="B627" s="345"/>
      <c r="C627" s="345"/>
      <c r="D627" s="345"/>
      <c r="E627" s="345"/>
      <c r="F627" s="345"/>
      <c r="G627" s="345"/>
      <c r="H627" s="345"/>
      <c r="I627" s="345"/>
    </row>
    <row r="628" spans="1:9" ht="20.25">
      <c r="A628" s="345"/>
      <c r="B628" s="345"/>
      <c r="C628" s="345"/>
      <c r="D628" s="345"/>
      <c r="E628" s="345"/>
      <c r="F628" s="345"/>
      <c r="G628" s="345"/>
      <c r="H628" s="345"/>
      <c r="I628" s="345"/>
    </row>
    <row r="629" spans="1:9" ht="20.25">
      <c r="A629" s="345"/>
      <c r="B629" s="345"/>
      <c r="C629" s="345"/>
      <c r="D629" s="345"/>
      <c r="E629" s="345"/>
      <c r="F629" s="345"/>
      <c r="G629" s="345"/>
      <c r="H629" s="345"/>
      <c r="I629" s="345"/>
    </row>
    <row r="630" spans="1:9" ht="20.25">
      <c r="A630" s="345"/>
      <c r="B630" s="345"/>
      <c r="C630" s="345"/>
      <c r="D630" s="345"/>
      <c r="E630" s="345"/>
      <c r="F630" s="345"/>
      <c r="G630" s="345"/>
      <c r="H630" s="345"/>
      <c r="I630" s="345"/>
    </row>
    <row r="631" spans="1:9" ht="20.25">
      <c r="A631" s="345"/>
      <c r="B631" s="345"/>
      <c r="C631" s="345"/>
      <c r="D631" s="345"/>
      <c r="E631" s="345"/>
      <c r="F631" s="345"/>
      <c r="G631" s="345"/>
      <c r="H631" s="345"/>
      <c r="I631" s="345"/>
    </row>
    <row r="632" spans="1:9" ht="20.25">
      <c r="A632" s="345"/>
      <c r="B632" s="345"/>
      <c r="C632" s="345"/>
      <c r="D632" s="345"/>
      <c r="E632" s="345"/>
      <c r="F632" s="345"/>
      <c r="G632" s="345"/>
      <c r="H632" s="345"/>
      <c r="I632" s="345"/>
    </row>
    <row r="633" spans="1:9" ht="20.25">
      <c r="A633" s="345"/>
      <c r="B633" s="345"/>
      <c r="C633" s="345"/>
      <c r="D633" s="345"/>
      <c r="E633" s="345"/>
      <c r="F633" s="345"/>
      <c r="G633" s="345"/>
      <c r="H633" s="345"/>
      <c r="I633" s="345"/>
    </row>
    <row r="634" spans="1:9" ht="20.25">
      <c r="A634" s="345"/>
      <c r="B634" s="345"/>
      <c r="C634" s="345"/>
      <c r="D634" s="345"/>
      <c r="E634" s="345"/>
      <c r="F634" s="345"/>
      <c r="G634" s="345"/>
      <c r="H634" s="345"/>
      <c r="I634" s="345"/>
    </row>
    <row r="635" spans="1:9" ht="20.25">
      <c r="A635" s="345"/>
      <c r="B635" s="345"/>
      <c r="C635" s="345"/>
      <c r="D635" s="345"/>
      <c r="E635" s="345"/>
      <c r="F635" s="345"/>
      <c r="G635" s="345"/>
      <c r="H635" s="345"/>
      <c r="I635" s="345"/>
    </row>
    <row r="636" spans="1:9" ht="20.25">
      <c r="A636" s="345"/>
      <c r="B636" s="345"/>
      <c r="C636" s="345"/>
      <c r="D636" s="345"/>
      <c r="E636" s="345"/>
      <c r="F636" s="345"/>
      <c r="G636" s="345"/>
      <c r="H636" s="345"/>
      <c r="I636" s="345"/>
    </row>
    <row r="637" spans="1:9" ht="20.25">
      <c r="A637" s="345"/>
      <c r="B637" s="345"/>
      <c r="C637" s="345"/>
      <c r="D637" s="345"/>
      <c r="E637" s="345"/>
      <c r="F637" s="345"/>
      <c r="G637" s="345"/>
      <c r="H637" s="345"/>
      <c r="I637" s="345"/>
    </row>
    <row r="638" spans="1:9" ht="20.25">
      <c r="A638" s="345"/>
      <c r="B638" s="345"/>
      <c r="C638" s="345"/>
      <c r="D638" s="345"/>
      <c r="E638" s="345"/>
      <c r="F638" s="345"/>
      <c r="G638" s="345"/>
      <c r="H638" s="345"/>
      <c r="I638" s="345"/>
    </row>
    <row r="639" spans="1:9" ht="20.25">
      <c r="A639" s="345"/>
      <c r="B639" s="345"/>
      <c r="C639" s="345"/>
      <c r="D639" s="345"/>
      <c r="E639" s="345"/>
      <c r="F639" s="345"/>
      <c r="G639" s="345"/>
      <c r="H639" s="345"/>
      <c r="I639" s="345"/>
    </row>
    <row r="640" spans="1:9" ht="20.25">
      <c r="A640" s="345"/>
      <c r="B640" s="345"/>
      <c r="C640" s="345"/>
      <c r="D640" s="345"/>
      <c r="E640" s="345"/>
      <c r="F640" s="345"/>
      <c r="G640" s="345"/>
      <c r="H640" s="345"/>
      <c r="I640" s="345"/>
    </row>
    <row r="641" spans="1:9" ht="20.25">
      <c r="A641" s="345"/>
      <c r="B641" s="345"/>
      <c r="C641" s="345"/>
      <c r="D641" s="345"/>
      <c r="E641" s="345"/>
      <c r="F641" s="345"/>
      <c r="G641" s="345"/>
      <c r="H641" s="345"/>
      <c r="I641" s="345"/>
    </row>
    <row r="642" spans="1:9" ht="20.25">
      <c r="A642" s="345"/>
      <c r="B642" s="345"/>
      <c r="C642" s="345"/>
      <c r="D642" s="345"/>
      <c r="E642" s="345"/>
      <c r="F642" s="345"/>
      <c r="G642" s="345"/>
      <c r="H642" s="345"/>
      <c r="I642" s="345"/>
    </row>
    <row r="643" spans="1:9" ht="20.25">
      <c r="A643" s="345"/>
      <c r="B643" s="345"/>
      <c r="C643" s="345"/>
      <c r="D643" s="345"/>
      <c r="E643" s="345"/>
      <c r="F643" s="345"/>
      <c r="G643" s="345"/>
      <c r="H643" s="345"/>
      <c r="I643" s="345"/>
    </row>
    <row r="644" spans="1:9" ht="20.25">
      <c r="A644" s="345"/>
      <c r="B644" s="345"/>
      <c r="C644" s="345"/>
      <c r="D644" s="345"/>
      <c r="E644" s="345"/>
      <c r="F644" s="345"/>
      <c r="G644" s="345"/>
      <c r="H644" s="345"/>
      <c r="I644" s="345"/>
    </row>
    <row r="645" spans="1:9" ht="20.25">
      <c r="A645" s="345"/>
      <c r="B645" s="345"/>
      <c r="C645" s="345"/>
      <c r="D645" s="345"/>
      <c r="E645" s="345"/>
      <c r="F645" s="345"/>
      <c r="G645" s="345"/>
      <c r="H645" s="345"/>
      <c r="I645" s="345"/>
    </row>
    <row r="646" spans="1:9" ht="20.25">
      <c r="A646" s="345"/>
      <c r="B646" s="345"/>
      <c r="C646" s="345"/>
      <c r="D646" s="345"/>
      <c r="E646" s="345"/>
      <c r="F646" s="345"/>
      <c r="G646" s="345"/>
      <c r="H646" s="345"/>
      <c r="I646" s="345"/>
    </row>
    <row r="647" spans="1:9" ht="20.25">
      <c r="A647" s="345"/>
      <c r="B647" s="345"/>
      <c r="C647" s="345"/>
      <c r="D647" s="345"/>
      <c r="E647" s="345"/>
      <c r="F647" s="345"/>
      <c r="G647" s="345"/>
      <c r="H647" s="345"/>
      <c r="I647" s="345"/>
    </row>
    <row r="648" spans="1:9" ht="20.25">
      <c r="A648" s="345"/>
      <c r="B648" s="345"/>
      <c r="C648" s="345"/>
      <c r="D648" s="345"/>
      <c r="E648" s="345"/>
      <c r="F648" s="345"/>
      <c r="G648" s="345"/>
      <c r="H648" s="345"/>
      <c r="I648" s="345"/>
    </row>
    <row r="649" spans="1:9" ht="20.25">
      <c r="A649" s="345"/>
      <c r="B649" s="345"/>
      <c r="C649" s="345"/>
      <c r="D649" s="345"/>
      <c r="E649" s="345"/>
      <c r="F649" s="345"/>
      <c r="G649" s="345"/>
      <c r="H649" s="345"/>
      <c r="I649" s="345"/>
    </row>
    <row r="650" spans="1:9" ht="20.25">
      <c r="A650" s="345"/>
      <c r="B650" s="345"/>
      <c r="C650" s="345"/>
      <c r="D650" s="345"/>
      <c r="E650" s="345"/>
      <c r="F650" s="345"/>
      <c r="G650" s="345"/>
      <c r="H650" s="345"/>
      <c r="I650" s="345"/>
    </row>
    <row r="651" spans="1:9" ht="20.25">
      <c r="A651" s="345"/>
      <c r="B651" s="345"/>
      <c r="C651" s="345"/>
      <c r="D651" s="345"/>
      <c r="E651" s="345"/>
      <c r="F651" s="345"/>
      <c r="G651" s="345"/>
      <c r="H651" s="345"/>
      <c r="I651" s="345"/>
    </row>
    <row r="652" spans="1:9" ht="20.25">
      <c r="A652" s="345"/>
      <c r="B652" s="345"/>
      <c r="C652" s="345"/>
      <c r="D652" s="345"/>
      <c r="E652" s="345"/>
      <c r="F652" s="345"/>
      <c r="G652" s="345"/>
      <c r="H652" s="345"/>
      <c r="I652" s="345"/>
    </row>
    <row r="653" spans="1:9" ht="20.25">
      <c r="A653" s="345"/>
      <c r="B653" s="345"/>
      <c r="C653" s="345"/>
      <c r="D653" s="345"/>
      <c r="E653" s="345"/>
      <c r="F653" s="345"/>
      <c r="G653" s="345"/>
      <c r="H653" s="345"/>
      <c r="I653" s="345"/>
    </row>
    <row r="654" spans="1:9" ht="20.25">
      <c r="A654" s="345"/>
      <c r="B654" s="345"/>
      <c r="C654" s="345"/>
      <c r="D654" s="345"/>
      <c r="E654" s="345"/>
      <c r="F654" s="345"/>
      <c r="G654" s="345"/>
      <c r="H654" s="345"/>
      <c r="I654" s="345"/>
    </row>
    <row r="655" spans="1:9" ht="20.25">
      <c r="A655" s="345"/>
      <c r="B655" s="345"/>
      <c r="C655" s="345"/>
      <c r="D655" s="345"/>
      <c r="E655" s="345"/>
      <c r="F655" s="345"/>
      <c r="G655" s="345"/>
      <c r="H655" s="345"/>
      <c r="I655" s="345"/>
    </row>
    <row r="656" spans="1:9" ht="20.25">
      <c r="A656" s="345"/>
      <c r="B656" s="345"/>
      <c r="C656" s="345"/>
      <c r="D656" s="345"/>
      <c r="E656" s="345"/>
      <c r="F656" s="345"/>
      <c r="G656" s="345"/>
      <c r="H656" s="345"/>
      <c r="I656" s="345"/>
    </row>
    <row r="657" spans="1:9" ht="20.25">
      <c r="A657" s="345"/>
      <c r="B657" s="345"/>
      <c r="C657" s="345"/>
      <c r="D657" s="345"/>
      <c r="E657" s="345"/>
      <c r="F657" s="345"/>
      <c r="G657" s="345"/>
      <c r="H657" s="345"/>
      <c r="I657" s="345"/>
    </row>
    <row r="658" spans="1:9" ht="20.25">
      <c r="A658" s="345"/>
      <c r="B658" s="345"/>
      <c r="C658" s="345"/>
      <c r="D658" s="345"/>
      <c r="E658" s="345"/>
      <c r="F658" s="345"/>
      <c r="G658" s="345"/>
      <c r="H658" s="345"/>
      <c r="I658" s="345"/>
    </row>
    <row r="659" spans="1:9" ht="20.25">
      <c r="A659" s="345"/>
      <c r="B659" s="345"/>
      <c r="C659" s="345"/>
      <c r="D659" s="345"/>
      <c r="E659" s="345"/>
      <c r="F659" s="345"/>
      <c r="G659" s="345"/>
      <c r="H659" s="345"/>
      <c r="I659" s="345"/>
    </row>
    <row r="660" spans="1:9" ht="20.25">
      <c r="A660" s="345"/>
      <c r="B660" s="345"/>
      <c r="C660" s="345"/>
      <c r="D660" s="345"/>
      <c r="E660" s="345"/>
      <c r="F660" s="345"/>
      <c r="G660" s="345"/>
      <c r="H660" s="345"/>
      <c r="I660" s="345"/>
    </row>
    <row r="661" spans="1:9" ht="20.25">
      <c r="A661" s="345"/>
      <c r="B661" s="345"/>
      <c r="C661" s="345"/>
      <c r="D661" s="345"/>
      <c r="E661" s="345"/>
      <c r="F661" s="345"/>
      <c r="G661" s="345"/>
      <c r="H661" s="345"/>
      <c r="I661" s="345"/>
    </row>
    <row r="662" spans="1:9" ht="20.25">
      <c r="A662" s="345"/>
      <c r="B662" s="345"/>
      <c r="C662" s="345"/>
      <c r="D662" s="345"/>
      <c r="E662" s="345"/>
      <c r="F662" s="345"/>
      <c r="G662" s="345"/>
      <c r="H662" s="345"/>
      <c r="I662" s="345"/>
    </row>
    <row r="663" spans="1:9" ht="20.25">
      <c r="A663" s="345"/>
      <c r="B663" s="345"/>
      <c r="C663" s="345"/>
      <c r="D663" s="345"/>
      <c r="E663" s="345"/>
      <c r="F663" s="345"/>
      <c r="G663" s="345"/>
      <c r="H663" s="345"/>
      <c r="I663" s="345"/>
    </row>
    <row r="664" spans="1:9" ht="20.25">
      <c r="A664" s="345"/>
      <c r="B664" s="345"/>
      <c r="C664" s="345"/>
      <c r="D664" s="345"/>
      <c r="E664" s="345"/>
      <c r="F664" s="345"/>
      <c r="G664" s="345"/>
      <c r="H664" s="345"/>
      <c r="I664" s="345"/>
    </row>
    <row r="665" spans="1:9" ht="20.25">
      <c r="A665" s="345"/>
      <c r="B665" s="345"/>
      <c r="C665" s="345"/>
      <c r="D665" s="345"/>
      <c r="E665" s="345"/>
      <c r="F665" s="345"/>
      <c r="G665" s="345"/>
      <c r="H665" s="345"/>
      <c r="I665" s="345"/>
    </row>
    <row r="666" spans="1:9" ht="20.25">
      <c r="A666" s="345"/>
      <c r="B666" s="345"/>
      <c r="C666" s="345"/>
      <c r="D666" s="345"/>
      <c r="E666" s="345"/>
      <c r="F666" s="345"/>
      <c r="G666" s="345"/>
      <c r="H666" s="345"/>
      <c r="I666" s="345"/>
    </row>
    <row r="667" spans="1:9" ht="20.25">
      <c r="A667" s="345"/>
      <c r="B667" s="345"/>
      <c r="C667" s="345"/>
      <c r="D667" s="345"/>
      <c r="E667" s="345"/>
      <c r="F667" s="345"/>
      <c r="G667" s="345"/>
      <c r="H667" s="345"/>
      <c r="I667" s="345"/>
    </row>
    <row r="668" spans="1:9" ht="20.25">
      <c r="A668" s="345"/>
      <c r="B668" s="345"/>
      <c r="C668" s="345"/>
      <c r="D668" s="345"/>
      <c r="E668" s="345"/>
      <c r="F668" s="345"/>
      <c r="G668" s="345"/>
      <c r="H668" s="345"/>
      <c r="I668" s="345"/>
    </row>
    <row r="669" spans="1:9" ht="20.25">
      <c r="A669" s="345"/>
      <c r="B669" s="345"/>
      <c r="C669" s="345"/>
      <c r="D669" s="345"/>
      <c r="E669" s="345"/>
      <c r="F669" s="345"/>
      <c r="G669" s="345"/>
      <c r="H669" s="345"/>
      <c r="I669" s="345"/>
    </row>
    <row r="670" spans="1:9" ht="20.25">
      <c r="A670" s="345"/>
      <c r="B670" s="345"/>
      <c r="C670" s="345"/>
      <c r="D670" s="345"/>
      <c r="E670" s="345"/>
      <c r="F670" s="345"/>
      <c r="G670" s="345"/>
      <c r="H670" s="345"/>
      <c r="I670" s="345"/>
    </row>
    <row r="671" spans="1:9" ht="20.25">
      <c r="A671" s="345"/>
      <c r="B671" s="345"/>
      <c r="C671" s="345"/>
      <c r="D671" s="345"/>
      <c r="E671" s="345"/>
      <c r="F671" s="345"/>
      <c r="G671" s="345"/>
      <c r="H671" s="345"/>
      <c r="I671" s="345"/>
    </row>
    <row r="672" spans="1:9" ht="20.25">
      <c r="A672" s="345"/>
      <c r="B672" s="345"/>
      <c r="C672" s="345"/>
      <c r="D672" s="345"/>
      <c r="E672" s="345"/>
      <c r="F672" s="345"/>
      <c r="G672" s="345"/>
      <c r="H672" s="345"/>
      <c r="I672" s="345"/>
    </row>
    <row r="673" spans="1:9" ht="20.25">
      <c r="A673" s="345"/>
      <c r="B673" s="345"/>
      <c r="C673" s="345"/>
      <c r="D673" s="345"/>
      <c r="E673" s="345"/>
      <c r="F673" s="345"/>
      <c r="G673" s="345"/>
      <c r="H673" s="345"/>
      <c r="I673" s="345"/>
    </row>
    <row r="674" spans="1:9" ht="20.25">
      <c r="A674" s="345"/>
      <c r="B674" s="345"/>
      <c r="C674" s="345"/>
      <c r="D674" s="345"/>
      <c r="E674" s="345"/>
      <c r="F674" s="345"/>
      <c r="G674" s="345"/>
      <c r="H674" s="345"/>
      <c r="I674" s="345"/>
    </row>
    <row r="675" spans="1:9" ht="20.25">
      <c r="A675" s="345"/>
      <c r="B675" s="345"/>
      <c r="C675" s="345"/>
      <c r="D675" s="345"/>
      <c r="E675" s="345"/>
      <c r="F675" s="345"/>
      <c r="G675" s="345"/>
      <c r="H675" s="345"/>
      <c r="I675" s="345"/>
    </row>
    <row r="676" spans="1:9" ht="20.25">
      <c r="A676" s="345"/>
      <c r="B676" s="345"/>
      <c r="C676" s="345"/>
      <c r="D676" s="345"/>
      <c r="E676" s="345"/>
      <c r="F676" s="345"/>
      <c r="G676" s="345"/>
      <c r="H676" s="345"/>
      <c r="I676" s="345"/>
    </row>
    <row r="677" spans="1:9" ht="20.25">
      <c r="A677" s="345"/>
      <c r="B677" s="345"/>
      <c r="C677" s="345"/>
      <c r="D677" s="345"/>
      <c r="E677" s="345"/>
      <c r="F677" s="345"/>
      <c r="G677" s="345"/>
      <c r="H677" s="345"/>
      <c r="I677" s="345"/>
    </row>
    <row r="678" spans="1:9" ht="20.25">
      <c r="A678" s="345"/>
      <c r="B678" s="345"/>
      <c r="C678" s="345"/>
      <c r="D678" s="345"/>
      <c r="E678" s="345"/>
      <c r="F678" s="345"/>
      <c r="G678" s="345"/>
      <c r="H678" s="345"/>
      <c r="I678" s="345"/>
    </row>
    <row r="679" spans="1:9" ht="20.25">
      <c r="A679" s="345"/>
      <c r="B679" s="345"/>
      <c r="C679" s="345"/>
      <c r="D679" s="345"/>
      <c r="E679" s="345"/>
      <c r="F679" s="345"/>
      <c r="G679" s="345"/>
      <c r="H679" s="345"/>
      <c r="I679" s="345"/>
    </row>
    <row r="680" spans="1:9" ht="20.25">
      <c r="A680" s="345"/>
      <c r="B680" s="345"/>
      <c r="C680" s="345"/>
      <c r="D680" s="345"/>
      <c r="E680" s="345"/>
      <c r="F680" s="345"/>
      <c r="G680" s="345"/>
      <c r="H680" s="345"/>
      <c r="I680" s="345"/>
    </row>
    <row r="681" spans="1:9" ht="20.25">
      <c r="A681" s="345"/>
      <c r="B681" s="345"/>
      <c r="C681" s="345"/>
      <c r="D681" s="345"/>
      <c r="E681" s="345"/>
      <c r="F681" s="345"/>
      <c r="G681" s="345"/>
      <c r="H681" s="345"/>
      <c r="I681" s="345"/>
    </row>
    <row r="682" spans="1:9" ht="20.25">
      <c r="A682" s="345"/>
      <c r="B682" s="345"/>
      <c r="C682" s="345"/>
      <c r="D682" s="345"/>
      <c r="E682" s="345"/>
      <c r="F682" s="345"/>
      <c r="G682" s="345"/>
      <c r="H682" s="345"/>
      <c r="I682" s="345"/>
    </row>
    <row r="683" spans="1:9" ht="20.25">
      <c r="A683" s="345"/>
      <c r="B683" s="345"/>
      <c r="C683" s="345"/>
      <c r="D683" s="345"/>
      <c r="E683" s="345"/>
      <c r="F683" s="345"/>
      <c r="G683" s="345"/>
      <c r="H683" s="345"/>
      <c r="I683" s="345"/>
    </row>
    <row r="684" spans="1:9" ht="20.25">
      <c r="A684" s="345"/>
      <c r="B684" s="345"/>
      <c r="C684" s="345"/>
      <c r="D684" s="345"/>
      <c r="E684" s="345"/>
      <c r="F684" s="345"/>
      <c r="G684" s="345"/>
      <c r="H684" s="345"/>
      <c r="I684" s="345"/>
    </row>
    <row r="685" spans="1:9" ht="20.25">
      <c r="A685" s="345"/>
      <c r="B685" s="345"/>
      <c r="C685" s="345"/>
      <c r="D685" s="345"/>
      <c r="E685" s="345"/>
      <c r="F685" s="345"/>
      <c r="G685" s="345"/>
      <c r="H685" s="345"/>
      <c r="I685" s="345"/>
    </row>
    <row r="686" spans="1:9" ht="20.25">
      <c r="A686" s="345"/>
      <c r="B686" s="345"/>
      <c r="C686" s="345"/>
      <c r="D686" s="345"/>
      <c r="E686" s="345"/>
      <c r="F686" s="345"/>
      <c r="G686" s="345"/>
      <c r="H686" s="345"/>
      <c r="I686" s="345"/>
    </row>
    <row r="687" spans="1:9" ht="20.25">
      <c r="A687" s="345"/>
      <c r="B687" s="345"/>
      <c r="C687" s="345"/>
      <c r="D687" s="345"/>
      <c r="E687" s="345"/>
      <c r="F687" s="345"/>
      <c r="G687" s="345"/>
      <c r="H687" s="345"/>
      <c r="I687" s="345"/>
    </row>
    <row r="688" spans="1:9" ht="20.25">
      <c r="A688" s="345"/>
      <c r="B688" s="345"/>
      <c r="C688" s="345"/>
      <c r="D688" s="345"/>
      <c r="E688" s="345"/>
      <c r="F688" s="345"/>
      <c r="G688" s="345"/>
      <c r="H688" s="345"/>
      <c r="I688" s="345"/>
    </row>
    <row r="689" spans="1:9" ht="20.25">
      <c r="A689" s="345"/>
      <c r="B689" s="345"/>
      <c r="C689" s="345"/>
      <c r="D689" s="345"/>
      <c r="E689" s="345"/>
      <c r="F689" s="345"/>
      <c r="G689" s="345"/>
      <c r="H689" s="345"/>
      <c r="I689" s="345"/>
    </row>
    <row r="690" spans="1:9" ht="20.25">
      <c r="A690" s="345"/>
      <c r="B690" s="345"/>
      <c r="C690" s="345"/>
      <c r="D690" s="345"/>
      <c r="E690" s="345"/>
      <c r="F690" s="345"/>
      <c r="G690" s="345"/>
      <c r="H690" s="345"/>
      <c r="I690" s="345"/>
    </row>
    <row r="691" spans="1:9" ht="20.25">
      <c r="A691" s="345"/>
      <c r="B691" s="345"/>
      <c r="C691" s="345"/>
      <c r="D691" s="345"/>
      <c r="E691" s="345"/>
      <c r="F691" s="345"/>
      <c r="G691" s="345"/>
      <c r="H691" s="345"/>
      <c r="I691" s="345"/>
    </row>
    <row r="692" spans="1:9" ht="20.25">
      <c r="A692" s="345"/>
      <c r="B692" s="345"/>
      <c r="C692" s="345"/>
      <c r="D692" s="345"/>
      <c r="E692" s="345"/>
      <c r="F692" s="345"/>
      <c r="G692" s="345"/>
      <c r="H692" s="345"/>
      <c r="I692" s="345"/>
    </row>
    <row r="693" spans="1:9" ht="20.25">
      <c r="A693" s="345"/>
      <c r="B693" s="345"/>
      <c r="C693" s="345"/>
      <c r="D693" s="345"/>
      <c r="E693" s="345"/>
      <c r="F693" s="345"/>
      <c r="G693" s="345"/>
      <c r="H693" s="345"/>
      <c r="I693" s="345"/>
    </row>
    <row r="694" spans="1:9" ht="20.25">
      <c r="A694" s="345"/>
      <c r="B694" s="345"/>
      <c r="C694" s="345"/>
      <c r="D694" s="345"/>
      <c r="E694" s="345"/>
      <c r="F694" s="345"/>
      <c r="G694" s="345"/>
      <c r="H694" s="345"/>
      <c r="I694" s="345"/>
    </row>
    <row r="695" spans="1:9" ht="20.25">
      <c r="A695" s="345"/>
      <c r="B695" s="345"/>
      <c r="C695" s="345"/>
      <c r="D695" s="345"/>
      <c r="E695" s="345"/>
      <c r="F695" s="345"/>
      <c r="G695" s="345"/>
      <c r="H695" s="345"/>
      <c r="I695" s="345"/>
    </row>
    <row r="696" spans="1:9" ht="20.25">
      <c r="A696" s="345"/>
      <c r="B696" s="345"/>
      <c r="C696" s="345"/>
      <c r="D696" s="345"/>
      <c r="E696" s="345"/>
      <c r="F696" s="345"/>
      <c r="G696" s="345"/>
      <c r="H696" s="345"/>
      <c r="I696" s="345"/>
    </row>
    <row r="697" spans="1:9" ht="20.25">
      <c r="A697" s="345"/>
      <c r="B697" s="345"/>
      <c r="C697" s="345"/>
      <c r="D697" s="345"/>
      <c r="E697" s="345"/>
      <c r="F697" s="345"/>
      <c r="G697" s="345"/>
      <c r="H697" s="345"/>
      <c r="I697" s="345"/>
    </row>
    <row r="698" spans="1:9" ht="20.25">
      <c r="A698" s="345"/>
      <c r="B698" s="345"/>
      <c r="C698" s="345"/>
      <c r="D698" s="345"/>
      <c r="E698" s="345"/>
      <c r="F698" s="345"/>
      <c r="G698" s="345"/>
      <c r="H698" s="345"/>
      <c r="I698" s="345"/>
    </row>
    <row r="699" spans="1:9" ht="20.25">
      <c r="A699" s="345"/>
      <c r="B699" s="345"/>
      <c r="C699" s="345"/>
      <c r="D699" s="345"/>
      <c r="E699" s="345"/>
      <c r="F699" s="345"/>
      <c r="G699" s="345"/>
      <c r="H699" s="345"/>
      <c r="I699" s="345"/>
    </row>
    <row r="700" spans="1:9" ht="20.25">
      <c r="A700" s="345"/>
      <c r="B700" s="345"/>
      <c r="C700" s="345"/>
      <c r="D700" s="345"/>
      <c r="E700" s="345"/>
      <c r="F700" s="345"/>
      <c r="G700" s="345"/>
      <c r="H700" s="345"/>
      <c r="I700" s="345"/>
    </row>
    <row r="701" spans="1:9" ht="20.25">
      <c r="A701" s="345"/>
      <c r="B701" s="345"/>
      <c r="C701" s="345"/>
      <c r="D701" s="345"/>
      <c r="E701" s="345"/>
      <c r="F701" s="345"/>
      <c r="G701" s="345"/>
      <c r="H701" s="345"/>
      <c r="I701" s="345"/>
    </row>
    <row r="702" spans="1:9" ht="20.25">
      <c r="A702" s="345"/>
      <c r="B702" s="345"/>
      <c r="C702" s="345"/>
      <c r="D702" s="345"/>
      <c r="E702" s="345"/>
      <c r="F702" s="345"/>
      <c r="G702" s="345"/>
      <c r="H702" s="345"/>
      <c r="I702" s="345"/>
    </row>
    <row r="703" spans="1:9" ht="20.25">
      <c r="A703" s="345"/>
      <c r="B703" s="345"/>
      <c r="C703" s="345"/>
      <c r="D703" s="345"/>
      <c r="E703" s="345"/>
      <c r="F703" s="345"/>
      <c r="G703" s="345"/>
      <c r="H703" s="345"/>
      <c r="I703" s="345"/>
    </row>
    <row r="704" spans="1:9" ht="20.25">
      <c r="A704" s="345"/>
      <c r="B704" s="345"/>
      <c r="C704" s="345"/>
      <c r="D704" s="345"/>
      <c r="E704" s="345"/>
      <c r="F704" s="345"/>
      <c r="G704" s="345"/>
      <c r="H704" s="345"/>
      <c r="I704" s="345"/>
    </row>
    <row r="705" spans="1:9" ht="20.25">
      <c r="A705" s="345"/>
      <c r="B705" s="345"/>
      <c r="C705" s="345"/>
      <c r="D705" s="345"/>
      <c r="E705" s="345"/>
      <c r="F705" s="345"/>
      <c r="G705" s="345"/>
      <c r="H705" s="345"/>
      <c r="I705" s="345"/>
    </row>
    <row r="706" spans="1:9" ht="20.25">
      <c r="A706" s="345"/>
      <c r="B706" s="345"/>
      <c r="C706" s="345"/>
      <c r="D706" s="345"/>
      <c r="E706" s="345"/>
      <c r="F706" s="345"/>
      <c r="G706" s="345"/>
      <c r="H706" s="345"/>
      <c r="I706" s="345"/>
    </row>
    <row r="707" spans="1:9" ht="20.25">
      <c r="A707" s="345"/>
      <c r="B707" s="345"/>
      <c r="C707" s="345"/>
      <c r="D707" s="345"/>
      <c r="E707" s="345"/>
      <c r="F707" s="345"/>
      <c r="G707" s="345"/>
      <c r="H707" s="345"/>
      <c r="I707" s="345"/>
    </row>
    <row r="708" spans="1:9" ht="20.25">
      <c r="A708" s="345"/>
      <c r="B708" s="345"/>
      <c r="C708" s="345"/>
      <c r="D708" s="345"/>
      <c r="E708" s="345"/>
      <c r="F708" s="345"/>
      <c r="G708" s="345"/>
      <c r="H708" s="345"/>
      <c r="I708" s="345"/>
    </row>
    <row r="709" spans="1:9" ht="20.25">
      <c r="A709" s="345"/>
      <c r="B709" s="345"/>
      <c r="C709" s="345"/>
      <c r="D709" s="345"/>
      <c r="E709" s="345"/>
      <c r="F709" s="345"/>
      <c r="G709" s="345"/>
      <c r="H709" s="345"/>
      <c r="I709" s="345"/>
    </row>
    <row r="710" spans="1:9" ht="20.25">
      <c r="A710" s="345"/>
      <c r="B710" s="345"/>
      <c r="C710" s="345"/>
      <c r="D710" s="345"/>
      <c r="E710" s="345"/>
      <c r="F710" s="345"/>
      <c r="G710" s="345"/>
      <c r="H710" s="345"/>
      <c r="I710" s="345"/>
    </row>
    <row r="711" spans="1:9" ht="20.25">
      <c r="A711" s="345"/>
      <c r="B711" s="345"/>
      <c r="C711" s="345"/>
      <c r="D711" s="345"/>
      <c r="E711" s="345"/>
      <c r="F711" s="345"/>
      <c r="G711" s="345"/>
      <c r="H711" s="345"/>
      <c r="I711" s="345"/>
    </row>
    <row r="712" spans="1:9" ht="20.25">
      <c r="A712" s="345"/>
      <c r="B712" s="345"/>
      <c r="C712" s="345"/>
      <c r="D712" s="345"/>
      <c r="E712" s="345"/>
      <c r="F712" s="345"/>
      <c r="G712" s="345"/>
      <c r="H712" s="345"/>
      <c r="I712" s="345"/>
    </row>
    <row r="713" spans="1:9" ht="20.25">
      <c r="A713" s="345"/>
      <c r="B713" s="345"/>
      <c r="C713" s="345"/>
      <c r="D713" s="345"/>
      <c r="E713" s="345"/>
      <c r="F713" s="345"/>
      <c r="G713" s="345"/>
      <c r="H713" s="345"/>
      <c r="I713" s="345"/>
    </row>
    <row r="714" spans="1:9" ht="20.25">
      <c r="A714" s="345"/>
      <c r="B714" s="345"/>
      <c r="C714" s="345"/>
      <c r="D714" s="345"/>
      <c r="E714" s="345"/>
      <c r="F714" s="345"/>
      <c r="G714" s="345"/>
      <c r="H714" s="345"/>
      <c r="I714" s="345"/>
    </row>
    <row r="715" spans="1:9" ht="20.25">
      <c r="A715" s="345"/>
      <c r="B715" s="345"/>
      <c r="C715" s="345"/>
      <c r="D715" s="345"/>
      <c r="E715" s="345"/>
      <c r="F715" s="345"/>
      <c r="G715" s="345"/>
      <c r="H715" s="345"/>
      <c r="I715" s="345"/>
    </row>
    <row r="716" spans="1:9" ht="20.25">
      <c r="A716" s="345"/>
      <c r="B716" s="345"/>
      <c r="C716" s="345"/>
      <c r="D716" s="345"/>
      <c r="E716" s="345"/>
      <c r="F716" s="345"/>
      <c r="G716" s="345"/>
      <c r="H716" s="345"/>
      <c r="I716" s="345"/>
    </row>
    <row r="717" spans="1:9" ht="20.25">
      <c r="A717" s="345"/>
      <c r="B717" s="345"/>
      <c r="C717" s="345"/>
      <c r="D717" s="345"/>
      <c r="E717" s="345"/>
      <c r="F717" s="345"/>
      <c r="G717" s="345"/>
      <c r="H717" s="345"/>
      <c r="I717" s="345"/>
    </row>
    <row r="718" spans="1:9" ht="20.25">
      <c r="A718" s="345"/>
      <c r="B718" s="345"/>
      <c r="C718" s="345"/>
      <c r="D718" s="345"/>
      <c r="E718" s="345"/>
      <c r="F718" s="345"/>
      <c r="G718" s="345"/>
      <c r="H718" s="345"/>
      <c r="I718" s="345"/>
    </row>
    <row r="719" spans="1:9" ht="20.25">
      <c r="A719" s="345"/>
      <c r="B719" s="345"/>
      <c r="C719" s="345"/>
      <c r="D719" s="345"/>
      <c r="E719" s="345"/>
      <c r="F719" s="345"/>
      <c r="G719" s="345"/>
      <c r="H719" s="345"/>
      <c r="I719" s="345"/>
    </row>
    <row r="720" spans="1:9" ht="20.25">
      <c r="A720" s="345"/>
      <c r="B720" s="345"/>
      <c r="C720" s="345"/>
      <c r="D720" s="345"/>
      <c r="E720" s="345"/>
      <c r="F720" s="345"/>
      <c r="G720" s="345"/>
      <c r="H720" s="345"/>
      <c r="I720" s="345"/>
    </row>
    <row r="721" spans="1:9" ht="20.25">
      <c r="A721" s="345"/>
      <c r="B721" s="345"/>
      <c r="C721" s="345"/>
      <c r="D721" s="345"/>
      <c r="E721" s="345"/>
      <c r="F721" s="345"/>
      <c r="G721" s="345"/>
      <c r="H721" s="345"/>
      <c r="I721" s="345"/>
    </row>
    <row r="722" spans="1:9" ht="20.25">
      <c r="A722" s="345"/>
      <c r="B722" s="345"/>
      <c r="C722" s="345"/>
      <c r="D722" s="345"/>
      <c r="E722" s="345"/>
      <c r="F722" s="345"/>
      <c r="G722" s="345"/>
      <c r="H722" s="345"/>
      <c r="I722" s="345"/>
    </row>
    <row r="723" spans="1:9" ht="20.25">
      <c r="A723" s="345"/>
      <c r="B723" s="345"/>
      <c r="C723" s="345"/>
      <c r="D723" s="345"/>
      <c r="E723" s="345"/>
      <c r="F723" s="345"/>
      <c r="G723" s="345"/>
      <c r="H723" s="345"/>
      <c r="I723" s="345"/>
    </row>
    <row r="724" spans="1:9" ht="20.25">
      <c r="A724" s="345"/>
      <c r="B724" s="345"/>
      <c r="C724" s="345"/>
      <c r="D724" s="345"/>
      <c r="E724" s="345"/>
      <c r="F724" s="345"/>
      <c r="G724" s="345"/>
      <c r="H724" s="345"/>
      <c r="I724" s="345"/>
    </row>
    <row r="725" spans="1:9" ht="20.25">
      <c r="A725" s="345"/>
      <c r="B725" s="345"/>
      <c r="C725" s="345"/>
      <c r="D725" s="345"/>
      <c r="E725" s="345"/>
      <c r="F725" s="345"/>
      <c r="G725" s="345"/>
      <c r="H725" s="345"/>
      <c r="I725" s="345"/>
    </row>
    <row r="726" spans="1:9" ht="20.25">
      <c r="A726" s="345"/>
      <c r="B726" s="345"/>
      <c r="C726" s="345"/>
      <c r="D726" s="345"/>
      <c r="E726" s="345"/>
      <c r="F726" s="345"/>
      <c r="G726" s="345"/>
      <c r="H726" s="345"/>
      <c r="I726" s="345"/>
    </row>
    <row r="727" spans="1:9" ht="20.25">
      <c r="A727" s="345"/>
      <c r="B727" s="345"/>
      <c r="C727" s="345"/>
      <c r="D727" s="345"/>
      <c r="E727" s="345"/>
      <c r="F727" s="345"/>
      <c r="G727" s="345"/>
      <c r="H727" s="345"/>
      <c r="I727" s="345"/>
    </row>
    <row r="728" spans="1:9" ht="20.25">
      <c r="A728" s="345"/>
      <c r="B728" s="345"/>
      <c r="C728" s="345"/>
      <c r="D728" s="345"/>
      <c r="E728" s="345"/>
      <c r="F728" s="345"/>
      <c r="G728" s="345"/>
      <c r="H728" s="345"/>
      <c r="I728" s="345"/>
    </row>
    <row r="729" spans="1:9" ht="20.25">
      <c r="A729" s="345"/>
      <c r="B729" s="345"/>
      <c r="C729" s="345"/>
      <c r="D729" s="345"/>
      <c r="E729" s="345"/>
      <c r="F729" s="345"/>
      <c r="G729" s="345"/>
      <c r="H729" s="345"/>
      <c r="I729" s="345"/>
    </row>
    <row r="730" spans="1:9" ht="20.25">
      <c r="A730" s="345"/>
      <c r="B730" s="345"/>
      <c r="C730" s="345"/>
      <c r="D730" s="345"/>
      <c r="E730" s="345"/>
      <c r="F730" s="345"/>
      <c r="G730" s="345"/>
      <c r="H730" s="345"/>
      <c r="I730" s="345"/>
    </row>
    <row r="731" spans="1:9" ht="20.25">
      <c r="A731" s="345"/>
      <c r="B731" s="345"/>
      <c r="C731" s="345"/>
      <c r="D731" s="345"/>
      <c r="E731" s="345"/>
      <c r="F731" s="345"/>
      <c r="G731" s="345"/>
      <c r="H731" s="345"/>
      <c r="I731" s="345"/>
    </row>
    <row r="732" spans="1:9" ht="20.25">
      <c r="A732" s="345"/>
      <c r="B732" s="345"/>
      <c r="C732" s="345"/>
      <c r="D732" s="345"/>
      <c r="E732" s="345"/>
      <c r="F732" s="345"/>
      <c r="G732" s="345"/>
      <c r="H732" s="345"/>
      <c r="I732" s="345"/>
    </row>
    <row r="733" spans="1:9" ht="20.25">
      <c r="A733" s="345"/>
      <c r="B733" s="345"/>
      <c r="C733" s="345"/>
      <c r="D733" s="345"/>
      <c r="E733" s="345"/>
      <c r="F733" s="345"/>
      <c r="G733" s="345"/>
      <c r="H733" s="345"/>
      <c r="I733" s="345"/>
    </row>
    <row r="734" spans="1:9" ht="20.25">
      <c r="A734" s="345"/>
      <c r="B734" s="345"/>
      <c r="C734" s="345"/>
      <c r="D734" s="345"/>
      <c r="E734" s="345"/>
      <c r="F734" s="345"/>
      <c r="G734" s="345"/>
      <c r="H734" s="345"/>
      <c r="I734" s="345"/>
    </row>
    <row r="735" spans="1:9" ht="20.25">
      <c r="A735" s="345"/>
      <c r="B735" s="345"/>
      <c r="C735" s="345"/>
      <c r="D735" s="345"/>
      <c r="E735" s="345"/>
      <c r="F735" s="345"/>
      <c r="G735" s="345"/>
      <c r="H735" s="345"/>
      <c r="I735" s="345"/>
    </row>
    <row r="736" spans="1:9" ht="20.25">
      <c r="A736" s="345"/>
      <c r="B736" s="345"/>
      <c r="C736" s="345"/>
      <c r="D736" s="345"/>
      <c r="E736" s="345"/>
      <c r="F736" s="345"/>
      <c r="G736" s="345"/>
      <c r="H736" s="345"/>
      <c r="I736" s="345"/>
    </row>
    <row r="737" spans="1:9" ht="20.25">
      <c r="A737" s="345"/>
      <c r="B737" s="345"/>
      <c r="C737" s="345"/>
      <c r="D737" s="345"/>
      <c r="E737" s="345"/>
      <c r="F737" s="345"/>
      <c r="G737" s="345"/>
      <c r="H737" s="345"/>
      <c r="I737" s="345"/>
    </row>
    <row r="738" spans="1:9" ht="20.25">
      <c r="A738" s="345"/>
      <c r="B738" s="345"/>
      <c r="C738" s="345"/>
      <c r="D738" s="345"/>
      <c r="E738" s="345"/>
      <c r="F738" s="345"/>
      <c r="G738" s="345"/>
      <c r="H738" s="345"/>
      <c r="I738" s="345"/>
    </row>
    <row r="739" spans="1:9" ht="20.25">
      <c r="A739" s="345"/>
      <c r="B739" s="345"/>
      <c r="C739" s="345"/>
      <c r="D739" s="345"/>
      <c r="E739" s="345"/>
      <c r="F739" s="345"/>
      <c r="G739" s="345"/>
      <c r="H739" s="345"/>
      <c r="I739" s="345"/>
    </row>
    <row r="740" spans="1:9" ht="20.25">
      <c r="A740" s="345"/>
      <c r="B740" s="345"/>
      <c r="C740" s="345"/>
      <c r="D740" s="345"/>
      <c r="E740" s="345"/>
      <c r="F740" s="345"/>
      <c r="G740" s="345"/>
      <c r="H740" s="345"/>
      <c r="I740" s="345"/>
    </row>
    <row r="741" spans="1:9" ht="20.25">
      <c r="A741" s="345"/>
      <c r="B741" s="345"/>
      <c r="C741" s="345"/>
      <c r="D741" s="345"/>
      <c r="E741" s="345"/>
      <c r="F741" s="345"/>
      <c r="G741" s="345"/>
      <c r="H741" s="345"/>
      <c r="I741" s="345"/>
    </row>
    <row r="742" spans="1:9" ht="20.25">
      <c r="A742" s="345"/>
      <c r="B742" s="345"/>
      <c r="C742" s="345"/>
      <c r="D742" s="345"/>
      <c r="E742" s="345"/>
      <c r="F742" s="345"/>
      <c r="G742" s="345"/>
      <c r="H742" s="345"/>
      <c r="I742" s="345"/>
    </row>
    <row r="743" spans="1:9" ht="20.25">
      <c r="A743" s="345"/>
      <c r="B743" s="345"/>
      <c r="C743" s="345"/>
      <c r="D743" s="345"/>
      <c r="E743" s="345"/>
      <c r="F743" s="345"/>
      <c r="G743" s="345"/>
      <c r="H743" s="345"/>
      <c r="I743" s="345"/>
    </row>
    <row r="744" spans="1:9" ht="20.25">
      <c r="A744" s="345"/>
      <c r="B744" s="345"/>
      <c r="C744" s="345"/>
      <c r="D744" s="345"/>
      <c r="E744" s="345"/>
      <c r="F744" s="345"/>
      <c r="G744" s="345"/>
      <c r="H744" s="345"/>
      <c r="I744" s="345"/>
    </row>
    <row r="745" spans="1:9" ht="20.25">
      <c r="A745" s="345"/>
      <c r="B745" s="345"/>
      <c r="C745" s="345"/>
      <c r="D745" s="345"/>
      <c r="E745" s="345"/>
      <c r="F745" s="345"/>
      <c r="G745" s="345"/>
      <c r="H745" s="345"/>
      <c r="I745" s="345"/>
    </row>
    <row r="746" spans="1:9" ht="20.25">
      <c r="A746" s="345"/>
      <c r="B746" s="345"/>
      <c r="C746" s="345"/>
      <c r="D746" s="345"/>
      <c r="E746" s="345"/>
      <c r="F746" s="345"/>
      <c r="G746" s="345"/>
      <c r="H746" s="345"/>
      <c r="I746" s="345"/>
    </row>
    <row r="747" spans="1:9" ht="20.25">
      <c r="A747" s="345"/>
      <c r="B747" s="345"/>
      <c r="C747" s="345"/>
      <c r="D747" s="345"/>
      <c r="E747" s="345"/>
      <c r="F747" s="345"/>
      <c r="G747" s="345"/>
      <c r="H747" s="345"/>
      <c r="I747" s="345"/>
    </row>
    <row r="748" spans="1:9" ht="20.25">
      <c r="A748" s="345"/>
      <c r="B748" s="345"/>
      <c r="C748" s="345"/>
      <c r="D748" s="345"/>
      <c r="E748" s="345"/>
      <c r="F748" s="345"/>
      <c r="G748" s="345"/>
      <c r="H748" s="345"/>
      <c r="I748" s="345"/>
    </row>
    <row r="749" spans="1:9" ht="20.25">
      <c r="A749" s="345"/>
      <c r="B749" s="345"/>
      <c r="C749" s="345"/>
      <c r="D749" s="345"/>
      <c r="E749" s="345"/>
      <c r="F749" s="345"/>
      <c r="G749" s="345"/>
      <c r="H749" s="345"/>
      <c r="I749" s="345"/>
    </row>
    <row r="750" spans="1:9" ht="20.25">
      <c r="A750" s="345"/>
      <c r="B750" s="345"/>
      <c r="C750" s="345"/>
      <c r="D750" s="345"/>
      <c r="E750" s="345"/>
      <c r="F750" s="345"/>
      <c r="G750" s="345"/>
      <c r="H750" s="345"/>
      <c r="I750" s="345"/>
    </row>
    <row r="751" spans="1:9" ht="20.25">
      <c r="A751" s="345"/>
      <c r="B751" s="345"/>
      <c r="C751" s="345"/>
      <c r="D751" s="345"/>
      <c r="E751" s="345"/>
      <c r="F751" s="345"/>
      <c r="G751" s="345"/>
      <c r="H751" s="345"/>
      <c r="I751" s="345"/>
    </row>
    <row r="752" spans="1:9" ht="20.25">
      <c r="A752" s="345"/>
      <c r="B752" s="345"/>
      <c r="C752" s="345"/>
      <c r="D752" s="345"/>
      <c r="E752" s="345"/>
      <c r="F752" s="345"/>
      <c r="G752" s="345"/>
      <c r="H752" s="345"/>
      <c r="I752" s="345"/>
    </row>
    <row r="753" spans="1:9" ht="20.25">
      <c r="A753" s="345"/>
      <c r="B753" s="345"/>
      <c r="C753" s="345"/>
      <c r="D753" s="345"/>
      <c r="E753" s="345"/>
      <c r="F753" s="345"/>
      <c r="G753" s="345"/>
      <c r="H753" s="345"/>
      <c r="I753" s="345"/>
    </row>
    <row r="754" spans="1:9" ht="20.25">
      <c r="A754" s="345"/>
      <c r="B754" s="345"/>
      <c r="C754" s="345"/>
      <c r="D754" s="345"/>
      <c r="E754" s="345"/>
      <c r="F754" s="345"/>
      <c r="G754" s="345"/>
      <c r="H754" s="345"/>
      <c r="I754" s="345"/>
    </row>
    <row r="755" spans="1:9" ht="20.25">
      <c r="A755" s="345"/>
      <c r="B755" s="345"/>
      <c r="C755" s="345"/>
      <c r="D755" s="345"/>
      <c r="E755" s="345"/>
      <c r="F755" s="345"/>
      <c r="G755" s="345"/>
      <c r="H755" s="345"/>
      <c r="I755" s="345"/>
    </row>
    <row r="756" spans="1:9" ht="20.25">
      <c r="A756" s="345"/>
      <c r="B756" s="345"/>
      <c r="C756" s="345"/>
      <c r="D756" s="345"/>
      <c r="E756" s="345"/>
      <c r="F756" s="345"/>
      <c r="G756" s="345"/>
      <c r="H756" s="345"/>
      <c r="I756" s="345"/>
    </row>
    <row r="757" spans="1:9" ht="20.25">
      <c r="A757" s="345"/>
      <c r="B757" s="345"/>
      <c r="C757" s="345"/>
      <c r="D757" s="345"/>
      <c r="E757" s="345"/>
      <c r="F757" s="345"/>
      <c r="G757" s="345"/>
      <c r="H757" s="345"/>
      <c r="I757" s="345"/>
    </row>
    <row r="758" spans="1:9" ht="20.25">
      <c r="A758" s="345"/>
      <c r="B758" s="345"/>
      <c r="C758" s="345"/>
      <c r="D758" s="345"/>
      <c r="E758" s="345"/>
      <c r="F758" s="345"/>
      <c r="G758" s="345"/>
      <c r="H758" s="345"/>
      <c r="I758" s="345"/>
    </row>
    <row r="759" spans="1:9" ht="20.25">
      <c r="A759" s="345"/>
      <c r="B759" s="345"/>
      <c r="C759" s="345"/>
      <c r="D759" s="345"/>
      <c r="E759" s="345"/>
      <c r="F759" s="345"/>
      <c r="G759" s="345"/>
      <c r="H759" s="345"/>
      <c r="I759" s="345"/>
    </row>
    <row r="760" spans="1:9" ht="20.25">
      <c r="A760" s="345"/>
      <c r="B760" s="345"/>
      <c r="C760" s="345"/>
      <c r="D760" s="345"/>
      <c r="E760" s="345"/>
      <c r="F760" s="345"/>
      <c r="G760" s="345"/>
      <c r="H760" s="345"/>
      <c r="I760" s="345"/>
    </row>
    <row r="761" spans="1:9" ht="20.25">
      <c r="A761" s="345"/>
      <c r="B761" s="345"/>
      <c r="C761" s="345"/>
      <c r="D761" s="345"/>
      <c r="E761" s="345"/>
      <c r="F761" s="345"/>
      <c r="G761" s="345"/>
      <c r="H761" s="345"/>
      <c r="I761" s="345"/>
    </row>
    <row r="762" spans="1:9" ht="20.25">
      <c r="A762" s="345"/>
      <c r="B762" s="345"/>
      <c r="C762" s="345"/>
      <c r="D762" s="345"/>
      <c r="E762" s="345"/>
      <c r="F762" s="345"/>
      <c r="G762" s="345"/>
      <c r="H762" s="345"/>
      <c r="I762" s="345"/>
    </row>
    <row r="763" spans="1:9" ht="20.25">
      <c r="A763" s="345"/>
      <c r="B763" s="345"/>
      <c r="C763" s="345"/>
      <c r="D763" s="345"/>
      <c r="E763" s="345"/>
      <c r="F763" s="345"/>
      <c r="G763" s="345"/>
      <c r="H763" s="345"/>
      <c r="I763" s="345"/>
    </row>
    <row r="764" spans="1:9" ht="20.25">
      <c r="A764" s="345"/>
      <c r="B764" s="345"/>
      <c r="C764" s="345"/>
      <c r="D764" s="345"/>
      <c r="E764" s="345"/>
      <c r="F764" s="345"/>
      <c r="G764" s="345"/>
      <c r="H764" s="345"/>
      <c r="I764" s="345"/>
    </row>
    <row r="765" spans="1:9" ht="20.25">
      <c r="A765" s="345"/>
      <c r="B765" s="345"/>
      <c r="C765" s="345"/>
      <c r="D765" s="345"/>
      <c r="E765" s="345"/>
      <c r="F765" s="345"/>
      <c r="G765" s="345"/>
      <c r="H765" s="345"/>
      <c r="I765" s="345"/>
    </row>
    <row r="766" spans="1:9" ht="20.25">
      <c r="A766" s="345"/>
      <c r="B766" s="345"/>
      <c r="C766" s="345"/>
      <c r="D766" s="345"/>
      <c r="E766" s="345"/>
      <c r="F766" s="345"/>
      <c r="G766" s="345"/>
      <c r="H766" s="345"/>
      <c r="I766" s="345"/>
    </row>
    <row r="767" spans="1:9" ht="20.25">
      <c r="A767" s="345"/>
      <c r="B767" s="345"/>
      <c r="C767" s="345"/>
      <c r="D767" s="345"/>
      <c r="E767" s="345"/>
      <c r="F767" s="345"/>
      <c r="G767" s="345"/>
      <c r="H767" s="345"/>
      <c r="I767" s="345"/>
    </row>
    <row r="768" spans="1:9" ht="20.25">
      <c r="A768" s="345"/>
      <c r="B768" s="345"/>
      <c r="C768" s="345"/>
      <c r="D768" s="345"/>
      <c r="E768" s="345"/>
      <c r="F768" s="345"/>
      <c r="G768" s="345"/>
      <c r="H768" s="345"/>
      <c r="I768" s="345"/>
    </row>
    <row r="769" spans="1:9" ht="20.25">
      <c r="A769" s="345"/>
      <c r="B769" s="345"/>
      <c r="C769" s="345"/>
      <c r="D769" s="345"/>
      <c r="E769" s="345"/>
      <c r="F769" s="345"/>
      <c r="G769" s="345"/>
      <c r="H769" s="345"/>
      <c r="I769" s="345"/>
    </row>
    <row r="770" spans="1:9" ht="20.25">
      <c r="A770" s="345"/>
      <c r="B770" s="345"/>
      <c r="C770" s="345"/>
      <c r="D770" s="345"/>
      <c r="E770" s="345"/>
      <c r="F770" s="345"/>
      <c r="G770" s="345"/>
      <c r="H770" s="345"/>
      <c r="I770" s="345"/>
    </row>
    <row r="771" spans="1:9" ht="20.25">
      <c r="A771" s="345"/>
      <c r="B771" s="345"/>
      <c r="C771" s="345"/>
      <c r="D771" s="345"/>
      <c r="E771" s="345"/>
      <c r="F771" s="345"/>
      <c r="G771" s="345"/>
      <c r="H771" s="345"/>
      <c r="I771" s="345"/>
    </row>
    <row r="772" spans="1:9" ht="20.25">
      <c r="A772" s="345"/>
      <c r="B772" s="345"/>
      <c r="C772" s="345"/>
      <c r="D772" s="345"/>
      <c r="E772" s="345"/>
      <c r="F772" s="345"/>
      <c r="G772" s="345"/>
      <c r="H772" s="345"/>
      <c r="I772" s="345"/>
    </row>
    <row r="773" spans="1:9" ht="20.25">
      <c r="A773" s="345"/>
      <c r="B773" s="345"/>
      <c r="C773" s="345"/>
      <c r="D773" s="345"/>
      <c r="E773" s="345"/>
      <c r="F773" s="345"/>
      <c r="G773" s="345"/>
      <c r="H773" s="345"/>
      <c r="I773" s="345"/>
    </row>
    <row r="774" spans="1:9" ht="20.25">
      <c r="A774" s="345"/>
      <c r="B774" s="345"/>
      <c r="C774" s="345"/>
      <c r="D774" s="345"/>
      <c r="E774" s="345"/>
      <c r="F774" s="345"/>
      <c r="G774" s="345"/>
      <c r="H774" s="345"/>
      <c r="I774" s="345"/>
    </row>
    <row r="775" spans="1:9" ht="20.25">
      <c r="A775" s="345"/>
      <c r="B775" s="345"/>
      <c r="C775" s="345"/>
      <c r="D775" s="345"/>
      <c r="E775" s="345"/>
      <c r="F775" s="345"/>
      <c r="G775" s="345"/>
      <c r="H775" s="345"/>
      <c r="I775" s="345"/>
    </row>
    <row r="776" spans="1:9" ht="20.25">
      <c r="A776" s="345"/>
      <c r="B776" s="345"/>
      <c r="C776" s="345"/>
      <c r="D776" s="345"/>
      <c r="E776" s="345"/>
      <c r="F776" s="345"/>
      <c r="G776" s="345"/>
      <c r="H776" s="345"/>
      <c r="I776" s="345"/>
    </row>
    <row r="777" spans="1:9" ht="20.25">
      <c r="A777" s="345"/>
      <c r="B777" s="345"/>
      <c r="C777" s="345"/>
      <c r="D777" s="345"/>
      <c r="E777" s="345"/>
      <c r="F777" s="345"/>
      <c r="G777" s="345"/>
      <c r="H777" s="345"/>
      <c r="I777" s="345"/>
    </row>
    <row r="778" spans="1:9" ht="20.25">
      <c r="A778" s="345"/>
      <c r="B778" s="345"/>
      <c r="C778" s="345"/>
      <c r="D778" s="345"/>
      <c r="E778" s="345"/>
      <c r="F778" s="345"/>
      <c r="G778" s="345"/>
      <c r="H778" s="345"/>
      <c r="I778" s="345"/>
    </row>
    <row r="779" spans="1:9" ht="20.25">
      <c r="A779" s="345"/>
      <c r="B779" s="345"/>
      <c r="C779" s="345"/>
      <c r="D779" s="345"/>
      <c r="E779" s="345"/>
      <c r="F779" s="345"/>
      <c r="G779" s="345"/>
      <c r="H779" s="345"/>
      <c r="I779" s="345"/>
    </row>
    <row r="780" spans="1:9" ht="20.25">
      <c r="A780" s="345"/>
      <c r="B780" s="345"/>
      <c r="C780" s="345"/>
      <c r="D780" s="345"/>
      <c r="E780" s="345"/>
      <c r="F780" s="345"/>
      <c r="G780" s="345"/>
      <c r="H780" s="345"/>
      <c r="I780" s="345"/>
    </row>
    <row r="781" spans="1:9" ht="20.25">
      <c r="A781" s="345"/>
      <c r="B781" s="345"/>
      <c r="C781" s="345"/>
      <c r="D781" s="345"/>
      <c r="E781" s="345"/>
      <c r="F781" s="345"/>
      <c r="G781" s="345"/>
      <c r="H781" s="345"/>
      <c r="I781" s="345"/>
    </row>
    <row r="782" spans="1:9" ht="20.25">
      <c r="A782" s="345"/>
      <c r="B782" s="345"/>
      <c r="C782" s="345"/>
      <c r="D782" s="345"/>
      <c r="E782" s="345"/>
      <c r="F782" s="345"/>
      <c r="G782" s="345"/>
      <c r="H782" s="345"/>
      <c r="I782" s="345"/>
    </row>
    <row r="783" spans="1:9" ht="20.25">
      <c r="A783" s="345"/>
      <c r="B783" s="345"/>
      <c r="C783" s="345"/>
      <c r="D783" s="345"/>
      <c r="E783" s="345"/>
      <c r="F783" s="345"/>
      <c r="G783" s="345"/>
      <c r="H783" s="345"/>
      <c r="I783" s="345"/>
    </row>
    <row r="784" spans="1:9" ht="20.25">
      <c r="A784" s="345"/>
      <c r="B784" s="345"/>
      <c r="C784" s="345"/>
      <c r="D784" s="345"/>
      <c r="E784" s="345"/>
      <c r="F784" s="345"/>
      <c r="G784" s="345"/>
      <c r="H784" s="345"/>
      <c r="I784" s="345"/>
    </row>
    <row r="785" spans="1:9" ht="20.25">
      <c r="A785" s="345"/>
      <c r="B785" s="345"/>
      <c r="C785" s="345"/>
      <c r="D785" s="345"/>
      <c r="E785" s="345"/>
      <c r="F785" s="345"/>
      <c r="G785" s="345"/>
      <c r="H785" s="345"/>
      <c r="I785" s="345"/>
    </row>
    <row r="786" spans="1:9" ht="20.25">
      <c r="A786" s="345"/>
      <c r="B786" s="345"/>
      <c r="C786" s="345"/>
      <c r="D786" s="345"/>
      <c r="E786" s="345"/>
      <c r="F786" s="345"/>
      <c r="G786" s="345"/>
      <c r="H786" s="345"/>
      <c r="I786" s="345"/>
    </row>
    <row r="787" spans="1:9" ht="20.25">
      <c r="A787" s="345"/>
      <c r="B787" s="345"/>
      <c r="C787" s="345"/>
      <c r="D787" s="345"/>
      <c r="E787" s="345"/>
      <c r="F787" s="345"/>
      <c r="G787" s="345"/>
      <c r="H787" s="345"/>
      <c r="I787" s="345"/>
    </row>
    <row r="788" spans="1:9" ht="20.25">
      <c r="A788" s="345"/>
      <c r="B788" s="345"/>
      <c r="C788" s="345"/>
      <c r="D788" s="345"/>
      <c r="E788" s="345"/>
      <c r="F788" s="345"/>
      <c r="G788" s="345"/>
      <c r="H788" s="345"/>
      <c r="I788" s="345"/>
    </row>
    <row r="789" spans="1:9" ht="20.25">
      <c r="A789" s="345"/>
      <c r="B789" s="345"/>
      <c r="C789" s="345"/>
      <c r="D789" s="345"/>
      <c r="E789" s="345"/>
      <c r="F789" s="345"/>
      <c r="G789" s="345"/>
      <c r="H789" s="345"/>
      <c r="I789" s="345"/>
    </row>
    <row r="790" spans="1:9" ht="20.25">
      <c r="A790" s="345"/>
      <c r="B790" s="345"/>
      <c r="C790" s="345"/>
      <c r="D790" s="345"/>
      <c r="E790" s="345"/>
      <c r="F790" s="345"/>
      <c r="G790" s="345"/>
      <c r="H790" s="345"/>
      <c r="I790" s="345"/>
    </row>
    <row r="791" spans="1:9" ht="20.25">
      <c r="A791" s="345"/>
      <c r="B791" s="345"/>
      <c r="C791" s="345"/>
      <c r="D791" s="345"/>
      <c r="E791" s="345"/>
      <c r="F791" s="345"/>
      <c r="G791" s="345"/>
      <c r="H791" s="345"/>
      <c r="I791" s="345"/>
    </row>
    <row r="792" spans="1:9" ht="20.25">
      <c r="A792" s="345"/>
      <c r="B792" s="345"/>
      <c r="C792" s="345"/>
      <c r="D792" s="345"/>
      <c r="E792" s="345"/>
      <c r="F792" s="345"/>
      <c r="G792" s="345"/>
      <c r="H792" s="345"/>
      <c r="I792" s="345"/>
    </row>
    <row r="793" spans="1:9" ht="20.25">
      <c r="A793" s="345"/>
      <c r="B793" s="345"/>
      <c r="C793" s="345"/>
      <c r="D793" s="345"/>
      <c r="E793" s="345"/>
      <c r="F793" s="345"/>
      <c r="G793" s="345"/>
      <c r="H793" s="345"/>
      <c r="I793" s="345"/>
    </row>
    <row r="794" spans="1:9" ht="20.25">
      <c r="A794" s="345"/>
      <c r="B794" s="345"/>
      <c r="C794" s="345"/>
      <c r="D794" s="345"/>
      <c r="E794" s="345"/>
      <c r="F794" s="345"/>
      <c r="G794" s="345"/>
      <c r="H794" s="345"/>
      <c r="I794" s="345"/>
    </row>
    <row r="795" spans="1:9" ht="20.25">
      <c r="A795" s="345"/>
      <c r="B795" s="345"/>
      <c r="C795" s="345"/>
      <c r="D795" s="345"/>
      <c r="E795" s="345"/>
      <c r="F795" s="345"/>
      <c r="G795" s="345"/>
      <c r="H795" s="345"/>
      <c r="I795" s="345"/>
    </row>
    <row r="796" spans="1:9" ht="20.25">
      <c r="A796" s="345"/>
      <c r="B796" s="345"/>
      <c r="C796" s="345"/>
      <c r="D796" s="345"/>
      <c r="E796" s="345"/>
      <c r="F796" s="345"/>
      <c r="G796" s="345"/>
      <c r="H796" s="345"/>
      <c r="I796" s="345"/>
    </row>
    <row r="797" spans="1:9" ht="20.25">
      <c r="A797" s="345"/>
      <c r="B797" s="345"/>
      <c r="C797" s="345"/>
      <c r="D797" s="345"/>
      <c r="E797" s="345"/>
      <c r="F797" s="345"/>
      <c r="G797" s="345"/>
      <c r="H797" s="345"/>
      <c r="I797" s="345"/>
    </row>
    <row r="798" spans="1:9" ht="20.25">
      <c r="A798" s="345"/>
      <c r="B798" s="345"/>
      <c r="C798" s="345"/>
      <c r="D798" s="345"/>
      <c r="E798" s="345"/>
      <c r="F798" s="345"/>
      <c r="G798" s="345"/>
      <c r="H798" s="345"/>
      <c r="I798" s="345"/>
    </row>
    <row r="799" spans="1:9" ht="20.25">
      <c r="A799" s="345"/>
      <c r="B799" s="345"/>
      <c r="C799" s="345"/>
      <c r="D799" s="345"/>
      <c r="E799" s="345"/>
      <c r="F799" s="345"/>
      <c r="G799" s="345"/>
      <c r="H799" s="345"/>
      <c r="I799" s="345"/>
    </row>
    <row r="800" spans="1:9" ht="20.25">
      <c r="A800" s="345"/>
      <c r="B800" s="345"/>
      <c r="C800" s="345"/>
      <c r="D800" s="345"/>
      <c r="E800" s="345"/>
      <c r="F800" s="345"/>
      <c r="G800" s="345"/>
      <c r="H800" s="345"/>
      <c r="I800" s="345"/>
    </row>
    <row r="801" spans="1:9" ht="20.25">
      <c r="A801" s="345"/>
      <c r="B801" s="345"/>
      <c r="C801" s="345"/>
      <c r="D801" s="345"/>
      <c r="E801" s="345"/>
      <c r="F801" s="345"/>
      <c r="G801" s="345"/>
      <c r="H801" s="345"/>
      <c r="I801" s="345"/>
    </row>
    <row r="802" spans="1:9" ht="20.25">
      <c r="A802" s="345"/>
      <c r="B802" s="345"/>
      <c r="C802" s="345"/>
      <c r="D802" s="345"/>
      <c r="E802" s="345"/>
      <c r="F802" s="345"/>
      <c r="G802" s="345"/>
      <c r="H802" s="345"/>
      <c r="I802" s="345"/>
    </row>
    <row r="803" spans="1:9" ht="20.25">
      <c r="A803" s="345"/>
      <c r="B803" s="345"/>
      <c r="C803" s="345"/>
      <c r="D803" s="345"/>
      <c r="E803" s="345"/>
      <c r="F803" s="345"/>
      <c r="G803" s="345"/>
      <c r="H803" s="345"/>
      <c r="I803" s="345"/>
    </row>
    <row r="804" spans="1:9" ht="20.25">
      <c r="A804" s="345"/>
      <c r="B804" s="345"/>
      <c r="C804" s="345"/>
      <c r="D804" s="345"/>
      <c r="E804" s="345"/>
      <c r="F804" s="345"/>
      <c r="G804" s="345"/>
      <c r="H804" s="345"/>
      <c r="I804" s="345"/>
    </row>
    <row r="805" spans="1:9" ht="20.25">
      <c r="A805" s="345"/>
      <c r="B805" s="345"/>
      <c r="C805" s="345"/>
      <c r="D805" s="345"/>
      <c r="E805" s="345"/>
      <c r="F805" s="345"/>
      <c r="G805" s="345"/>
      <c r="H805" s="345"/>
      <c r="I805" s="345"/>
    </row>
    <row r="806" spans="1:9" ht="20.25">
      <c r="A806" s="345"/>
      <c r="B806" s="345"/>
      <c r="C806" s="345"/>
      <c r="D806" s="345"/>
      <c r="E806" s="345"/>
      <c r="F806" s="345"/>
      <c r="G806" s="345"/>
      <c r="H806" s="345"/>
      <c r="I806" s="345"/>
    </row>
    <row r="807" spans="1:9" ht="20.25">
      <c r="A807" s="345"/>
      <c r="B807" s="345"/>
      <c r="C807" s="345"/>
      <c r="D807" s="345"/>
      <c r="E807" s="345"/>
      <c r="F807" s="345"/>
      <c r="G807" s="345"/>
      <c r="H807" s="345"/>
      <c r="I807" s="345"/>
    </row>
    <row r="808" spans="1:9" ht="20.25">
      <c r="A808" s="345"/>
      <c r="B808" s="345"/>
      <c r="C808" s="345"/>
      <c r="D808" s="345"/>
      <c r="E808" s="345"/>
      <c r="F808" s="345"/>
      <c r="G808" s="345"/>
      <c r="H808" s="345"/>
      <c r="I808" s="345"/>
    </row>
    <row r="809" spans="1:9" ht="20.25">
      <c r="A809" s="345"/>
      <c r="B809" s="345"/>
      <c r="C809" s="345"/>
      <c r="D809" s="345"/>
      <c r="E809" s="345"/>
      <c r="F809" s="345"/>
      <c r="G809" s="345"/>
      <c r="H809" s="345"/>
      <c r="I809" s="345"/>
    </row>
    <row r="810" spans="1:9" ht="20.25">
      <c r="A810" s="345"/>
      <c r="B810" s="345"/>
      <c r="C810" s="345"/>
      <c r="D810" s="345"/>
      <c r="E810" s="345"/>
      <c r="F810" s="345"/>
      <c r="G810" s="345"/>
      <c r="H810" s="345"/>
      <c r="I810" s="345"/>
    </row>
    <row r="811" spans="1:9" ht="20.25">
      <c r="A811" s="345"/>
      <c r="B811" s="345"/>
      <c r="C811" s="345"/>
      <c r="D811" s="345"/>
      <c r="E811" s="345"/>
      <c r="F811" s="345"/>
      <c r="G811" s="345"/>
      <c r="H811" s="345"/>
      <c r="I811" s="345"/>
    </row>
    <row r="812" spans="1:9" ht="20.25">
      <c r="A812" s="345"/>
      <c r="B812" s="345"/>
      <c r="C812" s="345"/>
      <c r="D812" s="345"/>
      <c r="E812" s="345"/>
      <c r="F812" s="345"/>
      <c r="G812" s="345"/>
      <c r="H812" s="345"/>
      <c r="I812" s="345"/>
    </row>
    <row r="813" spans="1:9" ht="20.25">
      <c r="A813" s="345"/>
      <c r="B813" s="345"/>
      <c r="C813" s="345"/>
      <c r="D813" s="345"/>
      <c r="E813" s="345"/>
      <c r="F813" s="345"/>
      <c r="G813" s="345"/>
      <c r="H813" s="345"/>
      <c r="I813" s="345"/>
    </row>
    <row r="814" spans="1:9" ht="20.25">
      <c r="A814" s="345"/>
      <c r="B814" s="345"/>
      <c r="C814" s="345"/>
      <c r="D814" s="345"/>
      <c r="E814" s="345"/>
      <c r="F814" s="345"/>
      <c r="G814" s="345"/>
      <c r="H814" s="345"/>
      <c r="I814" s="345"/>
    </row>
    <row r="815" spans="1:9" ht="20.25">
      <c r="A815" s="345"/>
      <c r="B815" s="345"/>
      <c r="C815" s="345"/>
      <c r="D815" s="345"/>
      <c r="E815" s="345"/>
      <c r="F815" s="345"/>
      <c r="G815" s="345"/>
      <c r="H815" s="345"/>
      <c r="I815" s="345"/>
    </row>
    <row r="816" spans="1:9" ht="20.25">
      <c r="A816" s="345"/>
      <c r="B816" s="345"/>
      <c r="C816" s="345"/>
      <c r="D816" s="345"/>
      <c r="E816" s="345"/>
      <c r="F816" s="345"/>
      <c r="G816" s="345"/>
      <c r="H816" s="345"/>
      <c r="I816" s="345"/>
    </row>
    <row r="817" spans="1:9" ht="20.25">
      <c r="A817" s="345"/>
      <c r="B817" s="345"/>
      <c r="C817" s="345"/>
      <c r="D817" s="345"/>
      <c r="E817" s="345"/>
      <c r="F817" s="345"/>
      <c r="G817" s="345"/>
      <c r="H817" s="345"/>
      <c r="I817" s="345"/>
    </row>
    <row r="818" spans="1:9" ht="20.25">
      <c r="A818" s="345"/>
      <c r="B818" s="345"/>
      <c r="C818" s="345"/>
      <c r="D818" s="345"/>
      <c r="E818" s="345"/>
      <c r="F818" s="345"/>
      <c r="G818" s="345"/>
      <c r="H818" s="345"/>
      <c r="I818" s="345"/>
    </row>
    <row r="819" spans="1:9" ht="20.25">
      <c r="A819" s="345"/>
      <c r="B819" s="345"/>
      <c r="C819" s="345"/>
      <c r="D819" s="345"/>
      <c r="E819" s="345"/>
      <c r="F819" s="345"/>
      <c r="G819" s="345"/>
      <c r="H819" s="345"/>
      <c r="I819" s="345"/>
    </row>
    <row r="820" spans="1:9" ht="20.25">
      <c r="A820" s="345"/>
      <c r="B820" s="345"/>
      <c r="C820" s="345"/>
      <c r="D820" s="345"/>
      <c r="E820" s="345"/>
      <c r="F820" s="345"/>
      <c r="G820" s="345"/>
      <c r="H820" s="345"/>
      <c r="I820" s="345"/>
    </row>
    <row r="821" spans="1:9" ht="20.25">
      <c r="A821" s="345"/>
      <c r="B821" s="345"/>
      <c r="C821" s="345"/>
      <c r="D821" s="345"/>
      <c r="E821" s="345"/>
      <c r="F821" s="345"/>
      <c r="G821" s="345"/>
      <c r="H821" s="345"/>
      <c r="I821" s="345"/>
    </row>
    <row r="822" spans="1:9" ht="20.25">
      <c r="A822" s="345"/>
      <c r="B822" s="345"/>
      <c r="C822" s="345"/>
      <c r="D822" s="345"/>
      <c r="E822" s="345"/>
      <c r="F822" s="345"/>
      <c r="G822" s="345"/>
      <c r="H822" s="345"/>
      <c r="I822" s="345"/>
    </row>
    <row r="823" spans="1:9" ht="20.25">
      <c r="A823" s="345"/>
      <c r="B823" s="345"/>
      <c r="C823" s="345"/>
      <c r="D823" s="345"/>
      <c r="E823" s="345"/>
      <c r="F823" s="345"/>
      <c r="G823" s="345"/>
      <c r="H823" s="345"/>
      <c r="I823" s="345"/>
    </row>
    <row r="824" spans="1:9" ht="20.25">
      <c r="A824" s="345"/>
      <c r="B824" s="345"/>
      <c r="C824" s="345"/>
      <c r="D824" s="345"/>
      <c r="E824" s="345"/>
      <c r="F824" s="345"/>
      <c r="G824" s="345"/>
      <c r="H824" s="345"/>
      <c r="I824" s="345"/>
    </row>
    <row r="825" spans="1:9" ht="20.25">
      <c r="A825" s="345"/>
      <c r="B825" s="345"/>
      <c r="C825" s="345"/>
      <c r="D825" s="345"/>
      <c r="E825" s="345"/>
      <c r="F825" s="345"/>
      <c r="G825" s="345"/>
      <c r="H825" s="345"/>
      <c r="I825" s="345"/>
    </row>
    <row r="826" spans="1:9" ht="20.25">
      <c r="A826" s="345"/>
      <c r="B826" s="345"/>
      <c r="C826" s="345"/>
      <c r="D826" s="345"/>
      <c r="E826" s="345"/>
      <c r="F826" s="345"/>
      <c r="G826" s="345"/>
      <c r="H826" s="345"/>
      <c r="I826" s="345"/>
    </row>
    <row r="827" spans="1:9" ht="20.25">
      <c r="A827" s="345"/>
      <c r="B827" s="345"/>
      <c r="C827" s="345"/>
      <c r="D827" s="345"/>
      <c r="E827" s="345"/>
      <c r="F827" s="345"/>
      <c r="G827" s="345"/>
      <c r="H827" s="345"/>
      <c r="I827" s="345"/>
    </row>
    <row r="828" spans="1:9" ht="20.25">
      <c r="A828" s="345"/>
      <c r="B828" s="345"/>
      <c r="C828" s="345"/>
      <c r="D828" s="345"/>
      <c r="E828" s="345"/>
      <c r="F828" s="345"/>
      <c r="G828" s="345"/>
      <c r="H828" s="345"/>
      <c r="I828" s="345"/>
    </row>
    <row r="829" spans="1:9" ht="20.25">
      <c r="A829" s="345"/>
      <c r="B829" s="345"/>
      <c r="C829" s="345"/>
      <c r="D829" s="345"/>
      <c r="E829" s="345"/>
      <c r="F829" s="345"/>
      <c r="G829" s="345"/>
      <c r="H829" s="345"/>
      <c r="I829" s="345"/>
    </row>
    <row r="830" spans="1:9" ht="20.25">
      <c r="A830" s="345"/>
      <c r="B830" s="345"/>
      <c r="C830" s="345"/>
      <c r="D830" s="345"/>
      <c r="E830" s="345"/>
      <c r="F830" s="345"/>
      <c r="G830" s="345"/>
      <c r="H830" s="345"/>
      <c r="I830" s="345"/>
    </row>
    <row r="831" spans="1:9" ht="20.25">
      <c r="A831" s="345"/>
      <c r="B831" s="345"/>
      <c r="C831" s="345"/>
      <c r="D831" s="345"/>
      <c r="E831" s="345"/>
      <c r="F831" s="345"/>
      <c r="G831" s="345"/>
      <c r="H831" s="345"/>
      <c r="I831" s="345"/>
    </row>
    <row r="832" spans="1:9" ht="20.25">
      <c r="A832" s="345"/>
      <c r="B832" s="345"/>
      <c r="C832" s="345"/>
      <c r="D832" s="345"/>
      <c r="E832" s="345"/>
      <c r="F832" s="345"/>
      <c r="G832" s="345"/>
      <c r="H832" s="345"/>
      <c r="I832" s="345"/>
    </row>
    <row r="833" spans="1:9" ht="20.25">
      <c r="A833" s="345"/>
      <c r="B833" s="345"/>
      <c r="C833" s="345"/>
      <c r="D833" s="345"/>
      <c r="E833" s="345"/>
      <c r="F833" s="345"/>
      <c r="G833" s="345"/>
      <c r="H833" s="345"/>
      <c r="I833" s="345"/>
    </row>
    <row r="834" spans="1:9" ht="20.25">
      <c r="A834" s="345"/>
      <c r="B834" s="345"/>
      <c r="C834" s="345"/>
      <c r="D834" s="345"/>
      <c r="E834" s="345"/>
      <c r="F834" s="345"/>
      <c r="G834" s="345"/>
      <c r="H834" s="345"/>
      <c r="I834" s="345"/>
    </row>
    <row r="835" spans="1:9" ht="20.25">
      <c r="A835" s="345"/>
      <c r="B835" s="345"/>
      <c r="C835" s="345"/>
      <c r="D835" s="345"/>
      <c r="E835" s="345"/>
      <c r="F835" s="345"/>
      <c r="G835" s="345"/>
      <c r="H835" s="345"/>
      <c r="I835" s="345"/>
    </row>
    <row r="836" spans="1:9" ht="20.25">
      <c r="A836" s="345"/>
      <c r="B836" s="345"/>
      <c r="C836" s="345"/>
      <c r="D836" s="345"/>
      <c r="E836" s="345"/>
      <c r="F836" s="345"/>
      <c r="G836" s="345"/>
      <c r="H836" s="345"/>
      <c r="I836" s="345"/>
    </row>
    <row r="837" spans="1:9" ht="20.25">
      <c r="A837" s="345"/>
      <c r="B837" s="345"/>
      <c r="C837" s="345"/>
      <c r="D837" s="345"/>
      <c r="E837" s="345"/>
      <c r="F837" s="345"/>
      <c r="G837" s="345"/>
      <c r="H837" s="345"/>
      <c r="I837" s="345"/>
    </row>
    <row r="838" spans="1:9" ht="20.25">
      <c r="A838" s="345"/>
      <c r="B838" s="345"/>
      <c r="C838" s="345"/>
      <c r="D838" s="345"/>
      <c r="E838" s="345"/>
      <c r="F838" s="345"/>
      <c r="G838" s="345"/>
      <c r="H838" s="345"/>
      <c r="I838" s="345"/>
    </row>
    <row r="839" spans="1:9" ht="20.25">
      <c r="A839" s="345"/>
      <c r="B839" s="345"/>
      <c r="C839" s="345"/>
      <c r="D839" s="345"/>
      <c r="E839" s="345"/>
      <c r="F839" s="345"/>
      <c r="G839" s="345"/>
      <c r="H839" s="345"/>
      <c r="I839" s="345"/>
    </row>
    <row r="840" spans="1:9" ht="20.25">
      <c r="A840" s="345"/>
      <c r="B840" s="345"/>
      <c r="C840" s="345"/>
      <c r="D840" s="345"/>
      <c r="E840" s="345"/>
      <c r="F840" s="345"/>
      <c r="G840" s="345"/>
      <c r="H840" s="345"/>
      <c r="I840" s="345"/>
    </row>
    <row r="841" spans="1:9" ht="20.25">
      <c r="A841" s="345"/>
      <c r="B841" s="345"/>
      <c r="C841" s="345"/>
      <c r="D841" s="345"/>
      <c r="E841" s="345"/>
      <c r="F841" s="345"/>
      <c r="G841" s="345"/>
      <c r="H841" s="345"/>
      <c r="I841" s="345"/>
    </row>
    <row r="842" spans="1:9" ht="20.25">
      <c r="A842" s="345"/>
      <c r="B842" s="345"/>
      <c r="C842" s="345"/>
      <c r="D842" s="345"/>
      <c r="E842" s="345"/>
      <c r="F842" s="345"/>
      <c r="G842" s="345"/>
      <c r="H842" s="345"/>
      <c r="I842" s="345"/>
    </row>
    <row r="843" spans="1:9" ht="20.25">
      <c r="A843" s="345"/>
      <c r="B843" s="345"/>
      <c r="C843" s="345"/>
      <c r="D843" s="345"/>
      <c r="E843" s="345"/>
      <c r="F843" s="345"/>
      <c r="G843" s="345"/>
      <c r="H843" s="345"/>
      <c r="I843" s="345"/>
    </row>
    <row r="844" spans="1:9" ht="20.25">
      <c r="A844" s="345"/>
      <c r="B844" s="345"/>
      <c r="C844" s="345"/>
      <c r="D844" s="345"/>
      <c r="E844" s="345"/>
      <c r="F844" s="345"/>
      <c r="G844" s="345"/>
      <c r="H844" s="345"/>
      <c r="I844" s="345"/>
    </row>
    <row r="845" spans="1:9" ht="20.25">
      <c r="A845" s="345"/>
      <c r="B845" s="345"/>
      <c r="C845" s="345"/>
      <c r="D845" s="345"/>
      <c r="E845" s="345"/>
      <c r="F845" s="345"/>
      <c r="G845" s="345"/>
      <c r="H845" s="345"/>
      <c r="I845" s="345"/>
    </row>
    <row r="846" spans="1:9" ht="20.25">
      <c r="A846" s="345"/>
      <c r="B846" s="345"/>
      <c r="C846" s="345"/>
      <c r="D846" s="345"/>
      <c r="E846" s="345"/>
      <c r="F846" s="345"/>
      <c r="G846" s="345"/>
      <c r="H846" s="345"/>
      <c r="I846" s="345"/>
    </row>
    <row r="847" spans="1:9" ht="20.25">
      <c r="A847" s="345"/>
      <c r="B847" s="345"/>
      <c r="C847" s="345"/>
      <c r="D847" s="345"/>
      <c r="E847" s="345"/>
      <c r="F847" s="345"/>
      <c r="G847" s="345"/>
      <c r="H847" s="345"/>
      <c r="I847" s="345"/>
    </row>
    <row r="848" spans="1:9" ht="20.25">
      <c r="A848" s="345"/>
      <c r="B848" s="345"/>
      <c r="C848" s="345"/>
      <c r="D848" s="345"/>
      <c r="E848" s="345"/>
      <c r="F848" s="345"/>
      <c r="G848" s="345"/>
      <c r="H848" s="345"/>
      <c r="I848" s="345"/>
    </row>
    <row r="849" spans="1:9" ht="20.25">
      <c r="A849" s="345"/>
      <c r="B849" s="345"/>
      <c r="C849" s="345"/>
      <c r="D849" s="345"/>
      <c r="E849" s="345"/>
      <c r="F849" s="345"/>
      <c r="G849" s="345"/>
      <c r="H849" s="345"/>
      <c r="I849" s="345"/>
    </row>
    <row r="850" spans="1:9" ht="20.25">
      <c r="A850" s="345"/>
      <c r="B850" s="345"/>
      <c r="C850" s="345"/>
      <c r="D850" s="345"/>
      <c r="E850" s="345"/>
      <c r="F850" s="345"/>
      <c r="G850" s="345"/>
      <c r="H850" s="345"/>
      <c r="I850" s="345"/>
    </row>
    <row r="851" spans="1:9" ht="20.25">
      <c r="A851" s="345"/>
      <c r="B851" s="345"/>
      <c r="C851" s="345"/>
      <c r="D851" s="345"/>
      <c r="E851" s="345"/>
      <c r="F851" s="345"/>
      <c r="G851" s="345"/>
      <c r="H851" s="345"/>
      <c r="I851" s="345"/>
    </row>
    <row r="852" spans="1:9" ht="20.25">
      <c r="A852" s="345"/>
      <c r="B852" s="345"/>
      <c r="C852" s="345"/>
      <c r="D852" s="345"/>
      <c r="E852" s="345"/>
      <c r="F852" s="345"/>
      <c r="G852" s="345"/>
      <c r="H852" s="345"/>
      <c r="I852" s="345"/>
    </row>
    <row r="853" spans="1:9" ht="20.25">
      <c r="A853" s="345"/>
      <c r="B853" s="345"/>
      <c r="C853" s="345"/>
      <c r="D853" s="345"/>
      <c r="E853" s="345"/>
      <c r="F853" s="345"/>
      <c r="G853" s="345"/>
      <c r="H853" s="345"/>
      <c r="I853" s="345"/>
    </row>
    <row r="854" spans="1:9" ht="20.25">
      <c r="A854" s="345"/>
      <c r="B854" s="345"/>
      <c r="C854" s="345"/>
      <c r="D854" s="345"/>
      <c r="E854" s="345"/>
      <c r="F854" s="345"/>
      <c r="G854" s="345"/>
      <c r="H854" s="345"/>
      <c r="I854" s="345"/>
    </row>
    <row r="855" spans="1:9" ht="20.25">
      <c r="A855" s="345"/>
      <c r="B855" s="345"/>
      <c r="C855" s="345"/>
      <c r="D855" s="345"/>
      <c r="E855" s="345"/>
      <c r="F855" s="345"/>
      <c r="G855" s="345"/>
      <c r="H855" s="345"/>
      <c r="I855" s="345"/>
    </row>
    <row r="856" spans="1:9" ht="20.25">
      <c r="A856" s="345"/>
      <c r="B856" s="345"/>
      <c r="C856" s="345"/>
      <c r="D856" s="345"/>
      <c r="E856" s="345"/>
      <c r="F856" s="345"/>
      <c r="G856" s="345"/>
      <c r="H856" s="345"/>
      <c r="I856" s="345"/>
    </row>
    <row r="857" spans="1:9" ht="20.25">
      <c r="A857" s="345"/>
      <c r="B857" s="345"/>
      <c r="C857" s="345"/>
      <c r="D857" s="345"/>
      <c r="E857" s="345"/>
      <c r="F857" s="345"/>
      <c r="G857" s="345"/>
      <c r="H857" s="345"/>
      <c r="I857" s="345"/>
    </row>
    <row r="858" spans="1:9" ht="20.25">
      <c r="A858" s="345"/>
      <c r="B858" s="345"/>
      <c r="C858" s="345"/>
      <c r="D858" s="345"/>
      <c r="E858" s="345"/>
      <c r="F858" s="345"/>
      <c r="G858" s="345"/>
      <c r="H858" s="345"/>
      <c r="I858" s="345"/>
    </row>
    <row r="859" spans="1:9" ht="20.25">
      <c r="A859" s="345"/>
      <c r="B859" s="345"/>
      <c r="C859" s="345"/>
      <c r="D859" s="345"/>
      <c r="E859" s="345"/>
      <c r="F859" s="345"/>
      <c r="G859" s="345"/>
      <c r="H859" s="345"/>
      <c r="I859" s="345"/>
    </row>
    <row r="860" spans="1:9" ht="20.25">
      <c r="A860" s="345"/>
      <c r="B860" s="345"/>
      <c r="C860" s="345"/>
      <c r="D860" s="345"/>
      <c r="E860" s="345"/>
      <c r="F860" s="345"/>
      <c r="G860" s="345"/>
      <c r="H860" s="345"/>
      <c r="I860" s="345"/>
    </row>
    <row r="861" spans="1:9" ht="20.25">
      <c r="A861" s="345"/>
      <c r="B861" s="345"/>
      <c r="C861" s="345"/>
      <c r="D861" s="345"/>
      <c r="E861" s="345"/>
      <c r="F861" s="345"/>
      <c r="G861" s="345"/>
      <c r="H861" s="345"/>
      <c r="I861" s="345"/>
    </row>
    <row r="862" spans="1:9" ht="20.25">
      <c r="A862" s="345"/>
      <c r="B862" s="345"/>
      <c r="C862" s="345"/>
      <c r="D862" s="345"/>
      <c r="E862" s="345"/>
      <c r="F862" s="345"/>
      <c r="G862" s="345"/>
      <c r="H862" s="345"/>
      <c r="I862" s="345"/>
    </row>
    <row r="863" spans="1:9" ht="20.25">
      <c r="A863" s="345"/>
      <c r="B863" s="345"/>
      <c r="C863" s="345"/>
      <c r="D863" s="345"/>
      <c r="E863" s="345"/>
      <c r="F863" s="345"/>
      <c r="G863" s="345"/>
      <c r="H863" s="345"/>
      <c r="I863" s="345"/>
    </row>
    <row r="864" spans="1:9" ht="20.25">
      <c r="A864" s="345"/>
      <c r="B864" s="345"/>
      <c r="C864" s="345"/>
      <c r="D864" s="345"/>
      <c r="E864" s="345"/>
      <c r="F864" s="345"/>
      <c r="G864" s="345"/>
      <c r="H864" s="345"/>
      <c r="I864" s="345"/>
    </row>
    <row r="865" spans="1:9" ht="20.25">
      <c r="A865" s="345"/>
      <c r="B865" s="345"/>
      <c r="C865" s="345"/>
      <c r="D865" s="345"/>
      <c r="E865" s="345"/>
      <c r="F865" s="345"/>
      <c r="G865" s="345"/>
      <c r="H865" s="345"/>
      <c r="I865" s="345"/>
    </row>
    <row r="866" spans="1:9" ht="20.25">
      <c r="A866" s="345"/>
      <c r="B866" s="345"/>
      <c r="C866" s="345"/>
      <c r="D866" s="345"/>
      <c r="E866" s="345"/>
      <c r="F866" s="345"/>
      <c r="G866" s="345"/>
      <c r="H866" s="345"/>
      <c r="I866" s="345"/>
    </row>
    <row r="867" spans="1:9" ht="20.25">
      <c r="A867" s="345"/>
      <c r="B867" s="345"/>
      <c r="C867" s="345"/>
      <c r="D867" s="345"/>
      <c r="E867" s="345"/>
      <c r="F867" s="345"/>
      <c r="G867" s="345"/>
      <c r="H867" s="345"/>
      <c r="I867" s="345"/>
    </row>
    <row r="868" spans="1:9" ht="20.25">
      <c r="A868" s="345"/>
      <c r="B868" s="345"/>
      <c r="C868" s="345"/>
      <c r="D868" s="345"/>
      <c r="E868" s="345"/>
      <c r="F868" s="345"/>
      <c r="G868" s="345"/>
      <c r="H868" s="345"/>
      <c r="I868" s="345"/>
    </row>
    <row r="869" spans="1:9" ht="20.25">
      <c r="A869" s="345"/>
      <c r="B869" s="345"/>
      <c r="C869" s="345"/>
      <c r="D869" s="345"/>
      <c r="E869" s="345"/>
      <c r="F869" s="345"/>
      <c r="G869" s="345"/>
      <c r="H869" s="345"/>
      <c r="I869" s="345"/>
    </row>
    <row r="870" spans="1:9" ht="20.25">
      <c r="A870" s="345"/>
      <c r="B870" s="345"/>
      <c r="C870" s="345"/>
      <c r="D870" s="345"/>
      <c r="E870" s="345"/>
      <c r="F870" s="345"/>
      <c r="G870" s="345"/>
      <c r="H870" s="345"/>
      <c r="I870" s="345"/>
    </row>
    <row r="871" spans="1:9" ht="20.25">
      <c r="A871" s="345"/>
      <c r="B871" s="345"/>
      <c r="C871" s="345"/>
      <c r="D871" s="345"/>
      <c r="E871" s="345"/>
      <c r="F871" s="345"/>
      <c r="G871" s="345"/>
      <c r="H871" s="345"/>
      <c r="I871" s="345"/>
    </row>
    <row r="872" spans="1:9" ht="20.25">
      <c r="A872" s="345"/>
      <c r="B872" s="345"/>
      <c r="C872" s="345"/>
      <c r="D872" s="345"/>
      <c r="E872" s="345"/>
      <c r="F872" s="345"/>
      <c r="G872" s="345"/>
      <c r="H872" s="345"/>
      <c r="I872" s="345"/>
    </row>
    <row r="873" spans="1:9" ht="20.25">
      <c r="A873" s="345"/>
      <c r="B873" s="345"/>
      <c r="C873" s="345"/>
      <c r="D873" s="345"/>
      <c r="E873" s="345"/>
      <c r="F873" s="345"/>
      <c r="G873" s="345"/>
      <c r="H873" s="345"/>
      <c r="I873" s="345"/>
    </row>
    <row r="874" spans="1:9" ht="20.25">
      <c r="A874" s="345"/>
      <c r="B874" s="345"/>
      <c r="C874" s="345"/>
      <c r="D874" s="345"/>
      <c r="E874" s="345"/>
      <c r="F874" s="345"/>
      <c r="G874" s="345"/>
      <c r="H874" s="345"/>
      <c r="I874" s="345"/>
    </row>
    <row r="875" spans="1:9" ht="20.25">
      <c r="A875" s="345"/>
      <c r="B875" s="345"/>
      <c r="C875" s="345"/>
      <c r="D875" s="345"/>
      <c r="E875" s="345"/>
      <c r="F875" s="345"/>
      <c r="G875" s="345"/>
      <c r="H875" s="345"/>
      <c r="I875" s="345"/>
    </row>
    <row r="876" spans="1:9" ht="20.25">
      <c r="A876" s="345"/>
      <c r="B876" s="345"/>
      <c r="C876" s="345"/>
      <c r="D876" s="345"/>
      <c r="E876" s="345"/>
      <c r="F876" s="345"/>
      <c r="G876" s="345"/>
      <c r="H876" s="345"/>
      <c r="I876" s="345"/>
    </row>
    <row r="877" spans="1:9" ht="20.25">
      <c r="A877" s="345"/>
      <c r="B877" s="345"/>
      <c r="C877" s="345"/>
      <c r="D877" s="345"/>
      <c r="E877" s="345"/>
      <c r="F877" s="345"/>
      <c r="G877" s="345"/>
      <c r="H877" s="345"/>
      <c r="I877" s="345"/>
    </row>
    <row r="878" spans="1:9" ht="20.25">
      <c r="A878" s="345"/>
      <c r="B878" s="345"/>
      <c r="C878" s="345"/>
      <c r="D878" s="345"/>
      <c r="E878" s="345"/>
      <c r="F878" s="345"/>
      <c r="G878" s="345"/>
      <c r="H878" s="345"/>
      <c r="I878" s="345"/>
    </row>
    <row r="879" spans="1:9" ht="20.25">
      <c r="A879" s="345"/>
      <c r="B879" s="345"/>
      <c r="C879" s="345"/>
      <c r="D879" s="345"/>
      <c r="E879" s="345"/>
      <c r="F879" s="345"/>
      <c r="G879" s="345"/>
      <c r="H879" s="345"/>
      <c r="I879" s="345"/>
    </row>
    <row r="880" spans="1:9" ht="20.25">
      <c r="A880" s="345"/>
      <c r="B880" s="345"/>
      <c r="C880" s="345"/>
      <c r="D880" s="345"/>
      <c r="E880" s="345"/>
      <c r="F880" s="345"/>
      <c r="G880" s="345"/>
      <c r="H880" s="345"/>
      <c r="I880" s="345"/>
    </row>
    <row r="881" spans="1:9" ht="20.25">
      <c r="A881" s="345"/>
      <c r="B881" s="345"/>
      <c r="C881" s="345"/>
      <c r="D881" s="345"/>
      <c r="E881" s="345"/>
      <c r="F881" s="345"/>
      <c r="G881" s="345"/>
      <c r="H881" s="345"/>
      <c r="I881" s="345"/>
    </row>
    <row r="882" spans="1:9" ht="20.25">
      <c r="A882" s="345"/>
      <c r="B882" s="345"/>
      <c r="C882" s="345"/>
      <c r="D882" s="345"/>
      <c r="E882" s="345"/>
      <c r="F882" s="345"/>
      <c r="G882" s="345"/>
      <c r="H882" s="345"/>
      <c r="I882" s="345"/>
    </row>
    <row r="883" spans="1:9" ht="20.25">
      <c r="A883" s="345"/>
      <c r="B883" s="345"/>
      <c r="C883" s="345"/>
      <c r="D883" s="345"/>
      <c r="E883" s="345"/>
      <c r="F883" s="345"/>
      <c r="G883" s="345"/>
      <c r="H883" s="345"/>
      <c r="I883" s="345"/>
    </row>
    <row r="884" spans="1:9" ht="20.25">
      <c r="A884" s="345"/>
      <c r="B884" s="345"/>
      <c r="C884" s="345"/>
      <c r="D884" s="345"/>
      <c r="E884" s="345"/>
      <c r="F884" s="345"/>
      <c r="G884" s="345"/>
      <c r="H884" s="345"/>
      <c r="I884" s="345"/>
    </row>
    <row r="885" spans="1:9" ht="20.25">
      <c r="A885" s="345"/>
      <c r="B885" s="345"/>
      <c r="C885" s="345"/>
      <c r="D885" s="345"/>
      <c r="E885" s="345"/>
      <c r="F885" s="345"/>
      <c r="G885" s="345"/>
      <c r="H885" s="345"/>
      <c r="I885" s="345"/>
    </row>
    <row r="886" spans="1:9" ht="20.25">
      <c r="A886" s="345"/>
      <c r="B886" s="345"/>
      <c r="C886" s="345"/>
      <c r="D886" s="345"/>
      <c r="E886" s="345"/>
      <c r="F886" s="345"/>
      <c r="G886" s="345"/>
      <c r="H886" s="345"/>
      <c r="I886" s="345"/>
    </row>
    <row r="887" spans="1:9" ht="20.25">
      <c r="A887" s="345"/>
      <c r="B887" s="345"/>
      <c r="C887" s="345"/>
      <c r="D887" s="345"/>
      <c r="E887" s="345"/>
      <c r="F887" s="345"/>
      <c r="G887" s="345"/>
      <c r="H887" s="345"/>
      <c r="I887" s="345"/>
    </row>
    <row r="888" spans="1:9" ht="20.25">
      <c r="A888" s="345"/>
      <c r="B888" s="345"/>
      <c r="C888" s="345"/>
      <c r="D888" s="345"/>
      <c r="E888" s="345"/>
      <c r="F888" s="345"/>
      <c r="G888" s="345"/>
      <c r="H888" s="345"/>
      <c r="I888" s="345"/>
    </row>
    <row r="889" spans="1:9" ht="20.25">
      <c r="A889" s="345"/>
      <c r="B889" s="345"/>
      <c r="C889" s="345"/>
      <c r="D889" s="345"/>
      <c r="E889" s="345"/>
      <c r="F889" s="345"/>
      <c r="G889" s="345"/>
      <c r="H889" s="345"/>
      <c r="I889" s="345"/>
    </row>
    <row r="890" spans="1:9" ht="20.25">
      <c r="A890" s="345"/>
      <c r="B890" s="345"/>
      <c r="C890" s="345"/>
      <c r="D890" s="345"/>
      <c r="E890" s="345"/>
      <c r="F890" s="345"/>
      <c r="G890" s="345"/>
      <c r="H890" s="345"/>
      <c r="I890" s="345"/>
    </row>
    <row r="891" spans="1:9" ht="20.25">
      <c r="A891" s="345"/>
      <c r="B891" s="345"/>
      <c r="C891" s="345"/>
      <c r="D891" s="345"/>
      <c r="E891" s="345"/>
      <c r="F891" s="345"/>
      <c r="G891" s="345"/>
      <c r="H891" s="345"/>
      <c r="I891" s="345"/>
    </row>
    <row r="892" spans="1:9" ht="20.25">
      <c r="A892" s="345"/>
      <c r="B892" s="345"/>
      <c r="C892" s="345"/>
      <c r="D892" s="345"/>
      <c r="E892" s="345"/>
      <c r="F892" s="345"/>
      <c r="G892" s="345"/>
      <c r="H892" s="345"/>
      <c r="I892" s="345"/>
    </row>
    <row r="893" spans="1:9" ht="20.25">
      <c r="A893" s="345"/>
      <c r="B893" s="345"/>
      <c r="C893" s="345"/>
      <c r="D893" s="345"/>
      <c r="E893" s="345"/>
      <c r="F893" s="345"/>
      <c r="G893" s="345"/>
      <c r="H893" s="345"/>
      <c r="I893" s="345"/>
    </row>
    <row r="894" spans="1:9" ht="20.25">
      <c r="A894" s="345"/>
      <c r="B894" s="345"/>
      <c r="C894" s="345"/>
      <c r="D894" s="345"/>
      <c r="E894" s="345"/>
      <c r="F894" s="345"/>
      <c r="G894" s="345"/>
      <c r="H894" s="345"/>
      <c r="I894" s="345"/>
    </row>
    <row r="895" spans="1:9" ht="20.25">
      <c r="A895" s="345"/>
      <c r="B895" s="345"/>
      <c r="C895" s="345"/>
      <c r="D895" s="345"/>
      <c r="E895" s="345"/>
      <c r="F895" s="345"/>
      <c r="G895" s="345"/>
      <c r="H895" s="345"/>
      <c r="I895" s="345"/>
    </row>
    <row r="896" spans="1:9" ht="20.25">
      <c r="A896" s="345"/>
      <c r="B896" s="345"/>
      <c r="C896" s="345"/>
      <c r="D896" s="345"/>
      <c r="E896" s="345"/>
      <c r="F896" s="345"/>
      <c r="G896" s="345"/>
      <c r="H896" s="345"/>
      <c r="I896" s="345"/>
    </row>
    <row r="897" spans="1:9" ht="20.25">
      <c r="A897" s="345"/>
      <c r="B897" s="345"/>
      <c r="C897" s="345"/>
      <c r="D897" s="345"/>
      <c r="E897" s="345"/>
      <c r="F897" s="345"/>
      <c r="G897" s="345"/>
      <c r="H897" s="345"/>
      <c r="I897" s="345"/>
    </row>
    <row r="898" spans="1:9" ht="20.25">
      <c r="A898" s="345"/>
      <c r="B898" s="345"/>
      <c r="C898" s="345"/>
      <c r="D898" s="345"/>
      <c r="E898" s="345"/>
      <c r="F898" s="345"/>
      <c r="G898" s="345"/>
      <c r="H898" s="345"/>
      <c r="I898" s="345"/>
    </row>
    <row r="899" spans="1:9" ht="20.25">
      <c r="A899" s="345"/>
      <c r="B899" s="345"/>
      <c r="C899" s="345"/>
      <c r="D899" s="345"/>
      <c r="E899" s="345"/>
      <c r="F899" s="345"/>
      <c r="G899" s="345"/>
      <c r="H899" s="345"/>
      <c r="I899" s="345"/>
    </row>
    <row r="900" spans="1:9" ht="20.25">
      <c r="A900" s="345"/>
      <c r="B900" s="345"/>
      <c r="C900" s="345"/>
      <c r="D900" s="345"/>
      <c r="E900" s="345"/>
      <c r="F900" s="345"/>
      <c r="G900" s="345"/>
      <c r="H900" s="345"/>
      <c r="I900" s="345"/>
    </row>
    <row r="901" spans="1:9" ht="20.25">
      <c r="A901" s="345"/>
      <c r="B901" s="345"/>
      <c r="C901" s="345"/>
      <c r="D901" s="345"/>
      <c r="E901" s="345"/>
      <c r="F901" s="345"/>
      <c r="G901" s="345"/>
      <c r="H901" s="345"/>
      <c r="I901" s="345"/>
    </row>
    <row r="902" spans="1:9" ht="20.25">
      <c r="A902" s="345"/>
      <c r="B902" s="345"/>
      <c r="C902" s="345"/>
      <c r="D902" s="345"/>
      <c r="E902" s="345"/>
      <c r="F902" s="345"/>
      <c r="G902" s="345"/>
      <c r="H902" s="345"/>
      <c r="I902" s="345"/>
    </row>
    <row r="903" spans="1:9" ht="20.25">
      <c r="A903" s="345"/>
      <c r="B903" s="345"/>
      <c r="C903" s="345"/>
      <c r="D903" s="345"/>
      <c r="E903" s="345"/>
      <c r="F903" s="345"/>
      <c r="G903" s="345"/>
      <c r="H903" s="345"/>
      <c r="I903" s="345"/>
    </row>
    <row r="904" spans="1:9" ht="20.25">
      <c r="A904" s="345"/>
      <c r="B904" s="345"/>
      <c r="C904" s="345"/>
      <c r="D904" s="345"/>
      <c r="E904" s="345"/>
      <c r="F904" s="345"/>
      <c r="G904" s="345"/>
      <c r="H904" s="345"/>
      <c r="I904" s="345"/>
    </row>
    <row r="905" spans="1:9" ht="20.25">
      <c r="A905" s="345"/>
      <c r="B905" s="345"/>
      <c r="C905" s="345"/>
      <c r="D905" s="345"/>
      <c r="E905" s="345"/>
      <c r="F905" s="345"/>
      <c r="G905" s="345"/>
      <c r="H905" s="345"/>
      <c r="I905" s="345"/>
    </row>
    <row r="906" spans="1:9" ht="20.25">
      <c r="A906" s="345"/>
      <c r="B906" s="345"/>
      <c r="C906" s="345"/>
      <c r="D906" s="345"/>
      <c r="E906" s="345"/>
      <c r="F906" s="345"/>
      <c r="G906" s="345"/>
      <c r="H906" s="345"/>
      <c r="I906" s="345"/>
    </row>
    <row r="907" spans="1:9" ht="20.25">
      <c r="A907" s="345"/>
      <c r="B907" s="345"/>
      <c r="C907" s="345"/>
      <c r="D907" s="345"/>
      <c r="E907" s="345"/>
      <c r="F907" s="345"/>
      <c r="G907" s="345"/>
      <c r="H907" s="345"/>
      <c r="I907" s="345"/>
    </row>
    <row r="908" spans="1:9" ht="20.25">
      <c r="A908" s="345"/>
      <c r="B908" s="345"/>
      <c r="C908" s="345"/>
      <c r="D908" s="345"/>
      <c r="E908" s="345"/>
      <c r="F908" s="345"/>
      <c r="G908" s="345"/>
      <c r="H908" s="345"/>
      <c r="I908" s="345"/>
    </row>
    <row r="909" spans="1:9" ht="20.25">
      <c r="A909" s="345"/>
      <c r="B909" s="345"/>
      <c r="C909" s="345"/>
      <c r="D909" s="345"/>
      <c r="E909" s="345"/>
      <c r="F909" s="345"/>
      <c r="G909" s="345"/>
      <c r="H909" s="345"/>
      <c r="I909" s="345"/>
    </row>
    <row r="910" spans="1:9" ht="20.25">
      <c r="A910" s="345"/>
      <c r="B910" s="345"/>
      <c r="C910" s="345"/>
      <c r="D910" s="345"/>
      <c r="E910" s="345"/>
      <c r="F910" s="345"/>
      <c r="G910" s="345"/>
      <c r="H910" s="345"/>
      <c r="I910" s="345"/>
    </row>
    <row r="911" spans="1:9" ht="20.25">
      <c r="A911" s="345"/>
      <c r="B911" s="345"/>
      <c r="C911" s="345"/>
      <c r="D911" s="345"/>
      <c r="E911" s="345"/>
      <c r="F911" s="345"/>
      <c r="G911" s="345"/>
      <c r="H911" s="345"/>
      <c r="I911" s="345"/>
    </row>
    <row r="912" spans="1:9" ht="20.25">
      <c r="A912" s="345"/>
      <c r="B912" s="345"/>
      <c r="C912" s="345"/>
      <c r="D912" s="345"/>
      <c r="E912" s="345"/>
      <c r="F912" s="345"/>
      <c r="G912" s="345"/>
      <c r="H912" s="345"/>
      <c r="I912" s="345"/>
    </row>
    <row r="913" spans="1:9" ht="20.25">
      <c r="A913" s="345"/>
      <c r="B913" s="345"/>
      <c r="C913" s="345"/>
      <c r="D913" s="345"/>
      <c r="E913" s="345"/>
      <c r="F913" s="345"/>
      <c r="G913" s="345"/>
      <c r="H913" s="345"/>
      <c r="I913" s="345"/>
    </row>
    <row r="914" spans="1:9" ht="20.25">
      <c r="A914" s="345"/>
      <c r="B914" s="345"/>
      <c r="C914" s="345"/>
      <c r="D914" s="345"/>
      <c r="E914" s="345"/>
      <c r="F914" s="345"/>
      <c r="G914" s="345"/>
      <c r="H914" s="345"/>
      <c r="I914" s="345"/>
    </row>
    <row r="915" spans="1:9" ht="20.25">
      <c r="A915" s="345"/>
      <c r="B915" s="345"/>
      <c r="C915" s="345"/>
      <c r="D915" s="345"/>
      <c r="E915" s="345"/>
      <c r="F915" s="345"/>
      <c r="G915" s="345"/>
      <c r="H915" s="345"/>
      <c r="I915" s="345"/>
    </row>
    <row r="916" spans="1:9" ht="20.25">
      <c r="A916" s="345"/>
      <c r="B916" s="345"/>
      <c r="C916" s="345"/>
      <c r="D916" s="345"/>
      <c r="E916" s="345"/>
      <c r="F916" s="345"/>
      <c r="G916" s="345"/>
      <c r="H916" s="345"/>
      <c r="I916" s="345"/>
    </row>
    <row r="917" spans="1:9" ht="20.25">
      <c r="A917" s="345"/>
      <c r="B917" s="345"/>
      <c r="C917" s="345"/>
      <c r="D917" s="345"/>
      <c r="E917" s="345"/>
      <c r="F917" s="345"/>
      <c r="G917" s="345"/>
      <c r="H917" s="345"/>
      <c r="I917" s="345"/>
    </row>
    <row r="918" spans="1:9" ht="20.25">
      <c r="A918" s="345"/>
      <c r="B918" s="345"/>
      <c r="C918" s="345"/>
      <c r="D918" s="345"/>
      <c r="E918" s="345"/>
      <c r="F918" s="345"/>
      <c r="G918" s="345"/>
      <c r="H918" s="345"/>
      <c r="I918" s="345"/>
    </row>
    <row r="919" spans="1:9" ht="20.25">
      <c r="A919" s="345"/>
      <c r="B919" s="345"/>
      <c r="C919" s="345"/>
      <c r="D919" s="345"/>
      <c r="E919" s="345"/>
      <c r="F919" s="345"/>
      <c r="G919" s="345"/>
      <c r="H919" s="345"/>
      <c r="I919" s="345"/>
    </row>
    <row r="920" spans="1:9" ht="20.25">
      <c r="A920" s="345"/>
      <c r="B920" s="345"/>
      <c r="C920" s="345"/>
      <c r="D920" s="345"/>
      <c r="E920" s="345"/>
      <c r="F920" s="345"/>
      <c r="G920" s="345"/>
      <c r="H920" s="345"/>
      <c r="I920" s="345"/>
    </row>
    <row r="921" spans="1:9" ht="20.25">
      <c r="A921" s="345"/>
      <c r="B921" s="345"/>
      <c r="C921" s="345"/>
      <c r="D921" s="345"/>
      <c r="E921" s="345"/>
      <c r="F921" s="345"/>
      <c r="G921" s="345"/>
      <c r="H921" s="345"/>
      <c r="I921" s="345"/>
    </row>
    <row r="922" spans="1:9" ht="20.25">
      <c r="A922" s="345"/>
      <c r="B922" s="345"/>
      <c r="C922" s="345"/>
      <c r="D922" s="345"/>
      <c r="E922" s="345"/>
      <c r="F922" s="345"/>
      <c r="G922" s="345"/>
      <c r="H922" s="345"/>
      <c r="I922" s="345"/>
    </row>
    <row r="923" spans="1:9" ht="20.25">
      <c r="A923" s="345"/>
      <c r="B923" s="345"/>
      <c r="C923" s="345"/>
      <c r="D923" s="345"/>
      <c r="E923" s="345"/>
      <c r="F923" s="345"/>
      <c r="G923" s="345"/>
      <c r="H923" s="345"/>
      <c r="I923" s="345"/>
    </row>
    <row r="924" spans="1:9" ht="20.25">
      <c r="A924" s="345"/>
      <c r="B924" s="345"/>
      <c r="C924" s="345"/>
      <c r="D924" s="345"/>
      <c r="E924" s="345"/>
      <c r="F924" s="345"/>
      <c r="G924" s="345"/>
      <c r="H924" s="345"/>
      <c r="I924" s="345"/>
    </row>
    <row r="925" spans="1:9" ht="20.25">
      <c r="A925" s="345"/>
      <c r="B925" s="345"/>
      <c r="C925" s="345"/>
      <c r="D925" s="345"/>
      <c r="E925" s="345"/>
      <c r="F925" s="345"/>
      <c r="G925" s="345"/>
      <c r="H925" s="345"/>
      <c r="I925" s="345"/>
    </row>
    <row r="926" spans="1:9" ht="20.25">
      <c r="A926" s="345"/>
      <c r="B926" s="345"/>
      <c r="C926" s="345"/>
      <c r="D926" s="345"/>
      <c r="E926" s="345"/>
      <c r="F926" s="345"/>
      <c r="G926" s="345"/>
      <c r="H926" s="345"/>
      <c r="I926" s="345"/>
    </row>
    <row r="927" spans="1:9" ht="20.25">
      <c r="A927" s="345"/>
      <c r="B927" s="345"/>
      <c r="C927" s="345"/>
      <c r="D927" s="345"/>
      <c r="E927" s="345"/>
      <c r="F927" s="345"/>
      <c r="G927" s="345"/>
      <c r="H927" s="345"/>
      <c r="I927" s="345"/>
    </row>
    <row r="928" spans="1:9" ht="20.25">
      <c r="A928" s="345"/>
      <c r="B928" s="345"/>
      <c r="C928" s="345"/>
      <c r="D928" s="345"/>
      <c r="E928" s="345"/>
      <c r="F928" s="345"/>
      <c r="G928" s="345"/>
      <c r="H928" s="345"/>
      <c r="I928" s="345"/>
    </row>
    <row r="929" spans="1:9" ht="20.25">
      <c r="A929" s="345"/>
      <c r="B929" s="345"/>
      <c r="C929" s="345"/>
      <c r="D929" s="345"/>
      <c r="E929" s="345"/>
      <c r="F929" s="345"/>
      <c r="G929" s="345"/>
      <c r="H929" s="345"/>
      <c r="I929" s="345"/>
    </row>
    <row r="930" spans="1:9" ht="20.25">
      <c r="A930" s="345"/>
      <c r="B930" s="345"/>
      <c r="C930" s="345"/>
      <c r="D930" s="345"/>
      <c r="E930" s="345"/>
      <c r="F930" s="345"/>
      <c r="G930" s="345"/>
      <c r="H930" s="345"/>
      <c r="I930" s="345"/>
    </row>
    <row r="931" spans="1:9" ht="20.25">
      <c r="A931" s="345"/>
      <c r="B931" s="345"/>
      <c r="C931" s="345"/>
      <c r="D931" s="345"/>
      <c r="E931" s="345"/>
      <c r="F931" s="345"/>
      <c r="G931" s="345"/>
      <c r="H931" s="345"/>
      <c r="I931" s="345"/>
    </row>
    <row r="932" spans="1:9" ht="20.25">
      <c r="A932" s="345"/>
      <c r="B932" s="345"/>
      <c r="C932" s="345"/>
      <c r="D932" s="345"/>
      <c r="E932" s="345"/>
      <c r="F932" s="345"/>
      <c r="G932" s="345"/>
      <c r="H932" s="345"/>
      <c r="I932" s="345"/>
    </row>
    <row r="933" spans="1:9" ht="20.25">
      <c r="A933" s="345"/>
      <c r="B933" s="345"/>
      <c r="C933" s="345"/>
      <c r="D933" s="345"/>
      <c r="E933" s="345"/>
      <c r="F933" s="345"/>
      <c r="G933" s="345"/>
      <c r="H933" s="345"/>
      <c r="I933" s="345"/>
    </row>
    <row r="934" spans="1:9" ht="20.25">
      <c r="A934" s="345"/>
      <c r="B934" s="345"/>
      <c r="C934" s="345"/>
      <c r="D934" s="345"/>
      <c r="E934" s="345"/>
      <c r="F934" s="345"/>
      <c r="G934" s="345"/>
      <c r="H934" s="345"/>
      <c r="I934" s="345"/>
    </row>
    <row r="935" spans="1:9" ht="20.25">
      <c r="A935" s="345"/>
      <c r="B935" s="345"/>
      <c r="C935" s="345"/>
      <c r="D935" s="345"/>
      <c r="E935" s="345"/>
      <c r="F935" s="345"/>
      <c r="G935" s="345"/>
      <c r="H935" s="345"/>
      <c r="I935" s="345"/>
    </row>
    <row r="936" spans="1:9" ht="20.25">
      <c r="A936" s="345"/>
      <c r="B936" s="345"/>
      <c r="C936" s="345"/>
      <c r="D936" s="345"/>
      <c r="E936" s="345"/>
      <c r="F936" s="345"/>
      <c r="G936" s="345"/>
      <c r="H936" s="345"/>
      <c r="I936" s="345"/>
    </row>
    <row r="937" spans="1:9" ht="20.25">
      <c r="A937" s="345"/>
      <c r="B937" s="345"/>
      <c r="C937" s="345"/>
      <c r="D937" s="345"/>
      <c r="E937" s="345"/>
      <c r="F937" s="345"/>
      <c r="G937" s="345"/>
      <c r="H937" s="345"/>
      <c r="I937" s="345"/>
    </row>
    <row r="938" spans="1:9" ht="20.25">
      <c r="A938" s="345"/>
      <c r="B938" s="345"/>
      <c r="C938" s="345"/>
      <c r="D938" s="345"/>
      <c r="E938" s="345"/>
      <c r="F938" s="345"/>
      <c r="G938" s="345"/>
      <c r="H938" s="345"/>
      <c r="I938" s="345"/>
    </row>
    <row r="939" spans="1:9" ht="20.25">
      <c r="A939" s="345"/>
      <c r="B939" s="345"/>
      <c r="C939" s="345"/>
      <c r="D939" s="345"/>
      <c r="E939" s="345"/>
      <c r="F939" s="345"/>
      <c r="G939" s="345"/>
      <c r="H939" s="345"/>
      <c r="I939" s="345"/>
    </row>
    <row r="940" spans="1:9" ht="20.25">
      <c r="A940" s="345"/>
      <c r="B940" s="345"/>
      <c r="C940" s="345"/>
      <c r="D940" s="345"/>
      <c r="E940" s="345"/>
      <c r="F940" s="345"/>
      <c r="G940" s="345"/>
      <c r="H940" s="345"/>
      <c r="I940" s="345"/>
    </row>
    <row r="941" spans="1:9" ht="20.25">
      <c r="A941" s="345"/>
      <c r="B941" s="345"/>
      <c r="C941" s="345"/>
      <c r="D941" s="345"/>
      <c r="E941" s="345"/>
      <c r="F941" s="345"/>
      <c r="G941" s="345"/>
      <c r="H941" s="345"/>
      <c r="I941" s="345"/>
    </row>
    <row r="942" spans="1:9" ht="20.25">
      <c r="A942" s="345"/>
      <c r="B942" s="345"/>
      <c r="C942" s="345"/>
      <c r="D942" s="345"/>
      <c r="E942" s="345"/>
      <c r="F942" s="345"/>
      <c r="G942" s="345"/>
      <c r="H942" s="345"/>
      <c r="I942" s="345"/>
    </row>
    <row r="943" spans="1:9" ht="20.25">
      <c r="A943" s="345"/>
      <c r="B943" s="345"/>
      <c r="C943" s="345"/>
      <c r="D943" s="345"/>
      <c r="E943" s="345"/>
      <c r="F943" s="345"/>
      <c r="G943" s="345"/>
      <c r="H943" s="345"/>
      <c r="I943" s="345"/>
    </row>
    <row r="944" spans="1:9" ht="20.25">
      <c r="A944" s="345"/>
      <c r="B944" s="345"/>
      <c r="C944" s="345"/>
      <c r="D944" s="345"/>
      <c r="E944" s="345"/>
      <c r="F944" s="345"/>
      <c r="G944" s="345"/>
      <c r="H944" s="345"/>
      <c r="I944" s="345"/>
    </row>
    <row r="945" spans="1:9" ht="20.25">
      <c r="A945" s="345"/>
      <c r="B945" s="345"/>
      <c r="C945" s="345"/>
      <c r="D945" s="345"/>
      <c r="E945" s="345"/>
      <c r="F945" s="345"/>
      <c r="G945" s="345"/>
      <c r="H945" s="345"/>
      <c r="I945" s="345"/>
    </row>
    <row r="946" spans="1:9" ht="20.25">
      <c r="A946" s="345"/>
      <c r="B946" s="345"/>
      <c r="C946" s="345"/>
      <c r="D946" s="345"/>
      <c r="E946" s="345"/>
      <c r="F946" s="345"/>
      <c r="G946" s="345"/>
      <c r="H946" s="345"/>
      <c r="I946" s="345"/>
    </row>
    <row r="947" spans="1:9" ht="20.25">
      <c r="A947" s="345"/>
      <c r="B947" s="345"/>
      <c r="C947" s="345"/>
      <c r="D947" s="345"/>
      <c r="E947" s="345"/>
      <c r="F947" s="345"/>
      <c r="G947" s="345"/>
      <c r="H947" s="345"/>
      <c r="I947" s="345"/>
    </row>
    <row r="948" spans="1:9" ht="20.25">
      <c r="A948" s="345"/>
      <c r="B948" s="345"/>
      <c r="C948" s="345"/>
      <c r="D948" s="345"/>
      <c r="E948" s="345"/>
      <c r="F948" s="345"/>
      <c r="G948" s="345"/>
      <c r="H948" s="345"/>
      <c r="I948" s="345"/>
    </row>
    <row r="949" spans="1:9" ht="20.25">
      <c r="A949" s="345"/>
      <c r="B949" s="345"/>
      <c r="C949" s="345"/>
      <c r="D949" s="345"/>
      <c r="E949" s="345"/>
      <c r="F949" s="345"/>
      <c r="G949" s="345"/>
      <c r="H949" s="345"/>
      <c r="I949" s="345"/>
    </row>
    <row r="950" spans="1:9" ht="20.25">
      <c r="A950" s="345"/>
      <c r="B950" s="345"/>
      <c r="C950" s="345"/>
      <c r="D950" s="345"/>
      <c r="E950" s="345"/>
      <c r="F950" s="345"/>
      <c r="G950" s="345"/>
      <c r="H950" s="345"/>
      <c r="I950" s="345"/>
    </row>
    <row r="951" spans="1:9" ht="20.25">
      <c r="A951" s="345"/>
      <c r="B951" s="345"/>
      <c r="C951" s="345"/>
      <c r="D951" s="345"/>
      <c r="E951" s="345"/>
      <c r="F951" s="345"/>
      <c r="G951" s="345"/>
      <c r="H951" s="345"/>
      <c r="I951" s="345"/>
    </row>
    <row r="952" spans="1:9" ht="20.25">
      <c r="A952" s="345"/>
      <c r="B952" s="345"/>
      <c r="C952" s="345"/>
      <c r="D952" s="345"/>
      <c r="E952" s="345"/>
      <c r="F952" s="345"/>
      <c r="G952" s="345"/>
      <c r="H952" s="345"/>
      <c r="I952" s="345"/>
    </row>
  </sheetData>
  <mergeCells count="42">
    <mergeCell ref="B40:C40"/>
    <mergeCell ref="G29:H29"/>
    <mergeCell ref="G30:H30"/>
    <mergeCell ref="G31:H31"/>
    <mergeCell ref="G32:H32"/>
    <mergeCell ref="G33:H33"/>
    <mergeCell ref="G34:I34"/>
    <mergeCell ref="G35:I35"/>
    <mergeCell ref="G36:I36"/>
    <mergeCell ref="A37:I37"/>
    <mergeCell ref="B39:C39"/>
    <mergeCell ref="F39:G39"/>
    <mergeCell ref="G28:H28"/>
    <mergeCell ref="G17:H17"/>
    <mergeCell ref="G18:H18"/>
    <mergeCell ref="G19:H19"/>
    <mergeCell ref="G20:H20"/>
    <mergeCell ref="G21:H21"/>
    <mergeCell ref="G22:H22"/>
    <mergeCell ref="G23:H23"/>
    <mergeCell ref="G24:H24"/>
    <mergeCell ref="G25:H25"/>
    <mergeCell ref="G26:H26"/>
    <mergeCell ref="G27:H27"/>
    <mergeCell ref="G16:H16"/>
    <mergeCell ref="B6:D6"/>
    <mergeCell ref="F6:G6"/>
    <mergeCell ref="B7:D7"/>
    <mergeCell ref="F7:G7"/>
    <mergeCell ref="B8:G8"/>
    <mergeCell ref="G10:H10"/>
    <mergeCell ref="G11:H11"/>
    <mergeCell ref="G12:H12"/>
    <mergeCell ref="G13:H13"/>
    <mergeCell ref="G14:H14"/>
    <mergeCell ref="G15:H15"/>
    <mergeCell ref="G2:I2"/>
    <mergeCell ref="A3:I3"/>
    <mergeCell ref="B4:D4"/>
    <mergeCell ref="F4:G4"/>
    <mergeCell ref="B5:D5"/>
    <mergeCell ref="F5:G5"/>
  </mergeCells>
  <phoneticPr fontId="83" type="noConversion"/>
  <printOptions horizontalCentered="1"/>
  <pageMargins left="0.78740157480314965" right="0.78740157480314965" top="0.59055118110236227" bottom="0.59055118110236227" header="0.51181102362204722" footer="0.51181102362204722"/>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dimension ref="A1:T61"/>
  <sheetViews>
    <sheetView view="pageBreakPreview" topLeftCell="A31" zoomScaleSheetLayoutView="100" workbookViewId="0">
      <selection activeCell="F42" sqref="F42:I42"/>
    </sheetView>
  </sheetViews>
  <sheetFormatPr defaultRowHeight="15" customHeight="1"/>
  <cols>
    <col min="1" max="1" width="5.625" style="93" customWidth="1"/>
    <col min="2" max="11" width="8.625" style="93" customWidth="1"/>
    <col min="12" max="12" width="9.625" style="93" bestFit="1" customWidth="1"/>
    <col min="13" max="13" width="4.75" style="93" customWidth="1"/>
    <col min="14" max="14" width="5.625" style="93" customWidth="1"/>
    <col min="15" max="15" width="4.875" style="93" customWidth="1"/>
    <col min="16" max="16" width="8.5" style="93" customWidth="1"/>
    <col min="17" max="17" width="6.375" style="93" customWidth="1"/>
    <col min="18" max="18" width="5.75" style="93" customWidth="1"/>
    <col min="19" max="19" width="12.625" style="93" customWidth="1"/>
    <col min="20" max="20" width="8.375" style="94" customWidth="1"/>
    <col min="21" max="21" width="24.875" style="93" customWidth="1"/>
    <col min="22" max="22" width="9" style="93"/>
    <col min="23" max="23" width="37.5" style="93" customWidth="1"/>
    <col min="24" max="16384" width="9" style="93"/>
  </cols>
  <sheetData>
    <row r="1" spans="1:12" ht="12">
      <c r="A1" s="1605" t="s">
        <v>397</v>
      </c>
      <c r="B1" s="1605"/>
      <c r="C1" s="1605"/>
      <c r="D1" s="1605"/>
      <c r="E1" s="1605"/>
      <c r="F1" s="1605"/>
      <c r="G1" s="1605"/>
      <c r="H1" s="1605"/>
      <c r="I1" s="1605"/>
      <c r="J1" s="1605"/>
      <c r="K1" s="1605"/>
      <c r="L1" s="1605"/>
    </row>
    <row r="2" spans="1:12" ht="12">
      <c r="A2" s="1605"/>
      <c r="B2" s="1605"/>
      <c r="C2" s="1605"/>
      <c r="D2" s="1605"/>
      <c r="E2" s="1605"/>
      <c r="F2" s="1605"/>
      <c r="G2" s="1605"/>
      <c r="H2" s="1605"/>
      <c r="I2" s="1605"/>
      <c r="J2" s="1605"/>
      <c r="K2" s="1605"/>
      <c r="L2" s="1605"/>
    </row>
    <row r="3" spans="1:12" ht="12">
      <c r="A3" s="1606" t="s">
        <v>51</v>
      </c>
      <c r="B3" s="1606"/>
      <c r="C3" s="1606">
        <f>下料单!G2</f>
        <v>0</v>
      </c>
      <c r="D3" s="1606"/>
      <c r="E3" s="1606"/>
      <c r="F3" s="1606"/>
      <c r="G3" s="1606"/>
      <c r="H3" s="1606"/>
      <c r="I3" s="1606" t="s">
        <v>398</v>
      </c>
      <c r="J3" s="1606"/>
      <c r="K3" s="1607" t="e">
        <f>[6]领料单!R2</f>
        <v>#REF!</v>
      </c>
      <c r="L3" s="1607"/>
    </row>
    <row r="4" spans="1:12" ht="12">
      <c r="A4" s="1602" t="s">
        <v>42</v>
      </c>
      <c r="B4" s="1602"/>
      <c r="C4" s="1602" t="str">
        <f>下料单!C2</f>
        <v>杜鹃</v>
      </c>
      <c r="D4" s="1602"/>
      <c r="E4" s="1602" t="s">
        <v>53</v>
      </c>
      <c r="F4" s="1602"/>
      <c r="G4" s="1608">
        <f>[6]领料单!M3</f>
        <v>40889</v>
      </c>
      <c r="H4" s="1608"/>
      <c r="I4" s="1602" t="s">
        <v>44</v>
      </c>
      <c r="J4" s="1602"/>
      <c r="K4" s="1602">
        <f>领料单!Q2</f>
        <v>0</v>
      </c>
      <c r="L4" s="1602"/>
    </row>
    <row r="5" spans="1:12" ht="12">
      <c r="A5" s="1602" t="str">
        <f>下料单!L2</f>
        <v>版本型录号</v>
      </c>
      <c r="B5" s="1602"/>
      <c r="C5" s="1602">
        <f>下料单!N2</f>
        <v>0</v>
      </c>
      <c r="D5" s="1602"/>
      <c r="E5" s="1602" t="s">
        <v>43</v>
      </c>
      <c r="F5" s="1602"/>
      <c r="G5" s="1603" t="e">
        <f>[6]下料单!X2</f>
        <v>#REF!</v>
      </c>
      <c r="H5" s="1603"/>
      <c r="I5" s="1602"/>
      <c r="J5" s="1602"/>
      <c r="K5" s="1602"/>
      <c r="L5" s="1602"/>
    </row>
    <row r="6" spans="1:12" ht="12">
      <c r="A6" s="95" t="s">
        <v>54</v>
      </c>
      <c r="B6" s="95" t="s">
        <v>399</v>
      </c>
      <c r="C6" s="95" t="s">
        <v>400</v>
      </c>
      <c r="D6" s="95" t="s">
        <v>401</v>
      </c>
      <c r="E6" s="95" t="s">
        <v>402</v>
      </c>
      <c r="F6" s="1604" t="s">
        <v>55</v>
      </c>
      <c r="G6" s="1604"/>
      <c r="H6" s="1604"/>
      <c r="I6" s="1604"/>
      <c r="J6" s="95" t="s">
        <v>403</v>
      </c>
      <c r="K6" s="95" t="s">
        <v>35</v>
      </c>
      <c r="L6" s="95" t="s">
        <v>404</v>
      </c>
    </row>
    <row r="7" spans="1:12" ht="12">
      <c r="A7" s="1601">
        <v>1</v>
      </c>
      <c r="B7" s="1601" t="s">
        <v>405</v>
      </c>
      <c r="C7" s="1601">
        <v>720</v>
      </c>
      <c r="D7" s="1601" t="s">
        <v>406</v>
      </c>
      <c r="E7" s="1601">
        <v>1</v>
      </c>
      <c r="F7" s="1601" t="s">
        <v>407</v>
      </c>
      <c r="G7" s="1601"/>
      <c r="H7" s="1601"/>
      <c r="I7" s="1601"/>
      <c r="J7" s="96">
        <f>E7*1</f>
        <v>1</v>
      </c>
      <c r="K7" s="96" t="s">
        <v>408</v>
      </c>
      <c r="L7" s="96"/>
    </row>
    <row r="8" spans="1:12" ht="12">
      <c r="A8" s="1601"/>
      <c r="B8" s="1601"/>
      <c r="C8" s="1601"/>
      <c r="D8" s="1601"/>
      <c r="E8" s="1601"/>
      <c r="F8" s="1597" t="s">
        <v>409</v>
      </c>
      <c r="G8" s="1598"/>
      <c r="H8" s="1598"/>
      <c r="I8" s="1599"/>
      <c r="J8" s="96">
        <f>E7*2</f>
        <v>2</v>
      </c>
      <c r="K8" s="96" t="s">
        <v>410</v>
      </c>
      <c r="L8" s="96"/>
    </row>
    <row r="9" spans="1:12" ht="12">
      <c r="A9" s="1601">
        <v>2</v>
      </c>
      <c r="B9" s="1601" t="s">
        <v>411</v>
      </c>
      <c r="C9" s="1601">
        <v>720</v>
      </c>
      <c r="D9" s="1601" t="s">
        <v>412</v>
      </c>
      <c r="E9" s="1601">
        <v>1</v>
      </c>
      <c r="F9" s="1601" t="s">
        <v>413</v>
      </c>
      <c r="G9" s="1601"/>
      <c r="H9" s="1601"/>
      <c r="I9" s="1601"/>
      <c r="J9" s="96">
        <f>E9*1</f>
        <v>1</v>
      </c>
      <c r="K9" s="96" t="s">
        <v>408</v>
      </c>
      <c r="L9" s="96"/>
    </row>
    <row r="10" spans="1:12" ht="12">
      <c r="A10" s="1601"/>
      <c r="B10" s="1601"/>
      <c r="C10" s="1601"/>
      <c r="D10" s="1601"/>
      <c r="E10" s="1601"/>
      <c r="F10" s="1597" t="s">
        <v>409</v>
      </c>
      <c r="G10" s="1598"/>
      <c r="H10" s="1598"/>
      <c r="I10" s="1599"/>
      <c r="J10" s="96">
        <f>+E9*2.6</f>
        <v>2.6</v>
      </c>
      <c r="K10" s="96" t="s">
        <v>410</v>
      </c>
      <c r="L10" s="96"/>
    </row>
    <row r="11" spans="1:12" ht="12">
      <c r="A11" s="1601"/>
      <c r="B11" s="1601"/>
      <c r="C11" s="1601"/>
      <c r="D11" s="1601"/>
      <c r="E11" s="1601"/>
      <c r="F11" s="1600" t="s">
        <v>414</v>
      </c>
      <c r="G11" s="1600"/>
      <c r="H11" s="1600"/>
      <c r="I11" s="1600"/>
      <c r="J11" s="97">
        <f>+E9*0.3</f>
        <v>0.3</v>
      </c>
      <c r="K11" s="97" t="s">
        <v>415</v>
      </c>
      <c r="L11" s="97" t="s">
        <v>416</v>
      </c>
    </row>
    <row r="12" spans="1:12" ht="12">
      <c r="A12" s="1601">
        <v>3</v>
      </c>
      <c r="B12" s="1601" t="s">
        <v>417</v>
      </c>
      <c r="C12" s="1601">
        <v>720</v>
      </c>
      <c r="D12" s="1601" t="s">
        <v>412</v>
      </c>
      <c r="E12" s="1601">
        <v>1</v>
      </c>
      <c r="F12" s="1601" t="s">
        <v>418</v>
      </c>
      <c r="G12" s="1601"/>
      <c r="H12" s="1601"/>
      <c r="I12" s="1601"/>
      <c r="J12" s="96">
        <f>E12*1</f>
        <v>1</v>
      </c>
      <c r="K12" s="96" t="s">
        <v>408</v>
      </c>
      <c r="L12" s="96"/>
    </row>
    <row r="13" spans="1:12" ht="12">
      <c r="A13" s="1601"/>
      <c r="B13" s="1601"/>
      <c r="C13" s="1601"/>
      <c r="D13" s="1601"/>
      <c r="E13" s="1601"/>
      <c r="F13" s="1597" t="s">
        <v>409</v>
      </c>
      <c r="G13" s="1598"/>
      <c r="H13" s="1598"/>
      <c r="I13" s="1599"/>
      <c r="J13" s="96">
        <f>+E12*3</f>
        <v>3</v>
      </c>
      <c r="K13" s="96" t="s">
        <v>410</v>
      </c>
      <c r="L13" s="96"/>
    </row>
    <row r="14" spans="1:12" ht="12">
      <c r="A14" s="1601"/>
      <c r="B14" s="1601"/>
      <c r="C14" s="1601"/>
      <c r="D14" s="1601"/>
      <c r="E14" s="1601"/>
      <c r="F14" s="1600" t="s">
        <v>414</v>
      </c>
      <c r="G14" s="1600"/>
      <c r="H14" s="1600"/>
      <c r="I14" s="1600"/>
      <c r="J14" s="97">
        <f>+E12*0.3</f>
        <v>0.3</v>
      </c>
      <c r="K14" s="97" t="s">
        <v>415</v>
      </c>
      <c r="L14" s="97" t="s">
        <v>416</v>
      </c>
    </row>
    <row r="15" spans="1:12" ht="12">
      <c r="A15" s="1601">
        <v>4</v>
      </c>
      <c r="B15" s="1601" t="s">
        <v>419</v>
      </c>
      <c r="C15" s="1601">
        <v>720</v>
      </c>
      <c r="D15" s="1601" t="s">
        <v>412</v>
      </c>
      <c r="E15" s="1601">
        <v>1</v>
      </c>
      <c r="F15" s="1601" t="s">
        <v>420</v>
      </c>
      <c r="G15" s="1601"/>
      <c r="H15" s="1601"/>
      <c r="I15" s="1601"/>
      <c r="J15" s="96">
        <f>+E15*1</f>
        <v>1</v>
      </c>
      <c r="K15" s="96" t="s">
        <v>408</v>
      </c>
      <c r="L15" s="96"/>
    </row>
    <row r="16" spans="1:12" ht="12">
      <c r="A16" s="1601"/>
      <c r="B16" s="1601"/>
      <c r="C16" s="1601"/>
      <c r="D16" s="1601"/>
      <c r="E16" s="1601"/>
      <c r="F16" s="1597" t="s">
        <v>409</v>
      </c>
      <c r="G16" s="1598"/>
      <c r="H16" s="1598"/>
      <c r="I16" s="1599"/>
      <c r="J16" s="96">
        <f>+E15*3.7</f>
        <v>3.7</v>
      </c>
      <c r="K16" s="96" t="s">
        <v>410</v>
      </c>
      <c r="L16" s="96"/>
    </row>
    <row r="17" spans="1:12" ht="12">
      <c r="A17" s="1601"/>
      <c r="B17" s="1601"/>
      <c r="C17" s="1601"/>
      <c r="D17" s="1601"/>
      <c r="E17" s="1601"/>
      <c r="F17" s="1600" t="s">
        <v>414</v>
      </c>
      <c r="G17" s="1600"/>
      <c r="H17" s="1600"/>
      <c r="I17" s="1600"/>
      <c r="J17" s="97">
        <f>+E15*0.5</f>
        <v>0.5</v>
      </c>
      <c r="K17" s="97" t="s">
        <v>415</v>
      </c>
      <c r="L17" s="97" t="s">
        <v>416</v>
      </c>
    </row>
    <row r="18" spans="1:12" ht="12">
      <c r="A18" s="1601">
        <v>5</v>
      </c>
      <c r="B18" s="1601" t="s">
        <v>421</v>
      </c>
      <c r="C18" s="1601">
        <v>720</v>
      </c>
      <c r="D18" s="1601" t="s">
        <v>412</v>
      </c>
      <c r="E18" s="1601">
        <v>1</v>
      </c>
      <c r="F18" s="1601" t="s">
        <v>422</v>
      </c>
      <c r="G18" s="1601"/>
      <c r="H18" s="1601"/>
      <c r="I18" s="1601"/>
      <c r="J18" s="96">
        <f>+E18*1</f>
        <v>1</v>
      </c>
      <c r="K18" s="96" t="s">
        <v>408</v>
      </c>
      <c r="L18" s="96"/>
    </row>
    <row r="19" spans="1:12" ht="12">
      <c r="A19" s="1601"/>
      <c r="B19" s="1601"/>
      <c r="C19" s="1601"/>
      <c r="D19" s="1601"/>
      <c r="E19" s="1601"/>
      <c r="F19" s="1597" t="s">
        <v>409</v>
      </c>
      <c r="G19" s="1598"/>
      <c r="H19" s="1598"/>
      <c r="I19" s="1599"/>
      <c r="J19" s="96">
        <f>+E18*4.5</f>
        <v>4.5</v>
      </c>
      <c r="K19" s="96" t="s">
        <v>410</v>
      </c>
      <c r="L19" s="96"/>
    </row>
    <row r="20" spans="1:12" ht="12">
      <c r="A20" s="1601"/>
      <c r="B20" s="1601"/>
      <c r="C20" s="1601"/>
      <c r="D20" s="1601"/>
      <c r="E20" s="1601"/>
      <c r="F20" s="1600" t="s">
        <v>414</v>
      </c>
      <c r="G20" s="1600"/>
      <c r="H20" s="1600"/>
      <c r="I20" s="1600"/>
      <c r="J20" s="97">
        <f>+E18*0.5</f>
        <v>0.5</v>
      </c>
      <c r="K20" s="97" t="s">
        <v>415</v>
      </c>
      <c r="L20" s="97" t="s">
        <v>416</v>
      </c>
    </row>
    <row r="21" spans="1:12" ht="12">
      <c r="A21" s="1601">
        <v>6</v>
      </c>
      <c r="B21" s="1601" t="s">
        <v>411</v>
      </c>
      <c r="C21" s="1601">
        <v>1440</v>
      </c>
      <c r="D21" s="1601" t="s">
        <v>423</v>
      </c>
      <c r="E21" s="1601">
        <v>1</v>
      </c>
      <c r="F21" s="1601" t="s">
        <v>413</v>
      </c>
      <c r="G21" s="1601"/>
      <c r="H21" s="1601"/>
      <c r="I21" s="1601"/>
      <c r="J21" s="96">
        <f>E21*1*2</f>
        <v>2</v>
      </c>
      <c r="K21" s="96" t="s">
        <v>408</v>
      </c>
      <c r="L21" s="96"/>
    </row>
    <row r="22" spans="1:12" ht="12">
      <c r="A22" s="1601"/>
      <c r="B22" s="1601"/>
      <c r="C22" s="1601"/>
      <c r="D22" s="1601"/>
      <c r="E22" s="1601"/>
      <c r="F22" s="1597" t="s">
        <v>409</v>
      </c>
      <c r="G22" s="1598"/>
      <c r="H22" s="1598"/>
      <c r="I22" s="1599"/>
      <c r="J22" s="96">
        <f>+E21*2.6*2</f>
        <v>5.2</v>
      </c>
      <c r="K22" s="96" t="s">
        <v>410</v>
      </c>
      <c r="L22" s="96"/>
    </row>
    <row r="23" spans="1:12" ht="12">
      <c r="A23" s="1601"/>
      <c r="B23" s="1601"/>
      <c r="C23" s="1601"/>
      <c r="D23" s="1601"/>
      <c r="E23" s="1601"/>
      <c r="F23" s="1600" t="s">
        <v>414</v>
      </c>
      <c r="G23" s="1600"/>
      <c r="H23" s="1600"/>
      <c r="I23" s="1600"/>
      <c r="J23" s="97">
        <f>+E21*0.3*2</f>
        <v>0.6</v>
      </c>
      <c r="K23" s="97" t="s">
        <v>415</v>
      </c>
      <c r="L23" s="97" t="s">
        <v>416</v>
      </c>
    </row>
    <row r="24" spans="1:12" ht="12">
      <c r="A24" s="1601">
        <v>7</v>
      </c>
      <c r="B24" s="1601" t="s">
        <v>417</v>
      </c>
      <c r="C24" s="1601">
        <v>1440</v>
      </c>
      <c r="D24" s="1601" t="s">
        <v>423</v>
      </c>
      <c r="E24" s="1601">
        <v>1</v>
      </c>
      <c r="F24" s="1601" t="s">
        <v>418</v>
      </c>
      <c r="G24" s="1601"/>
      <c r="H24" s="1601"/>
      <c r="I24" s="1601"/>
      <c r="J24" s="96">
        <f>E24*1*2</f>
        <v>2</v>
      </c>
      <c r="K24" s="96" t="s">
        <v>408</v>
      </c>
      <c r="L24" s="96"/>
    </row>
    <row r="25" spans="1:12" ht="12">
      <c r="A25" s="1601"/>
      <c r="B25" s="1601"/>
      <c r="C25" s="1601"/>
      <c r="D25" s="1601"/>
      <c r="E25" s="1601"/>
      <c r="F25" s="1597" t="s">
        <v>409</v>
      </c>
      <c r="G25" s="1598"/>
      <c r="H25" s="1598"/>
      <c r="I25" s="1599"/>
      <c r="J25" s="96">
        <f>+E24*3*2</f>
        <v>6</v>
      </c>
      <c r="K25" s="96" t="s">
        <v>410</v>
      </c>
      <c r="L25" s="96"/>
    </row>
    <row r="26" spans="1:12" ht="12">
      <c r="A26" s="1601"/>
      <c r="B26" s="1601"/>
      <c r="C26" s="1601"/>
      <c r="D26" s="1601"/>
      <c r="E26" s="1601"/>
      <c r="F26" s="1600" t="s">
        <v>414</v>
      </c>
      <c r="G26" s="1600"/>
      <c r="H26" s="1600"/>
      <c r="I26" s="1600"/>
      <c r="J26" s="97">
        <f>+E24*0.3*2</f>
        <v>0.6</v>
      </c>
      <c r="K26" s="97" t="s">
        <v>415</v>
      </c>
      <c r="L26" s="97" t="s">
        <v>416</v>
      </c>
    </row>
    <row r="27" spans="1:12" ht="12">
      <c r="A27" s="1601">
        <v>8</v>
      </c>
      <c r="B27" s="1601" t="s">
        <v>419</v>
      </c>
      <c r="C27" s="1601">
        <v>1440</v>
      </c>
      <c r="D27" s="1601" t="s">
        <v>423</v>
      </c>
      <c r="E27" s="1601">
        <v>1</v>
      </c>
      <c r="F27" s="1601" t="s">
        <v>420</v>
      </c>
      <c r="G27" s="1601"/>
      <c r="H27" s="1601"/>
      <c r="I27" s="1601"/>
      <c r="J27" s="96">
        <f>+E27*1*2</f>
        <v>2</v>
      </c>
      <c r="K27" s="96" t="s">
        <v>408</v>
      </c>
      <c r="L27" s="96"/>
    </row>
    <row r="28" spans="1:12" ht="12">
      <c r="A28" s="1601"/>
      <c r="B28" s="1601"/>
      <c r="C28" s="1601"/>
      <c r="D28" s="1601"/>
      <c r="E28" s="1601"/>
      <c r="F28" s="1597" t="s">
        <v>409</v>
      </c>
      <c r="G28" s="1598"/>
      <c r="H28" s="1598"/>
      <c r="I28" s="1599"/>
      <c r="J28" s="96">
        <f>+E27*3.7*2</f>
        <v>7.4</v>
      </c>
      <c r="K28" s="96" t="s">
        <v>410</v>
      </c>
      <c r="L28" s="96"/>
    </row>
    <row r="29" spans="1:12" ht="12">
      <c r="A29" s="1601"/>
      <c r="B29" s="1601"/>
      <c r="C29" s="1601"/>
      <c r="D29" s="1601"/>
      <c r="E29" s="1601"/>
      <c r="F29" s="1600" t="s">
        <v>414</v>
      </c>
      <c r="G29" s="1600"/>
      <c r="H29" s="1600"/>
      <c r="I29" s="1600"/>
      <c r="J29" s="97">
        <f>+E27*0.5*2</f>
        <v>1</v>
      </c>
      <c r="K29" s="97" t="s">
        <v>415</v>
      </c>
      <c r="L29" s="97" t="s">
        <v>416</v>
      </c>
    </row>
    <row r="30" spans="1:12" ht="12">
      <c r="A30" s="1601">
        <v>9</v>
      </c>
      <c r="B30" s="1601" t="s">
        <v>421</v>
      </c>
      <c r="C30" s="1601">
        <v>1440</v>
      </c>
      <c r="D30" s="1601" t="s">
        <v>423</v>
      </c>
      <c r="E30" s="1601">
        <v>1</v>
      </c>
      <c r="F30" s="1601" t="s">
        <v>422</v>
      </c>
      <c r="G30" s="1601"/>
      <c r="H30" s="1601"/>
      <c r="I30" s="1601"/>
      <c r="J30" s="96">
        <f>+E30*1*2</f>
        <v>2</v>
      </c>
      <c r="K30" s="96" t="s">
        <v>408</v>
      </c>
      <c r="L30" s="96"/>
    </row>
    <row r="31" spans="1:12" ht="12">
      <c r="A31" s="1601"/>
      <c r="B31" s="1601"/>
      <c r="C31" s="1601"/>
      <c r="D31" s="1601"/>
      <c r="E31" s="1601"/>
      <c r="F31" s="1597" t="s">
        <v>409</v>
      </c>
      <c r="G31" s="1598"/>
      <c r="H31" s="1598"/>
      <c r="I31" s="1599"/>
      <c r="J31" s="96">
        <f>+E30*4.5*2</f>
        <v>9</v>
      </c>
      <c r="K31" s="96" t="s">
        <v>410</v>
      </c>
      <c r="L31" s="96"/>
    </row>
    <row r="32" spans="1:12" ht="12">
      <c r="A32" s="1601"/>
      <c r="B32" s="1601"/>
      <c r="C32" s="1601"/>
      <c r="D32" s="1601"/>
      <c r="E32" s="1601"/>
      <c r="F32" s="1600" t="s">
        <v>414</v>
      </c>
      <c r="G32" s="1600"/>
      <c r="H32" s="1600"/>
      <c r="I32" s="1600"/>
      <c r="J32" s="97">
        <f>+E30*0.5*2</f>
        <v>1</v>
      </c>
      <c r="K32" s="97" t="s">
        <v>415</v>
      </c>
      <c r="L32" s="97" t="s">
        <v>416</v>
      </c>
    </row>
    <row r="33" spans="1:20" ht="12">
      <c r="A33" s="1601">
        <v>10</v>
      </c>
      <c r="B33" s="1601" t="s">
        <v>424</v>
      </c>
      <c r="C33" s="1601">
        <v>2160</v>
      </c>
      <c r="D33" s="1601" t="s">
        <v>425</v>
      </c>
      <c r="E33" s="1601">
        <v>1</v>
      </c>
      <c r="F33" s="1601" t="s">
        <v>426</v>
      </c>
      <c r="G33" s="1601"/>
      <c r="H33" s="1601"/>
      <c r="I33" s="1601"/>
      <c r="J33" s="96">
        <f>+E33*1</f>
        <v>1</v>
      </c>
      <c r="K33" s="96" t="s">
        <v>408</v>
      </c>
      <c r="L33" s="96"/>
    </row>
    <row r="34" spans="1:20" ht="12">
      <c r="A34" s="1601"/>
      <c r="B34" s="1601"/>
      <c r="C34" s="1601"/>
      <c r="D34" s="1601"/>
      <c r="E34" s="1601"/>
      <c r="F34" s="1597" t="s">
        <v>409</v>
      </c>
      <c r="G34" s="1598"/>
      <c r="H34" s="1598"/>
      <c r="I34" s="1599"/>
      <c r="J34" s="96">
        <f>+E33*5</f>
        <v>5</v>
      </c>
      <c r="K34" s="96" t="s">
        <v>410</v>
      </c>
      <c r="L34" s="96"/>
    </row>
    <row r="35" spans="1:20" ht="12">
      <c r="A35" s="1601"/>
      <c r="B35" s="1601"/>
      <c r="C35" s="1601"/>
      <c r="D35" s="1601"/>
      <c r="E35" s="1601"/>
      <c r="F35" s="1600" t="s">
        <v>414</v>
      </c>
      <c r="G35" s="1600"/>
      <c r="H35" s="1600"/>
      <c r="I35" s="1600"/>
      <c r="J35" s="97">
        <f>+E33*0.5</f>
        <v>0.5</v>
      </c>
      <c r="K35" s="97" t="s">
        <v>415</v>
      </c>
      <c r="L35" s="97" t="s">
        <v>416</v>
      </c>
    </row>
    <row r="36" spans="1:20" s="98" customFormat="1" ht="14.25">
      <c r="A36" s="98" t="s">
        <v>427</v>
      </c>
      <c r="M36" s="93" t="s">
        <v>428</v>
      </c>
      <c r="T36" s="99"/>
    </row>
    <row r="37" spans="1:20" ht="12">
      <c r="A37" s="1593">
        <v>11</v>
      </c>
      <c r="B37" s="1594" t="s">
        <v>402</v>
      </c>
      <c r="C37" s="1594"/>
      <c r="D37" s="1595" t="s">
        <v>429</v>
      </c>
      <c r="E37" s="1594"/>
      <c r="F37" s="1596" t="s">
        <v>430</v>
      </c>
      <c r="G37" s="1596"/>
      <c r="H37" s="1596"/>
      <c r="I37" s="1596"/>
      <c r="J37" s="96">
        <v>1</v>
      </c>
      <c r="K37" s="96" t="s">
        <v>431</v>
      </c>
      <c r="L37" s="96"/>
      <c r="M37" s="93">
        <f>J37*1.5</f>
        <v>1.5</v>
      </c>
    </row>
    <row r="38" spans="1:20" ht="12">
      <c r="A38" s="1593"/>
      <c r="B38" s="1594"/>
      <c r="C38" s="1594"/>
      <c r="D38" s="1594"/>
      <c r="E38" s="1594"/>
      <c r="F38" s="1597" t="s">
        <v>409</v>
      </c>
      <c r="G38" s="1598"/>
      <c r="H38" s="1598"/>
      <c r="I38" s="1599"/>
      <c r="J38" s="96">
        <v>30</v>
      </c>
      <c r="K38" s="96" t="s">
        <v>432</v>
      </c>
      <c r="L38" s="96"/>
      <c r="M38" s="93">
        <f t="shared" ref="M38:M48" si="0">J38*1.5</f>
        <v>45</v>
      </c>
    </row>
    <row r="39" spans="1:20" ht="12">
      <c r="A39" s="1593"/>
      <c r="B39" s="1594"/>
      <c r="C39" s="1594"/>
      <c r="D39" s="1594"/>
      <c r="E39" s="1594"/>
      <c r="F39" s="1596" t="s">
        <v>433</v>
      </c>
      <c r="G39" s="1596"/>
      <c r="H39" s="1596"/>
      <c r="I39" s="1596"/>
      <c r="J39" s="96">
        <v>2</v>
      </c>
      <c r="K39" s="96" t="s">
        <v>431</v>
      </c>
      <c r="L39" s="96"/>
      <c r="M39" s="93">
        <f t="shared" si="0"/>
        <v>3</v>
      </c>
    </row>
    <row r="40" spans="1:20" ht="12" customHeight="1">
      <c r="A40" s="1593"/>
      <c r="B40" s="1594"/>
      <c r="C40" s="1594"/>
      <c r="D40" s="1594"/>
      <c r="E40" s="1594"/>
      <c r="F40" s="1587" t="s">
        <v>526</v>
      </c>
      <c r="G40" s="1588"/>
      <c r="H40" s="1588"/>
      <c r="I40" s="1589"/>
      <c r="J40" s="1585">
        <v>32</v>
      </c>
      <c r="K40" s="1585" t="s">
        <v>524</v>
      </c>
      <c r="L40" s="96"/>
      <c r="M40" s="93">
        <f t="shared" si="0"/>
        <v>48</v>
      </c>
    </row>
    <row r="41" spans="1:20" ht="12" customHeight="1">
      <c r="A41" s="1593"/>
      <c r="B41" s="1594"/>
      <c r="C41" s="1594"/>
      <c r="D41" s="1594"/>
      <c r="E41" s="1594"/>
      <c r="F41" s="1590"/>
      <c r="G41" s="1591"/>
      <c r="H41" s="1591"/>
      <c r="I41" s="1592"/>
      <c r="J41" s="1586"/>
      <c r="K41" s="1586"/>
      <c r="L41" s="96"/>
      <c r="M41" s="93">
        <f t="shared" si="0"/>
        <v>0</v>
      </c>
    </row>
    <row r="42" spans="1:20" ht="24">
      <c r="A42" s="1593"/>
      <c r="B42" s="1594"/>
      <c r="C42" s="1594"/>
      <c r="D42" s="1594"/>
      <c r="E42" s="1594"/>
      <c r="F42" s="1600" t="s">
        <v>435</v>
      </c>
      <c r="G42" s="1600"/>
      <c r="H42" s="1600"/>
      <c r="I42" s="1600"/>
      <c r="J42" s="97">
        <v>12</v>
      </c>
      <c r="K42" s="97" t="s">
        <v>436</v>
      </c>
      <c r="L42" s="97" t="s">
        <v>437</v>
      </c>
      <c r="M42" s="93">
        <f t="shared" si="0"/>
        <v>18</v>
      </c>
    </row>
    <row r="43" spans="1:20" ht="12">
      <c r="A43" s="1593">
        <v>12</v>
      </c>
      <c r="B43" s="1594" t="s">
        <v>402</v>
      </c>
      <c r="C43" s="1594"/>
      <c r="D43" s="1595" t="s">
        <v>438</v>
      </c>
      <c r="E43" s="1594"/>
      <c r="F43" s="1596" t="s">
        <v>430</v>
      </c>
      <c r="G43" s="1596"/>
      <c r="H43" s="1596"/>
      <c r="I43" s="1596"/>
      <c r="J43" s="96">
        <v>2</v>
      </c>
      <c r="K43" s="96" t="s">
        <v>415</v>
      </c>
      <c r="L43" s="100"/>
      <c r="M43" s="93">
        <f t="shared" si="0"/>
        <v>3</v>
      </c>
    </row>
    <row r="44" spans="1:20" ht="12">
      <c r="A44" s="1593"/>
      <c r="B44" s="1594"/>
      <c r="C44" s="1594"/>
      <c r="D44" s="1594"/>
      <c r="E44" s="1594"/>
      <c r="F44" s="1597" t="s">
        <v>409</v>
      </c>
      <c r="G44" s="1598"/>
      <c r="H44" s="1598"/>
      <c r="I44" s="1599"/>
      <c r="J44" s="96">
        <v>50</v>
      </c>
      <c r="K44" s="96" t="s">
        <v>432</v>
      </c>
      <c r="L44" s="100"/>
      <c r="M44" s="93">
        <f t="shared" si="0"/>
        <v>75</v>
      </c>
    </row>
    <row r="45" spans="1:20" ht="12">
      <c r="A45" s="1593"/>
      <c r="B45" s="1594"/>
      <c r="C45" s="1594"/>
      <c r="D45" s="1594"/>
      <c r="E45" s="1594"/>
      <c r="F45" s="1596" t="s">
        <v>433</v>
      </c>
      <c r="G45" s="1596"/>
      <c r="H45" s="1596"/>
      <c r="I45" s="1596"/>
      <c r="J45" s="96">
        <v>3</v>
      </c>
      <c r="K45" s="96" t="s">
        <v>415</v>
      </c>
      <c r="L45" s="100"/>
      <c r="M45" s="93">
        <f t="shared" si="0"/>
        <v>4.5</v>
      </c>
    </row>
    <row r="46" spans="1:20" ht="12" customHeight="1">
      <c r="A46" s="1593"/>
      <c r="B46" s="1594"/>
      <c r="C46" s="1594"/>
      <c r="D46" s="1594"/>
      <c r="E46" s="1594"/>
      <c r="F46" s="1587" t="s">
        <v>525</v>
      </c>
      <c r="G46" s="1588"/>
      <c r="H46" s="1588"/>
      <c r="I46" s="1589"/>
      <c r="J46" s="1585">
        <v>60</v>
      </c>
      <c r="K46" s="1585" t="s">
        <v>524</v>
      </c>
      <c r="L46" s="100"/>
      <c r="M46" s="93">
        <f t="shared" si="0"/>
        <v>90</v>
      </c>
    </row>
    <row r="47" spans="1:20" ht="12" customHeight="1">
      <c r="A47" s="1593"/>
      <c r="B47" s="1594"/>
      <c r="C47" s="1594"/>
      <c r="D47" s="1594"/>
      <c r="E47" s="1594"/>
      <c r="F47" s="1590"/>
      <c r="G47" s="1591"/>
      <c r="H47" s="1591"/>
      <c r="I47" s="1592"/>
      <c r="J47" s="1586"/>
      <c r="K47" s="1586"/>
      <c r="L47" s="100"/>
      <c r="M47" s="93">
        <f t="shared" si="0"/>
        <v>0</v>
      </c>
    </row>
    <row r="48" spans="1:20" ht="24">
      <c r="A48" s="1593"/>
      <c r="B48" s="1594"/>
      <c r="C48" s="1594"/>
      <c r="D48" s="1594"/>
      <c r="E48" s="1594"/>
      <c r="F48" s="1600" t="s">
        <v>435</v>
      </c>
      <c r="G48" s="1600"/>
      <c r="H48" s="1600"/>
      <c r="I48" s="1600"/>
      <c r="J48" s="97">
        <v>20</v>
      </c>
      <c r="K48" s="97" t="s">
        <v>436</v>
      </c>
      <c r="L48" s="97" t="s">
        <v>437</v>
      </c>
      <c r="M48" s="93">
        <f t="shared" si="0"/>
        <v>30</v>
      </c>
    </row>
    <row r="49" spans="1:12" ht="15" customHeight="1">
      <c r="A49" s="1609" t="s">
        <v>520</v>
      </c>
      <c r="B49" s="1609"/>
      <c r="C49" s="1609"/>
      <c r="D49" s="1609"/>
      <c r="E49" s="1609"/>
      <c r="F49" s="1609"/>
      <c r="G49" s="1609"/>
      <c r="H49" s="1609"/>
      <c r="I49" s="1609"/>
      <c r="J49" s="1609"/>
      <c r="K49" s="1609"/>
      <c r="L49" s="1610"/>
    </row>
    <row r="50" spans="1:12" ht="15" customHeight="1">
      <c r="A50" s="1601">
        <v>1</v>
      </c>
      <c r="B50" s="1587" t="s">
        <v>511</v>
      </c>
      <c r="C50" s="1589"/>
      <c r="D50" s="1601" t="s">
        <v>512</v>
      </c>
      <c r="E50" s="1613">
        <v>1</v>
      </c>
      <c r="F50" s="1601" t="s">
        <v>473</v>
      </c>
      <c r="G50" s="1601"/>
      <c r="H50" s="1601"/>
      <c r="I50" s="1601"/>
      <c r="J50" s="105">
        <f>E50*2</f>
        <v>2</v>
      </c>
      <c r="K50" s="105" t="s">
        <v>431</v>
      </c>
      <c r="L50" s="1601" t="s">
        <v>513</v>
      </c>
    </row>
    <row r="51" spans="1:12" ht="12">
      <c r="A51" s="1601"/>
      <c r="B51" s="1611"/>
      <c r="C51" s="1612"/>
      <c r="D51" s="1601"/>
      <c r="E51" s="1614"/>
      <c r="F51" s="1597" t="s">
        <v>409</v>
      </c>
      <c r="G51" s="1598"/>
      <c r="H51" s="1598"/>
      <c r="I51" s="1599"/>
      <c r="J51" s="105">
        <f>+E50*5</f>
        <v>5</v>
      </c>
      <c r="K51" s="105" t="s">
        <v>410</v>
      </c>
      <c r="L51" s="1601"/>
    </row>
    <row r="52" spans="1:12" ht="15" customHeight="1">
      <c r="A52" s="1601"/>
      <c r="B52" s="1611"/>
      <c r="C52" s="1612"/>
      <c r="D52" s="1601"/>
      <c r="E52" s="1614"/>
      <c r="F52" s="1601" t="s">
        <v>460</v>
      </c>
      <c r="G52" s="1601"/>
      <c r="H52" s="1601"/>
      <c r="I52" s="1601"/>
      <c r="J52" s="105">
        <f>+E50*1</f>
        <v>1</v>
      </c>
      <c r="K52" s="105" t="s">
        <v>415</v>
      </c>
      <c r="L52" s="1601"/>
    </row>
    <row r="53" spans="1:12" ht="15" customHeight="1">
      <c r="A53" s="1601"/>
      <c r="B53" s="1590"/>
      <c r="C53" s="1592"/>
      <c r="D53" s="1601"/>
      <c r="E53" s="1614"/>
      <c r="F53" s="1601" t="s">
        <v>475</v>
      </c>
      <c r="G53" s="1601"/>
      <c r="H53" s="1601"/>
      <c r="I53" s="1601"/>
      <c r="J53" s="105">
        <f>+E50*8</f>
        <v>8</v>
      </c>
      <c r="K53" s="105" t="s">
        <v>434</v>
      </c>
      <c r="L53" s="1601"/>
    </row>
    <row r="54" spans="1:12" ht="15" customHeight="1">
      <c r="A54" s="1601">
        <v>2</v>
      </c>
      <c r="B54" s="1587" t="s">
        <v>515</v>
      </c>
      <c r="C54" s="1589"/>
      <c r="D54" s="1601" t="s">
        <v>516</v>
      </c>
      <c r="E54" s="1613">
        <v>1</v>
      </c>
      <c r="F54" s="1601" t="s">
        <v>473</v>
      </c>
      <c r="G54" s="1601"/>
      <c r="H54" s="1601"/>
      <c r="I54" s="1601"/>
      <c r="J54" s="105">
        <f>E54*1</f>
        <v>1</v>
      </c>
      <c r="K54" s="105" t="s">
        <v>415</v>
      </c>
      <c r="L54" s="1601"/>
    </row>
    <row r="55" spans="1:12" ht="15" customHeight="1">
      <c r="A55" s="1601"/>
      <c r="B55" s="1611"/>
      <c r="C55" s="1612"/>
      <c r="D55" s="1601"/>
      <c r="E55" s="1614"/>
      <c r="F55" s="1597" t="s">
        <v>409</v>
      </c>
      <c r="G55" s="1598"/>
      <c r="H55" s="1598"/>
      <c r="I55" s="1599"/>
      <c r="J55" s="105">
        <f>+E54*4</f>
        <v>4</v>
      </c>
      <c r="K55" s="105" t="s">
        <v>432</v>
      </c>
      <c r="L55" s="1601"/>
    </row>
    <row r="56" spans="1:12" ht="15" customHeight="1">
      <c r="A56" s="1601"/>
      <c r="B56" s="1611"/>
      <c r="C56" s="1612"/>
      <c r="D56" s="1601"/>
      <c r="E56" s="1614"/>
      <c r="F56" s="1601" t="s">
        <v>460</v>
      </c>
      <c r="G56" s="1601"/>
      <c r="H56" s="1601"/>
      <c r="I56" s="1601"/>
      <c r="J56" s="105">
        <f>+E54*0.5</f>
        <v>0.5</v>
      </c>
      <c r="K56" s="105" t="s">
        <v>415</v>
      </c>
      <c r="L56" s="1601"/>
    </row>
    <row r="57" spans="1:12" ht="15" customHeight="1">
      <c r="A57" s="1601"/>
      <c r="B57" s="1590"/>
      <c r="C57" s="1592"/>
      <c r="D57" s="1601"/>
      <c r="E57" s="1614"/>
      <c r="F57" s="1601" t="s">
        <v>475</v>
      </c>
      <c r="G57" s="1601"/>
      <c r="H57" s="1601"/>
      <c r="I57" s="1601"/>
      <c r="J57" s="105">
        <f>+E54*8</f>
        <v>8</v>
      </c>
      <c r="K57" s="105" t="s">
        <v>434</v>
      </c>
      <c r="L57" s="1601"/>
    </row>
    <row r="58" spans="1:12" ht="15" customHeight="1">
      <c r="A58" s="1601">
        <v>3</v>
      </c>
      <c r="B58" s="1587" t="s">
        <v>517</v>
      </c>
      <c r="C58" s="1589"/>
      <c r="D58" s="1601" t="s">
        <v>518</v>
      </c>
      <c r="E58" s="1593">
        <v>1</v>
      </c>
      <c r="F58" s="1601" t="s">
        <v>473</v>
      </c>
      <c r="G58" s="1601"/>
      <c r="H58" s="1601"/>
      <c r="I58" s="1601"/>
      <c r="J58" s="105">
        <f>E58*2</f>
        <v>2</v>
      </c>
      <c r="K58" s="105" t="s">
        <v>431</v>
      </c>
      <c r="L58" s="1601"/>
    </row>
    <row r="59" spans="1:12" ht="15" customHeight="1">
      <c r="A59" s="1601"/>
      <c r="B59" s="1611"/>
      <c r="C59" s="1612"/>
      <c r="D59" s="1601"/>
      <c r="E59" s="1593"/>
      <c r="F59" s="1597" t="s">
        <v>409</v>
      </c>
      <c r="G59" s="1598"/>
      <c r="H59" s="1598"/>
      <c r="I59" s="1599"/>
      <c r="J59" s="105">
        <f>+E58*7</f>
        <v>7</v>
      </c>
      <c r="K59" s="105" t="s">
        <v>410</v>
      </c>
      <c r="L59" s="1601"/>
    </row>
    <row r="60" spans="1:12" ht="15" customHeight="1">
      <c r="A60" s="1601"/>
      <c r="B60" s="1611"/>
      <c r="C60" s="1612"/>
      <c r="D60" s="1601"/>
      <c r="E60" s="1593"/>
      <c r="F60" s="1601" t="s">
        <v>460</v>
      </c>
      <c r="G60" s="1601"/>
      <c r="H60" s="1601"/>
      <c r="I60" s="1601"/>
      <c r="J60" s="105">
        <f>+E58*1.5</f>
        <v>1.5</v>
      </c>
      <c r="K60" s="105" t="s">
        <v>415</v>
      </c>
      <c r="L60" s="1601"/>
    </row>
    <row r="61" spans="1:12" ht="15" customHeight="1">
      <c r="A61" s="1601"/>
      <c r="B61" s="1590"/>
      <c r="C61" s="1592"/>
      <c r="D61" s="1601"/>
      <c r="E61" s="1593"/>
      <c r="F61" s="1601" t="s">
        <v>475</v>
      </c>
      <c r="G61" s="1601"/>
      <c r="H61" s="1601"/>
      <c r="I61" s="1601"/>
      <c r="J61" s="105">
        <f>+E58*8</f>
        <v>8</v>
      </c>
      <c r="K61" s="105" t="s">
        <v>434</v>
      </c>
      <c r="L61" s="1601"/>
    </row>
  </sheetData>
  <mergeCells count="141">
    <mergeCell ref="F60:I60"/>
    <mergeCell ref="F61:I61"/>
    <mergeCell ref="A49:L49"/>
    <mergeCell ref="A50:A53"/>
    <mergeCell ref="B50:C53"/>
    <mergeCell ref="D50:D53"/>
    <mergeCell ref="E50:E53"/>
    <mergeCell ref="F50:I50"/>
    <mergeCell ref="L50:L61"/>
    <mergeCell ref="F51:I51"/>
    <mergeCell ref="F52:I52"/>
    <mergeCell ref="F53:I53"/>
    <mergeCell ref="A54:A57"/>
    <mergeCell ref="B54:C57"/>
    <mergeCell ref="D54:D57"/>
    <mergeCell ref="E54:E57"/>
    <mergeCell ref="F54:I54"/>
    <mergeCell ref="F55:I55"/>
    <mergeCell ref="F56:I56"/>
    <mergeCell ref="F57:I57"/>
    <mergeCell ref="A58:A61"/>
    <mergeCell ref="B58:C61"/>
    <mergeCell ref="D58:D61"/>
    <mergeCell ref="E58:E61"/>
    <mergeCell ref="F58:I58"/>
    <mergeCell ref="F59:I59"/>
    <mergeCell ref="K4:L5"/>
    <mergeCell ref="A5:B5"/>
    <mergeCell ref="C5:D5"/>
    <mergeCell ref="E5:F5"/>
    <mergeCell ref="G5:H5"/>
    <mergeCell ref="F6:I6"/>
    <mergeCell ref="A1:L2"/>
    <mergeCell ref="A3:B3"/>
    <mergeCell ref="C3:H3"/>
    <mergeCell ref="I3:J3"/>
    <mergeCell ref="K3:L3"/>
    <mergeCell ref="A4:B4"/>
    <mergeCell ref="C4:D4"/>
    <mergeCell ref="E4:F4"/>
    <mergeCell ref="G4:H4"/>
    <mergeCell ref="I4:J5"/>
    <mergeCell ref="A9:A11"/>
    <mergeCell ref="B9:B11"/>
    <mergeCell ref="C9:C11"/>
    <mergeCell ref="D9:D11"/>
    <mergeCell ref="E9:E11"/>
    <mergeCell ref="F9:I9"/>
    <mergeCell ref="F10:I10"/>
    <mergeCell ref="F11:I11"/>
    <mergeCell ref="A7:A8"/>
    <mergeCell ref="B7:B8"/>
    <mergeCell ref="C7:C8"/>
    <mergeCell ref="D7:D8"/>
    <mergeCell ref="E7:E8"/>
    <mergeCell ref="F7:I7"/>
    <mergeCell ref="F8:I8"/>
    <mergeCell ref="A15:A17"/>
    <mergeCell ref="B15:B17"/>
    <mergeCell ref="C15:C17"/>
    <mergeCell ref="D15:D17"/>
    <mergeCell ref="E15:E17"/>
    <mergeCell ref="F15:I15"/>
    <mergeCell ref="F16:I16"/>
    <mergeCell ref="F17:I17"/>
    <mergeCell ref="A12:A14"/>
    <mergeCell ref="B12:B14"/>
    <mergeCell ref="C12:C14"/>
    <mergeCell ref="D12:D14"/>
    <mergeCell ref="E12:E14"/>
    <mergeCell ref="F12:I12"/>
    <mergeCell ref="F13:I13"/>
    <mergeCell ref="F14:I14"/>
    <mergeCell ref="A21:A23"/>
    <mergeCell ref="B21:B23"/>
    <mergeCell ref="C21:C23"/>
    <mergeCell ref="D21:D23"/>
    <mergeCell ref="E21:E23"/>
    <mergeCell ref="F21:I21"/>
    <mergeCell ref="F22:I22"/>
    <mergeCell ref="F23:I23"/>
    <mergeCell ref="A18:A20"/>
    <mergeCell ref="B18:B20"/>
    <mergeCell ref="C18:C20"/>
    <mergeCell ref="D18:D20"/>
    <mergeCell ref="E18:E20"/>
    <mergeCell ref="F18:I18"/>
    <mergeCell ref="F19:I19"/>
    <mergeCell ref="F20:I20"/>
    <mergeCell ref="A27:A29"/>
    <mergeCell ref="B27:B29"/>
    <mergeCell ref="C27:C29"/>
    <mergeCell ref="D27:D29"/>
    <mergeCell ref="E27:E29"/>
    <mergeCell ref="F27:I27"/>
    <mergeCell ref="F28:I28"/>
    <mergeCell ref="F29:I29"/>
    <mergeCell ref="A24:A26"/>
    <mergeCell ref="B24:B26"/>
    <mergeCell ref="C24:C26"/>
    <mergeCell ref="D24:D26"/>
    <mergeCell ref="E24:E26"/>
    <mergeCell ref="F24:I24"/>
    <mergeCell ref="F25:I25"/>
    <mergeCell ref="F26:I26"/>
    <mergeCell ref="A33:A35"/>
    <mergeCell ref="B33:B35"/>
    <mergeCell ref="C33:C35"/>
    <mergeCell ref="D33:D35"/>
    <mergeCell ref="E33:E35"/>
    <mergeCell ref="F33:I33"/>
    <mergeCell ref="F34:I34"/>
    <mergeCell ref="F35:I35"/>
    <mergeCell ref="A30:A32"/>
    <mergeCell ref="B30:B32"/>
    <mergeCell ref="C30:C32"/>
    <mergeCell ref="D30:D32"/>
    <mergeCell ref="E30:E32"/>
    <mergeCell ref="F30:I30"/>
    <mergeCell ref="F31:I31"/>
    <mergeCell ref="F32:I32"/>
    <mergeCell ref="J40:J41"/>
    <mergeCell ref="K40:K41"/>
    <mergeCell ref="F46:I47"/>
    <mergeCell ref="J46:J47"/>
    <mergeCell ref="K46:K47"/>
    <mergeCell ref="A43:A48"/>
    <mergeCell ref="B43:C48"/>
    <mergeCell ref="D43:E48"/>
    <mergeCell ref="F43:I43"/>
    <mergeCell ref="F44:I44"/>
    <mergeCell ref="F45:I45"/>
    <mergeCell ref="F48:I48"/>
    <mergeCell ref="A37:A42"/>
    <mergeCell ref="B37:C42"/>
    <mergeCell ref="D37:E42"/>
    <mergeCell ref="F37:I37"/>
    <mergeCell ref="F38:I38"/>
    <mergeCell ref="F39:I39"/>
    <mergeCell ref="F42:I42"/>
    <mergeCell ref="F40:I41"/>
  </mergeCells>
  <phoneticPr fontId="46" type="noConversion"/>
  <pageMargins left="0.7" right="0.7" top="0.75" bottom="0.75" header="0.3" footer="0.3"/>
  <pageSetup paperSize="9" scale="81" orientation="portrait" r:id="rId1"/>
</worksheet>
</file>

<file path=xl/worksheets/sheet22.xml><?xml version="1.0" encoding="utf-8"?>
<worksheet xmlns="http://schemas.openxmlformats.org/spreadsheetml/2006/main" xmlns:r="http://schemas.openxmlformats.org/officeDocument/2006/relationships">
  <dimension ref="A1:T93"/>
  <sheetViews>
    <sheetView view="pageBreakPreview" topLeftCell="C65" zoomScale="115" zoomScaleSheetLayoutView="115" workbookViewId="0">
      <selection activeCell="F74" sqref="F74:I74"/>
    </sheetView>
  </sheetViews>
  <sheetFormatPr defaultRowHeight="15" customHeight="1"/>
  <cols>
    <col min="1" max="1" width="5.625" style="93" customWidth="1"/>
    <col min="2" max="11" width="8.625" style="93" customWidth="1"/>
    <col min="12" max="12" width="9.625" style="93" bestFit="1" customWidth="1"/>
    <col min="13" max="13" width="4.75" style="93" customWidth="1"/>
    <col min="14" max="14" width="5.625" style="93" customWidth="1"/>
    <col min="15" max="15" width="4.875" style="93" customWidth="1"/>
    <col min="16" max="16" width="8.5" style="93" customWidth="1"/>
    <col min="17" max="17" width="6.375" style="93" customWidth="1"/>
    <col min="18" max="18" width="5.75" style="93" customWidth="1"/>
    <col min="19" max="19" width="12.625" style="93" customWidth="1"/>
    <col min="20" max="20" width="8.375" style="94" customWidth="1"/>
    <col min="21" max="21" width="24.875" style="93" customWidth="1"/>
    <col min="22" max="22" width="9" style="93"/>
    <col min="23" max="23" width="37.5" style="93" customWidth="1"/>
    <col min="24" max="16384" width="9" style="93"/>
  </cols>
  <sheetData>
    <row r="1" spans="1:12" ht="12">
      <c r="A1" s="1605" t="s">
        <v>439</v>
      </c>
      <c r="B1" s="1605"/>
      <c r="C1" s="1605"/>
      <c r="D1" s="1605"/>
      <c r="E1" s="1605"/>
      <c r="F1" s="1605"/>
      <c r="G1" s="1605"/>
      <c r="H1" s="1605"/>
      <c r="I1" s="1605"/>
      <c r="J1" s="1605"/>
      <c r="K1" s="1605"/>
      <c r="L1" s="1605"/>
    </row>
    <row r="2" spans="1:12" ht="12">
      <c r="A2" s="1605"/>
      <c r="B2" s="1605"/>
      <c r="C2" s="1605"/>
      <c r="D2" s="1605"/>
      <c r="E2" s="1605"/>
      <c r="F2" s="1605"/>
      <c r="G2" s="1605"/>
      <c r="H2" s="1605"/>
      <c r="I2" s="1605"/>
      <c r="J2" s="1605"/>
      <c r="K2" s="1605"/>
      <c r="L2" s="1605"/>
    </row>
    <row r="3" spans="1:12" ht="12">
      <c r="A3" s="1606" t="s">
        <v>440</v>
      </c>
      <c r="B3" s="1606"/>
      <c r="C3" s="1606">
        <f>下料单!G2</f>
        <v>0</v>
      </c>
      <c r="D3" s="1606"/>
      <c r="E3" s="1606"/>
      <c r="F3" s="1606"/>
      <c r="G3" s="1606"/>
      <c r="H3" s="1606"/>
      <c r="I3" s="1606" t="s">
        <v>441</v>
      </c>
      <c r="J3" s="1606"/>
      <c r="K3" s="1607" t="e">
        <f>[6]领料单!R2</f>
        <v>#REF!</v>
      </c>
      <c r="L3" s="1607"/>
    </row>
    <row r="4" spans="1:12" ht="12">
      <c r="A4" s="1602" t="s">
        <v>442</v>
      </c>
      <c r="B4" s="1602"/>
      <c r="C4" s="1602" t="str">
        <f>下料单!C2</f>
        <v>杜鹃</v>
      </c>
      <c r="D4" s="1602"/>
      <c r="E4" s="1602" t="s">
        <v>443</v>
      </c>
      <c r="F4" s="1602"/>
      <c r="G4" s="1608">
        <f>[6]领料单!M3</f>
        <v>40889</v>
      </c>
      <c r="H4" s="1608"/>
      <c r="I4" s="1602" t="s">
        <v>444</v>
      </c>
      <c r="J4" s="1602"/>
      <c r="K4" s="1602">
        <f>领料单!Q2</f>
        <v>0</v>
      </c>
      <c r="L4" s="1602"/>
    </row>
    <row r="5" spans="1:12" ht="12">
      <c r="A5" s="1602" t="str">
        <f>下料单!L2</f>
        <v>版本型录号</v>
      </c>
      <c r="B5" s="1602"/>
      <c r="C5" s="1602">
        <f>下料单!N2</f>
        <v>0</v>
      </c>
      <c r="D5" s="1602"/>
      <c r="E5" s="1602" t="s">
        <v>445</v>
      </c>
      <c r="F5" s="1602"/>
      <c r="G5" s="1603" t="e">
        <f>[6]下料单!X2</f>
        <v>#REF!</v>
      </c>
      <c r="H5" s="1603"/>
      <c r="I5" s="1602"/>
      <c r="J5" s="1602"/>
      <c r="K5" s="1602"/>
      <c r="L5" s="1602"/>
    </row>
    <row r="6" spans="1:12" ht="12">
      <c r="A6" s="95" t="s">
        <v>446</v>
      </c>
      <c r="B6" s="95" t="s">
        <v>447</v>
      </c>
      <c r="C6" s="95" t="s">
        <v>448</v>
      </c>
      <c r="D6" s="95" t="s">
        <v>449</v>
      </c>
      <c r="E6" s="95" t="s">
        <v>450</v>
      </c>
      <c r="F6" s="1604" t="s">
        <v>451</v>
      </c>
      <c r="G6" s="1604"/>
      <c r="H6" s="1604"/>
      <c r="I6" s="1604"/>
      <c r="J6" s="95" t="s">
        <v>452</v>
      </c>
      <c r="K6" s="95" t="s">
        <v>453</v>
      </c>
      <c r="L6" s="95" t="s">
        <v>454</v>
      </c>
    </row>
    <row r="7" spans="1:12" ht="12">
      <c r="A7" s="1601">
        <v>1</v>
      </c>
      <c r="B7" s="1585" t="s">
        <v>455</v>
      </c>
      <c r="C7" s="1601">
        <v>720</v>
      </c>
      <c r="D7" s="1601" t="s">
        <v>456</v>
      </c>
      <c r="E7" s="1601">
        <v>1</v>
      </c>
      <c r="F7" s="1597" t="s">
        <v>457</v>
      </c>
      <c r="G7" s="1598"/>
      <c r="H7" s="1598"/>
      <c r="I7" s="1599"/>
      <c r="J7" s="96">
        <f>E7*1</f>
        <v>1</v>
      </c>
      <c r="K7" s="96" t="s">
        <v>458</v>
      </c>
      <c r="L7" s="102"/>
    </row>
    <row r="8" spans="1:12" ht="12">
      <c r="A8" s="1601"/>
      <c r="B8" s="1616"/>
      <c r="C8" s="1601"/>
      <c r="D8" s="1601"/>
      <c r="E8" s="1601"/>
      <c r="F8" s="1597" t="s">
        <v>459</v>
      </c>
      <c r="G8" s="1598"/>
      <c r="H8" s="1598"/>
      <c r="I8" s="1599"/>
      <c r="J8" s="96">
        <f>+E7*3.6</f>
        <v>3.6</v>
      </c>
      <c r="K8" s="96" t="s">
        <v>410</v>
      </c>
      <c r="L8" s="96"/>
    </row>
    <row r="9" spans="1:12" ht="12">
      <c r="A9" s="1601"/>
      <c r="B9" s="1616"/>
      <c r="C9" s="1601"/>
      <c r="D9" s="1601"/>
      <c r="E9" s="1601"/>
      <c r="F9" s="1597" t="s">
        <v>460</v>
      </c>
      <c r="G9" s="1598"/>
      <c r="H9" s="1598"/>
      <c r="I9" s="1599"/>
      <c r="J9" s="96">
        <f>+E7*0.5</f>
        <v>0.5</v>
      </c>
      <c r="K9" s="96" t="s">
        <v>461</v>
      </c>
      <c r="L9" s="96"/>
    </row>
    <row r="10" spans="1:12" ht="12">
      <c r="A10" s="1601"/>
      <c r="B10" s="1586"/>
      <c r="C10" s="1601"/>
      <c r="D10" s="1601"/>
      <c r="E10" s="1601"/>
      <c r="F10" s="1597" t="s">
        <v>462</v>
      </c>
      <c r="G10" s="1598"/>
      <c r="H10" s="1598"/>
      <c r="I10" s="1599"/>
      <c r="J10" s="96">
        <f>+E7*8</f>
        <v>8</v>
      </c>
      <c r="K10" s="96" t="s">
        <v>458</v>
      </c>
      <c r="L10" s="102"/>
    </row>
    <row r="11" spans="1:12" ht="12">
      <c r="A11" s="1601">
        <v>2</v>
      </c>
      <c r="B11" s="1601">
        <v>900</v>
      </c>
      <c r="C11" s="1601">
        <v>720</v>
      </c>
      <c r="D11" s="1601" t="s">
        <v>456</v>
      </c>
      <c r="E11" s="1601">
        <v>1</v>
      </c>
      <c r="F11" s="1597" t="s">
        <v>463</v>
      </c>
      <c r="G11" s="1598"/>
      <c r="H11" s="1598"/>
      <c r="I11" s="1599"/>
      <c r="J11" s="96">
        <f>E11*1</f>
        <v>1</v>
      </c>
      <c r="K11" s="96" t="s">
        <v>458</v>
      </c>
      <c r="L11" s="96"/>
    </row>
    <row r="12" spans="1:12" ht="12">
      <c r="A12" s="1601"/>
      <c r="B12" s="1601"/>
      <c r="C12" s="1601"/>
      <c r="D12" s="1601"/>
      <c r="E12" s="1601"/>
      <c r="F12" s="1597" t="s">
        <v>459</v>
      </c>
      <c r="G12" s="1598"/>
      <c r="H12" s="1598"/>
      <c r="I12" s="1599"/>
      <c r="J12" s="96">
        <f>+E11*4.5</f>
        <v>4.5</v>
      </c>
      <c r="K12" s="96" t="s">
        <v>410</v>
      </c>
      <c r="L12" s="102"/>
    </row>
    <row r="13" spans="1:12" ht="12">
      <c r="A13" s="1601"/>
      <c r="B13" s="1601"/>
      <c r="C13" s="1601"/>
      <c r="D13" s="1601"/>
      <c r="E13" s="1601"/>
      <c r="F13" s="1597" t="s">
        <v>460</v>
      </c>
      <c r="G13" s="1598"/>
      <c r="H13" s="1598"/>
      <c r="I13" s="1599"/>
      <c r="J13" s="96">
        <f>+E11*0.5</f>
        <v>0.5</v>
      </c>
      <c r="K13" s="96" t="s">
        <v>461</v>
      </c>
      <c r="L13" s="96"/>
    </row>
    <row r="14" spans="1:12" ht="12">
      <c r="A14" s="1601"/>
      <c r="B14" s="1601"/>
      <c r="C14" s="1601"/>
      <c r="D14" s="1601"/>
      <c r="E14" s="1601"/>
      <c r="F14" s="1597" t="s">
        <v>464</v>
      </c>
      <c r="G14" s="1598"/>
      <c r="H14" s="1598"/>
      <c r="I14" s="1599"/>
      <c r="J14" s="96">
        <f>+E11*8</f>
        <v>8</v>
      </c>
      <c r="K14" s="96" t="s">
        <v>458</v>
      </c>
      <c r="L14" s="96"/>
    </row>
    <row r="15" spans="1:12" ht="12">
      <c r="A15" s="1601">
        <v>3</v>
      </c>
      <c r="B15" s="1601">
        <v>1200</v>
      </c>
      <c r="C15" s="1601">
        <v>720</v>
      </c>
      <c r="D15" s="1601" t="s">
        <v>456</v>
      </c>
      <c r="E15" s="1601">
        <v>1</v>
      </c>
      <c r="F15" s="1597" t="s">
        <v>465</v>
      </c>
      <c r="G15" s="1598"/>
      <c r="H15" s="1598"/>
      <c r="I15" s="1599"/>
      <c r="J15" s="96">
        <f>E15*1</f>
        <v>1</v>
      </c>
      <c r="K15" s="96" t="s">
        <v>458</v>
      </c>
      <c r="L15" s="96"/>
    </row>
    <row r="16" spans="1:12" ht="12">
      <c r="A16" s="1601"/>
      <c r="B16" s="1601"/>
      <c r="C16" s="1601"/>
      <c r="D16" s="1601"/>
      <c r="E16" s="1601"/>
      <c r="F16" s="1597" t="s">
        <v>459</v>
      </c>
      <c r="G16" s="1598"/>
      <c r="H16" s="1598"/>
      <c r="I16" s="1599"/>
      <c r="J16" s="96">
        <f>+E15*4.8</f>
        <v>4.8</v>
      </c>
      <c r="K16" s="96" t="s">
        <v>410</v>
      </c>
      <c r="L16" s="96"/>
    </row>
    <row r="17" spans="1:12" ht="12">
      <c r="A17" s="1601"/>
      <c r="B17" s="1601"/>
      <c r="C17" s="1601"/>
      <c r="D17" s="1601"/>
      <c r="E17" s="1601"/>
      <c r="F17" s="1597" t="s">
        <v>460</v>
      </c>
      <c r="G17" s="1598"/>
      <c r="H17" s="1598"/>
      <c r="I17" s="1599"/>
      <c r="J17" s="96">
        <f>+E15*0.5</f>
        <v>0.5</v>
      </c>
      <c r="K17" s="96" t="s">
        <v>461</v>
      </c>
      <c r="L17" s="102"/>
    </row>
    <row r="18" spans="1:12" ht="12">
      <c r="A18" s="1601"/>
      <c r="B18" s="1601"/>
      <c r="C18" s="1601"/>
      <c r="D18" s="1601"/>
      <c r="E18" s="1601"/>
      <c r="F18" s="1597" t="s">
        <v>462</v>
      </c>
      <c r="G18" s="1598"/>
      <c r="H18" s="1598"/>
      <c r="I18" s="1599"/>
      <c r="J18" s="96">
        <f>+E15*8</f>
        <v>8</v>
      </c>
      <c r="K18" s="96" t="s">
        <v>458</v>
      </c>
      <c r="L18" s="96"/>
    </row>
    <row r="19" spans="1:12" ht="12">
      <c r="A19" s="1601">
        <v>4</v>
      </c>
      <c r="B19" s="1585" t="s">
        <v>455</v>
      </c>
      <c r="C19" s="1601">
        <v>720</v>
      </c>
      <c r="D19" s="1601" t="s">
        <v>466</v>
      </c>
      <c r="E19" s="1601">
        <v>1</v>
      </c>
      <c r="F19" s="1597" t="s">
        <v>467</v>
      </c>
      <c r="G19" s="1598"/>
      <c r="H19" s="1598"/>
      <c r="I19" s="1599"/>
      <c r="J19" s="96">
        <f>E19*1</f>
        <v>1</v>
      </c>
      <c r="K19" s="96" t="s">
        <v>468</v>
      </c>
      <c r="L19" s="103"/>
    </row>
    <row r="20" spans="1:12" ht="12">
      <c r="A20" s="1601"/>
      <c r="B20" s="1616"/>
      <c r="C20" s="1601"/>
      <c r="D20" s="1601"/>
      <c r="E20" s="1601"/>
      <c r="F20" s="1597" t="s">
        <v>459</v>
      </c>
      <c r="G20" s="1598"/>
      <c r="H20" s="1598"/>
      <c r="I20" s="1599"/>
      <c r="J20" s="96">
        <f>+E19*3.5</f>
        <v>3.5</v>
      </c>
      <c r="K20" s="96" t="s">
        <v>410</v>
      </c>
      <c r="L20" s="103"/>
    </row>
    <row r="21" spans="1:12" ht="12">
      <c r="A21" s="1601"/>
      <c r="B21" s="1616"/>
      <c r="C21" s="1601"/>
      <c r="D21" s="1601"/>
      <c r="E21" s="1601"/>
      <c r="F21" s="1597" t="s">
        <v>460</v>
      </c>
      <c r="G21" s="1598"/>
      <c r="H21" s="1598"/>
      <c r="I21" s="1599"/>
      <c r="J21" s="96">
        <f>+E19*0.5</f>
        <v>0.5</v>
      </c>
      <c r="K21" s="96" t="s">
        <v>461</v>
      </c>
      <c r="L21" s="103"/>
    </row>
    <row r="22" spans="1:12" ht="12">
      <c r="A22" s="1601"/>
      <c r="B22" s="1586"/>
      <c r="C22" s="1601"/>
      <c r="D22" s="1601"/>
      <c r="E22" s="1601"/>
      <c r="F22" s="1597" t="s">
        <v>462</v>
      </c>
      <c r="G22" s="1598"/>
      <c r="H22" s="1598"/>
      <c r="I22" s="1599"/>
      <c r="J22" s="96">
        <f>+E19*8</f>
        <v>8</v>
      </c>
      <c r="K22" s="96" t="s">
        <v>458</v>
      </c>
      <c r="L22" s="103"/>
    </row>
    <row r="23" spans="1:12" ht="12">
      <c r="A23" s="1601">
        <v>5</v>
      </c>
      <c r="B23" s="1601">
        <v>900</v>
      </c>
      <c r="C23" s="1601">
        <v>720</v>
      </c>
      <c r="D23" s="1601" t="s">
        <v>466</v>
      </c>
      <c r="E23" s="1601">
        <v>1</v>
      </c>
      <c r="F23" s="1597" t="s">
        <v>469</v>
      </c>
      <c r="G23" s="1598"/>
      <c r="H23" s="1598"/>
      <c r="I23" s="1599"/>
      <c r="J23" s="96">
        <f>E23*1</f>
        <v>1</v>
      </c>
      <c r="K23" s="96" t="s">
        <v>458</v>
      </c>
      <c r="L23" s="103"/>
    </row>
    <row r="24" spans="1:12" ht="12">
      <c r="A24" s="1601"/>
      <c r="B24" s="1601"/>
      <c r="C24" s="1601"/>
      <c r="D24" s="1601"/>
      <c r="E24" s="1601"/>
      <c r="F24" s="1597" t="s">
        <v>459</v>
      </c>
      <c r="G24" s="1598"/>
      <c r="H24" s="1598"/>
      <c r="I24" s="1599"/>
      <c r="J24" s="96">
        <f>+E23*3.5</f>
        <v>3.5</v>
      </c>
      <c r="K24" s="96" t="s">
        <v>410</v>
      </c>
      <c r="L24" s="103"/>
    </row>
    <row r="25" spans="1:12" ht="12">
      <c r="A25" s="1601"/>
      <c r="B25" s="1601"/>
      <c r="C25" s="1601"/>
      <c r="D25" s="1601"/>
      <c r="E25" s="1601"/>
      <c r="F25" s="1597" t="s">
        <v>460</v>
      </c>
      <c r="G25" s="1598"/>
      <c r="H25" s="1598"/>
      <c r="I25" s="1599"/>
      <c r="J25" s="96">
        <f>+E23*0.5</f>
        <v>0.5</v>
      </c>
      <c r="K25" s="96" t="s">
        <v>461</v>
      </c>
      <c r="L25" s="103"/>
    </row>
    <row r="26" spans="1:12" ht="12">
      <c r="A26" s="1601"/>
      <c r="B26" s="1601"/>
      <c r="C26" s="1601"/>
      <c r="D26" s="1601"/>
      <c r="E26" s="1601"/>
      <c r="F26" s="1597" t="s">
        <v>462</v>
      </c>
      <c r="G26" s="1598"/>
      <c r="H26" s="1598"/>
      <c r="I26" s="1599"/>
      <c r="J26" s="96">
        <f>+E23*8</f>
        <v>8</v>
      </c>
      <c r="K26" s="96" t="s">
        <v>458</v>
      </c>
      <c r="L26" s="103"/>
    </row>
    <row r="27" spans="1:12" ht="12">
      <c r="A27" s="1601">
        <v>6</v>
      </c>
      <c r="B27" s="1601">
        <v>1200</v>
      </c>
      <c r="C27" s="1601">
        <v>720</v>
      </c>
      <c r="D27" s="1601" t="s">
        <v>466</v>
      </c>
      <c r="E27" s="1601">
        <v>1</v>
      </c>
      <c r="F27" s="1597" t="s">
        <v>470</v>
      </c>
      <c r="G27" s="1598"/>
      <c r="H27" s="1598"/>
      <c r="I27" s="1599"/>
      <c r="J27" s="96">
        <f>E27*1</f>
        <v>1</v>
      </c>
      <c r="K27" s="96" t="s">
        <v>458</v>
      </c>
      <c r="L27" s="103"/>
    </row>
    <row r="28" spans="1:12" ht="12">
      <c r="A28" s="1601"/>
      <c r="B28" s="1601"/>
      <c r="C28" s="1601"/>
      <c r="D28" s="1601"/>
      <c r="E28" s="1601"/>
      <c r="F28" s="1597" t="s">
        <v>459</v>
      </c>
      <c r="G28" s="1598"/>
      <c r="H28" s="1598"/>
      <c r="I28" s="1599"/>
      <c r="J28" s="96">
        <f>+E27*5</f>
        <v>5</v>
      </c>
      <c r="K28" s="96" t="s">
        <v>410</v>
      </c>
      <c r="L28" s="103"/>
    </row>
    <row r="29" spans="1:12" ht="12">
      <c r="A29" s="1601"/>
      <c r="B29" s="1601"/>
      <c r="C29" s="1601"/>
      <c r="D29" s="1601"/>
      <c r="E29" s="1601"/>
      <c r="F29" s="1597" t="s">
        <v>460</v>
      </c>
      <c r="G29" s="1598"/>
      <c r="H29" s="1598"/>
      <c r="I29" s="1599"/>
      <c r="J29" s="96">
        <f>+E27*0.5</f>
        <v>0.5</v>
      </c>
      <c r="K29" s="96" t="s">
        <v>461</v>
      </c>
      <c r="L29" s="103"/>
    </row>
    <row r="30" spans="1:12" ht="12">
      <c r="A30" s="1601"/>
      <c r="B30" s="1601"/>
      <c r="C30" s="1601"/>
      <c r="D30" s="1601"/>
      <c r="E30" s="1601"/>
      <c r="F30" s="1597" t="s">
        <v>462</v>
      </c>
      <c r="G30" s="1598"/>
      <c r="H30" s="1598"/>
      <c r="I30" s="1599"/>
      <c r="J30" s="96">
        <f>+E27*8</f>
        <v>8</v>
      </c>
      <c r="K30" s="96" t="s">
        <v>458</v>
      </c>
      <c r="L30" s="103"/>
    </row>
    <row r="31" spans="1:12" ht="12">
      <c r="A31" s="1601">
        <v>7</v>
      </c>
      <c r="B31" s="1585" t="s">
        <v>471</v>
      </c>
      <c r="C31" s="1601">
        <v>1440</v>
      </c>
      <c r="D31" s="1601" t="s">
        <v>472</v>
      </c>
      <c r="E31" s="1601">
        <v>1</v>
      </c>
      <c r="F31" s="1597" t="s">
        <v>473</v>
      </c>
      <c r="G31" s="1598"/>
      <c r="H31" s="1598"/>
      <c r="I31" s="1599"/>
      <c r="J31" s="96">
        <f>E31*2</f>
        <v>2</v>
      </c>
      <c r="K31" s="96" t="s">
        <v>431</v>
      </c>
      <c r="L31" s="1620" t="s">
        <v>474</v>
      </c>
    </row>
    <row r="32" spans="1:12" ht="12">
      <c r="A32" s="1601"/>
      <c r="B32" s="1616"/>
      <c r="C32" s="1601"/>
      <c r="D32" s="1601"/>
      <c r="E32" s="1601"/>
      <c r="F32" s="1597" t="s">
        <v>459</v>
      </c>
      <c r="G32" s="1598"/>
      <c r="H32" s="1598"/>
      <c r="I32" s="1599"/>
      <c r="J32" s="96">
        <f>+E31*7</f>
        <v>7</v>
      </c>
      <c r="K32" s="96" t="s">
        <v>410</v>
      </c>
      <c r="L32" s="1621"/>
    </row>
    <row r="33" spans="1:12" ht="12">
      <c r="A33" s="1601"/>
      <c r="B33" s="1616"/>
      <c r="C33" s="1601"/>
      <c r="D33" s="1601"/>
      <c r="E33" s="1601"/>
      <c r="F33" s="1597" t="s">
        <v>460</v>
      </c>
      <c r="G33" s="1598"/>
      <c r="H33" s="1598"/>
      <c r="I33" s="1599"/>
      <c r="J33" s="96">
        <f>E31*1.5</f>
        <v>1.5</v>
      </c>
      <c r="K33" s="96" t="s">
        <v>461</v>
      </c>
      <c r="L33" s="1621"/>
    </row>
    <row r="34" spans="1:12" ht="12">
      <c r="A34" s="1601"/>
      <c r="B34" s="1586"/>
      <c r="C34" s="1601"/>
      <c r="D34" s="1601"/>
      <c r="E34" s="1601"/>
      <c r="F34" s="1597" t="s">
        <v>475</v>
      </c>
      <c r="G34" s="1598"/>
      <c r="H34" s="1598"/>
      <c r="I34" s="1599"/>
      <c r="J34" s="96">
        <f>+E31*8</f>
        <v>8</v>
      </c>
      <c r="K34" s="96" t="s">
        <v>458</v>
      </c>
      <c r="L34" s="1622"/>
    </row>
    <row r="35" spans="1:12" ht="12">
      <c r="A35" s="1601">
        <v>8</v>
      </c>
      <c r="B35" s="1585">
        <v>600</v>
      </c>
      <c r="C35" s="1601">
        <v>2160</v>
      </c>
      <c r="D35" s="1601" t="s">
        <v>476</v>
      </c>
      <c r="E35" s="1601">
        <v>1</v>
      </c>
      <c r="F35" s="1597" t="s">
        <v>477</v>
      </c>
      <c r="G35" s="1598"/>
      <c r="H35" s="1598"/>
      <c r="I35" s="1599"/>
      <c r="J35" s="96">
        <f>E35*1</f>
        <v>1</v>
      </c>
      <c r="K35" s="96" t="s">
        <v>461</v>
      </c>
      <c r="L35" s="103"/>
    </row>
    <row r="36" spans="1:12" ht="12">
      <c r="A36" s="1601"/>
      <c r="B36" s="1616"/>
      <c r="C36" s="1601"/>
      <c r="D36" s="1601"/>
      <c r="E36" s="1601"/>
      <c r="F36" s="1597" t="s">
        <v>459</v>
      </c>
      <c r="G36" s="1598"/>
      <c r="H36" s="1598"/>
      <c r="I36" s="1599"/>
      <c r="J36" s="96">
        <f>+E35*11</f>
        <v>11</v>
      </c>
      <c r="K36" s="96" t="s">
        <v>410</v>
      </c>
      <c r="L36" s="103"/>
    </row>
    <row r="37" spans="1:12" ht="12">
      <c r="A37" s="1601"/>
      <c r="B37" s="1616"/>
      <c r="C37" s="1601"/>
      <c r="D37" s="1601"/>
      <c r="E37" s="1601"/>
      <c r="F37" s="1597" t="s">
        <v>460</v>
      </c>
      <c r="G37" s="1598"/>
      <c r="H37" s="1598"/>
      <c r="I37" s="1599"/>
      <c r="J37" s="96">
        <f>+E35*1</f>
        <v>1</v>
      </c>
      <c r="K37" s="96" t="s">
        <v>461</v>
      </c>
      <c r="L37" s="103"/>
    </row>
    <row r="38" spans="1:12" ht="12">
      <c r="A38" s="1601"/>
      <c r="B38" s="1586"/>
      <c r="C38" s="1601"/>
      <c r="D38" s="1601"/>
      <c r="E38" s="1601"/>
      <c r="F38" s="1601" t="s">
        <v>462</v>
      </c>
      <c r="G38" s="1601"/>
      <c r="H38" s="1601"/>
      <c r="I38" s="1601"/>
      <c r="J38" s="96">
        <f>+E35*8</f>
        <v>8</v>
      </c>
      <c r="K38" s="96" t="s">
        <v>458</v>
      </c>
      <c r="L38" s="103"/>
    </row>
    <row r="39" spans="1:12" ht="14.25">
      <c r="A39" s="1609" t="s">
        <v>478</v>
      </c>
      <c r="B39" s="1609"/>
      <c r="C39" s="1609"/>
      <c r="D39" s="1609"/>
      <c r="E39" s="1609"/>
      <c r="F39" s="1609"/>
      <c r="G39" s="1609"/>
      <c r="H39" s="1609"/>
      <c r="I39" s="1609"/>
      <c r="J39" s="1609"/>
      <c r="K39" s="1609"/>
      <c r="L39" s="1609"/>
    </row>
    <row r="40" spans="1:12" ht="12">
      <c r="A40" s="1585">
        <v>9</v>
      </c>
      <c r="B40" s="1585">
        <v>150</v>
      </c>
      <c r="C40" s="1585">
        <v>720</v>
      </c>
      <c r="D40" s="1585" t="s">
        <v>479</v>
      </c>
      <c r="E40" s="1601">
        <v>1</v>
      </c>
      <c r="F40" s="1601" t="s">
        <v>480</v>
      </c>
      <c r="G40" s="1601"/>
      <c r="H40" s="1601"/>
      <c r="I40" s="1601"/>
      <c r="J40" s="96">
        <f>+E40*1</f>
        <v>1</v>
      </c>
      <c r="K40" s="96" t="s">
        <v>458</v>
      </c>
      <c r="L40" s="103"/>
    </row>
    <row r="41" spans="1:12" ht="12">
      <c r="A41" s="1616"/>
      <c r="B41" s="1616"/>
      <c r="C41" s="1616"/>
      <c r="D41" s="1616"/>
      <c r="E41" s="1601"/>
      <c r="F41" s="1597" t="s">
        <v>459</v>
      </c>
      <c r="G41" s="1598"/>
      <c r="H41" s="1598"/>
      <c r="I41" s="1599"/>
      <c r="J41" s="96">
        <f>+E40*2</f>
        <v>2</v>
      </c>
      <c r="K41" s="96" t="s">
        <v>410</v>
      </c>
      <c r="L41" s="103"/>
    </row>
    <row r="42" spans="1:12" ht="12">
      <c r="A42" s="1616"/>
      <c r="B42" s="1616"/>
      <c r="C42" s="1616"/>
      <c r="D42" s="1616"/>
      <c r="E42" s="1601"/>
      <c r="F42" s="1601" t="s">
        <v>481</v>
      </c>
      <c r="G42" s="1601"/>
      <c r="H42" s="1601"/>
      <c r="I42" s="1601"/>
      <c r="J42" s="96">
        <f>+E40*8</f>
        <v>8</v>
      </c>
      <c r="K42" s="96" t="s">
        <v>458</v>
      </c>
      <c r="L42" s="103"/>
    </row>
    <row r="43" spans="1:12" ht="12">
      <c r="A43" s="1585">
        <v>10</v>
      </c>
      <c r="B43" s="1585">
        <v>600</v>
      </c>
      <c r="C43" s="1585">
        <v>720</v>
      </c>
      <c r="D43" s="1585" t="s">
        <v>482</v>
      </c>
      <c r="E43" s="1601">
        <v>1</v>
      </c>
      <c r="F43" s="1601" t="s">
        <v>483</v>
      </c>
      <c r="G43" s="1601"/>
      <c r="H43" s="1601"/>
      <c r="I43" s="1601"/>
      <c r="J43" s="96">
        <f>+E43*1</f>
        <v>1</v>
      </c>
      <c r="K43" s="96" t="s">
        <v>458</v>
      </c>
      <c r="L43" s="96"/>
    </row>
    <row r="44" spans="1:12" ht="12">
      <c r="A44" s="1616"/>
      <c r="B44" s="1616"/>
      <c r="C44" s="1616"/>
      <c r="D44" s="1616"/>
      <c r="E44" s="1601"/>
      <c r="F44" s="1597" t="s">
        <v>459</v>
      </c>
      <c r="G44" s="1598"/>
      <c r="H44" s="1598"/>
      <c r="I44" s="1599"/>
      <c r="J44" s="96">
        <f>+E43*3</f>
        <v>3</v>
      </c>
      <c r="K44" s="96" t="s">
        <v>410</v>
      </c>
      <c r="L44" s="96"/>
    </row>
    <row r="45" spans="1:12" ht="12">
      <c r="A45" s="1616"/>
      <c r="B45" s="1616"/>
      <c r="C45" s="1616"/>
      <c r="D45" s="1616"/>
      <c r="E45" s="1601"/>
      <c r="F45" s="1600" t="s">
        <v>484</v>
      </c>
      <c r="G45" s="1600"/>
      <c r="H45" s="1600"/>
      <c r="I45" s="1600"/>
      <c r="J45" s="97">
        <f>+E43*0.3</f>
        <v>0.3</v>
      </c>
      <c r="K45" s="97" t="s">
        <v>431</v>
      </c>
      <c r="L45" s="97" t="s">
        <v>485</v>
      </c>
    </row>
    <row r="46" spans="1:12" ht="12">
      <c r="A46" s="1586"/>
      <c r="B46" s="1586"/>
      <c r="C46" s="1586"/>
      <c r="D46" s="1586"/>
      <c r="E46" s="1601"/>
      <c r="F46" s="1601" t="s">
        <v>481</v>
      </c>
      <c r="G46" s="1601"/>
      <c r="H46" s="1601"/>
      <c r="I46" s="1601"/>
      <c r="J46" s="96">
        <f>+E43*8</f>
        <v>8</v>
      </c>
      <c r="K46" s="96" t="s">
        <v>458</v>
      </c>
      <c r="L46" s="96"/>
    </row>
    <row r="47" spans="1:12" ht="12">
      <c r="A47" s="1585">
        <v>11</v>
      </c>
      <c r="B47" s="1585">
        <v>900</v>
      </c>
      <c r="C47" s="1585">
        <v>720</v>
      </c>
      <c r="D47" s="1585" t="s">
        <v>482</v>
      </c>
      <c r="E47" s="1601">
        <v>1</v>
      </c>
      <c r="F47" s="1601" t="s">
        <v>486</v>
      </c>
      <c r="G47" s="1601"/>
      <c r="H47" s="1601"/>
      <c r="I47" s="1601"/>
      <c r="J47" s="96">
        <f>+E47*1</f>
        <v>1</v>
      </c>
      <c r="K47" s="96" t="s">
        <v>458</v>
      </c>
      <c r="L47" s="96"/>
    </row>
    <row r="48" spans="1:12" ht="12">
      <c r="A48" s="1616"/>
      <c r="B48" s="1616"/>
      <c r="C48" s="1616"/>
      <c r="D48" s="1616"/>
      <c r="E48" s="1601"/>
      <c r="F48" s="1597" t="s">
        <v>459</v>
      </c>
      <c r="G48" s="1598"/>
      <c r="H48" s="1598"/>
      <c r="I48" s="1599"/>
      <c r="J48" s="96">
        <f>+E47*3</f>
        <v>3</v>
      </c>
      <c r="K48" s="96" t="s">
        <v>410</v>
      </c>
      <c r="L48" s="96"/>
    </row>
    <row r="49" spans="1:12" ht="12">
      <c r="A49" s="1616"/>
      <c r="B49" s="1616"/>
      <c r="C49" s="1616"/>
      <c r="D49" s="1616"/>
      <c r="E49" s="1601"/>
      <c r="F49" s="1600" t="s">
        <v>484</v>
      </c>
      <c r="G49" s="1600"/>
      <c r="H49" s="1600"/>
      <c r="I49" s="1600"/>
      <c r="J49" s="97">
        <f>+E47*0.5</f>
        <v>0.5</v>
      </c>
      <c r="K49" s="97" t="s">
        <v>431</v>
      </c>
      <c r="L49" s="97" t="s">
        <v>485</v>
      </c>
    </row>
    <row r="50" spans="1:12" ht="12">
      <c r="A50" s="1586"/>
      <c r="B50" s="1586"/>
      <c r="C50" s="1586"/>
      <c r="D50" s="1586"/>
      <c r="E50" s="1601"/>
      <c r="F50" s="1601" t="s">
        <v>481</v>
      </c>
      <c r="G50" s="1601"/>
      <c r="H50" s="1601"/>
      <c r="I50" s="1601"/>
      <c r="J50" s="96">
        <f>+E47*8</f>
        <v>8</v>
      </c>
      <c r="K50" s="96" t="s">
        <v>458</v>
      </c>
      <c r="L50" s="96"/>
    </row>
    <row r="51" spans="1:12" ht="14.25">
      <c r="A51" s="1609" t="s">
        <v>487</v>
      </c>
      <c r="B51" s="1609"/>
      <c r="C51" s="1609"/>
      <c r="D51" s="1609"/>
      <c r="E51" s="1609"/>
      <c r="F51" s="1609"/>
      <c r="G51" s="1609"/>
      <c r="H51" s="1609"/>
      <c r="I51" s="1609"/>
      <c r="J51" s="1609"/>
      <c r="K51" s="1609"/>
      <c r="L51" s="1609"/>
    </row>
    <row r="52" spans="1:12" ht="12">
      <c r="A52" s="1615">
        <v>1</v>
      </c>
      <c r="B52" s="1617" t="s">
        <v>488</v>
      </c>
      <c r="C52" s="1615">
        <v>715</v>
      </c>
      <c r="D52" s="1615">
        <v>20</v>
      </c>
      <c r="E52" s="1615">
        <v>4</v>
      </c>
      <c r="F52" s="1601" t="s">
        <v>489</v>
      </c>
      <c r="G52" s="1601"/>
      <c r="H52" s="1601"/>
      <c r="I52" s="1601"/>
      <c r="J52" s="96">
        <f>E52*0.25</f>
        <v>1</v>
      </c>
      <c r="K52" s="96" t="s">
        <v>458</v>
      </c>
      <c r="L52" s="1585" t="s">
        <v>490</v>
      </c>
    </row>
    <row r="53" spans="1:12" ht="12">
      <c r="A53" s="1615"/>
      <c r="B53" s="1618"/>
      <c r="C53" s="1615"/>
      <c r="D53" s="1615"/>
      <c r="E53" s="1615"/>
      <c r="F53" s="1597" t="s">
        <v>459</v>
      </c>
      <c r="G53" s="1598"/>
      <c r="H53" s="1598"/>
      <c r="I53" s="1599"/>
      <c r="J53" s="96">
        <f>+E52*1</f>
        <v>4</v>
      </c>
      <c r="K53" s="96" t="s">
        <v>410</v>
      </c>
      <c r="L53" s="1616"/>
    </row>
    <row r="54" spans="1:12" ht="12">
      <c r="A54" s="1615"/>
      <c r="B54" s="1618"/>
      <c r="C54" s="1615"/>
      <c r="D54" s="1615"/>
      <c r="E54" s="1615"/>
      <c r="F54" s="1601" t="s">
        <v>460</v>
      </c>
      <c r="G54" s="1601"/>
      <c r="H54" s="1601"/>
      <c r="I54" s="1601"/>
      <c r="J54" s="96">
        <f>+E52*0.125</f>
        <v>0.5</v>
      </c>
      <c r="K54" s="96" t="s">
        <v>431</v>
      </c>
      <c r="L54" s="1616"/>
    </row>
    <row r="55" spans="1:12" ht="12">
      <c r="A55" s="1615"/>
      <c r="B55" s="1619"/>
      <c r="C55" s="1615"/>
      <c r="D55" s="1615"/>
      <c r="E55" s="1615"/>
      <c r="F55" s="1601" t="s">
        <v>462</v>
      </c>
      <c r="G55" s="1601"/>
      <c r="H55" s="1601"/>
      <c r="I55" s="1601"/>
      <c r="J55" s="96">
        <f>+E52*2</f>
        <v>8</v>
      </c>
      <c r="K55" s="96" t="s">
        <v>458</v>
      </c>
      <c r="L55" s="1586"/>
    </row>
    <row r="56" spans="1:12" ht="12">
      <c r="A56" s="1615">
        <v>2</v>
      </c>
      <c r="B56" s="1615">
        <v>597</v>
      </c>
      <c r="C56" s="1615">
        <v>715</v>
      </c>
      <c r="D56" s="1615">
        <v>20</v>
      </c>
      <c r="E56" s="1615">
        <v>4</v>
      </c>
      <c r="F56" s="1601" t="s">
        <v>491</v>
      </c>
      <c r="G56" s="1601"/>
      <c r="H56" s="1601"/>
      <c r="I56" s="1601"/>
      <c r="J56" s="96">
        <f>E56*0.25</f>
        <v>1</v>
      </c>
      <c r="K56" s="96" t="s">
        <v>458</v>
      </c>
      <c r="L56" s="1585" t="s">
        <v>490</v>
      </c>
    </row>
    <row r="57" spans="1:12" ht="12">
      <c r="A57" s="1615"/>
      <c r="B57" s="1615"/>
      <c r="C57" s="1615"/>
      <c r="D57" s="1615"/>
      <c r="E57" s="1615"/>
      <c r="F57" s="1597" t="s">
        <v>459</v>
      </c>
      <c r="G57" s="1598"/>
      <c r="H57" s="1598"/>
      <c r="I57" s="1599"/>
      <c r="J57" s="96">
        <f>+E56*1</f>
        <v>4</v>
      </c>
      <c r="K57" s="96" t="s">
        <v>410</v>
      </c>
      <c r="L57" s="1616"/>
    </row>
    <row r="58" spans="1:12" ht="12">
      <c r="A58" s="1615"/>
      <c r="B58" s="1615"/>
      <c r="C58" s="1615"/>
      <c r="D58" s="1615"/>
      <c r="E58" s="1615"/>
      <c r="F58" s="1601" t="s">
        <v>460</v>
      </c>
      <c r="G58" s="1601"/>
      <c r="H58" s="1601"/>
      <c r="I58" s="1601"/>
      <c r="J58" s="96">
        <f>+E56*0.125</f>
        <v>0.5</v>
      </c>
      <c r="K58" s="96" t="s">
        <v>431</v>
      </c>
      <c r="L58" s="1616"/>
    </row>
    <row r="59" spans="1:12" ht="12">
      <c r="A59" s="1615"/>
      <c r="B59" s="1615"/>
      <c r="C59" s="1615"/>
      <c r="D59" s="1615"/>
      <c r="E59" s="1615"/>
      <c r="F59" s="1601" t="s">
        <v>462</v>
      </c>
      <c r="G59" s="1601"/>
      <c r="H59" s="1601"/>
      <c r="I59" s="1601"/>
      <c r="J59" s="96">
        <f>+E56*2</f>
        <v>8</v>
      </c>
      <c r="K59" s="96" t="s">
        <v>458</v>
      </c>
      <c r="L59" s="1586"/>
    </row>
    <row r="60" spans="1:12" ht="12">
      <c r="A60" s="1615">
        <v>3</v>
      </c>
      <c r="B60" s="1615">
        <v>597</v>
      </c>
      <c r="C60" s="1615">
        <v>356</v>
      </c>
      <c r="D60" s="1615">
        <v>20</v>
      </c>
      <c r="E60" s="1615">
        <v>4</v>
      </c>
      <c r="F60" s="1601" t="s">
        <v>492</v>
      </c>
      <c r="G60" s="1601"/>
      <c r="H60" s="1601"/>
      <c r="I60" s="1601"/>
      <c r="J60" s="96">
        <f>E60*0.25</f>
        <v>1</v>
      </c>
      <c r="K60" s="96" t="s">
        <v>493</v>
      </c>
      <c r="L60" s="1585" t="s">
        <v>494</v>
      </c>
    </row>
    <row r="61" spans="1:12" ht="12">
      <c r="A61" s="1615"/>
      <c r="B61" s="1615"/>
      <c r="C61" s="1615"/>
      <c r="D61" s="1615"/>
      <c r="E61" s="1615"/>
      <c r="F61" s="1597" t="s">
        <v>495</v>
      </c>
      <c r="G61" s="1598"/>
      <c r="H61" s="1598"/>
      <c r="I61" s="1599"/>
      <c r="J61" s="96">
        <f>+E60*1</f>
        <v>4</v>
      </c>
      <c r="K61" s="96" t="s">
        <v>410</v>
      </c>
      <c r="L61" s="1616"/>
    </row>
    <row r="62" spans="1:12" ht="12">
      <c r="A62" s="1615"/>
      <c r="B62" s="1615"/>
      <c r="C62" s="1615"/>
      <c r="D62" s="1615"/>
      <c r="E62" s="1615"/>
      <c r="F62" s="1601" t="s">
        <v>496</v>
      </c>
      <c r="G62" s="1601"/>
      <c r="H62" s="1601"/>
      <c r="I62" s="1601"/>
      <c r="J62" s="96">
        <f>+E60*0.125</f>
        <v>0.5</v>
      </c>
      <c r="K62" s="96" t="s">
        <v>431</v>
      </c>
      <c r="L62" s="1616"/>
    </row>
    <row r="63" spans="1:12" ht="12">
      <c r="A63" s="1615"/>
      <c r="B63" s="1615"/>
      <c r="C63" s="1615"/>
      <c r="D63" s="1615"/>
      <c r="E63" s="1615"/>
      <c r="F63" s="1601" t="s">
        <v>497</v>
      </c>
      <c r="G63" s="1601"/>
      <c r="H63" s="1601"/>
      <c r="I63" s="1601"/>
      <c r="J63" s="96">
        <f>+E60*2</f>
        <v>8</v>
      </c>
      <c r="K63" s="96" t="s">
        <v>493</v>
      </c>
      <c r="L63" s="1586"/>
    </row>
    <row r="64" spans="1:12" ht="12">
      <c r="A64" s="1615">
        <v>4</v>
      </c>
      <c r="B64" s="1615">
        <v>897</v>
      </c>
      <c r="C64" s="1615">
        <v>356</v>
      </c>
      <c r="D64" s="1615">
        <v>20</v>
      </c>
      <c r="E64" s="1615">
        <v>4</v>
      </c>
      <c r="F64" s="1601" t="s">
        <v>498</v>
      </c>
      <c r="G64" s="1601"/>
      <c r="H64" s="1601"/>
      <c r="I64" s="1601"/>
      <c r="J64" s="96">
        <f>E64*0.25</f>
        <v>1</v>
      </c>
      <c r="K64" s="96" t="s">
        <v>493</v>
      </c>
      <c r="L64" s="1585" t="s">
        <v>494</v>
      </c>
    </row>
    <row r="65" spans="1:13" ht="12">
      <c r="A65" s="1615"/>
      <c r="B65" s="1615"/>
      <c r="C65" s="1615"/>
      <c r="D65" s="1615"/>
      <c r="E65" s="1615"/>
      <c r="F65" s="1597" t="s">
        <v>495</v>
      </c>
      <c r="G65" s="1598"/>
      <c r="H65" s="1598"/>
      <c r="I65" s="1599"/>
      <c r="J65" s="96">
        <f>+E64*1</f>
        <v>4</v>
      </c>
      <c r="K65" s="96" t="s">
        <v>410</v>
      </c>
      <c r="L65" s="1616"/>
    </row>
    <row r="66" spans="1:13" ht="12">
      <c r="A66" s="1615"/>
      <c r="B66" s="1615"/>
      <c r="C66" s="1615"/>
      <c r="D66" s="1615"/>
      <c r="E66" s="1615"/>
      <c r="F66" s="1601" t="s">
        <v>496</v>
      </c>
      <c r="G66" s="1601"/>
      <c r="H66" s="1601"/>
      <c r="I66" s="1601"/>
      <c r="J66" s="96">
        <f>+E64*0.125</f>
        <v>0.5</v>
      </c>
      <c r="K66" s="96" t="s">
        <v>431</v>
      </c>
      <c r="L66" s="1616"/>
    </row>
    <row r="67" spans="1:13" ht="12">
      <c r="A67" s="1615"/>
      <c r="B67" s="1615"/>
      <c r="C67" s="1615"/>
      <c r="D67" s="1615"/>
      <c r="E67" s="1615"/>
      <c r="F67" s="1601" t="s">
        <v>497</v>
      </c>
      <c r="G67" s="1601"/>
      <c r="H67" s="1601"/>
      <c r="I67" s="1601"/>
      <c r="J67" s="96">
        <f>+E64*2</f>
        <v>8</v>
      </c>
      <c r="K67" s="96" t="s">
        <v>493</v>
      </c>
      <c r="L67" s="1586"/>
    </row>
    <row r="68" spans="1:13" ht="14.25">
      <c r="A68" s="1609" t="s">
        <v>499</v>
      </c>
      <c r="B68" s="1609"/>
      <c r="C68" s="1609"/>
      <c r="D68" s="1609"/>
      <c r="E68" s="1609"/>
      <c r="F68" s="1609"/>
      <c r="G68" s="1609"/>
      <c r="H68" s="1609"/>
      <c r="I68" s="1609"/>
      <c r="J68" s="1609"/>
      <c r="K68" s="1609"/>
      <c r="L68" s="1609"/>
      <c r="M68" s="93" t="s">
        <v>500</v>
      </c>
    </row>
    <row r="69" spans="1:13" ht="12">
      <c r="A69" s="1593">
        <v>1</v>
      </c>
      <c r="B69" s="1594" t="s">
        <v>501</v>
      </c>
      <c r="C69" s="1594"/>
      <c r="D69" s="1595" t="s">
        <v>502</v>
      </c>
      <c r="E69" s="1594"/>
      <c r="F69" s="1601" t="s">
        <v>503</v>
      </c>
      <c r="G69" s="1601"/>
      <c r="H69" s="1601"/>
      <c r="I69" s="1601"/>
      <c r="J69" s="96">
        <v>5</v>
      </c>
      <c r="K69" s="96" t="s">
        <v>431</v>
      </c>
      <c r="L69" s="96"/>
      <c r="M69" s="93">
        <f>J69*1.5</f>
        <v>7.5</v>
      </c>
    </row>
    <row r="70" spans="1:13" ht="12">
      <c r="A70" s="1593"/>
      <c r="B70" s="1594"/>
      <c r="C70" s="1594"/>
      <c r="D70" s="1594"/>
      <c r="E70" s="1594"/>
      <c r="F70" s="1597" t="s">
        <v>495</v>
      </c>
      <c r="G70" s="1598"/>
      <c r="H70" s="1598"/>
      <c r="I70" s="1599"/>
      <c r="J70" s="96">
        <v>30</v>
      </c>
      <c r="K70" s="96" t="s">
        <v>504</v>
      </c>
      <c r="L70" s="96"/>
      <c r="M70" s="93">
        <f t="shared" ref="M70:M80" si="0">J70*1.5</f>
        <v>45</v>
      </c>
    </row>
    <row r="71" spans="1:13" ht="12">
      <c r="A71" s="1593"/>
      <c r="B71" s="1594"/>
      <c r="C71" s="1594"/>
      <c r="D71" s="1594"/>
      <c r="E71" s="1594"/>
      <c r="F71" s="1601" t="s">
        <v>496</v>
      </c>
      <c r="G71" s="1601"/>
      <c r="H71" s="1601"/>
      <c r="I71" s="1601"/>
      <c r="J71" s="96">
        <v>3</v>
      </c>
      <c r="K71" s="96" t="s">
        <v>431</v>
      </c>
      <c r="L71" s="96"/>
      <c r="M71" s="93">
        <f t="shared" si="0"/>
        <v>4.5</v>
      </c>
    </row>
    <row r="72" spans="1:13" ht="14.25" customHeight="1">
      <c r="A72" s="1593"/>
      <c r="B72" s="1594"/>
      <c r="C72" s="1594"/>
      <c r="D72" s="1594"/>
      <c r="E72" s="1594"/>
      <c r="F72" s="1587" t="s">
        <v>526</v>
      </c>
      <c r="G72" s="1588"/>
      <c r="H72" s="1588"/>
      <c r="I72" s="1589"/>
      <c r="J72" s="1585">
        <v>32</v>
      </c>
      <c r="K72" s="1585" t="s">
        <v>524</v>
      </c>
      <c r="L72" s="96"/>
      <c r="M72" s="93">
        <f t="shared" si="0"/>
        <v>48</v>
      </c>
    </row>
    <row r="73" spans="1:13" ht="12" customHeight="1">
      <c r="A73" s="1593"/>
      <c r="B73" s="1594"/>
      <c r="C73" s="1594"/>
      <c r="D73" s="1594"/>
      <c r="E73" s="1594"/>
      <c r="F73" s="1590"/>
      <c r="G73" s="1591"/>
      <c r="H73" s="1591"/>
      <c r="I73" s="1592"/>
      <c r="J73" s="1586"/>
      <c r="K73" s="1586"/>
      <c r="L73" s="96"/>
      <c r="M73" s="93">
        <f t="shared" si="0"/>
        <v>0</v>
      </c>
    </row>
    <row r="74" spans="1:13" ht="24">
      <c r="A74" s="1593"/>
      <c r="B74" s="1594"/>
      <c r="C74" s="1594"/>
      <c r="D74" s="1594"/>
      <c r="E74" s="1594"/>
      <c r="F74" s="1600" t="s">
        <v>505</v>
      </c>
      <c r="G74" s="1600"/>
      <c r="H74" s="1600"/>
      <c r="I74" s="1600"/>
      <c r="J74" s="97">
        <v>12</v>
      </c>
      <c r="K74" s="97" t="s">
        <v>506</v>
      </c>
      <c r="L74" s="97" t="s">
        <v>507</v>
      </c>
      <c r="M74" s="93">
        <f t="shared" si="0"/>
        <v>18</v>
      </c>
    </row>
    <row r="75" spans="1:13" ht="12">
      <c r="A75" s="1593">
        <v>2</v>
      </c>
      <c r="B75" s="1594" t="s">
        <v>501</v>
      </c>
      <c r="C75" s="1594"/>
      <c r="D75" s="1595" t="s">
        <v>508</v>
      </c>
      <c r="E75" s="1594"/>
      <c r="F75" s="1601" t="s">
        <v>503</v>
      </c>
      <c r="G75" s="1601"/>
      <c r="H75" s="1601"/>
      <c r="I75" s="1601"/>
      <c r="J75" s="96">
        <v>8</v>
      </c>
      <c r="K75" s="96" t="s">
        <v>509</v>
      </c>
      <c r="L75" s="100"/>
      <c r="M75" s="93">
        <f t="shared" si="0"/>
        <v>12</v>
      </c>
    </row>
    <row r="76" spans="1:13" ht="12">
      <c r="A76" s="1593"/>
      <c r="B76" s="1594"/>
      <c r="C76" s="1594"/>
      <c r="D76" s="1594"/>
      <c r="E76" s="1594"/>
      <c r="F76" s="1597" t="s">
        <v>495</v>
      </c>
      <c r="G76" s="1598"/>
      <c r="H76" s="1598"/>
      <c r="I76" s="1599"/>
      <c r="J76" s="96">
        <v>50</v>
      </c>
      <c r="K76" s="96" t="s">
        <v>504</v>
      </c>
      <c r="L76" s="100"/>
      <c r="M76" s="93">
        <f t="shared" si="0"/>
        <v>75</v>
      </c>
    </row>
    <row r="77" spans="1:13" ht="12">
      <c r="A77" s="1593"/>
      <c r="B77" s="1594"/>
      <c r="C77" s="1594"/>
      <c r="D77" s="1594"/>
      <c r="E77" s="1594"/>
      <c r="F77" s="1601" t="s">
        <v>496</v>
      </c>
      <c r="G77" s="1601"/>
      <c r="H77" s="1601"/>
      <c r="I77" s="1601"/>
      <c r="J77" s="96">
        <v>5</v>
      </c>
      <c r="K77" s="96" t="s">
        <v>509</v>
      </c>
      <c r="L77" s="100"/>
      <c r="M77" s="93">
        <f t="shared" si="0"/>
        <v>7.5</v>
      </c>
    </row>
    <row r="78" spans="1:13" ht="14.25" customHeight="1">
      <c r="A78" s="1593"/>
      <c r="B78" s="1594"/>
      <c r="C78" s="1594"/>
      <c r="D78" s="1594"/>
      <c r="E78" s="1594"/>
      <c r="F78" s="1587" t="s">
        <v>525</v>
      </c>
      <c r="G78" s="1588"/>
      <c r="H78" s="1588"/>
      <c r="I78" s="1589"/>
      <c r="J78" s="1585">
        <v>60</v>
      </c>
      <c r="K78" s="1585" t="s">
        <v>524</v>
      </c>
      <c r="L78" s="100"/>
      <c r="M78" s="93">
        <f t="shared" si="0"/>
        <v>90</v>
      </c>
    </row>
    <row r="79" spans="1:13" ht="12" customHeight="1">
      <c r="A79" s="1593"/>
      <c r="B79" s="1594"/>
      <c r="C79" s="1594"/>
      <c r="D79" s="1594"/>
      <c r="E79" s="1594"/>
      <c r="F79" s="1590"/>
      <c r="G79" s="1591"/>
      <c r="H79" s="1591"/>
      <c r="I79" s="1592"/>
      <c r="J79" s="1586"/>
      <c r="K79" s="1586"/>
      <c r="L79" s="100"/>
      <c r="M79" s="93">
        <f t="shared" si="0"/>
        <v>0</v>
      </c>
    </row>
    <row r="80" spans="1:13" ht="24">
      <c r="A80" s="1593"/>
      <c r="B80" s="1594"/>
      <c r="C80" s="1594"/>
      <c r="D80" s="1594"/>
      <c r="E80" s="1594"/>
      <c r="F80" s="1600" t="s">
        <v>505</v>
      </c>
      <c r="G80" s="1600"/>
      <c r="H80" s="1600"/>
      <c r="I80" s="1600"/>
      <c r="J80" s="97">
        <v>20</v>
      </c>
      <c r="K80" s="97" t="s">
        <v>506</v>
      </c>
      <c r="L80" s="97" t="s">
        <v>507</v>
      </c>
      <c r="M80" s="93">
        <f t="shared" si="0"/>
        <v>30</v>
      </c>
    </row>
    <row r="81" spans="1:20" s="101" customFormat="1" ht="14.25">
      <c r="A81" s="1609" t="s">
        <v>510</v>
      </c>
      <c r="B81" s="1609"/>
      <c r="C81" s="1609"/>
      <c r="D81" s="1609"/>
      <c r="E81" s="1609"/>
      <c r="F81" s="1609"/>
      <c r="G81" s="1609"/>
      <c r="H81" s="1609"/>
      <c r="I81" s="1609"/>
      <c r="J81" s="1609"/>
      <c r="K81" s="1609"/>
      <c r="L81" s="1610"/>
      <c r="T81" s="104"/>
    </row>
    <row r="82" spans="1:20" ht="12">
      <c r="A82" s="1601">
        <v>1</v>
      </c>
      <c r="B82" s="1587" t="s">
        <v>511</v>
      </c>
      <c r="C82" s="1589"/>
      <c r="D82" s="1601" t="s">
        <v>512</v>
      </c>
      <c r="E82" s="1613">
        <v>1</v>
      </c>
      <c r="F82" s="1601" t="s">
        <v>503</v>
      </c>
      <c r="G82" s="1601"/>
      <c r="H82" s="1601"/>
      <c r="I82" s="1601"/>
      <c r="J82" s="96">
        <f>E82*2</f>
        <v>2</v>
      </c>
      <c r="K82" s="96" t="s">
        <v>431</v>
      </c>
      <c r="L82" s="1601" t="s">
        <v>513</v>
      </c>
    </row>
    <row r="83" spans="1:20" ht="12">
      <c r="A83" s="1601"/>
      <c r="B83" s="1611"/>
      <c r="C83" s="1612"/>
      <c r="D83" s="1601"/>
      <c r="E83" s="1614"/>
      <c r="F83" s="1597" t="s">
        <v>495</v>
      </c>
      <c r="G83" s="1598"/>
      <c r="H83" s="1598"/>
      <c r="I83" s="1599"/>
      <c r="J83" s="96">
        <f>+E82*5</f>
        <v>5</v>
      </c>
      <c r="K83" s="96" t="s">
        <v>410</v>
      </c>
      <c r="L83" s="1601"/>
    </row>
    <row r="84" spans="1:20" ht="12">
      <c r="A84" s="1601"/>
      <c r="B84" s="1611"/>
      <c r="C84" s="1612"/>
      <c r="D84" s="1601"/>
      <c r="E84" s="1614"/>
      <c r="F84" s="1601" t="s">
        <v>496</v>
      </c>
      <c r="G84" s="1601"/>
      <c r="H84" s="1601"/>
      <c r="I84" s="1601"/>
      <c r="J84" s="96">
        <f>+E82*1</f>
        <v>1</v>
      </c>
      <c r="K84" s="96" t="s">
        <v>509</v>
      </c>
      <c r="L84" s="1601"/>
    </row>
    <row r="85" spans="1:20" ht="12">
      <c r="A85" s="1601"/>
      <c r="B85" s="1590"/>
      <c r="C85" s="1592"/>
      <c r="D85" s="1601"/>
      <c r="E85" s="1614"/>
      <c r="F85" s="1601" t="s">
        <v>514</v>
      </c>
      <c r="G85" s="1601"/>
      <c r="H85" s="1601"/>
      <c r="I85" s="1601"/>
      <c r="J85" s="96">
        <f>+E82*8</f>
        <v>8</v>
      </c>
      <c r="K85" s="96" t="s">
        <v>493</v>
      </c>
      <c r="L85" s="1601"/>
    </row>
    <row r="86" spans="1:20" ht="12">
      <c r="A86" s="1601">
        <v>2</v>
      </c>
      <c r="B86" s="1587" t="s">
        <v>515</v>
      </c>
      <c r="C86" s="1589"/>
      <c r="D86" s="1601" t="s">
        <v>516</v>
      </c>
      <c r="E86" s="1613">
        <v>1</v>
      </c>
      <c r="F86" s="1601" t="s">
        <v>503</v>
      </c>
      <c r="G86" s="1601"/>
      <c r="H86" s="1601"/>
      <c r="I86" s="1601"/>
      <c r="J86" s="96">
        <f>E86*1</f>
        <v>1</v>
      </c>
      <c r="K86" s="96" t="s">
        <v>509</v>
      </c>
      <c r="L86" s="1601"/>
    </row>
    <row r="87" spans="1:20" ht="12">
      <c r="A87" s="1601"/>
      <c r="B87" s="1611"/>
      <c r="C87" s="1612"/>
      <c r="D87" s="1601"/>
      <c r="E87" s="1614"/>
      <c r="F87" s="1597" t="s">
        <v>495</v>
      </c>
      <c r="G87" s="1598"/>
      <c r="H87" s="1598"/>
      <c r="I87" s="1599"/>
      <c r="J87" s="96">
        <f>+E86*4</f>
        <v>4</v>
      </c>
      <c r="K87" s="96" t="s">
        <v>504</v>
      </c>
      <c r="L87" s="1601"/>
    </row>
    <row r="88" spans="1:20" ht="12">
      <c r="A88" s="1601"/>
      <c r="B88" s="1611"/>
      <c r="C88" s="1612"/>
      <c r="D88" s="1601"/>
      <c r="E88" s="1614"/>
      <c r="F88" s="1601" t="s">
        <v>496</v>
      </c>
      <c r="G88" s="1601"/>
      <c r="H88" s="1601"/>
      <c r="I88" s="1601"/>
      <c r="J88" s="96">
        <f>+E86*0.5</f>
        <v>0.5</v>
      </c>
      <c r="K88" s="96" t="s">
        <v>509</v>
      </c>
      <c r="L88" s="1601"/>
    </row>
    <row r="89" spans="1:20" ht="12">
      <c r="A89" s="1601"/>
      <c r="B89" s="1590"/>
      <c r="C89" s="1592"/>
      <c r="D89" s="1601"/>
      <c r="E89" s="1614"/>
      <c r="F89" s="1601" t="s">
        <v>514</v>
      </c>
      <c r="G89" s="1601"/>
      <c r="H89" s="1601"/>
      <c r="I89" s="1601"/>
      <c r="J89" s="96">
        <f>+E86*8</f>
        <v>8</v>
      </c>
      <c r="K89" s="96" t="s">
        <v>493</v>
      </c>
      <c r="L89" s="1601"/>
    </row>
    <row r="90" spans="1:20" ht="12">
      <c r="A90" s="1601">
        <v>3</v>
      </c>
      <c r="B90" s="1587" t="s">
        <v>517</v>
      </c>
      <c r="C90" s="1589"/>
      <c r="D90" s="1601" t="s">
        <v>518</v>
      </c>
      <c r="E90" s="1593">
        <v>1</v>
      </c>
      <c r="F90" s="1601" t="s">
        <v>503</v>
      </c>
      <c r="G90" s="1601"/>
      <c r="H90" s="1601"/>
      <c r="I90" s="1601"/>
      <c r="J90" s="96">
        <f>E90*2</f>
        <v>2</v>
      </c>
      <c r="K90" s="96" t="s">
        <v>431</v>
      </c>
      <c r="L90" s="1601"/>
    </row>
    <row r="91" spans="1:20" ht="12">
      <c r="A91" s="1601"/>
      <c r="B91" s="1611"/>
      <c r="C91" s="1612"/>
      <c r="D91" s="1601"/>
      <c r="E91" s="1593"/>
      <c r="F91" s="1597" t="s">
        <v>495</v>
      </c>
      <c r="G91" s="1598"/>
      <c r="H91" s="1598"/>
      <c r="I91" s="1599"/>
      <c r="J91" s="96">
        <f>+E90*7</f>
        <v>7</v>
      </c>
      <c r="K91" s="96" t="s">
        <v>410</v>
      </c>
      <c r="L91" s="1601"/>
    </row>
    <row r="92" spans="1:20" ht="12">
      <c r="A92" s="1601"/>
      <c r="B92" s="1611"/>
      <c r="C92" s="1612"/>
      <c r="D92" s="1601"/>
      <c r="E92" s="1593"/>
      <c r="F92" s="1601" t="s">
        <v>496</v>
      </c>
      <c r="G92" s="1601"/>
      <c r="H92" s="1601"/>
      <c r="I92" s="1601"/>
      <c r="J92" s="96">
        <f>+E90*1.5</f>
        <v>1.5</v>
      </c>
      <c r="K92" s="96" t="s">
        <v>509</v>
      </c>
      <c r="L92" s="1601"/>
    </row>
    <row r="93" spans="1:20" ht="12">
      <c r="A93" s="1601"/>
      <c r="B93" s="1590"/>
      <c r="C93" s="1592"/>
      <c r="D93" s="1601"/>
      <c r="E93" s="1593"/>
      <c r="F93" s="1601" t="s">
        <v>514</v>
      </c>
      <c r="G93" s="1601"/>
      <c r="H93" s="1601"/>
      <c r="I93" s="1601"/>
      <c r="J93" s="96">
        <f>+E90*8</f>
        <v>8</v>
      </c>
      <c r="K93" s="96" t="s">
        <v>493</v>
      </c>
      <c r="L93" s="1601"/>
    </row>
  </sheetData>
  <mergeCells count="204">
    <mergeCell ref="J78:J79"/>
    <mergeCell ref="K78:K79"/>
    <mergeCell ref="K4:L5"/>
    <mergeCell ref="A5:B5"/>
    <mergeCell ref="C5:D5"/>
    <mergeCell ref="E5:F5"/>
    <mergeCell ref="G5:H5"/>
    <mergeCell ref="F6:I6"/>
    <mergeCell ref="A1:L2"/>
    <mergeCell ref="A3:B3"/>
    <mergeCell ref="C3:H3"/>
    <mergeCell ref="I3:J3"/>
    <mergeCell ref="K3:L3"/>
    <mergeCell ref="A4:B4"/>
    <mergeCell ref="C4:D4"/>
    <mergeCell ref="E4:F4"/>
    <mergeCell ref="G4:H4"/>
    <mergeCell ref="I4:J5"/>
    <mergeCell ref="A7:A10"/>
    <mergeCell ref="B7:B10"/>
    <mergeCell ref="C7:C10"/>
    <mergeCell ref="D7:D10"/>
    <mergeCell ref="E7:E10"/>
    <mergeCell ref="F7:I7"/>
    <mergeCell ref="F8:I8"/>
    <mergeCell ref="F9:I9"/>
    <mergeCell ref="F10:I10"/>
    <mergeCell ref="A11:A14"/>
    <mergeCell ref="B11:B14"/>
    <mergeCell ref="C11:C14"/>
    <mergeCell ref="D11:D14"/>
    <mergeCell ref="E11:E14"/>
    <mergeCell ref="F11:I11"/>
    <mergeCell ref="F12:I12"/>
    <mergeCell ref="F13:I13"/>
    <mergeCell ref="F14:I14"/>
    <mergeCell ref="A15:A18"/>
    <mergeCell ref="B15:B18"/>
    <mergeCell ref="C15:C18"/>
    <mergeCell ref="D15:D18"/>
    <mergeCell ref="E15:E18"/>
    <mergeCell ref="F15:I15"/>
    <mergeCell ref="F16:I16"/>
    <mergeCell ref="F17:I17"/>
    <mergeCell ref="F18:I18"/>
    <mergeCell ref="A19:A22"/>
    <mergeCell ref="B19:B22"/>
    <mergeCell ref="C19:C22"/>
    <mergeCell ref="D19:D22"/>
    <mergeCell ref="E19:E22"/>
    <mergeCell ref="F19:I19"/>
    <mergeCell ref="F20:I20"/>
    <mergeCell ref="F21:I21"/>
    <mergeCell ref="F22:I22"/>
    <mergeCell ref="A23:A26"/>
    <mergeCell ref="B23:B26"/>
    <mergeCell ref="C23:C26"/>
    <mergeCell ref="D23:D26"/>
    <mergeCell ref="E23:E26"/>
    <mergeCell ref="F23:I23"/>
    <mergeCell ref="F24:I24"/>
    <mergeCell ref="F25:I25"/>
    <mergeCell ref="F26:I26"/>
    <mergeCell ref="A27:A30"/>
    <mergeCell ref="B27:B30"/>
    <mergeCell ref="C27:C30"/>
    <mergeCell ref="D27:D30"/>
    <mergeCell ref="E27:E30"/>
    <mergeCell ref="F27:I27"/>
    <mergeCell ref="F28:I28"/>
    <mergeCell ref="F29:I29"/>
    <mergeCell ref="F30:I30"/>
    <mergeCell ref="L31:L34"/>
    <mergeCell ref="F32:I32"/>
    <mergeCell ref="F33:I33"/>
    <mergeCell ref="F34:I34"/>
    <mergeCell ref="A35:A38"/>
    <mergeCell ref="B35:B38"/>
    <mergeCell ref="C35:C38"/>
    <mergeCell ref="D35:D38"/>
    <mergeCell ref="E35:E38"/>
    <mergeCell ref="F35:I35"/>
    <mergeCell ref="A31:A34"/>
    <mergeCell ref="B31:B34"/>
    <mergeCell ref="C31:C34"/>
    <mergeCell ref="D31:D34"/>
    <mergeCell ref="E31:E34"/>
    <mergeCell ref="F31:I31"/>
    <mergeCell ref="F36:I36"/>
    <mergeCell ref="F37:I37"/>
    <mergeCell ref="F38:I38"/>
    <mergeCell ref="A39:L39"/>
    <mergeCell ref="A40:A42"/>
    <mergeCell ref="B40:B42"/>
    <mergeCell ref="C40:C42"/>
    <mergeCell ref="D40:D42"/>
    <mergeCell ref="E40:E42"/>
    <mergeCell ref="F40:I40"/>
    <mergeCell ref="F41:I41"/>
    <mergeCell ref="F42:I42"/>
    <mergeCell ref="A43:A46"/>
    <mergeCell ref="B43:B46"/>
    <mergeCell ref="C43:C46"/>
    <mergeCell ref="D43:D46"/>
    <mergeCell ref="E43:E46"/>
    <mergeCell ref="F43:I43"/>
    <mergeCell ref="F44:I44"/>
    <mergeCell ref="F45:I45"/>
    <mergeCell ref="F46:I46"/>
    <mergeCell ref="A47:A50"/>
    <mergeCell ref="B47:B50"/>
    <mergeCell ref="C47:C50"/>
    <mergeCell ref="D47:D50"/>
    <mergeCell ref="E47:E50"/>
    <mergeCell ref="F47:I47"/>
    <mergeCell ref="F48:I48"/>
    <mergeCell ref="F49:I49"/>
    <mergeCell ref="F50:I50"/>
    <mergeCell ref="F55:I55"/>
    <mergeCell ref="A56:A59"/>
    <mergeCell ref="B56:B59"/>
    <mergeCell ref="C56:C59"/>
    <mergeCell ref="D56:D59"/>
    <mergeCell ref="E56:E59"/>
    <mergeCell ref="F56:I56"/>
    <mergeCell ref="A51:L51"/>
    <mergeCell ref="A52:A55"/>
    <mergeCell ref="B52:B55"/>
    <mergeCell ref="C52:C55"/>
    <mergeCell ref="D52:D55"/>
    <mergeCell ref="E52:E55"/>
    <mergeCell ref="F52:I52"/>
    <mergeCell ref="L52:L55"/>
    <mergeCell ref="F53:I53"/>
    <mergeCell ref="F54:I54"/>
    <mergeCell ref="L56:L59"/>
    <mergeCell ref="F57:I57"/>
    <mergeCell ref="F58:I58"/>
    <mergeCell ref="F59:I59"/>
    <mergeCell ref="A60:A63"/>
    <mergeCell ref="B60:B63"/>
    <mergeCell ref="C60:C63"/>
    <mergeCell ref="D60:D63"/>
    <mergeCell ref="E60:E63"/>
    <mergeCell ref="F60:I60"/>
    <mergeCell ref="L60:L63"/>
    <mergeCell ref="F61:I61"/>
    <mergeCell ref="F62:I62"/>
    <mergeCell ref="F63:I63"/>
    <mergeCell ref="A64:A67"/>
    <mergeCell ref="B64:B67"/>
    <mergeCell ref="C64:C67"/>
    <mergeCell ref="D64:D67"/>
    <mergeCell ref="E64:E67"/>
    <mergeCell ref="F64:I64"/>
    <mergeCell ref="L64:L67"/>
    <mergeCell ref="F65:I65"/>
    <mergeCell ref="F66:I66"/>
    <mergeCell ref="F67:I67"/>
    <mergeCell ref="A68:L68"/>
    <mergeCell ref="A69:A74"/>
    <mergeCell ref="B69:C74"/>
    <mergeCell ref="D69:E74"/>
    <mergeCell ref="F69:I69"/>
    <mergeCell ref="F70:I70"/>
    <mergeCell ref="F71:I71"/>
    <mergeCell ref="F74:I74"/>
    <mergeCell ref="F72:I73"/>
    <mergeCell ref="J72:J73"/>
    <mergeCell ref="K72:K73"/>
    <mergeCell ref="F90:I90"/>
    <mergeCell ref="F91:I91"/>
    <mergeCell ref="A75:A80"/>
    <mergeCell ref="B75:C80"/>
    <mergeCell ref="D75:E80"/>
    <mergeCell ref="F75:I75"/>
    <mergeCell ref="F76:I76"/>
    <mergeCell ref="F77:I77"/>
    <mergeCell ref="F80:I80"/>
    <mergeCell ref="F78:I79"/>
    <mergeCell ref="F92:I92"/>
    <mergeCell ref="F93:I93"/>
    <mergeCell ref="A81:L81"/>
    <mergeCell ref="A82:A85"/>
    <mergeCell ref="B82:C85"/>
    <mergeCell ref="D82:D85"/>
    <mergeCell ref="E82:E85"/>
    <mergeCell ref="F82:I82"/>
    <mergeCell ref="L82:L93"/>
    <mergeCell ref="F83:I83"/>
    <mergeCell ref="F84:I84"/>
    <mergeCell ref="F85:I85"/>
    <mergeCell ref="A86:A89"/>
    <mergeCell ref="B86:C89"/>
    <mergeCell ref="D86:D89"/>
    <mergeCell ref="E86:E89"/>
    <mergeCell ref="F86:I86"/>
    <mergeCell ref="F87:I87"/>
    <mergeCell ref="F88:I88"/>
    <mergeCell ref="F89:I89"/>
    <mergeCell ref="A90:A93"/>
    <mergeCell ref="B90:C93"/>
    <mergeCell ref="D90:D93"/>
    <mergeCell ref="E90:E93"/>
  </mergeCells>
  <phoneticPr fontId="46" type="noConversion"/>
  <pageMargins left="0.7" right="0.7" top="0.75" bottom="0.75" header="0.3" footer="0.3"/>
  <pageSetup paperSize="9" scale="6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命名范围</vt:lpstr>
      </vt:variant>
      <vt:variant>
        <vt:i4>20</vt:i4>
      </vt:variant>
    </vt:vector>
  </HeadingPairs>
  <TitlesOfParts>
    <vt:vector size="42" baseType="lpstr">
      <vt:lpstr>@kbtasto@she3#</vt:lpstr>
      <vt:lpstr>柜体</vt:lpstr>
      <vt:lpstr>下料单</vt:lpstr>
      <vt:lpstr>领料单</vt:lpstr>
      <vt:lpstr>交接表</vt:lpstr>
      <vt:lpstr>Sheet1</vt:lpstr>
      <vt:lpstr>外地</vt:lpstr>
      <vt:lpstr>A6包装</vt:lpstr>
      <vt:lpstr>油漆包装</vt:lpstr>
      <vt:lpstr>免漆 (2)</vt:lpstr>
      <vt:lpstr>免漆门板单 (2)</vt:lpstr>
      <vt:lpstr>免漆料单 (2)</vt:lpstr>
      <vt:lpstr>色诱</vt:lpstr>
      <vt:lpstr>作(4)</vt:lpstr>
      <vt:lpstr>料单 (4)</vt:lpstr>
      <vt:lpstr>实木</vt:lpstr>
      <vt:lpstr>作(5)</vt:lpstr>
      <vt:lpstr>料单 (5)</vt:lpstr>
      <vt:lpstr>香颂</vt:lpstr>
      <vt:lpstr>罗丹</vt:lpstr>
      <vt:lpstr>本地包装</vt:lpstr>
      <vt:lpstr>外阜包装</vt:lpstr>
      <vt:lpstr>A6包装!Print_Area</vt:lpstr>
      <vt:lpstr>Sheet1!Print_Area</vt:lpstr>
      <vt:lpstr>本地包装!Print_Area</vt:lpstr>
      <vt:lpstr>'料单 (4)'!Print_Area</vt:lpstr>
      <vt:lpstr>'料单 (5)'!Print_Area</vt:lpstr>
      <vt:lpstr>领料单!Print_Area</vt:lpstr>
      <vt:lpstr>罗丹!Print_Area</vt:lpstr>
      <vt:lpstr>'免漆 (2)'!Print_Area</vt:lpstr>
      <vt:lpstr>'免漆料单 (2)'!Print_Area</vt:lpstr>
      <vt:lpstr>'免漆门板单 (2)'!Print_Area</vt:lpstr>
      <vt:lpstr>实木!Print_Area</vt:lpstr>
      <vt:lpstr>外地!Print_Area</vt:lpstr>
      <vt:lpstr>外阜包装!Print_Area</vt:lpstr>
      <vt:lpstr>下料单!Print_Area</vt:lpstr>
      <vt:lpstr>香颂!Print_Area</vt:lpstr>
      <vt:lpstr>'作(4)'!Print_Area</vt:lpstr>
      <vt:lpstr>'作(5)'!Print_Area</vt:lpstr>
      <vt:lpstr>A6包装!Print_Titles</vt:lpstr>
      <vt:lpstr>Sheet1!Print_Titles</vt:lpstr>
      <vt:lpstr>外地!Print_Titles</vt:lpstr>
    </vt:vector>
  </TitlesOfParts>
  <Company>来茵</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张昌波</dc:creator>
  <cp:lastModifiedBy>刘亚磊</cp:lastModifiedBy>
  <cp:lastPrinted>2018-03-20T02:40:22Z</cp:lastPrinted>
  <dcterms:created xsi:type="dcterms:W3CDTF">2003-06-27T08:15:48Z</dcterms:created>
  <dcterms:modified xsi:type="dcterms:W3CDTF">2018-03-20T02:40:24Z</dcterms:modified>
</cp:coreProperties>
</file>